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mesha2023.sharepoint.com/sites/HameshaOffice-PRODUCTCOSTING/Shared Documents/PRODUCT COSTING/PROJECT/CATALOG 2024/"/>
    </mc:Choice>
  </mc:AlternateContent>
  <xr:revisionPtr revIDLastSave="0" documentId="8_{429313E3-CB5A-494F-9C93-DC1DD2C2AEF2}" xr6:coauthVersionLast="47" xr6:coauthVersionMax="47" xr10:uidLastSave="{00000000-0000-0000-0000-000000000000}"/>
  <bookViews>
    <workbookView xWindow="-120" yWindow="-120" windowWidth="29040" windowHeight="15720" xr2:uid="{255175F8-F13E-4FF9-8236-B7A4E23901DB}"/>
  </bookViews>
  <sheets>
    <sheet name="Cost Analysis (2)" sheetId="5" r:id="rId1"/>
    <sheet name="Sheet1" sheetId="6" r:id="rId2"/>
    <sheet name="Transformed Data" sheetId="7" r:id="rId3"/>
    <sheet name="Transformed Data (2)" sheetId="8" r:id="rId4"/>
  </sheets>
  <definedNames>
    <definedName name="_xlnm._FilterDatabase" localSheetId="0" hidden="1">'Cost Analysis (2)'!$A$1:$BG$1425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Y5" i="5" l="1"/>
  <c r="AY6" i="5"/>
  <c r="AY7" i="5"/>
  <c r="AY8" i="5"/>
  <c r="AY9" i="5"/>
  <c r="AY10" i="5"/>
  <c r="AY11" i="5"/>
  <c r="AY12" i="5"/>
  <c r="AY13" i="5"/>
  <c r="AY14" i="5"/>
  <c r="AY15" i="5"/>
  <c r="AY16" i="5"/>
  <c r="AY17" i="5"/>
  <c r="AY18" i="5"/>
  <c r="AY19" i="5"/>
  <c r="AY20" i="5"/>
  <c r="AY21" i="5"/>
  <c r="AY22" i="5"/>
  <c r="AY23" i="5"/>
  <c r="AY24" i="5"/>
  <c r="AY25" i="5"/>
  <c r="AY26" i="5"/>
  <c r="AY27" i="5"/>
  <c r="AY28" i="5"/>
  <c r="AY29" i="5"/>
  <c r="AY30" i="5"/>
  <c r="AY31" i="5"/>
  <c r="AY32" i="5"/>
  <c r="AY33" i="5"/>
  <c r="AY34" i="5"/>
  <c r="AY35" i="5"/>
  <c r="AY36" i="5"/>
  <c r="AY37" i="5"/>
  <c r="AY38" i="5"/>
  <c r="AY39" i="5"/>
  <c r="AY40" i="5"/>
  <c r="AY41" i="5"/>
  <c r="AY42" i="5"/>
  <c r="AY43" i="5"/>
  <c r="AY44" i="5"/>
  <c r="AY45" i="5"/>
  <c r="AY46" i="5"/>
  <c r="AY47" i="5"/>
  <c r="AY48" i="5"/>
  <c r="AY49" i="5"/>
  <c r="AY50" i="5"/>
  <c r="AY51" i="5"/>
  <c r="AY52" i="5"/>
  <c r="AY53" i="5"/>
  <c r="AY54" i="5"/>
  <c r="AY55" i="5"/>
  <c r="AY56" i="5"/>
  <c r="AY57" i="5"/>
  <c r="AY58" i="5"/>
  <c r="AY59" i="5"/>
  <c r="AY60" i="5"/>
  <c r="AY61" i="5"/>
  <c r="AY62" i="5"/>
  <c r="AY63" i="5"/>
  <c r="AY64" i="5"/>
  <c r="AY65" i="5"/>
  <c r="AY66" i="5"/>
  <c r="AY67" i="5"/>
  <c r="AY68" i="5"/>
  <c r="AY69" i="5"/>
  <c r="AY70" i="5"/>
  <c r="AY71" i="5"/>
  <c r="AY72" i="5"/>
  <c r="AY73" i="5"/>
  <c r="AY74" i="5"/>
  <c r="AY75" i="5"/>
  <c r="AY76" i="5"/>
  <c r="AY77" i="5"/>
  <c r="AY78" i="5"/>
  <c r="AY79" i="5"/>
  <c r="AY80" i="5"/>
  <c r="AY81" i="5"/>
  <c r="AY82" i="5"/>
  <c r="AY83" i="5"/>
  <c r="AY84" i="5"/>
  <c r="AY85" i="5"/>
  <c r="AY86" i="5"/>
  <c r="AY87" i="5"/>
  <c r="AY88" i="5"/>
  <c r="AY89" i="5"/>
  <c r="AY90" i="5"/>
  <c r="AY91" i="5"/>
  <c r="AY92" i="5"/>
  <c r="AY93" i="5"/>
  <c r="AY94" i="5"/>
  <c r="AY95" i="5"/>
  <c r="AY96" i="5"/>
  <c r="AY97" i="5"/>
  <c r="AY98" i="5"/>
  <c r="AY99" i="5"/>
  <c r="AY100" i="5"/>
  <c r="AY101" i="5"/>
  <c r="AY102" i="5"/>
  <c r="AY103" i="5"/>
  <c r="AY104" i="5"/>
  <c r="AY105" i="5"/>
  <c r="AY106" i="5"/>
  <c r="AY107" i="5"/>
  <c r="AY108" i="5"/>
  <c r="AY109" i="5"/>
  <c r="AY110" i="5"/>
  <c r="AY111" i="5"/>
  <c r="AY112" i="5"/>
  <c r="AY113" i="5"/>
  <c r="AY114" i="5"/>
  <c r="AY115" i="5"/>
  <c r="AY116" i="5"/>
  <c r="AY117" i="5"/>
  <c r="AY118" i="5"/>
  <c r="AY119" i="5"/>
  <c r="AY120" i="5"/>
  <c r="AY121" i="5"/>
  <c r="AY122" i="5"/>
  <c r="AY123" i="5"/>
  <c r="AY124" i="5"/>
  <c r="AY125" i="5"/>
  <c r="AY126" i="5"/>
  <c r="AY127" i="5"/>
  <c r="AY128" i="5"/>
  <c r="AY129" i="5"/>
  <c r="AY130" i="5"/>
  <c r="AY131" i="5"/>
  <c r="AY132" i="5"/>
  <c r="AY133" i="5"/>
  <c r="AY134" i="5"/>
  <c r="AY135" i="5"/>
  <c r="AY136" i="5"/>
  <c r="AY137" i="5"/>
  <c r="AY138" i="5"/>
  <c r="AY139" i="5"/>
  <c r="AY140" i="5"/>
  <c r="AY141" i="5"/>
  <c r="AY142" i="5"/>
  <c r="AY143" i="5"/>
  <c r="AY144" i="5"/>
  <c r="AY145" i="5"/>
  <c r="AY146" i="5"/>
  <c r="AY147" i="5"/>
  <c r="AY148" i="5"/>
  <c r="AY149" i="5"/>
  <c r="AY150" i="5"/>
  <c r="AY151" i="5"/>
  <c r="AY152" i="5"/>
  <c r="AY153" i="5"/>
  <c r="AY154" i="5"/>
  <c r="AY155" i="5"/>
  <c r="AY156" i="5"/>
  <c r="AY157" i="5"/>
  <c r="AY158" i="5"/>
  <c r="AY159" i="5"/>
  <c r="AY160" i="5"/>
  <c r="AY161" i="5"/>
  <c r="AY162" i="5"/>
  <c r="AY163" i="5"/>
  <c r="AY164" i="5"/>
  <c r="AY165" i="5"/>
  <c r="AY166" i="5"/>
  <c r="AY167" i="5"/>
  <c r="AY168" i="5"/>
  <c r="AY169" i="5"/>
  <c r="AY170" i="5"/>
  <c r="AY171" i="5"/>
  <c r="AY172" i="5"/>
  <c r="AY173" i="5"/>
  <c r="AY174" i="5"/>
  <c r="AY175" i="5"/>
  <c r="AY176" i="5"/>
  <c r="AY177" i="5"/>
  <c r="AY178" i="5"/>
  <c r="AY179" i="5"/>
  <c r="AY180" i="5"/>
  <c r="AY181" i="5"/>
  <c r="AY182" i="5"/>
  <c r="AY183" i="5"/>
  <c r="AY184" i="5"/>
  <c r="AY185" i="5"/>
  <c r="AY186" i="5"/>
  <c r="AY187" i="5"/>
  <c r="AY188" i="5"/>
  <c r="AY189" i="5"/>
  <c r="AY190" i="5"/>
  <c r="AY191" i="5"/>
  <c r="AY192" i="5"/>
  <c r="AY193" i="5"/>
  <c r="AY194" i="5"/>
  <c r="AY195" i="5"/>
  <c r="AY196" i="5"/>
  <c r="AY197" i="5"/>
  <c r="AY198" i="5"/>
  <c r="AY199" i="5"/>
  <c r="AY200" i="5"/>
  <c r="AY201" i="5"/>
  <c r="AY202" i="5"/>
  <c r="AY203" i="5"/>
  <c r="AY204" i="5"/>
  <c r="AY205" i="5"/>
  <c r="AY206" i="5"/>
  <c r="AY207" i="5"/>
  <c r="AY208" i="5"/>
  <c r="AY209" i="5"/>
  <c r="AY210" i="5"/>
  <c r="AY211" i="5"/>
  <c r="AY212" i="5"/>
  <c r="AY213" i="5"/>
  <c r="AY214" i="5"/>
  <c r="AY215" i="5"/>
  <c r="AY216" i="5"/>
  <c r="AY217" i="5"/>
  <c r="AY218" i="5"/>
  <c r="AY219" i="5"/>
  <c r="AY220" i="5"/>
  <c r="AY221" i="5"/>
  <c r="AY222" i="5"/>
  <c r="AY223" i="5"/>
  <c r="AY224" i="5"/>
  <c r="AY225" i="5"/>
  <c r="AY226" i="5"/>
  <c r="AY227" i="5"/>
  <c r="AY228" i="5"/>
  <c r="AY229" i="5"/>
  <c r="AY230" i="5"/>
  <c r="AY231" i="5"/>
  <c r="AY232" i="5"/>
  <c r="AY233" i="5"/>
  <c r="AY234" i="5"/>
  <c r="AY235" i="5"/>
  <c r="AY236" i="5"/>
  <c r="AY237" i="5"/>
  <c r="AY238" i="5"/>
  <c r="AY239" i="5"/>
  <c r="AY240" i="5"/>
  <c r="AY241" i="5"/>
  <c r="AY242" i="5"/>
  <c r="AY243" i="5"/>
  <c r="AY244" i="5"/>
  <c r="AY245" i="5"/>
  <c r="AY246" i="5"/>
  <c r="AY247" i="5"/>
  <c r="AY248" i="5"/>
  <c r="AY249" i="5"/>
  <c r="AY250" i="5"/>
  <c r="AY251" i="5"/>
  <c r="AY252" i="5"/>
  <c r="AY253" i="5"/>
  <c r="AY254" i="5"/>
  <c r="AY255" i="5"/>
  <c r="AY256" i="5"/>
  <c r="AY257" i="5"/>
  <c r="AY258" i="5"/>
  <c r="AY259" i="5"/>
  <c r="AY260" i="5"/>
  <c r="AY261" i="5"/>
  <c r="AY262" i="5"/>
  <c r="AY263" i="5"/>
  <c r="AY264" i="5"/>
  <c r="AY265" i="5"/>
  <c r="AY266" i="5"/>
  <c r="AY267" i="5"/>
  <c r="AY268" i="5"/>
  <c r="AY269" i="5"/>
  <c r="AY270" i="5"/>
  <c r="AY271" i="5"/>
  <c r="AY272" i="5"/>
  <c r="AY273" i="5"/>
  <c r="AY274" i="5"/>
  <c r="AY275" i="5"/>
  <c r="AY276" i="5"/>
  <c r="AY277" i="5"/>
  <c r="AY278" i="5"/>
  <c r="AY279" i="5"/>
  <c r="AY280" i="5"/>
  <c r="AY281" i="5"/>
  <c r="AY282" i="5"/>
  <c r="AY283" i="5"/>
  <c r="AY284" i="5"/>
  <c r="AY285" i="5"/>
  <c r="AY286" i="5"/>
  <c r="AY287" i="5"/>
  <c r="AY288" i="5"/>
  <c r="AY289" i="5"/>
  <c r="AY290" i="5"/>
  <c r="AY291" i="5"/>
  <c r="AY292" i="5"/>
  <c r="AY293" i="5"/>
  <c r="AY294" i="5"/>
  <c r="AY295" i="5"/>
  <c r="AY296" i="5"/>
  <c r="AY297" i="5"/>
  <c r="AY298" i="5"/>
  <c r="AY299" i="5"/>
  <c r="AY300" i="5"/>
  <c r="AY301" i="5"/>
  <c r="AY302" i="5"/>
  <c r="AY303" i="5"/>
  <c r="AY304" i="5"/>
  <c r="AY305" i="5"/>
  <c r="AY306" i="5"/>
  <c r="AY307" i="5"/>
  <c r="AY308" i="5"/>
  <c r="AY309" i="5"/>
  <c r="AY310" i="5"/>
  <c r="AY311" i="5"/>
  <c r="AY312" i="5"/>
  <c r="AY313" i="5"/>
  <c r="AY314" i="5"/>
  <c r="AY315" i="5"/>
  <c r="AY316" i="5"/>
  <c r="AY317" i="5"/>
  <c r="AY318" i="5"/>
  <c r="AY319" i="5"/>
  <c r="AY320" i="5"/>
  <c r="AY321" i="5"/>
  <c r="AY322" i="5"/>
  <c r="AY323" i="5"/>
  <c r="AY324" i="5"/>
  <c r="AY325" i="5"/>
  <c r="AY326" i="5"/>
  <c r="AY327" i="5"/>
  <c r="AY328" i="5"/>
  <c r="AY329" i="5"/>
  <c r="AY330" i="5"/>
  <c r="AY331" i="5"/>
  <c r="AY332" i="5"/>
  <c r="AY333" i="5"/>
  <c r="AY334" i="5"/>
  <c r="AY335" i="5"/>
  <c r="AY336" i="5"/>
  <c r="AY337" i="5"/>
  <c r="AY338" i="5"/>
  <c r="AY339" i="5"/>
  <c r="AY340" i="5"/>
  <c r="AY341" i="5"/>
  <c r="AY342" i="5"/>
  <c r="AY343" i="5"/>
  <c r="AY344" i="5"/>
  <c r="AY345" i="5"/>
  <c r="AY346" i="5"/>
  <c r="AY347" i="5"/>
  <c r="AY348" i="5"/>
  <c r="AY349" i="5"/>
  <c r="AY350" i="5"/>
  <c r="AY351" i="5"/>
  <c r="AY352" i="5"/>
  <c r="AY353" i="5"/>
  <c r="AY354" i="5"/>
  <c r="AY355" i="5"/>
  <c r="AY356" i="5"/>
  <c r="AY357" i="5"/>
  <c r="AY358" i="5"/>
  <c r="AY359" i="5"/>
  <c r="AY360" i="5"/>
  <c r="AY361" i="5"/>
  <c r="AY362" i="5"/>
  <c r="AY363" i="5"/>
  <c r="AY364" i="5"/>
  <c r="AY365" i="5"/>
  <c r="AY366" i="5"/>
  <c r="AY367" i="5"/>
  <c r="AY368" i="5"/>
  <c r="AY369" i="5"/>
  <c r="AY370" i="5"/>
  <c r="AY371" i="5"/>
  <c r="AY372" i="5"/>
  <c r="AY373" i="5"/>
  <c r="AY374" i="5"/>
  <c r="AY375" i="5"/>
  <c r="AY376" i="5"/>
  <c r="AY377" i="5"/>
  <c r="AY378" i="5"/>
  <c r="AY379" i="5"/>
  <c r="AY380" i="5"/>
  <c r="AY381" i="5"/>
  <c r="AY382" i="5"/>
  <c r="AY383" i="5"/>
  <c r="AY384" i="5"/>
  <c r="AY385" i="5"/>
  <c r="AY386" i="5"/>
  <c r="AY387" i="5"/>
  <c r="AY388" i="5"/>
  <c r="AY389" i="5"/>
  <c r="AY390" i="5"/>
  <c r="AY391" i="5"/>
  <c r="AY392" i="5"/>
  <c r="AY393" i="5"/>
  <c r="AY394" i="5"/>
  <c r="AY395" i="5"/>
  <c r="AY396" i="5"/>
  <c r="AY397" i="5"/>
  <c r="AY398" i="5"/>
  <c r="AY399" i="5"/>
  <c r="AY400" i="5"/>
  <c r="AY401" i="5"/>
  <c r="AY402" i="5"/>
  <c r="AY403" i="5"/>
  <c r="AY404" i="5"/>
  <c r="AY405" i="5"/>
  <c r="AY406" i="5"/>
  <c r="AY407" i="5"/>
  <c r="AY408" i="5"/>
  <c r="AY409" i="5"/>
  <c r="AY410" i="5"/>
  <c r="AY411" i="5"/>
  <c r="AY412" i="5"/>
  <c r="AY413" i="5"/>
  <c r="AY414" i="5"/>
  <c r="AY415" i="5"/>
  <c r="AY416" i="5"/>
  <c r="AY417" i="5"/>
  <c r="AY418" i="5"/>
  <c r="AY419" i="5"/>
  <c r="AY420" i="5"/>
  <c r="AY421" i="5"/>
  <c r="AY422" i="5"/>
  <c r="AY423" i="5"/>
  <c r="AY424" i="5"/>
  <c r="AY425" i="5"/>
  <c r="AY426" i="5"/>
  <c r="AY427" i="5"/>
  <c r="AY428" i="5"/>
  <c r="AY429" i="5"/>
  <c r="AY430" i="5"/>
  <c r="AY431" i="5"/>
  <c r="AY432" i="5"/>
  <c r="AY433" i="5"/>
  <c r="AY434" i="5"/>
  <c r="AY435" i="5"/>
  <c r="AY436" i="5"/>
  <c r="AY437" i="5"/>
  <c r="AY438" i="5"/>
  <c r="AY439" i="5"/>
  <c r="AY440" i="5"/>
  <c r="AY441" i="5"/>
  <c r="AY442" i="5"/>
  <c r="AY443" i="5"/>
  <c r="AY444" i="5"/>
  <c r="AY445" i="5"/>
  <c r="AY446" i="5"/>
  <c r="AY447" i="5"/>
  <c r="AY448" i="5"/>
  <c r="AY449" i="5"/>
  <c r="AY450" i="5"/>
  <c r="AY451" i="5"/>
  <c r="AY452" i="5"/>
  <c r="AY453" i="5"/>
  <c r="AY454" i="5"/>
  <c r="AY455" i="5"/>
  <c r="AY456" i="5"/>
  <c r="AY457" i="5"/>
  <c r="AY458" i="5"/>
  <c r="AY459" i="5"/>
  <c r="AY460" i="5"/>
  <c r="AY461" i="5"/>
  <c r="AY462" i="5"/>
  <c r="AY463" i="5"/>
  <c r="AY464" i="5"/>
  <c r="AY465" i="5"/>
  <c r="AY466" i="5"/>
  <c r="AY467" i="5"/>
  <c r="AY468" i="5"/>
  <c r="AY469" i="5"/>
  <c r="AY470" i="5"/>
  <c r="AY471" i="5"/>
  <c r="AY472" i="5"/>
  <c r="AY473" i="5"/>
  <c r="AY474" i="5"/>
  <c r="AY475" i="5"/>
  <c r="AY476" i="5"/>
  <c r="AY477" i="5"/>
  <c r="AY478" i="5"/>
  <c r="AY479" i="5"/>
  <c r="AY480" i="5"/>
  <c r="AY481" i="5"/>
  <c r="AY482" i="5"/>
  <c r="AY483" i="5"/>
  <c r="AY484" i="5"/>
  <c r="AY485" i="5"/>
  <c r="AY486" i="5"/>
  <c r="AY487" i="5"/>
  <c r="AY488" i="5"/>
  <c r="AY489" i="5"/>
  <c r="AY490" i="5"/>
  <c r="AY491" i="5"/>
  <c r="AY492" i="5"/>
  <c r="AY493" i="5"/>
  <c r="AY494" i="5"/>
  <c r="AY495" i="5"/>
  <c r="AY496" i="5"/>
  <c r="AY497" i="5"/>
  <c r="AY498" i="5"/>
  <c r="AY499" i="5"/>
  <c r="AY500" i="5"/>
  <c r="AY501" i="5"/>
  <c r="AY502" i="5"/>
  <c r="AY503" i="5"/>
  <c r="AY504" i="5"/>
  <c r="AY505" i="5"/>
  <c r="AY506" i="5"/>
  <c r="AY507" i="5"/>
  <c r="AY508" i="5"/>
  <c r="AY509" i="5"/>
  <c r="AY510" i="5"/>
  <c r="AY511" i="5"/>
  <c r="AY512" i="5"/>
  <c r="AY513" i="5"/>
  <c r="AY514" i="5"/>
  <c r="AY515" i="5"/>
  <c r="AY516" i="5"/>
  <c r="AY517" i="5"/>
  <c r="AY518" i="5"/>
  <c r="AY519" i="5"/>
  <c r="AY520" i="5"/>
  <c r="AY521" i="5"/>
  <c r="AY522" i="5"/>
  <c r="AY523" i="5"/>
  <c r="AY524" i="5"/>
  <c r="AY525" i="5"/>
  <c r="AY526" i="5"/>
  <c r="AY527" i="5"/>
  <c r="AY528" i="5"/>
  <c r="AY529" i="5"/>
  <c r="AY530" i="5"/>
  <c r="AY531" i="5"/>
  <c r="AY532" i="5"/>
  <c r="AY533" i="5"/>
  <c r="AY534" i="5"/>
  <c r="AY535" i="5"/>
  <c r="AY536" i="5"/>
  <c r="AY537" i="5"/>
  <c r="AY538" i="5"/>
  <c r="AY539" i="5"/>
  <c r="AY540" i="5"/>
  <c r="AY541" i="5"/>
  <c r="AY542" i="5"/>
  <c r="AY543" i="5"/>
  <c r="AY544" i="5"/>
  <c r="AY545" i="5"/>
  <c r="AY546" i="5"/>
  <c r="AY547" i="5"/>
  <c r="AY548" i="5"/>
  <c r="AY549" i="5"/>
  <c r="AY550" i="5"/>
  <c r="AY551" i="5"/>
  <c r="AY552" i="5"/>
  <c r="AY553" i="5"/>
  <c r="AY554" i="5"/>
  <c r="AY555" i="5"/>
  <c r="AY556" i="5"/>
  <c r="AY557" i="5"/>
  <c r="AY558" i="5"/>
  <c r="AY559" i="5"/>
  <c r="AY560" i="5"/>
  <c r="AY561" i="5"/>
  <c r="AY562" i="5"/>
  <c r="AY563" i="5"/>
  <c r="AY564" i="5"/>
  <c r="AY565" i="5"/>
  <c r="AY566" i="5"/>
  <c r="AY567" i="5"/>
  <c r="AY568" i="5"/>
  <c r="AY569" i="5"/>
  <c r="AY570" i="5"/>
  <c r="AY571" i="5"/>
  <c r="AY572" i="5"/>
  <c r="AY573" i="5"/>
  <c r="AY574" i="5"/>
  <c r="AY575" i="5"/>
  <c r="AY576" i="5"/>
  <c r="AY577" i="5"/>
  <c r="AY578" i="5"/>
  <c r="AY579" i="5"/>
  <c r="AY580" i="5"/>
  <c r="AY581" i="5"/>
  <c r="AY582" i="5"/>
  <c r="AY583" i="5"/>
  <c r="AY584" i="5"/>
  <c r="AY585" i="5"/>
  <c r="AY586" i="5"/>
  <c r="AY587" i="5"/>
  <c r="AY588" i="5"/>
  <c r="AY589" i="5"/>
  <c r="AY590" i="5"/>
  <c r="AY591" i="5"/>
  <c r="AY592" i="5"/>
  <c r="AY593" i="5"/>
  <c r="AY594" i="5"/>
  <c r="AY595" i="5"/>
  <c r="AY596" i="5"/>
  <c r="AY597" i="5"/>
  <c r="AY598" i="5"/>
  <c r="AY599" i="5"/>
  <c r="AY600" i="5"/>
  <c r="AY601" i="5"/>
  <c r="AY602" i="5"/>
  <c r="AY603" i="5"/>
  <c r="AY604" i="5"/>
  <c r="AY605" i="5"/>
  <c r="AY606" i="5"/>
  <c r="AY607" i="5"/>
  <c r="AY608" i="5"/>
  <c r="AY609" i="5"/>
  <c r="AY610" i="5"/>
  <c r="AY611" i="5"/>
  <c r="AY612" i="5"/>
  <c r="AY613" i="5"/>
  <c r="AY614" i="5"/>
  <c r="AY615" i="5"/>
  <c r="AY616" i="5"/>
  <c r="AY617" i="5"/>
  <c r="AY618" i="5"/>
  <c r="AY619" i="5"/>
  <c r="AY620" i="5"/>
  <c r="AY621" i="5"/>
  <c r="AY622" i="5"/>
  <c r="AY623" i="5"/>
  <c r="AY624" i="5"/>
  <c r="AY625" i="5"/>
  <c r="AY626" i="5"/>
  <c r="AY627" i="5"/>
  <c r="AY628" i="5"/>
  <c r="AY629" i="5"/>
  <c r="AY630" i="5"/>
  <c r="AY631" i="5"/>
  <c r="AY632" i="5"/>
  <c r="AY633" i="5"/>
  <c r="AY634" i="5"/>
  <c r="AY635" i="5"/>
  <c r="AY636" i="5"/>
  <c r="AY637" i="5"/>
  <c r="AY638" i="5"/>
  <c r="AY639" i="5"/>
  <c r="AY640" i="5"/>
  <c r="AY641" i="5"/>
  <c r="AY642" i="5"/>
  <c r="AY643" i="5"/>
  <c r="AY644" i="5"/>
  <c r="AY645" i="5"/>
  <c r="AY646" i="5"/>
  <c r="AY647" i="5"/>
  <c r="AY648" i="5"/>
  <c r="AY649" i="5"/>
  <c r="AY650" i="5"/>
  <c r="AY651" i="5"/>
  <c r="AY652" i="5"/>
  <c r="AY653" i="5"/>
  <c r="AY654" i="5"/>
  <c r="AY655" i="5"/>
  <c r="AY656" i="5"/>
  <c r="AY657" i="5"/>
  <c r="AY658" i="5"/>
  <c r="AY659" i="5"/>
  <c r="AY660" i="5"/>
  <c r="AY661" i="5"/>
  <c r="AY662" i="5"/>
  <c r="AY663" i="5"/>
  <c r="AY664" i="5"/>
  <c r="AY665" i="5"/>
  <c r="AY666" i="5"/>
  <c r="AY667" i="5"/>
  <c r="AY668" i="5"/>
  <c r="AY669" i="5"/>
  <c r="AY670" i="5"/>
  <c r="AY671" i="5"/>
  <c r="AY672" i="5"/>
  <c r="AY673" i="5"/>
  <c r="AY674" i="5"/>
  <c r="AY675" i="5"/>
  <c r="AY676" i="5"/>
  <c r="AY677" i="5"/>
  <c r="AY678" i="5"/>
  <c r="AY679" i="5"/>
  <c r="AY680" i="5"/>
  <c r="AY681" i="5"/>
  <c r="AY682" i="5"/>
  <c r="AY683" i="5"/>
  <c r="AY684" i="5"/>
  <c r="AY685" i="5"/>
  <c r="AY686" i="5"/>
  <c r="AY687" i="5"/>
  <c r="AY688" i="5"/>
  <c r="AY689" i="5"/>
  <c r="AY690" i="5"/>
  <c r="AY691" i="5"/>
  <c r="AY692" i="5"/>
  <c r="AY693" i="5"/>
  <c r="AY694" i="5"/>
  <c r="AY695" i="5"/>
  <c r="AY696" i="5"/>
  <c r="AY697" i="5"/>
  <c r="AY698" i="5"/>
  <c r="AY699" i="5"/>
  <c r="AY700" i="5"/>
  <c r="AY701" i="5"/>
  <c r="AY702" i="5"/>
  <c r="AY703" i="5"/>
  <c r="AY704" i="5"/>
  <c r="AY705" i="5"/>
  <c r="AY706" i="5"/>
  <c r="AY707" i="5"/>
  <c r="AY708" i="5"/>
  <c r="AY709" i="5"/>
  <c r="AY710" i="5"/>
  <c r="AY711" i="5"/>
  <c r="AY712" i="5"/>
  <c r="AY713" i="5"/>
  <c r="AY714" i="5"/>
  <c r="AY715" i="5"/>
  <c r="AY716" i="5"/>
  <c r="AY717" i="5"/>
  <c r="AY718" i="5"/>
  <c r="AY719" i="5"/>
  <c r="AY720" i="5"/>
  <c r="AY721" i="5"/>
  <c r="AY722" i="5"/>
  <c r="AY723" i="5"/>
  <c r="AY724" i="5"/>
  <c r="AY725" i="5"/>
  <c r="AY726" i="5"/>
  <c r="AY727" i="5"/>
  <c r="AY728" i="5"/>
  <c r="AY729" i="5"/>
  <c r="AY730" i="5"/>
  <c r="AY731" i="5"/>
  <c r="AY732" i="5"/>
  <c r="AY733" i="5"/>
  <c r="AY734" i="5"/>
  <c r="AY735" i="5"/>
  <c r="AY736" i="5"/>
  <c r="AY737" i="5"/>
  <c r="AY738" i="5"/>
  <c r="AY739" i="5"/>
  <c r="AY740" i="5"/>
  <c r="AY741" i="5"/>
  <c r="AY742" i="5"/>
  <c r="AY743" i="5"/>
  <c r="AY744" i="5"/>
  <c r="AY745" i="5"/>
  <c r="AY746" i="5"/>
  <c r="AY747" i="5"/>
  <c r="AY748" i="5"/>
  <c r="AY749" i="5"/>
  <c r="AY750" i="5"/>
  <c r="AY751" i="5"/>
  <c r="AY752" i="5"/>
  <c r="AY753" i="5"/>
  <c r="AY754" i="5"/>
  <c r="AY755" i="5"/>
  <c r="AY756" i="5"/>
  <c r="AY757" i="5"/>
  <c r="AY758" i="5"/>
  <c r="AY759" i="5"/>
  <c r="AY760" i="5"/>
  <c r="AY761" i="5"/>
  <c r="AY762" i="5"/>
  <c r="AY763" i="5"/>
  <c r="AY764" i="5"/>
  <c r="AY765" i="5"/>
  <c r="AY766" i="5"/>
  <c r="AY767" i="5"/>
  <c r="AY768" i="5"/>
  <c r="AY769" i="5"/>
  <c r="AY770" i="5"/>
  <c r="AY771" i="5"/>
  <c r="AY772" i="5"/>
  <c r="AY773" i="5"/>
  <c r="AY774" i="5"/>
  <c r="AY775" i="5"/>
  <c r="AY776" i="5"/>
  <c r="AY777" i="5"/>
  <c r="AY778" i="5"/>
  <c r="AY779" i="5"/>
  <c r="AY780" i="5"/>
  <c r="AY781" i="5"/>
  <c r="AY782" i="5"/>
  <c r="AY783" i="5"/>
  <c r="AY784" i="5"/>
  <c r="AY785" i="5"/>
  <c r="AY786" i="5"/>
  <c r="AY787" i="5"/>
  <c r="AY788" i="5"/>
  <c r="AY789" i="5"/>
  <c r="AY790" i="5"/>
  <c r="AY791" i="5"/>
  <c r="AY792" i="5"/>
  <c r="AY793" i="5"/>
  <c r="AY794" i="5"/>
  <c r="AY795" i="5"/>
  <c r="AY796" i="5"/>
  <c r="AY797" i="5"/>
  <c r="AY798" i="5"/>
  <c r="AY799" i="5"/>
  <c r="AY800" i="5"/>
  <c r="AY801" i="5"/>
  <c r="AY802" i="5"/>
  <c r="AY803" i="5"/>
  <c r="AY804" i="5"/>
  <c r="AY805" i="5"/>
  <c r="AY806" i="5"/>
  <c r="AY807" i="5"/>
  <c r="AY808" i="5"/>
  <c r="AY809" i="5"/>
  <c r="AY810" i="5"/>
  <c r="AY811" i="5"/>
  <c r="AY812" i="5"/>
  <c r="AY813" i="5"/>
  <c r="AY814" i="5"/>
  <c r="AY815" i="5"/>
  <c r="AY816" i="5"/>
  <c r="AY817" i="5"/>
  <c r="AY818" i="5"/>
  <c r="AY819" i="5"/>
  <c r="AY820" i="5"/>
  <c r="AY821" i="5"/>
  <c r="AY822" i="5"/>
  <c r="AY823" i="5"/>
  <c r="AY824" i="5"/>
  <c r="AY825" i="5"/>
  <c r="AY826" i="5"/>
  <c r="AY827" i="5"/>
  <c r="AY828" i="5"/>
  <c r="AY829" i="5"/>
  <c r="AY830" i="5"/>
  <c r="AY831" i="5"/>
  <c r="AY832" i="5"/>
  <c r="AY833" i="5"/>
  <c r="AY834" i="5"/>
  <c r="AY835" i="5"/>
  <c r="AY836" i="5"/>
  <c r="AY837" i="5"/>
  <c r="AY838" i="5"/>
  <c r="AY839" i="5"/>
  <c r="AY840" i="5"/>
  <c r="AY841" i="5"/>
  <c r="AY842" i="5"/>
  <c r="AY843" i="5"/>
  <c r="AY844" i="5"/>
  <c r="AY845" i="5"/>
  <c r="AY846" i="5"/>
  <c r="AY847" i="5"/>
  <c r="AY848" i="5"/>
  <c r="AY849" i="5"/>
  <c r="AY850" i="5"/>
  <c r="AY851" i="5"/>
  <c r="AY852" i="5"/>
  <c r="AY853" i="5"/>
  <c r="AY854" i="5"/>
  <c r="AY855" i="5"/>
  <c r="AY856" i="5"/>
  <c r="AY857" i="5"/>
  <c r="AY858" i="5"/>
  <c r="AY859" i="5"/>
  <c r="AY860" i="5"/>
  <c r="AY861" i="5"/>
  <c r="AY862" i="5"/>
  <c r="AY863" i="5"/>
  <c r="AY864" i="5"/>
  <c r="AY865" i="5"/>
  <c r="AY866" i="5"/>
  <c r="AY867" i="5"/>
  <c r="AY868" i="5"/>
  <c r="AY869" i="5"/>
  <c r="AY870" i="5"/>
  <c r="AY871" i="5"/>
  <c r="AY872" i="5"/>
  <c r="AY873" i="5"/>
  <c r="AY874" i="5"/>
  <c r="AY875" i="5"/>
  <c r="AY876" i="5"/>
  <c r="AY877" i="5"/>
  <c r="AY878" i="5"/>
  <c r="AY879" i="5"/>
  <c r="AY880" i="5"/>
  <c r="AY881" i="5"/>
  <c r="AY882" i="5"/>
  <c r="AY883" i="5"/>
  <c r="AY884" i="5"/>
  <c r="AY885" i="5"/>
  <c r="AY886" i="5"/>
  <c r="AY887" i="5"/>
  <c r="AY888" i="5"/>
  <c r="AY889" i="5"/>
  <c r="AY890" i="5"/>
  <c r="AY891" i="5"/>
  <c r="AY892" i="5"/>
  <c r="AY893" i="5"/>
  <c r="AY894" i="5"/>
  <c r="AY895" i="5"/>
  <c r="AY896" i="5"/>
  <c r="AY897" i="5"/>
  <c r="AY898" i="5"/>
  <c r="AY899" i="5"/>
  <c r="AY900" i="5"/>
  <c r="AY901" i="5"/>
  <c r="AY902" i="5"/>
  <c r="AY903" i="5"/>
  <c r="AY904" i="5"/>
  <c r="AY905" i="5"/>
  <c r="AY906" i="5"/>
  <c r="AY907" i="5"/>
  <c r="AY908" i="5"/>
  <c r="AY909" i="5"/>
  <c r="AY910" i="5"/>
  <c r="AY911" i="5"/>
  <c r="AY912" i="5"/>
  <c r="AY913" i="5"/>
  <c r="AY914" i="5"/>
  <c r="AY915" i="5"/>
  <c r="AY916" i="5"/>
  <c r="AY917" i="5"/>
  <c r="AY918" i="5"/>
  <c r="AY919" i="5"/>
  <c r="AY920" i="5"/>
  <c r="AY921" i="5"/>
  <c r="AY922" i="5"/>
  <c r="AY923" i="5"/>
  <c r="AY924" i="5"/>
  <c r="AY925" i="5"/>
  <c r="AY926" i="5"/>
  <c r="AY927" i="5"/>
  <c r="AY928" i="5"/>
  <c r="AY929" i="5"/>
  <c r="AY930" i="5"/>
  <c r="AY931" i="5"/>
  <c r="AY932" i="5"/>
  <c r="AY933" i="5"/>
  <c r="AY934" i="5"/>
  <c r="AY935" i="5"/>
  <c r="AY936" i="5"/>
  <c r="AY937" i="5"/>
  <c r="AY938" i="5"/>
  <c r="AY939" i="5"/>
  <c r="AY940" i="5"/>
  <c r="AY941" i="5"/>
  <c r="AY942" i="5"/>
  <c r="AY943" i="5"/>
  <c r="AY944" i="5"/>
  <c r="AY945" i="5"/>
  <c r="AY946" i="5"/>
  <c r="AY947" i="5"/>
  <c r="AY948" i="5"/>
  <c r="AY949" i="5"/>
  <c r="AY950" i="5"/>
  <c r="AY951" i="5"/>
  <c r="AY952" i="5"/>
  <c r="AY953" i="5"/>
  <c r="AY954" i="5"/>
  <c r="AY955" i="5"/>
  <c r="AY956" i="5"/>
  <c r="AY957" i="5"/>
  <c r="AY958" i="5"/>
  <c r="AY959" i="5"/>
  <c r="AY960" i="5"/>
  <c r="AY961" i="5"/>
  <c r="AY962" i="5"/>
  <c r="AY963" i="5"/>
  <c r="AY964" i="5"/>
  <c r="AY965" i="5"/>
  <c r="AY966" i="5"/>
  <c r="AY967" i="5"/>
  <c r="AY968" i="5"/>
  <c r="AY969" i="5"/>
  <c r="AY970" i="5"/>
  <c r="AY971" i="5"/>
  <c r="AY972" i="5"/>
  <c r="AY973" i="5"/>
  <c r="AY974" i="5"/>
  <c r="AY975" i="5"/>
  <c r="AY976" i="5"/>
  <c r="AY977" i="5"/>
  <c r="AY978" i="5"/>
  <c r="AY979" i="5"/>
  <c r="AY980" i="5"/>
  <c r="AY981" i="5"/>
  <c r="AY982" i="5"/>
  <c r="AY983" i="5"/>
  <c r="AY984" i="5"/>
  <c r="AY985" i="5"/>
  <c r="AY986" i="5"/>
  <c r="AY987" i="5"/>
  <c r="AY988" i="5"/>
  <c r="AY989" i="5"/>
  <c r="AY990" i="5"/>
  <c r="AY991" i="5"/>
  <c r="AY992" i="5"/>
  <c r="AY993" i="5"/>
  <c r="AY994" i="5"/>
  <c r="AY995" i="5"/>
  <c r="AY996" i="5"/>
  <c r="AY997" i="5"/>
  <c r="AY998" i="5"/>
  <c r="AY999" i="5"/>
  <c r="AY1000" i="5"/>
  <c r="AY1001" i="5"/>
  <c r="AY1002" i="5"/>
  <c r="AY1003" i="5"/>
  <c r="AY1004" i="5"/>
  <c r="AY1005" i="5"/>
  <c r="AY1006" i="5"/>
  <c r="AY1007" i="5"/>
  <c r="AY1008" i="5"/>
  <c r="AY1009" i="5"/>
  <c r="AY1010" i="5"/>
  <c r="AY1011" i="5"/>
  <c r="AY1012" i="5"/>
  <c r="AY1013" i="5"/>
  <c r="AY1014" i="5"/>
  <c r="AY1015" i="5"/>
  <c r="AY1016" i="5"/>
  <c r="AY1017" i="5"/>
  <c r="AY1018" i="5"/>
  <c r="AY1019" i="5"/>
  <c r="AY1020" i="5"/>
  <c r="AY1021" i="5"/>
  <c r="AY1022" i="5"/>
  <c r="AY1023" i="5"/>
  <c r="AY1024" i="5"/>
  <c r="AY1025" i="5"/>
  <c r="AY1026" i="5"/>
  <c r="AY1027" i="5"/>
  <c r="AY1028" i="5"/>
  <c r="AY1029" i="5"/>
  <c r="AY1030" i="5"/>
  <c r="AY1031" i="5"/>
  <c r="AY1032" i="5"/>
  <c r="AY1033" i="5"/>
  <c r="AY1034" i="5"/>
  <c r="AY1035" i="5"/>
  <c r="AY1036" i="5"/>
  <c r="AY1037" i="5"/>
  <c r="AY1038" i="5"/>
  <c r="AY1039" i="5"/>
  <c r="AY1040" i="5"/>
  <c r="AY1041" i="5"/>
  <c r="AY1042" i="5"/>
  <c r="AY1043" i="5"/>
  <c r="AY1044" i="5"/>
  <c r="AY1045" i="5"/>
  <c r="AY1046" i="5"/>
  <c r="AY1047" i="5"/>
  <c r="AY1048" i="5"/>
  <c r="AY1049" i="5"/>
  <c r="AY1050" i="5"/>
  <c r="AY1051" i="5"/>
  <c r="AY1052" i="5"/>
  <c r="AY1053" i="5"/>
  <c r="AY1054" i="5"/>
  <c r="AY1055" i="5"/>
  <c r="AY1056" i="5"/>
  <c r="AY1057" i="5"/>
  <c r="AY1058" i="5"/>
  <c r="AY1059" i="5"/>
  <c r="AY1060" i="5"/>
  <c r="AY1061" i="5"/>
  <c r="AY1062" i="5"/>
  <c r="AY1063" i="5"/>
  <c r="AY1064" i="5"/>
  <c r="AY1065" i="5"/>
  <c r="AY1066" i="5"/>
  <c r="AY1067" i="5"/>
  <c r="AY1068" i="5"/>
  <c r="AY1069" i="5"/>
  <c r="AY1070" i="5"/>
  <c r="AY1071" i="5"/>
  <c r="AY1072" i="5"/>
  <c r="AY1073" i="5"/>
  <c r="AY1074" i="5"/>
  <c r="AY1075" i="5"/>
  <c r="AY1076" i="5"/>
  <c r="AY1077" i="5"/>
  <c r="AY1078" i="5"/>
  <c r="AY1079" i="5"/>
  <c r="AY1080" i="5"/>
  <c r="AY1081" i="5"/>
  <c r="AY1082" i="5"/>
  <c r="AY1083" i="5"/>
  <c r="AY1084" i="5"/>
  <c r="AY1085" i="5"/>
  <c r="AY1086" i="5"/>
  <c r="AY1087" i="5"/>
  <c r="AY1088" i="5"/>
  <c r="AY1089" i="5"/>
  <c r="AY1090" i="5"/>
  <c r="AY1091" i="5"/>
  <c r="AY1092" i="5"/>
  <c r="AY1093" i="5"/>
  <c r="AY1094" i="5"/>
  <c r="AY1095" i="5"/>
  <c r="AY1096" i="5"/>
  <c r="AY1097" i="5"/>
  <c r="AY1098" i="5"/>
  <c r="AY1099" i="5"/>
  <c r="AY1100" i="5"/>
  <c r="AY1101" i="5"/>
  <c r="AY1102" i="5"/>
  <c r="AY1103" i="5"/>
  <c r="AY1104" i="5"/>
  <c r="AY1105" i="5"/>
  <c r="AY1106" i="5"/>
  <c r="AY1107" i="5"/>
  <c r="AY1108" i="5"/>
  <c r="AY1109" i="5"/>
  <c r="AY1110" i="5"/>
  <c r="AY1111" i="5"/>
  <c r="AY1112" i="5"/>
  <c r="AY1113" i="5"/>
  <c r="AY1114" i="5"/>
  <c r="AY1115" i="5"/>
  <c r="AY1116" i="5"/>
  <c r="AY1117" i="5"/>
  <c r="AY1118" i="5"/>
  <c r="AY1119" i="5"/>
  <c r="AY1120" i="5"/>
  <c r="AY1121" i="5"/>
  <c r="AY1122" i="5"/>
  <c r="AY1123" i="5"/>
  <c r="AY1124" i="5"/>
  <c r="AY1125" i="5"/>
  <c r="AY1126" i="5"/>
  <c r="AY1127" i="5"/>
  <c r="AY1128" i="5"/>
  <c r="AY1129" i="5"/>
  <c r="AY1130" i="5"/>
  <c r="AY1131" i="5"/>
  <c r="AY1132" i="5"/>
  <c r="AY1133" i="5"/>
  <c r="AY1134" i="5"/>
  <c r="AY1135" i="5"/>
  <c r="AY1136" i="5"/>
  <c r="AY1137" i="5"/>
  <c r="AY1138" i="5"/>
  <c r="AY1139" i="5"/>
  <c r="AY1140" i="5"/>
  <c r="AY1141" i="5"/>
  <c r="AY1142" i="5"/>
  <c r="AY1143" i="5"/>
  <c r="AY1144" i="5"/>
  <c r="AY1145" i="5"/>
  <c r="AY1146" i="5"/>
  <c r="AY1147" i="5"/>
  <c r="AY1148" i="5"/>
  <c r="AY1149" i="5"/>
  <c r="AY1150" i="5"/>
  <c r="AY1151" i="5"/>
  <c r="AY1152" i="5"/>
  <c r="AY4" i="5"/>
  <c r="AX4" i="5"/>
  <c r="AX5" i="5"/>
  <c r="AX6" i="5"/>
  <c r="AX7" i="5"/>
  <c r="AX8" i="5"/>
  <c r="AX9" i="5"/>
  <c r="AX10" i="5"/>
  <c r="AX11" i="5"/>
  <c r="AX12" i="5"/>
  <c r="AX13" i="5"/>
  <c r="AX14" i="5"/>
  <c r="AX15" i="5"/>
  <c r="AX16" i="5"/>
  <c r="AX17" i="5"/>
  <c r="AX18" i="5"/>
  <c r="AX19" i="5"/>
  <c r="AX20" i="5"/>
  <c r="AX21" i="5"/>
  <c r="AX22" i="5"/>
  <c r="AX23" i="5"/>
  <c r="AX24" i="5"/>
  <c r="AX25" i="5"/>
  <c r="AX26" i="5"/>
  <c r="AX27" i="5"/>
  <c r="AX28" i="5"/>
  <c r="AX29" i="5"/>
  <c r="AX30" i="5"/>
  <c r="AX31" i="5"/>
  <c r="AX32" i="5"/>
  <c r="AX33" i="5"/>
  <c r="AX34" i="5"/>
  <c r="AX35" i="5"/>
  <c r="AX36" i="5"/>
  <c r="AX37" i="5"/>
  <c r="AX38" i="5"/>
  <c r="AX39" i="5"/>
  <c r="AX40" i="5"/>
  <c r="AX41" i="5"/>
  <c r="AX42" i="5"/>
  <c r="AX43" i="5"/>
  <c r="AX44" i="5"/>
  <c r="AX45" i="5"/>
  <c r="AX46" i="5"/>
  <c r="AX47" i="5"/>
  <c r="AX48" i="5"/>
  <c r="AX49" i="5"/>
  <c r="AX50" i="5"/>
  <c r="AX51" i="5"/>
  <c r="AX52" i="5"/>
  <c r="AX53" i="5"/>
  <c r="AX54" i="5"/>
  <c r="AX55" i="5"/>
  <c r="AX56" i="5"/>
  <c r="AX57" i="5"/>
  <c r="AX58" i="5"/>
  <c r="AX59" i="5"/>
  <c r="AX60" i="5"/>
  <c r="AX61" i="5"/>
  <c r="AX62" i="5"/>
  <c r="AX63" i="5"/>
  <c r="AX64" i="5"/>
  <c r="AX65" i="5"/>
  <c r="AX66" i="5"/>
  <c r="AX67" i="5"/>
  <c r="AX68" i="5"/>
  <c r="AX69" i="5"/>
  <c r="AX70" i="5"/>
  <c r="AX71" i="5"/>
  <c r="AX72" i="5"/>
  <c r="AX73" i="5"/>
  <c r="AX74" i="5"/>
  <c r="AX75" i="5"/>
  <c r="AX76" i="5"/>
  <c r="AX77" i="5"/>
  <c r="AX78" i="5"/>
  <c r="AX79" i="5"/>
  <c r="AX80" i="5"/>
  <c r="AX81" i="5"/>
  <c r="AX82" i="5"/>
  <c r="AX83" i="5"/>
  <c r="AX84" i="5"/>
  <c r="AX85" i="5"/>
  <c r="AX86" i="5"/>
  <c r="AX87" i="5"/>
  <c r="AX88" i="5"/>
  <c r="AX89" i="5"/>
  <c r="AX90" i="5"/>
  <c r="AX91" i="5"/>
  <c r="AX92" i="5"/>
  <c r="AX93" i="5"/>
  <c r="AX94" i="5"/>
  <c r="AX95" i="5"/>
  <c r="AX96" i="5"/>
  <c r="AX97" i="5"/>
  <c r="AX98" i="5"/>
  <c r="AX99" i="5"/>
  <c r="AX100" i="5"/>
  <c r="AX101" i="5"/>
  <c r="AX102" i="5"/>
  <c r="AX103" i="5"/>
  <c r="AX104" i="5"/>
  <c r="AX105" i="5"/>
  <c r="AX106" i="5"/>
  <c r="AX107" i="5"/>
  <c r="AX108" i="5"/>
  <c r="AX109" i="5"/>
  <c r="AX110" i="5"/>
  <c r="AX111" i="5"/>
  <c r="AX112" i="5"/>
  <c r="AX113" i="5"/>
  <c r="AX114" i="5"/>
  <c r="AX115" i="5"/>
  <c r="AX116" i="5"/>
  <c r="AX117" i="5"/>
  <c r="AX118" i="5"/>
  <c r="AX119" i="5"/>
  <c r="AX120" i="5"/>
  <c r="AX121" i="5"/>
  <c r="AX122" i="5"/>
  <c r="AX123" i="5"/>
  <c r="AX124" i="5"/>
  <c r="AX125" i="5"/>
  <c r="AX126" i="5"/>
  <c r="AX127" i="5"/>
  <c r="AX128" i="5"/>
  <c r="AX129" i="5"/>
  <c r="AX130" i="5"/>
  <c r="AX131" i="5"/>
  <c r="AX132" i="5"/>
  <c r="AX133" i="5"/>
  <c r="AX134" i="5"/>
  <c r="AX135" i="5"/>
  <c r="AX136" i="5"/>
  <c r="AX137" i="5"/>
  <c r="AX138" i="5"/>
  <c r="AX139" i="5"/>
  <c r="AX140" i="5"/>
  <c r="AX141" i="5"/>
  <c r="AX142" i="5"/>
  <c r="AN1127" i="5"/>
  <c r="AN1126" i="5"/>
  <c r="AN1125" i="5"/>
  <c r="AN1124" i="5"/>
  <c r="AN1123" i="5"/>
  <c r="AN1122" i="5"/>
  <c r="AN1121" i="5"/>
  <c r="AN1120" i="5"/>
  <c r="AN1119" i="5"/>
  <c r="AN1118" i="5"/>
  <c r="AN1117" i="5"/>
  <c r="AN1116" i="5"/>
  <c r="AN1115" i="5"/>
  <c r="AN1114" i="5"/>
  <c r="AN1113" i="5"/>
  <c r="AN1112" i="5"/>
  <c r="AN1111" i="5"/>
  <c r="AN1110" i="5"/>
  <c r="AN1109" i="5"/>
  <c r="AN1108" i="5"/>
  <c r="AN1107" i="5"/>
  <c r="AN1106" i="5"/>
  <c r="AN1105" i="5"/>
  <c r="AN1104" i="5"/>
  <c r="AN1103" i="5"/>
  <c r="AN1102" i="5"/>
  <c r="AN1101" i="5"/>
  <c r="AN1100" i="5"/>
  <c r="AN1099" i="5"/>
  <c r="AN1098" i="5"/>
  <c r="AN1097" i="5"/>
  <c r="AN1096" i="5"/>
  <c r="AN1095" i="5"/>
  <c r="AN1094" i="5"/>
  <c r="AN1093" i="5"/>
  <c r="AN1092" i="5"/>
  <c r="AN1091" i="5"/>
  <c r="AN1090" i="5"/>
  <c r="AN1089" i="5"/>
  <c r="AN1088" i="5"/>
  <c r="AN1087" i="5"/>
  <c r="AN1086" i="5"/>
  <c r="AN1085" i="5"/>
  <c r="AN954" i="5"/>
  <c r="AN952" i="5"/>
  <c r="AN951" i="5"/>
  <c r="AN950" i="5"/>
  <c r="AN949" i="5"/>
  <c r="AN948" i="5"/>
  <c r="AN947" i="5"/>
  <c r="AN946" i="5"/>
  <c r="AN945" i="5"/>
  <c r="AN944" i="5"/>
  <c r="AN943" i="5"/>
  <c r="AN942" i="5"/>
  <c r="AN941" i="5"/>
  <c r="AN940" i="5"/>
  <c r="AN939" i="5"/>
  <c r="AN938" i="5"/>
  <c r="AN937" i="5"/>
  <c r="AN936" i="5"/>
  <c r="AN935" i="5"/>
  <c r="AN934" i="5"/>
  <c r="AN933" i="5"/>
  <c r="AN932" i="5"/>
  <c r="AN931" i="5"/>
  <c r="AN930" i="5"/>
  <c r="AN929" i="5"/>
  <c r="AN928" i="5"/>
  <c r="AN927" i="5"/>
  <c r="AN925" i="5"/>
  <c r="AN924" i="5"/>
  <c r="AN923" i="5"/>
  <c r="AN922" i="5"/>
  <c r="AN921" i="5"/>
  <c r="AN920" i="5"/>
  <c r="AN919" i="5"/>
  <c r="AN918" i="5"/>
  <c r="AN917" i="5"/>
  <c r="AN916" i="5"/>
  <c r="AN915" i="5"/>
  <c r="AN914" i="5"/>
  <c r="AN913" i="5"/>
  <c r="AN912" i="5"/>
  <c r="AN911" i="5"/>
  <c r="AN910" i="5"/>
  <c r="AN909" i="5"/>
  <c r="AN908" i="5"/>
  <c r="AN907" i="5"/>
  <c r="AN906" i="5"/>
  <c r="AN905" i="5"/>
  <c r="AN904" i="5"/>
  <c r="AN903" i="5"/>
  <c r="AN902" i="5"/>
  <c r="AN901" i="5"/>
  <c r="AN900" i="5"/>
  <c r="AN899" i="5"/>
  <c r="AN898" i="5"/>
  <c r="AN897" i="5"/>
  <c r="AN896" i="5"/>
  <c r="AN895" i="5"/>
  <c r="AN894" i="5"/>
  <c r="AN893" i="5"/>
  <c r="AN892" i="5"/>
  <c r="AN891" i="5"/>
  <c r="AN890" i="5"/>
  <c r="AN889" i="5"/>
  <c r="AN888" i="5"/>
  <c r="AN887" i="5"/>
  <c r="AN886" i="5"/>
  <c r="AN885" i="5"/>
  <c r="AN884" i="5"/>
  <c r="AN883" i="5"/>
  <c r="AN882" i="5"/>
  <c r="AN881" i="5"/>
  <c r="AN880" i="5"/>
  <c r="AN879" i="5"/>
  <c r="AN878" i="5"/>
  <c r="AN877" i="5"/>
  <c r="AN876" i="5"/>
  <c r="AN875" i="5"/>
  <c r="AN874" i="5"/>
  <c r="AN873" i="5"/>
  <c r="AN872" i="5"/>
  <c r="AN871" i="5"/>
  <c r="AN870" i="5"/>
  <c r="AN869" i="5"/>
  <c r="AN868" i="5"/>
  <c r="AN867" i="5"/>
  <c r="AN866" i="5"/>
  <c r="AN865" i="5"/>
  <c r="AN864" i="5"/>
  <c r="AN863" i="5"/>
  <c r="AN862" i="5"/>
  <c r="AN861" i="5"/>
  <c r="AN860" i="5"/>
  <c r="AN859" i="5"/>
  <c r="AN858" i="5"/>
  <c r="AN857" i="5"/>
  <c r="AN856" i="5"/>
  <c r="AN855" i="5"/>
  <c r="AN854" i="5"/>
  <c r="AN853" i="5"/>
  <c r="AN852" i="5"/>
  <c r="AN851" i="5"/>
  <c r="AN850" i="5"/>
  <c r="AN849" i="5"/>
  <c r="AN848" i="5"/>
  <c r="AN847" i="5"/>
  <c r="AN846" i="5"/>
  <c r="AN845" i="5"/>
  <c r="AN844" i="5"/>
  <c r="AN843" i="5"/>
  <c r="AN842" i="5"/>
  <c r="AN841" i="5"/>
  <c r="AN840" i="5"/>
  <c r="AN839" i="5"/>
  <c r="AN838" i="5"/>
  <c r="AN837" i="5"/>
  <c r="AN836" i="5"/>
  <c r="AN835" i="5"/>
  <c r="AN834" i="5"/>
  <c r="AN833" i="5"/>
  <c r="AN832" i="5"/>
  <c r="AN831" i="5"/>
  <c r="AN830" i="5"/>
  <c r="AN829" i="5"/>
  <c r="AN828" i="5"/>
  <c r="AN827" i="5"/>
  <c r="AN826" i="5"/>
  <c r="AN825" i="5"/>
  <c r="AN824" i="5"/>
  <c r="AN823" i="5"/>
  <c r="AN822" i="5"/>
  <c r="AN821" i="5"/>
  <c r="AN820" i="5"/>
  <c r="AN819" i="5"/>
  <c r="AN818" i="5"/>
  <c r="AN817" i="5"/>
  <c r="AN816" i="5"/>
  <c r="AN815" i="5"/>
  <c r="AN814" i="5"/>
  <c r="AN813" i="5"/>
  <c r="AN812" i="5"/>
  <c r="AN811" i="5"/>
  <c r="AN810" i="5"/>
  <c r="AN809" i="5"/>
  <c r="AN808" i="5"/>
  <c r="AN807" i="5"/>
  <c r="AN806" i="5"/>
  <c r="AN805" i="5"/>
  <c r="AN804" i="5"/>
  <c r="AN803" i="5"/>
  <c r="AN802" i="5"/>
  <c r="AN801" i="5"/>
  <c r="AN800" i="5"/>
  <c r="AN799" i="5"/>
  <c r="AN798" i="5"/>
  <c r="AN797" i="5"/>
  <c r="AN796" i="5"/>
  <c r="AN795" i="5"/>
  <c r="AN794" i="5"/>
  <c r="AN793" i="5"/>
  <c r="AN792" i="5"/>
  <c r="AN791" i="5"/>
  <c r="AN790" i="5"/>
  <c r="AN789" i="5"/>
  <c r="AN788" i="5"/>
  <c r="AN787" i="5"/>
  <c r="AN786" i="5"/>
  <c r="AN784" i="5"/>
  <c r="AN783" i="5"/>
  <c r="AN782" i="5"/>
  <c r="AN781" i="5"/>
  <c r="AN780" i="5"/>
  <c r="AN779" i="5"/>
  <c r="AN778" i="5"/>
  <c r="AN777" i="5"/>
  <c r="AN726" i="5"/>
  <c r="AN725" i="5"/>
  <c r="AN724" i="5"/>
  <c r="AN723" i="5"/>
  <c r="AN722" i="5"/>
  <c r="AN721" i="5"/>
  <c r="AN720" i="5"/>
  <c r="AN719" i="5"/>
  <c r="AN718" i="5"/>
  <c r="AN717" i="5"/>
  <c r="AN716" i="5"/>
  <c r="AN715" i="5"/>
  <c r="AN714" i="5"/>
  <c r="AN713" i="5"/>
  <c r="AN712" i="5"/>
  <c r="AN711" i="5"/>
  <c r="AN710" i="5"/>
  <c r="AN709" i="5"/>
  <c r="AN708" i="5"/>
  <c r="AN707" i="5"/>
  <c r="AN706" i="5"/>
  <c r="AN705" i="5"/>
  <c r="AN704" i="5"/>
  <c r="AN703" i="5"/>
  <c r="AN702" i="5"/>
  <c r="AN701" i="5"/>
  <c r="AN697" i="5"/>
  <c r="AN696" i="5"/>
  <c r="AN695" i="5"/>
  <c r="AN694" i="5"/>
  <c r="AN693" i="5"/>
  <c r="AN692" i="5"/>
  <c r="AN691" i="5"/>
  <c r="AN690" i="5"/>
  <c r="AN689" i="5"/>
  <c r="AN688" i="5"/>
  <c r="AN687" i="5"/>
  <c r="AN686" i="5"/>
  <c r="AN685" i="5"/>
  <c r="AN684" i="5"/>
  <c r="AN682" i="5"/>
  <c r="AN681" i="5"/>
  <c r="AN680" i="5"/>
  <c r="AN674" i="5"/>
  <c r="AN672" i="5"/>
  <c r="AN671" i="5"/>
  <c r="AN670" i="5"/>
  <c r="AN669" i="5"/>
  <c r="AN668" i="5"/>
  <c r="AN667" i="5"/>
  <c r="AN666" i="5"/>
  <c r="AN665" i="5"/>
  <c r="AN664" i="5"/>
  <c r="AN663" i="5"/>
  <c r="AN662" i="5"/>
  <c r="AN661" i="5"/>
  <c r="AN660" i="5"/>
  <c r="AN659" i="5"/>
  <c r="AN658" i="5"/>
  <c r="AN657" i="5"/>
  <c r="AN655" i="5"/>
  <c r="AN654" i="5"/>
  <c r="AN653" i="5"/>
  <c r="AN652" i="5"/>
  <c r="AN651" i="5"/>
  <c r="AN649" i="5"/>
  <c r="AN648" i="5"/>
  <c r="AN647" i="5"/>
  <c r="AN646" i="5"/>
  <c r="AN645" i="5"/>
  <c r="AN644" i="5"/>
  <c r="AN643" i="5"/>
  <c r="AN642" i="5"/>
  <c r="AN641" i="5"/>
  <c r="AN640" i="5"/>
  <c r="AN632" i="5"/>
  <c r="AN598" i="5"/>
  <c r="AN597" i="5"/>
  <c r="AN596" i="5"/>
  <c r="AN595" i="5"/>
  <c r="AN594" i="5"/>
  <c r="AN593" i="5"/>
  <c r="AN592" i="5"/>
  <c r="AN591" i="5"/>
  <c r="AN586" i="5"/>
  <c r="AN580" i="5"/>
  <c r="AN579" i="5"/>
  <c r="AN578" i="5"/>
  <c r="AN577" i="5"/>
  <c r="AN567" i="5"/>
  <c r="AN566" i="5"/>
  <c r="AN565" i="5"/>
  <c r="AN554" i="5"/>
  <c r="AN552" i="5"/>
  <c r="AN549" i="5"/>
  <c r="AN548" i="5"/>
  <c r="AN547" i="5"/>
  <c r="AN546" i="5"/>
  <c r="AN545" i="5"/>
  <c r="AN544" i="5"/>
  <c r="AN543" i="5"/>
  <c r="AN542" i="5"/>
  <c r="AN541" i="5"/>
  <c r="AN540" i="5"/>
  <c r="AN539" i="5"/>
  <c r="AN538" i="5"/>
  <c r="AN537" i="5"/>
  <c r="AN536" i="5"/>
  <c r="AN535" i="5"/>
  <c r="AN534" i="5"/>
  <c r="AN533" i="5"/>
  <c r="AN532" i="5"/>
  <c r="AN531" i="5"/>
  <c r="AN530" i="5"/>
  <c r="AN529" i="5"/>
  <c r="AN528" i="5"/>
  <c r="AN527" i="5"/>
  <c r="AN526" i="5"/>
  <c r="AN525" i="5"/>
  <c r="AN524" i="5"/>
  <c r="AN523" i="5"/>
  <c r="AN522" i="5"/>
  <c r="AN521" i="5"/>
  <c r="AN520" i="5"/>
  <c r="AN519" i="5"/>
  <c r="AN518" i="5"/>
  <c r="AN517" i="5"/>
  <c r="AN516" i="5"/>
  <c r="AN515" i="5"/>
  <c r="AN514" i="5"/>
  <c r="AN513" i="5"/>
  <c r="AN512" i="5"/>
  <c r="AN511" i="5"/>
  <c r="AN510" i="5"/>
  <c r="AN509" i="5"/>
  <c r="AN508" i="5"/>
  <c r="AN507" i="5"/>
  <c r="AN506" i="5"/>
  <c r="AN505" i="5"/>
  <c r="AN504" i="5"/>
  <c r="AN503" i="5"/>
  <c r="AN502" i="5"/>
  <c r="AN501" i="5"/>
  <c r="AN500" i="5"/>
  <c r="AN499" i="5"/>
  <c r="AN498" i="5"/>
  <c r="AN497" i="5"/>
  <c r="AN496" i="5"/>
  <c r="AN495" i="5"/>
  <c r="AN494" i="5"/>
  <c r="AN483" i="5"/>
  <c r="AN454" i="5"/>
  <c r="AN453" i="5"/>
  <c r="AN452" i="5"/>
  <c r="AN451" i="5"/>
  <c r="AN409" i="5"/>
  <c r="AN408" i="5"/>
  <c r="AN407" i="5"/>
  <c r="AN406" i="5"/>
  <c r="AN405" i="5"/>
  <c r="AN404" i="5"/>
  <c r="AN403" i="5"/>
  <c r="AN402" i="5"/>
  <c r="AN401" i="5"/>
  <c r="AN398" i="5"/>
  <c r="AN397" i="5"/>
  <c r="AN396" i="5"/>
  <c r="AN395" i="5"/>
  <c r="AN394" i="5"/>
  <c r="AN393" i="5"/>
  <c r="AN392" i="5"/>
  <c r="AN391" i="5"/>
  <c r="AN390" i="5"/>
  <c r="AN389" i="5"/>
  <c r="AN388" i="5"/>
  <c r="AN387" i="5"/>
  <c r="AN386" i="5"/>
  <c r="AN385" i="5"/>
  <c r="AN383" i="5"/>
  <c r="AN382" i="5"/>
  <c r="AN381" i="5"/>
  <c r="AN380" i="5"/>
  <c r="AN379" i="5"/>
  <c r="AN378" i="5"/>
  <c r="AN373" i="5"/>
  <c r="AN372" i="5"/>
  <c r="AN371" i="5"/>
  <c r="AN370" i="5"/>
  <c r="AN369" i="5"/>
  <c r="AN367" i="5"/>
  <c r="AN365" i="5"/>
  <c r="AN364" i="5"/>
  <c r="AN363" i="5"/>
  <c r="AN362" i="5"/>
  <c r="AN360" i="5"/>
  <c r="AN359" i="5"/>
  <c r="AN358" i="5"/>
  <c r="AN357" i="5"/>
  <c r="AN356" i="5"/>
  <c r="AN355" i="5"/>
  <c r="AN354" i="5"/>
  <c r="AN353" i="5"/>
  <c r="AN352" i="5"/>
  <c r="AN351" i="5"/>
  <c r="AN350" i="5"/>
  <c r="AN349" i="5"/>
  <c r="AN348" i="5"/>
  <c r="AN347" i="5"/>
  <c r="AN346" i="5"/>
  <c r="AN345" i="5"/>
  <c r="AN344" i="5"/>
  <c r="AN343" i="5"/>
  <c r="AN342" i="5"/>
  <c r="AN341" i="5"/>
  <c r="AN340" i="5"/>
  <c r="AN339" i="5"/>
  <c r="AN338" i="5"/>
  <c r="AN337" i="5"/>
  <c r="AN336" i="5"/>
  <c r="AN335" i="5"/>
  <c r="AN334" i="5"/>
  <c r="AN333" i="5"/>
  <c r="AN332" i="5"/>
  <c r="AN331" i="5"/>
  <c r="AN330" i="5"/>
  <c r="AN329" i="5"/>
  <c r="AN328" i="5"/>
  <c r="AN327" i="5"/>
  <c r="AN325" i="5"/>
  <c r="AN324" i="5"/>
  <c r="AN323" i="5"/>
  <c r="AN322" i="5"/>
  <c r="AN321" i="5"/>
  <c r="AN320" i="5"/>
  <c r="AN319" i="5"/>
  <c r="AN318" i="5"/>
  <c r="AN317" i="5"/>
  <c r="AN316" i="5"/>
  <c r="AN315" i="5"/>
  <c r="AN314" i="5"/>
  <c r="AN294" i="5"/>
  <c r="AN293" i="5"/>
  <c r="AN292" i="5"/>
  <c r="AN291" i="5"/>
  <c r="AN285" i="5"/>
  <c r="AN284" i="5"/>
  <c r="AN283" i="5"/>
  <c r="AN282" i="5"/>
  <c r="AN281" i="5"/>
  <c r="AN280" i="5"/>
  <c r="AN279" i="5"/>
  <c r="AN278" i="5"/>
  <c r="AN277" i="5"/>
  <c r="AN275" i="5"/>
  <c r="AN274" i="5"/>
  <c r="AN273" i="5"/>
  <c r="AN272" i="5"/>
  <c r="AN271" i="5"/>
  <c r="AN270" i="5"/>
  <c r="AN269" i="5"/>
  <c r="AN268" i="5"/>
  <c r="AN267" i="5"/>
  <c r="AN266" i="5"/>
  <c r="AN265" i="5"/>
  <c r="AN264" i="5"/>
  <c r="AN263" i="5"/>
  <c r="AN262" i="5"/>
  <c r="AN261" i="5"/>
  <c r="AN260" i="5"/>
  <c r="AN259" i="5"/>
  <c r="AN258" i="5"/>
  <c r="AN257" i="5"/>
  <c r="AN256" i="5"/>
  <c r="AN255" i="5"/>
  <c r="AN254" i="5"/>
  <c r="AN253" i="5"/>
  <c r="AN251" i="5"/>
  <c r="AN250" i="5"/>
  <c r="AN249" i="5"/>
  <c r="AN248" i="5"/>
  <c r="AN247" i="5"/>
  <c r="AN246" i="5"/>
  <c r="AN245" i="5"/>
  <c r="AN244" i="5"/>
  <c r="AN243" i="5"/>
  <c r="AN242" i="5"/>
  <c r="AN241" i="5"/>
  <c r="AN240" i="5"/>
  <c r="AN239" i="5"/>
  <c r="AN238" i="5"/>
  <c r="AN237" i="5"/>
  <c r="AN236" i="5"/>
  <c r="AN235" i="5"/>
  <c r="AN234" i="5"/>
  <c r="AN233" i="5"/>
  <c r="AN232" i="5"/>
  <c r="AN231" i="5"/>
  <c r="AN230" i="5"/>
  <c r="AN229" i="5"/>
  <c r="AN228" i="5"/>
  <c r="AN227" i="5"/>
  <c r="AN197" i="5"/>
  <c r="AN194" i="5"/>
  <c r="AN192" i="5"/>
  <c r="AN191" i="5"/>
  <c r="AN170" i="5"/>
  <c r="AN169" i="5"/>
  <c r="AN168" i="5"/>
  <c r="AN165" i="5"/>
  <c r="AN164" i="5"/>
  <c r="AN163" i="5"/>
  <c r="AN162" i="5"/>
  <c r="AN161" i="5"/>
  <c r="AN160" i="5"/>
  <c r="AN145" i="5"/>
  <c r="AN144" i="5"/>
  <c r="AN140" i="5"/>
  <c r="AN139" i="5"/>
  <c r="AN138" i="5"/>
  <c r="AN137" i="5"/>
  <c r="AN136" i="5"/>
  <c r="AN135" i="5"/>
  <c r="AN134" i="5"/>
  <c r="AN133" i="5"/>
  <c r="AN493" i="5"/>
  <c r="AT142" i="5"/>
  <c r="AT141" i="5"/>
  <c r="AT140" i="5"/>
  <c r="AT139" i="5"/>
  <c r="AT138" i="5"/>
  <c r="AT137" i="5"/>
  <c r="AT136" i="5"/>
  <c r="AT135" i="5"/>
  <c r="AT134" i="5"/>
  <c r="AT133" i="5"/>
  <c r="AT132" i="5"/>
  <c r="AT131" i="5"/>
  <c r="AT130" i="5"/>
  <c r="AT129" i="5"/>
  <c r="AT128" i="5"/>
  <c r="AT127" i="5"/>
  <c r="AT126" i="5"/>
  <c r="AT125" i="5"/>
  <c r="AT124" i="5"/>
  <c r="AT123" i="5"/>
  <c r="AT122" i="5"/>
  <c r="AT121" i="5"/>
  <c r="AT120" i="5"/>
  <c r="AT119" i="5"/>
  <c r="AT118" i="5"/>
  <c r="AT117" i="5"/>
  <c r="AT116" i="5"/>
  <c r="AT115" i="5"/>
  <c r="AT114" i="5"/>
  <c r="AT113" i="5"/>
  <c r="AT112" i="5"/>
  <c r="AT111" i="5"/>
  <c r="AT110" i="5"/>
  <c r="AT109" i="5"/>
  <c r="AT108" i="5"/>
  <c r="AT107" i="5"/>
  <c r="AT106" i="5"/>
  <c r="AT105" i="5"/>
  <c r="AT104" i="5"/>
  <c r="AT103" i="5"/>
  <c r="AT102" i="5"/>
  <c r="AT101" i="5"/>
  <c r="AT100" i="5"/>
  <c r="AT99" i="5"/>
  <c r="AT98" i="5"/>
  <c r="AT97" i="5"/>
  <c r="AT96" i="5"/>
  <c r="AT95" i="5"/>
  <c r="AT94" i="5"/>
  <c r="AT93" i="5"/>
  <c r="AT92" i="5"/>
  <c r="AT91" i="5"/>
  <c r="AT90" i="5"/>
  <c r="AT89" i="5"/>
  <c r="AT88" i="5"/>
  <c r="AT87" i="5"/>
  <c r="AT86" i="5"/>
  <c r="AT85" i="5"/>
  <c r="AT84" i="5"/>
  <c r="AT83" i="5"/>
  <c r="AT82" i="5"/>
  <c r="AT81" i="5"/>
  <c r="AT80" i="5"/>
  <c r="AT79" i="5"/>
  <c r="AT78" i="5"/>
  <c r="AT77" i="5"/>
  <c r="AT76" i="5"/>
  <c r="AT75" i="5"/>
  <c r="AT74" i="5"/>
  <c r="AT73" i="5"/>
  <c r="AT72" i="5"/>
  <c r="AT71" i="5"/>
  <c r="AT70" i="5"/>
  <c r="AT69" i="5"/>
  <c r="AT68" i="5"/>
  <c r="AT67" i="5"/>
  <c r="AT66" i="5"/>
  <c r="AT65" i="5"/>
  <c r="AT64" i="5"/>
  <c r="AT63" i="5"/>
  <c r="AT62" i="5"/>
  <c r="AT61" i="5"/>
  <c r="AT60" i="5"/>
  <c r="AT59" i="5"/>
  <c r="AT58" i="5"/>
  <c r="AT57" i="5"/>
  <c r="AT56" i="5"/>
  <c r="AT55" i="5"/>
  <c r="AT54" i="5"/>
  <c r="AT53" i="5"/>
  <c r="AT52" i="5"/>
  <c r="AT51" i="5"/>
  <c r="AT50" i="5"/>
  <c r="AT49" i="5"/>
  <c r="AT48" i="5"/>
  <c r="AT47" i="5"/>
  <c r="AT46" i="5"/>
  <c r="AT45" i="5"/>
  <c r="AT44" i="5"/>
  <c r="AT43" i="5"/>
  <c r="AT42" i="5"/>
  <c r="AT41" i="5"/>
  <c r="AT40" i="5"/>
  <c r="AT39" i="5"/>
  <c r="AT38" i="5"/>
  <c r="AT37" i="5"/>
  <c r="AT36" i="5"/>
  <c r="AT35" i="5"/>
  <c r="AT34" i="5"/>
  <c r="AT33" i="5"/>
  <c r="AT32" i="5"/>
  <c r="AT31" i="5"/>
  <c r="AT30" i="5"/>
  <c r="AT29" i="5"/>
  <c r="AT28" i="5"/>
  <c r="AT27" i="5"/>
  <c r="AT26" i="5"/>
  <c r="AT25" i="5"/>
  <c r="AT24" i="5"/>
  <c r="AT23" i="5"/>
  <c r="AT22" i="5"/>
  <c r="AT21" i="5"/>
  <c r="AT20" i="5"/>
  <c r="AT19" i="5"/>
  <c r="AT18" i="5"/>
  <c r="AT17" i="5"/>
  <c r="AT16" i="5"/>
  <c r="AT15" i="5"/>
  <c r="AT14" i="5"/>
  <c r="AT13" i="5"/>
  <c r="AT12" i="5"/>
  <c r="AT11" i="5"/>
  <c r="AT10" i="5"/>
  <c r="AT9" i="5"/>
  <c r="AT8" i="5"/>
  <c r="AT7" i="5"/>
  <c r="AT6" i="5"/>
  <c r="AT5" i="5"/>
  <c r="AT4" i="5"/>
  <c r="BE1152" i="5"/>
  <c r="BF1152" i="5" s="1"/>
  <c r="AT1152" i="5" s="1"/>
  <c r="BE1151" i="5"/>
  <c r="BF1151" i="5" s="1"/>
  <c r="AT1151" i="5" s="1"/>
  <c r="BE1150" i="5"/>
  <c r="BF1150" i="5" s="1"/>
  <c r="AT1150" i="5" s="1"/>
  <c r="BE1149" i="5"/>
  <c r="BF1149" i="5" s="1"/>
  <c r="AT1149" i="5" s="1"/>
  <c r="BE1148" i="5"/>
  <c r="BF1148" i="5" s="1"/>
  <c r="AT1148" i="5" s="1"/>
  <c r="BE1147" i="5"/>
  <c r="BF1147" i="5" s="1"/>
  <c r="AT1147" i="5" s="1"/>
  <c r="BE1146" i="5"/>
  <c r="BF1146" i="5" s="1"/>
  <c r="AT1146" i="5" s="1"/>
  <c r="BE1145" i="5"/>
  <c r="BF1145" i="5" s="1"/>
  <c r="AT1145" i="5" s="1"/>
  <c r="BE1144" i="5"/>
  <c r="BF1144" i="5" s="1"/>
  <c r="AT1144" i="5" s="1"/>
  <c r="BE1143" i="5"/>
  <c r="BF1143" i="5" s="1"/>
  <c r="AT1143" i="5" s="1"/>
  <c r="BE1142" i="5"/>
  <c r="BF1142" i="5" s="1"/>
  <c r="AT1142" i="5" s="1"/>
  <c r="BE1141" i="5"/>
  <c r="BF1141" i="5" s="1"/>
  <c r="AT1141" i="5" s="1"/>
  <c r="BE1140" i="5"/>
  <c r="BF1140" i="5" s="1"/>
  <c r="AT1140" i="5" s="1"/>
  <c r="BE1139" i="5"/>
  <c r="BF1139" i="5" s="1"/>
  <c r="AT1139" i="5" s="1"/>
  <c r="BE1138" i="5"/>
  <c r="BF1138" i="5" s="1"/>
  <c r="AT1138" i="5" s="1"/>
  <c r="BE1137" i="5"/>
  <c r="BF1137" i="5" s="1"/>
  <c r="AT1137" i="5" s="1"/>
  <c r="BE1136" i="5"/>
  <c r="BF1136" i="5" s="1"/>
  <c r="AT1136" i="5" s="1"/>
  <c r="BE1135" i="5"/>
  <c r="BF1135" i="5" s="1"/>
  <c r="AT1135" i="5" s="1"/>
  <c r="BE1134" i="5"/>
  <c r="BF1134" i="5" s="1"/>
  <c r="AT1134" i="5" s="1"/>
  <c r="BE1133" i="5"/>
  <c r="BF1133" i="5" s="1"/>
  <c r="AT1133" i="5" s="1"/>
  <c r="BE1132" i="5"/>
  <c r="BF1132" i="5" s="1"/>
  <c r="AT1132" i="5" s="1"/>
  <c r="BE1131" i="5"/>
  <c r="BF1131" i="5" s="1"/>
  <c r="AT1131" i="5" s="1"/>
  <c r="BE1130" i="5"/>
  <c r="BF1130" i="5" s="1"/>
  <c r="AT1130" i="5" s="1"/>
  <c r="BE1129" i="5"/>
  <c r="BF1129" i="5" s="1"/>
  <c r="AT1129" i="5" s="1"/>
  <c r="BE1127" i="5"/>
  <c r="BF1127" i="5" s="1"/>
  <c r="AT1127" i="5" s="1"/>
  <c r="BE1126" i="5"/>
  <c r="BF1126" i="5" s="1"/>
  <c r="AT1126" i="5" s="1"/>
  <c r="BE1125" i="5"/>
  <c r="BF1125" i="5" s="1"/>
  <c r="AT1125" i="5" s="1"/>
  <c r="BE1124" i="5"/>
  <c r="BF1124" i="5" s="1"/>
  <c r="AT1124" i="5" s="1"/>
  <c r="BE1123" i="5"/>
  <c r="BF1123" i="5" s="1"/>
  <c r="AT1123" i="5" s="1"/>
  <c r="BE1122" i="5"/>
  <c r="BF1122" i="5" s="1"/>
  <c r="AT1122" i="5" s="1"/>
  <c r="BE1121" i="5"/>
  <c r="BF1121" i="5" s="1"/>
  <c r="AT1121" i="5" s="1"/>
  <c r="BE1120" i="5"/>
  <c r="BE1119" i="5"/>
  <c r="BF1119" i="5" s="1"/>
  <c r="AT1119" i="5" s="1"/>
  <c r="BE1118" i="5"/>
  <c r="BE1117" i="5"/>
  <c r="BF1117" i="5" s="1"/>
  <c r="AT1117" i="5" s="1"/>
  <c r="BE1116" i="5"/>
  <c r="BF1116" i="5" s="1"/>
  <c r="AT1116" i="5" s="1"/>
  <c r="BE1115" i="5"/>
  <c r="BF1115" i="5" s="1"/>
  <c r="AT1115" i="5" s="1"/>
  <c r="BE1114" i="5"/>
  <c r="BF1114" i="5" s="1"/>
  <c r="AT1114" i="5" s="1"/>
  <c r="BE1113" i="5"/>
  <c r="BF1113" i="5" s="1"/>
  <c r="AT1113" i="5" s="1"/>
  <c r="BE1112" i="5"/>
  <c r="BF1112" i="5" s="1"/>
  <c r="AT1112" i="5" s="1"/>
  <c r="BE1111" i="5"/>
  <c r="BF1111" i="5" s="1"/>
  <c r="AT1111" i="5" s="1"/>
  <c r="BE1110" i="5"/>
  <c r="BF1110" i="5" s="1"/>
  <c r="AT1110" i="5" s="1"/>
  <c r="BE1109" i="5"/>
  <c r="BF1109" i="5" s="1"/>
  <c r="AT1109" i="5" s="1"/>
  <c r="BE1108" i="5"/>
  <c r="BF1108" i="5" s="1"/>
  <c r="AT1108" i="5" s="1"/>
  <c r="BE1107" i="5"/>
  <c r="BF1107" i="5" s="1"/>
  <c r="AT1107" i="5" s="1"/>
  <c r="BE1106" i="5"/>
  <c r="BF1106" i="5" s="1"/>
  <c r="AT1106" i="5" s="1"/>
  <c r="BE1105" i="5"/>
  <c r="BF1105" i="5" s="1"/>
  <c r="AT1105" i="5" s="1"/>
  <c r="BE1104" i="5"/>
  <c r="BF1104" i="5" s="1"/>
  <c r="AT1104" i="5" s="1"/>
  <c r="BE1103" i="5"/>
  <c r="BF1103" i="5" s="1"/>
  <c r="AT1103" i="5" s="1"/>
  <c r="BE1102" i="5"/>
  <c r="BF1102" i="5" s="1"/>
  <c r="AT1102" i="5" s="1"/>
  <c r="BE1101" i="5"/>
  <c r="BF1101" i="5" s="1"/>
  <c r="AT1101" i="5" s="1"/>
  <c r="BE1100" i="5"/>
  <c r="BF1100" i="5" s="1"/>
  <c r="AT1100" i="5" s="1"/>
  <c r="BE1099" i="5"/>
  <c r="BF1099" i="5" s="1"/>
  <c r="AT1099" i="5" s="1"/>
  <c r="BE1098" i="5"/>
  <c r="BF1098" i="5" s="1"/>
  <c r="AT1098" i="5" s="1"/>
  <c r="BE1097" i="5"/>
  <c r="BF1097" i="5" s="1"/>
  <c r="AT1097" i="5" s="1"/>
  <c r="BE1096" i="5"/>
  <c r="BF1096" i="5" s="1"/>
  <c r="AT1096" i="5" s="1"/>
  <c r="BE1095" i="5"/>
  <c r="BF1095" i="5" s="1"/>
  <c r="AT1095" i="5" s="1"/>
  <c r="BE1094" i="5"/>
  <c r="BF1094" i="5" s="1"/>
  <c r="AT1094" i="5" s="1"/>
  <c r="BE1093" i="5"/>
  <c r="BF1093" i="5" s="1"/>
  <c r="AT1093" i="5" s="1"/>
  <c r="BE1092" i="5"/>
  <c r="BF1092" i="5" s="1"/>
  <c r="AT1092" i="5" s="1"/>
  <c r="BE1091" i="5"/>
  <c r="BF1091" i="5" s="1"/>
  <c r="AT1091" i="5" s="1"/>
  <c r="BE1090" i="5"/>
  <c r="BF1090" i="5" s="1"/>
  <c r="AT1090" i="5" s="1"/>
  <c r="BE1089" i="5"/>
  <c r="BF1089" i="5" s="1"/>
  <c r="AT1089" i="5" s="1"/>
  <c r="BE1088" i="5"/>
  <c r="BF1088" i="5" s="1"/>
  <c r="AT1088" i="5" s="1"/>
  <c r="BE1087" i="5"/>
  <c r="BF1087" i="5" s="1"/>
  <c r="AT1087" i="5" s="1"/>
  <c r="BE1086" i="5"/>
  <c r="BF1086" i="5" s="1"/>
  <c r="AT1086" i="5" s="1"/>
  <c r="BE1085" i="5"/>
  <c r="BF1085" i="5" s="1"/>
  <c r="AT1085" i="5" s="1"/>
  <c r="BE1084" i="5"/>
  <c r="BF1084" i="5" s="1"/>
  <c r="AT1084" i="5" s="1"/>
  <c r="BE1083" i="5"/>
  <c r="BF1083" i="5" s="1"/>
  <c r="AT1083" i="5" s="1"/>
  <c r="BE1082" i="5"/>
  <c r="BF1082" i="5" s="1"/>
  <c r="AT1082" i="5" s="1"/>
  <c r="BE1081" i="5"/>
  <c r="BF1081" i="5" s="1"/>
  <c r="AT1081" i="5" s="1"/>
  <c r="BE1080" i="5"/>
  <c r="BF1080" i="5" s="1"/>
  <c r="AT1080" i="5" s="1"/>
  <c r="BE1079" i="5"/>
  <c r="BF1079" i="5" s="1"/>
  <c r="AT1079" i="5" s="1"/>
  <c r="BE1078" i="5"/>
  <c r="BF1078" i="5" s="1"/>
  <c r="AT1078" i="5" s="1"/>
  <c r="BE1077" i="5"/>
  <c r="BF1077" i="5" s="1"/>
  <c r="AT1077" i="5" s="1"/>
  <c r="BE1076" i="5"/>
  <c r="BF1076" i="5" s="1"/>
  <c r="AT1076" i="5" s="1"/>
  <c r="BE1075" i="5"/>
  <c r="BF1075" i="5" s="1"/>
  <c r="AT1075" i="5" s="1"/>
  <c r="BE1074" i="5"/>
  <c r="BF1074" i="5" s="1"/>
  <c r="AT1074" i="5" s="1"/>
  <c r="BE1073" i="5"/>
  <c r="BF1073" i="5" s="1"/>
  <c r="AT1073" i="5" s="1"/>
  <c r="BE1072" i="5"/>
  <c r="BF1072" i="5" s="1"/>
  <c r="AT1072" i="5" s="1"/>
  <c r="BE1071" i="5"/>
  <c r="BF1071" i="5" s="1"/>
  <c r="AT1071" i="5" s="1"/>
  <c r="BE1070" i="5"/>
  <c r="BF1070" i="5" s="1"/>
  <c r="AT1070" i="5" s="1"/>
  <c r="BE1069" i="5"/>
  <c r="BF1069" i="5" s="1"/>
  <c r="AT1069" i="5" s="1"/>
  <c r="BE1068" i="5"/>
  <c r="BF1068" i="5" s="1"/>
  <c r="AT1068" i="5" s="1"/>
  <c r="BE1067" i="5"/>
  <c r="BF1067" i="5" s="1"/>
  <c r="AT1067" i="5" s="1"/>
  <c r="BE1066" i="5"/>
  <c r="BF1066" i="5" s="1"/>
  <c r="AT1066" i="5" s="1"/>
  <c r="BE1065" i="5"/>
  <c r="BF1065" i="5" s="1"/>
  <c r="AT1065" i="5" s="1"/>
  <c r="BE1064" i="5"/>
  <c r="BF1064" i="5" s="1"/>
  <c r="AT1064" i="5" s="1"/>
  <c r="BE1063" i="5"/>
  <c r="BF1063" i="5" s="1"/>
  <c r="AT1063" i="5" s="1"/>
  <c r="BE1062" i="5"/>
  <c r="BF1062" i="5" s="1"/>
  <c r="AT1062" i="5" s="1"/>
  <c r="BE1061" i="5"/>
  <c r="BF1061" i="5" s="1"/>
  <c r="AT1061" i="5" s="1"/>
  <c r="BE1060" i="5"/>
  <c r="BF1060" i="5" s="1"/>
  <c r="AT1060" i="5" s="1"/>
  <c r="BE1059" i="5"/>
  <c r="BF1059" i="5" s="1"/>
  <c r="AT1059" i="5" s="1"/>
  <c r="BE1058" i="5"/>
  <c r="BF1058" i="5" s="1"/>
  <c r="AT1058" i="5" s="1"/>
  <c r="BE1057" i="5"/>
  <c r="BF1057" i="5" s="1"/>
  <c r="AT1057" i="5" s="1"/>
  <c r="BE1056" i="5"/>
  <c r="BF1056" i="5" s="1"/>
  <c r="AT1056" i="5" s="1"/>
  <c r="BE1055" i="5"/>
  <c r="BF1055" i="5" s="1"/>
  <c r="AT1055" i="5" s="1"/>
  <c r="BE1054" i="5"/>
  <c r="BF1054" i="5" s="1"/>
  <c r="AT1054" i="5" s="1"/>
  <c r="BE1053" i="5"/>
  <c r="BF1053" i="5" s="1"/>
  <c r="AT1053" i="5" s="1"/>
  <c r="BE1052" i="5"/>
  <c r="BF1052" i="5" s="1"/>
  <c r="AT1052" i="5" s="1"/>
  <c r="BE1051" i="5"/>
  <c r="BF1051" i="5" s="1"/>
  <c r="AT1051" i="5" s="1"/>
  <c r="BE1050" i="5"/>
  <c r="BF1050" i="5" s="1"/>
  <c r="AT1050" i="5" s="1"/>
  <c r="BE1049" i="5"/>
  <c r="BF1049" i="5" s="1"/>
  <c r="AT1049" i="5" s="1"/>
  <c r="BE1048" i="5"/>
  <c r="BF1048" i="5" s="1"/>
  <c r="AT1048" i="5" s="1"/>
  <c r="BE1047" i="5"/>
  <c r="BF1047" i="5" s="1"/>
  <c r="AT1047" i="5" s="1"/>
  <c r="BE1046" i="5"/>
  <c r="BF1046" i="5" s="1"/>
  <c r="AT1046" i="5" s="1"/>
  <c r="BE1045" i="5"/>
  <c r="BF1045" i="5" s="1"/>
  <c r="AT1045" i="5" s="1"/>
  <c r="BE1044" i="5"/>
  <c r="BF1044" i="5" s="1"/>
  <c r="AT1044" i="5" s="1"/>
  <c r="BE1043" i="5"/>
  <c r="BF1043" i="5" s="1"/>
  <c r="AT1043" i="5" s="1"/>
  <c r="BE1042" i="5"/>
  <c r="BF1042" i="5" s="1"/>
  <c r="AT1042" i="5" s="1"/>
  <c r="BE1041" i="5"/>
  <c r="BF1041" i="5" s="1"/>
  <c r="AT1041" i="5" s="1"/>
  <c r="BE1040" i="5"/>
  <c r="BF1040" i="5" s="1"/>
  <c r="AT1040" i="5" s="1"/>
  <c r="BE1039" i="5"/>
  <c r="BF1039" i="5" s="1"/>
  <c r="AT1039" i="5" s="1"/>
  <c r="BE1038" i="5"/>
  <c r="BF1038" i="5" s="1"/>
  <c r="AT1038" i="5" s="1"/>
  <c r="BE1037" i="5"/>
  <c r="BF1037" i="5" s="1"/>
  <c r="AT1037" i="5" s="1"/>
  <c r="BE1036" i="5"/>
  <c r="BF1036" i="5" s="1"/>
  <c r="AT1036" i="5" s="1"/>
  <c r="BE1035" i="5"/>
  <c r="BF1035" i="5" s="1"/>
  <c r="AT1035" i="5" s="1"/>
  <c r="BE1034" i="5"/>
  <c r="BF1034" i="5" s="1"/>
  <c r="AT1034" i="5" s="1"/>
  <c r="BE1033" i="5"/>
  <c r="BF1033" i="5" s="1"/>
  <c r="AT1033" i="5" s="1"/>
  <c r="BE1032" i="5"/>
  <c r="BF1032" i="5" s="1"/>
  <c r="AT1032" i="5" s="1"/>
  <c r="BE1031" i="5"/>
  <c r="BF1031" i="5" s="1"/>
  <c r="AT1031" i="5" s="1"/>
  <c r="BE1030" i="5"/>
  <c r="BF1030" i="5" s="1"/>
  <c r="AT1030" i="5" s="1"/>
  <c r="BE1029" i="5"/>
  <c r="BF1029" i="5" s="1"/>
  <c r="AT1029" i="5" s="1"/>
  <c r="BE1028" i="5"/>
  <c r="BF1028" i="5" s="1"/>
  <c r="AT1028" i="5" s="1"/>
  <c r="BE1027" i="5"/>
  <c r="BF1027" i="5" s="1"/>
  <c r="AT1027" i="5" s="1"/>
  <c r="BE1026" i="5"/>
  <c r="BF1026" i="5" s="1"/>
  <c r="AT1026" i="5" s="1"/>
  <c r="BE1025" i="5"/>
  <c r="BF1025" i="5" s="1"/>
  <c r="AT1025" i="5" s="1"/>
  <c r="BE1024" i="5"/>
  <c r="BF1024" i="5" s="1"/>
  <c r="AT1024" i="5" s="1"/>
  <c r="BE1023" i="5"/>
  <c r="BF1023" i="5" s="1"/>
  <c r="AT1023" i="5" s="1"/>
  <c r="BE1022" i="5"/>
  <c r="BF1022" i="5" s="1"/>
  <c r="AT1022" i="5" s="1"/>
  <c r="BE1021" i="5"/>
  <c r="BF1021" i="5" s="1"/>
  <c r="AT1021" i="5" s="1"/>
  <c r="BE1020" i="5"/>
  <c r="BF1020" i="5" s="1"/>
  <c r="AT1020" i="5" s="1"/>
  <c r="BE1019" i="5"/>
  <c r="BF1019" i="5" s="1"/>
  <c r="AT1019" i="5" s="1"/>
  <c r="BE1018" i="5"/>
  <c r="BF1018" i="5" s="1"/>
  <c r="AT1018" i="5" s="1"/>
  <c r="BE1017" i="5"/>
  <c r="BF1017" i="5" s="1"/>
  <c r="AT1017" i="5" s="1"/>
  <c r="BE1016" i="5"/>
  <c r="BF1016" i="5" s="1"/>
  <c r="AT1016" i="5" s="1"/>
  <c r="BE1015" i="5"/>
  <c r="BF1015" i="5" s="1"/>
  <c r="AT1015" i="5" s="1"/>
  <c r="BE1014" i="5"/>
  <c r="BF1014" i="5" s="1"/>
  <c r="AT1014" i="5" s="1"/>
  <c r="BE1013" i="5"/>
  <c r="BF1013" i="5" s="1"/>
  <c r="AT1013" i="5" s="1"/>
  <c r="BE1012" i="5"/>
  <c r="BF1012" i="5" s="1"/>
  <c r="AT1012" i="5" s="1"/>
  <c r="BE1011" i="5"/>
  <c r="BF1011" i="5" s="1"/>
  <c r="AT1011" i="5" s="1"/>
  <c r="BE1010" i="5"/>
  <c r="BF1010" i="5" s="1"/>
  <c r="AT1010" i="5" s="1"/>
  <c r="BE1009" i="5"/>
  <c r="BF1009" i="5" s="1"/>
  <c r="AT1009" i="5" s="1"/>
  <c r="BE1008" i="5"/>
  <c r="BF1008" i="5" s="1"/>
  <c r="AT1008" i="5" s="1"/>
  <c r="BE1007" i="5"/>
  <c r="BF1007" i="5" s="1"/>
  <c r="AT1007" i="5" s="1"/>
  <c r="BE1006" i="5"/>
  <c r="BF1006" i="5" s="1"/>
  <c r="AT1006" i="5" s="1"/>
  <c r="BE1005" i="5"/>
  <c r="BF1005" i="5" s="1"/>
  <c r="AT1005" i="5" s="1"/>
  <c r="BE1004" i="5"/>
  <c r="BF1004" i="5" s="1"/>
  <c r="AT1004" i="5" s="1"/>
  <c r="BE1003" i="5"/>
  <c r="BF1003" i="5" s="1"/>
  <c r="AT1003" i="5" s="1"/>
  <c r="BE1002" i="5"/>
  <c r="BF1002" i="5" s="1"/>
  <c r="AT1002" i="5" s="1"/>
  <c r="BE1001" i="5"/>
  <c r="BF1001" i="5" s="1"/>
  <c r="AT1001" i="5" s="1"/>
  <c r="BE1000" i="5"/>
  <c r="BF1000" i="5" s="1"/>
  <c r="AT1000" i="5" s="1"/>
  <c r="BE999" i="5"/>
  <c r="BF999" i="5" s="1"/>
  <c r="AT999" i="5" s="1"/>
  <c r="BE998" i="5"/>
  <c r="BF998" i="5" s="1"/>
  <c r="AT998" i="5" s="1"/>
  <c r="BE997" i="5"/>
  <c r="BF997" i="5" s="1"/>
  <c r="AT997" i="5" s="1"/>
  <c r="BE996" i="5"/>
  <c r="BF996" i="5" s="1"/>
  <c r="AT996" i="5" s="1"/>
  <c r="BE995" i="5"/>
  <c r="BF995" i="5" s="1"/>
  <c r="AT995" i="5" s="1"/>
  <c r="BE994" i="5"/>
  <c r="BF994" i="5" s="1"/>
  <c r="AT994" i="5" s="1"/>
  <c r="BE993" i="5"/>
  <c r="BF993" i="5" s="1"/>
  <c r="AT993" i="5" s="1"/>
  <c r="BE992" i="5"/>
  <c r="BF992" i="5" s="1"/>
  <c r="AT992" i="5" s="1"/>
  <c r="BE991" i="5"/>
  <c r="BF991" i="5" s="1"/>
  <c r="AT991" i="5" s="1"/>
  <c r="BE990" i="5"/>
  <c r="BF990" i="5" s="1"/>
  <c r="AT990" i="5" s="1"/>
  <c r="BE989" i="5"/>
  <c r="BF989" i="5" s="1"/>
  <c r="AT989" i="5" s="1"/>
  <c r="BE988" i="5"/>
  <c r="BF988" i="5" s="1"/>
  <c r="AT988" i="5" s="1"/>
  <c r="BE987" i="5"/>
  <c r="BF987" i="5" s="1"/>
  <c r="AT987" i="5" s="1"/>
  <c r="BE986" i="5"/>
  <c r="BF986" i="5" s="1"/>
  <c r="AT986" i="5" s="1"/>
  <c r="BE985" i="5"/>
  <c r="BF985" i="5" s="1"/>
  <c r="AT985" i="5" s="1"/>
  <c r="BE984" i="5"/>
  <c r="BF984" i="5" s="1"/>
  <c r="AT984" i="5" s="1"/>
  <c r="BE983" i="5"/>
  <c r="BF983" i="5" s="1"/>
  <c r="AT983" i="5" s="1"/>
  <c r="BE982" i="5"/>
  <c r="BF982" i="5" s="1"/>
  <c r="AT982" i="5" s="1"/>
  <c r="BE981" i="5"/>
  <c r="BF981" i="5" s="1"/>
  <c r="AT981" i="5" s="1"/>
  <c r="BE980" i="5"/>
  <c r="BF980" i="5" s="1"/>
  <c r="AT980" i="5" s="1"/>
  <c r="BE979" i="5"/>
  <c r="BF979" i="5" s="1"/>
  <c r="AT979" i="5" s="1"/>
  <c r="BE978" i="5"/>
  <c r="BF978" i="5" s="1"/>
  <c r="AT978" i="5" s="1"/>
  <c r="BE977" i="5"/>
  <c r="BF977" i="5" s="1"/>
  <c r="AT977" i="5" s="1"/>
  <c r="BE976" i="5"/>
  <c r="BF976" i="5" s="1"/>
  <c r="AT976" i="5" s="1"/>
  <c r="BE975" i="5"/>
  <c r="BF975" i="5" s="1"/>
  <c r="AT975" i="5" s="1"/>
  <c r="BE974" i="5"/>
  <c r="BF974" i="5" s="1"/>
  <c r="AT974" i="5" s="1"/>
  <c r="BE973" i="5"/>
  <c r="BF973" i="5" s="1"/>
  <c r="AT973" i="5" s="1"/>
  <c r="BE972" i="5"/>
  <c r="BF972" i="5" s="1"/>
  <c r="AT972" i="5" s="1"/>
  <c r="BE971" i="5"/>
  <c r="BF971" i="5" s="1"/>
  <c r="AT971" i="5" s="1"/>
  <c r="BE970" i="5"/>
  <c r="BF970" i="5" s="1"/>
  <c r="AT970" i="5" s="1"/>
  <c r="BE969" i="5"/>
  <c r="BF969" i="5" s="1"/>
  <c r="AT969" i="5" s="1"/>
  <c r="BE968" i="5"/>
  <c r="BF968" i="5" s="1"/>
  <c r="AT968" i="5" s="1"/>
  <c r="BE967" i="5"/>
  <c r="BF967" i="5" s="1"/>
  <c r="AT967" i="5" s="1"/>
  <c r="BE966" i="5"/>
  <c r="BF966" i="5" s="1"/>
  <c r="AT966" i="5" s="1"/>
  <c r="BE965" i="5"/>
  <c r="BF965" i="5" s="1"/>
  <c r="AT965" i="5" s="1"/>
  <c r="BE964" i="5"/>
  <c r="BF964" i="5" s="1"/>
  <c r="AT964" i="5" s="1"/>
  <c r="BE963" i="5"/>
  <c r="BF963" i="5" s="1"/>
  <c r="AT963" i="5" s="1"/>
  <c r="BE962" i="5"/>
  <c r="BF962" i="5" s="1"/>
  <c r="AT962" i="5" s="1"/>
  <c r="BE961" i="5"/>
  <c r="BF961" i="5" s="1"/>
  <c r="AT961" i="5" s="1"/>
  <c r="BE960" i="5"/>
  <c r="BF960" i="5" s="1"/>
  <c r="AT960" i="5" s="1"/>
  <c r="BE959" i="5"/>
  <c r="BF959" i="5" s="1"/>
  <c r="AT959" i="5" s="1"/>
  <c r="BE958" i="5"/>
  <c r="BF958" i="5" s="1"/>
  <c r="AT958" i="5" s="1"/>
  <c r="BE957" i="5"/>
  <c r="BF957" i="5" s="1"/>
  <c r="AT957" i="5" s="1"/>
  <c r="BE956" i="5"/>
  <c r="BF956" i="5" s="1"/>
  <c r="AT956" i="5" s="1"/>
  <c r="BE955" i="5"/>
  <c r="BF955" i="5" s="1"/>
  <c r="AT955" i="5" s="1"/>
  <c r="BE954" i="5"/>
  <c r="BF954" i="5" s="1"/>
  <c r="AT954" i="5" s="1"/>
  <c r="BE952" i="5"/>
  <c r="BF952" i="5" s="1"/>
  <c r="AT952" i="5" s="1"/>
  <c r="BE951" i="5"/>
  <c r="BF951" i="5" s="1"/>
  <c r="AT951" i="5" s="1"/>
  <c r="BE950" i="5"/>
  <c r="BF950" i="5" s="1"/>
  <c r="AT950" i="5" s="1"/>
  <c r="BE949" i="5"/>
  <c r="BF949" i="5" s="1"/>
  <c r="AT949" i="5" s="1"/>
  <c r="BE948" i="5"/>
  <c r="BF948" i="5" s="1"/>
  <c r="AT948" i="5" s="1"/>
  <c r="BE947" i="5"/>
  <c r="BF947" i="5" s="1"/>
  <c r="AT947" i="5" s="1"/>
  <c r="BE946" i="5"/>
  <c r="BF946" i="5" s="1"/>
  <c r="AT946" i="5" s="1"/>
  <c r="BE945" i="5"/>
  <c r="BF945" i="5" s="1"/>
  <c r="AT945" i="5" s="1"/>
  <c r="BE944" i="5"/>
  <c r="BF944" i="5" s="1"/>
  <c r="AT944" i="5" s="1"/>
  <c r="BE943" i="5"/>
  <c r="BF943" i="5" s="1"/>
  <c r="AT943" i="5" s="1"/>
  <c r="BE942" i="5"/>
  <c r="BF942" i="5" s="1"/>
  <c r="AT942" i="5" s="1"/>
  <c r="BE941" i="5"/>
  <c r="BE940" i="5"/>
  <c r="BF940" i="5" s="1"/>
  <c r="AT940" i="5" s="1"/>
  <c r="BE939" i="5"/>
  <c r="BF939" i="5" s="1"/>
  <c r="AT939" i="5" s="1"/>
  <c r="BE938" i="5"/>
  <c r="BE937" i="5"/>
  <c r="BF937" i="5" s="1"/>
  <c r="AT937" i="5" s="1"/>
  <c r="BE936" i="5"/>
  <c r="BF936" i="5" s="1"/>
  <c r="AT936" i="5" s="1"/>
  <c r="BE935" i="5"/>
  <c r="BF935" i="5" s="1"/>
  <c r="AT935" i="5" s="1"/>
  <c r="BE934" i="5"/>
  <c r="BF934" i="5" s="1"/>
  <c r="AT934" i="5" s="1"/>
  <c r="BE933" i="5"/>
  <c r="BF933" i="5" s="1"/>
  <c r="AT933" i="5" s="1"/>
  <c r="BE932" i="5"/>
  <c r="BF932" i="5" s="1"/>
  <c r="AT932" i="5" s="1"/>
  <c r="BE931" i="5"/>
  <c r="BF931" i="5" s="1"/>
  <c r="AT931" i="5" s="1"/>
  <c r="BE930" i="5"/>
  <c r="BF930" i="5" s="1"/>
  <c r="AT930" i="5" s="1"/>
  <c r="BE929" i="5"/>
  <c r="BF929" i="5" s="1"/>
  <c r="AT929" i="5" s="1"/>
  <c r="BE928" i="5"/>
  <c r="BE927" i="5"/>
  <c r="BF927" i="5" s="1"/>
  <c r="AT927" i="5" s="1"/>
  <c r="BE925" i="5"/>
  <c r="BF925" i="5" s="1"/>
  <c r="AT925" i="5" s="1"/>
  <c r="BE924" i="5"/>
  <c r="BF924" i="5" s="1"/>
  <c r="AT924" i="5" s="1"/>
  <c r="BE923" i="5"/>
  <c r="BF923" i="5" s="1"/>
  <c r="AT923" i="5" s="1"/>
  <c r="BE922" i="5"/>
  <c r="BF922" i="5" s="1"/>
  <c r="AT922" i="5" s="1"/>
  <c r="BE921" i="5"/>
  <c r="BF921" i="5" s="1"/>
  <c r="AT921" i="5" s="1"/>
  <c r="BE920" i="5"/>
  <c r="BF920" i="5" s="1"/>
  <c r="AT920" i="5" s="1"/>
  <c r="BE919" i="5"/>
  <c r="BF919" i="5" s="1"/>
  <c r="AT919" i="5" s="1"/>
  <c r="BE918" i="5"/>
  <c r="BF918" i="5" s="1"/>
  <c r="AT918" i="5" s="1"/>
  <c r="BE917" i="5"/>
  <c r="BF917" i="5" s="1"/>
  <c r="AT917" i="5" s="1"/>
  <c r="BE916" i="5"/>
  <c r="BF916" i="5" s="1"/>
  <c r="AT916" i="5" s="1"/>
  <c r="BE915" i="5"/>
  <c r="BF915" i="5" s="1"/>
  <c r="AT915" i="5" s="1"/>
  <c r="BE914" i="5"/>
  <c r="BF914" i="5" s="1"/>
  <c r="AT914" i="5" s="1"/>
  <c r="BE913" i="5"/>
  <c r="BF913" i="5" s="1"/>
  <c r="AT913" i="5" s="1"/>
  <c r="BE912" i="5"/>
  <c r="BF912" i="5" s="1"/>
  <c r="AT912" i="5" s="1"/>
  <c r="BE911" i="5"/>
  <c r="BF911" i="5" s="1"/>
  <c r="AT911" i="5" s="1"/>
  <c r="BE910" i="5"/>
  <c r="BF910" i="5" s="1"/>
  <c r="AT910" i="5" s="1"/>
  <c r="BE909" i="5"/>
  <c r="BF909" i="5" s="1"/>
  <c r="AT909" i="5" s="1"/>
  <c r="BE908" i="5"/>
  <c r="BF908" i="5" s="1"/>
  <c r="AT908" i="5" s="1"/>
  <c r="BE907" i="5"/>
  <c r="BF907" i="5" s="1"/>
  <c r="AT907" i="5" s="1"/>
  <c r="BE906" i="5"/>
  <c r="BF906" i="5" s="1"/>
  <c r="AT906" i="5" s="1"/>
  <c r="BE905" i="5"/>
  <c r="BF905" i="5" s="1"/>
  <c r="AT905" i="5" s="1"/>
  <c r="BE904" i="5"/>
  <c r="BF904" i="5" s="1"/>
  <c r="AT904" i="5" s="1"/>
  <c r="BE903" i="5"/>
  <c r="BF903" i="5" s="1"/>
  <c r="AT903" i="5" s="1"/>
  <c r="BE902" i="5"/>
  <c r="BF902" i="5" s="1"/>
  <c r="AT902" i="5" s="1"/>
  <c r="BE901" i="5"/>
  <c r="BF901" i="5" s="1"/>
  <c r="AT901" i="5" s="1"/>
  <c r="BE900" i="5"/>
  <c r="BF900" i="5" s="1"/>
  <c r="AT900" i="5" s="1"/>
  <c r="BE899" i="5"/>
  <c r="BF899" i="5" s="1"/>
  <c r="AT899" i="5" s="1"/>
  <c r="BE898" i="5"/>
  <c r="BF898" i="5" s="1"/>
  <c r="AT898" i="5" s="1"/>
  <c r="BE897" i="5"/>
  <c r="BF897" i="5" s="1"/>
  <c r="AT897" i="5" s="1"/>
  <c r="BE896" i="5"/>
  <c r="BF896" i="5" s="1"/>
  <c r="AT896" i="5" s="1"/>
  <c r="BE895" i="5"/>
  <c r="BF895" i="5" s="1"/>
  <c r="AT895" i="5" s="1"/>
  <c r="BE894" i="5"/>
  <c r="BF894" i="5" s="1"/>
  <c r="AT894" i="5" s="1"/>
  <c r="BE893" i="5"/>
  <c r="BF893" i="5" s="1"/>
  <c r="AT893" i="5" s="1"/>
  <c r="BE892" i="5"/>
  <c r="BF892" i="5" s="1"/>
  <c r="AT892" i="5" s="1"/>
  <c r="BE891" i="5"/>
  <c r="BF891" i="5" s="1"/>
  <c r="AT891" i="5" s="1"/>
  <c r="BE890" i="5"/>
  <c r="BF890" i="5" s="1"/>
  <c r="AT890" i="5" s="1"/>
  <c r="BE889" i="5"/>
  <c r="BF889" i="5" s="1"/>
  <c r="AT889" i="5" s="1"/>
  <c r="BE888" i="5"/>
  <c r="BF888" i="5" s="1"/>
  <c r="AT888" i="5" s="1"/>
  <c r="BE887" i="5"/>
  <c r="BF887" i="5" s="1"/>
  <c r="AT887" i="5" s="1"/>
  <c r="BE886" i="5"/>
  <c r="BF886" i="5" s="1"/>
  <c r="AT886" i="5" s="1"/>
  <c r="BE885" i="5"/>
  <c r="BF885" i="5" s="1"/>
  <c r="AT885" i="5" s="1"/>
  <c r="BE884" i="5"/>
  <c r="BF884" i="5" s="1"/>
  <c r="AT884" i="5" s="1"/>
  <c r="BE883" i="5"/>
  <c r="BF883" i="5" s="1"/>
  <c r="AT883" i="5" s="1"/>
  <c r="BE882" i="5"/>
  <c r="BF882" i="5" s="1"/>
  <c r="AT882" i="5" s="1"/>
  <c r="BE881" i="5"/>
  <c r="BF881" i="5" s="1"/>
  <c r="AT881" i="5" s="1"/>
  <c r="BE880" i="5"/>
  <c r="BF880" i="5" s="1"/>
  <c r="AT880" i="5" s="1"/>
  <c r="BE879" i="5"/>
  <c r="BF879" i="5" s="1"/>
  <c r="AT879" i="5" s="1"/>
  <c r="BE878" i="5"/>
  <c r="BF878" i="5" s="1"/>
  <c r="AT878" i="5" s="1"/>
  <c r="BE877" i="5"/>
  <c r="BF877" i="5" s="1"/>
  <c r="AT877" i="5" s="1"/>
  <c r="BE876" i="5"/>
  <c r="BF876" i="5" s="1"/>
  <c r="AT876" i="5" s="1"/>
  <c r="BE875" i="5"/>
  <c r="BF875" i="5" s="1"/>
  <c r="AT875" i="5" s="1"/>
  <c r="BE874" i="5"/>
  <c r="BF874" i="5" s="1"/>
  <c r="AT874" i="5" s="1"/>
  <c r="BE873" i="5"/>
  <c r="BF873" i="5" s="1"/>
  <c r="AT873" i="5" s="1"/>
  <c r="BE872" i="5"/>
  <c r="BF872" i="5" s="1"/>
  <c r="AT872" i="5" s="1"/>
  <c r="BE871" i="5"/>
  <c r="BF871" i="5" s="1"/>
  <c r="AT871" i="5" s="1"/>
  <c r="BE870" i="5"/>
  <c r="BF870" i="5" s="1"/>
  <c r="AT870" i="5" s="1"/>
  <c r="BE869" i="5"/>
  <c r="BF869" i="5" s="1"/>
  <c r="AT869" i="5" s="1"/>
  <c r="BE868" i="5"/>
  <c r="BF868" i="5" s="1"/>
  <c r="AT868" i="5" s="1"/>
  <c r="BE867" i="5"/>
  <c r="BF867" i="5" s="1"/>
  <c r="AT867" i="5" s="1"/>
  <c r="BE866" i="5"/>
  <c r="BF866" i="5" s="1"/>
  <c r="AT866" i="5" s="1"/>
  <c r="BE865" i="5"/>
  <c r="BF865" i="5" s="1"/>
  <c r="AT865" i="5" s="1"/>
  <c r="BE864" i="5"/>
  <c r="BF864" i="5" s="1"/>
  <c r="AT864" i="5" s="1"/>
  <c r="BE863" i="5"/>
  <c r="BF863" i="5" s="1"/>
  <c r="AT863" i="5" s="1"/>
  <c r="BE862" i="5"/>
  <c r="BF862" i="5" s="1"/>
  <c r="AT862" i="5" s="1"/>
  <c r="BE861" i="5"/>
  <c r="BF861" i="5" s="1"/>
  <c r="AT861" i="5" s="1"/>
  <c r="BE860" i="5"/>
  <c r="BF860" i="5" s="1"/>
  <c r="AT860" i="5" s="1"/>
  <c r="BE859" i="5"/>
  <c r="BF859" i="5" s="1"/>
  <c r="AT859" i="5" s="1"/>
  <c r="BE858" i="5"/>
  <c r="BF858" i="5" s="1"/>
  <c r="AT858" i="5" s="1"/>
  <c r="BE857" i="5"/>
  <c r="BF857" i="5" s="1"/>
  <c r="AT857" i="5" s="1"/>
  <c r="BE856" i="5"/>
  <c r="BF856" i="5" s="1"/>
  <c r="AT856" i="5" s="1"/>
  <c r="BE855" i="5"/>
  <c r="BF855" i="5" s="1"/>
  <c r="AT855" i="5" s="1"/>
  <c r="BE854" i="5"/>
  <c r="BF854" i="5" s="1"/>
  <c r="AT854" i="5" s="1"/>
  <c r="BE853" i="5"/>
  <c r="BF853" i="5" s="1"/>
  <c r="AT853" i="5" s="1"/>
  <c r="BE852" i="5"/>
  <c r="BF852" i="5" s="1"/>
  <c r="AT852" i="5" s="1"/>
  <c r="BE851" i="5"/>
  <c r="BF851" i="5" s="1"/>
  <c r="AT851" i="5" s="1"/>
  <c r="BE850" i="5"/>
  <c r="BF850" i="5" s="1"/>
  <c r="AT850" i="5" s="1"/>
  <c r="BE849" i="5"/>
  <c r="BF849" i="5" s="1"/>
  <c r="AT849" i="5" s="1"/>
  <c r="BE848" i="5"/>
  <c r="BF848" i="5" s="1"/>
  <c r="AT848" i="5" s="1"/>
  <c r="BE847" i="5"/>
  <c r="BF847" i="5" s="1"/>
  <c r="AT847" i="5" s="1"/>
  <c r="BE846" i="5"/>
  <c r="BF846" i="5" s="1"/>
  <c r="AT846" i="5" s="1"/>
  <c r="BE845" i="5"/>
  <c r="BF845" i="5" s="1"/>
  <c r="AT845" i="5" s="1"/>
  <c r="BE844" i="5"/>
  <c r="BF844" i="5" s="1"/>
  <c r="AT844" i="5" s="1"/>
  <c r="BE843" i="5"/>
  <c r="BF843" i="5" s="1"/>
  <c r="AT843" i="5" s="1"/>
  <c r="BE842" i="5"/>
  <c r="BF842" i="5" s="1"/>
  <c r="AT842" i="5" s="1"/>
  <c r="BE841" i="5"/>
  <c r="BF841" i="5" s="1"/>
  <c r="AT841" i="5" s="1"/>
  <c r="BE840" i="5"/>
  <c r="BF840" i="5" s="1"/>
  <c r="AT840" i="5" s="1"/>
  <c r="BE839" i="5"/>
  <c r="BF839" i="5" s="1"/>
  <c r="AT839" i="5" s="1"/>
  <c r="BE838" i="5"/>
  <c r="BF838" i="5" s="1"/>
  <c r="AT838" i="5" s="1"/>
  <c r="BE837" i="5"/>
  <c r="BF837" i="5" s="1"/>
  <c r="AT837" i="5" s="1"/>
  <c r="BE836" i="5"/>
  <c r="BF836" i="5" s="1"/>
  <c r="AT836" i="5" s="1"/>
  <c r="BE835" i="5"/>
  <c r="BF835" i="5" s="1"/>
  <c r="AT835" i="5" s="1"/>
  <c r="BE834" i="5"/>
  <c r="BF834" i="5" s="1"/>
  <c r="AT834" i="5" s="1"/>
  <c r="BE833" i="5"/>
  <c r="BF833" i="5" s="1"/>
  <c r="AT833" i="5" s="1"/>
  <c r="BE832" i="5"/>
  <c r="BF832" i="5" s="1"/>
  <c r="AT832" i="5" s="1"/>
  <c r="BE831" i="5"/>
  <c r="BF831" i="5" s="1"/>
  <c r="AT831" i="5" s="1"/>
  <c r="BE830" i="5"/>
  <c r="BF830" i="5" s="1"/>
  <c r="AT830" i="5" s="1"/>
  <c r="BE829" i="5"/>
  <c r="BF829" i="5" s="1"/>
  <c r="AT829" i="5" s="1"/>
  <c r="BE828" i="5"/>
  <c r="BF828" i="5" s="1"/>
  <c r="AT828" i="5" s="1"/>
  <c r="BE827" i="5"/>
  <c r="BF827" i="5" s="1"/>
  <c r="AT827" i="5" s="1"/>
  <c r="BE826" i="5"/>
  <c r="BF826" i="5" s="1"/>
  <c r="AT826" i="5" s="1"/>
  <c r="BE825" i="5"/>
  <c r="BF825" i="5" s="1"/>
  <c r="AT825" i="5" s="1"/>
  <c r="BE824" i="5"/>
  <c r="BF824" i="5" s="1"/>
  <c r="AT824" i="5" s="1"/>
  <c r="BE823" i="5"/>
  <c r="BF823" i="5" s="1"/>
  <c r="AT823" i="5" s="1"/>
  <c r="BE822" i="5"/>
  <c r="BF822" i="5" s="1"/>
  <c r="AT822" i="5" s="1"/>
  <c r="BE821" i="5"/>
  <c r="BF821" i="5" s="1"/>
  <c r="AT821" i="5" s="1"/>
  <c r="BE820" i="5"/>
  <c r="BF820" i="5" s="1"/>
  <c r="AT820" i="5" s="1"/>
  <c r="BE819" i="5"/>
  <c r="BF819" i="5" s="1"/>
  <c r="AT819" i="5" s="1"/>
  <c r="BE818" i="5"/>
  <c r="BF818" i="5" s="1"/>
  <c r="AT818" i="5" s="1"/>
  <c r="BE817" i="5"/>
  <c r="BF817" i="5" s="1"/>
  <c r="AT817" i="5" s="1"/>
  <c r="BE816" i="5"/>
  <c r="BF816" i="5" s="1"/>
  <c r="AT816" i="5" s="1"/>
  <c r="BE815" i="5"/>
  <c r="BF815" i="5" s="1"/>
  <c r="AT815" i="5" s="1"/>
  <c r="BE814" i="5"/>
  <c r="BF814" i="5" s="1"/>
  <c r="AT814" i="5" s="1"/>
  <c r="BE813" i="5"/>
  <c r="BF813" i="5" s="1"/>
  <c r="AT813" i="5" s="1"/>
  <c r="BE812" i="5"/>
  <c r="BF812" i="5" s="1"/>
  <c r="AT812" i="5" s="1"/>
  <c r="BE811" i="5"/>
  <c r="BF811" i="5" s="1"/>
  <c r="AT811" i="5" s="1"/>
  <c r="BE810" i="5"/>
  <c r="BF810" i="5" s="1"/>
  <c r="AT810" i="5" s="1"/>
  <c r="BE809" i="5"/>
  <c r="BF809" i="5" s="1"/>
  <c r="AT809" i="5" s="1"/>
  <c r="BE808" i="5"/>
  <c r="BF808" i="5" s="1"/>
  <c r="AT808" i="5" s="1"/>
  <c r="BE807" i="5"/>
  <c r="BF807" i="5" s="1"/>
  <c r="AT807" i="5" s="1"/>
  <c r="BE806" i="5"/>
  <c r="BF806" i="5" s="1"/>
  <c r="AT806" i="5" s="1"/>
  <c r="BE805" i="5"/>
  <c r="BE804" i="5"/>
  <c r="BE803" i="5"/>
  <c r="BF803" i="5" s="1"/>
  <c r="AT803" i="5" s="1"/>
  <c r="BE802" i="5"/>
  <c r="BE801" i="5"/>
  <c r="BE800" i="5"/>
  <c r="BF800" i="5" s="1"/>
  <c r="AT800" i="5" s="1"/>
  <c r="BE799" i="5"/>
  <c r="BE798" i="5"/>
  <c r="BE797" i="5"/>
  <c r="BF797" i="5" s="1"/>
  <c r="AT797" i="5" s="1"/>
  <c r="BE796" i="5"/>
  <c r="BF796" i="5" s="1"/>
  <c r="AT796" i="5" s="1"/>
  <c r="BE795" i="5"/>
  <c r="BF795" i="5" s="1"/>
  <c r="AT795" i="5" s="1"/>
  <c r="BE794" i="5"/>
  <c r="BF794" i="5" s="1"/>
  <c r="AT794" i="5" s="1"/>
  <c r="BE793" i="5"/>
  <c r="BF793" i="5" s="1"/>
  <c r="AT793" i="5" s="1"/>
  <c r="BE792" i="5"/>
  <c r="BF792" i="5" s="1"/>
  <c r="AT792" i="5" s="1"/>
  <c r="BE791" i="5"/>
  <c r="BF791" i="5" s="1"/>
  <c r="AT791" i="5" s="1"/>
  <c r="BE790" i="5"/>
  <c r="BF790" i="5" s="1"/>
  <c r="AT790" i="5" s="1"/>
  <c r="BE789" i="5"/>
  <c r="BF789" i="5" s="1"/>
  <c r="AT789" i="5" s="1"/>
  <c r="BE788" i="5"/>
  <c r="BF788" i="5" s="1"/>
  <c r="AT788" i="5" s="1"/>
  <c r="BE787" i="5"/>
  <c r="BF787" i="5" s="1"/>
  <c r="AT787" i="5" s="1"/>
  <c r="BE786" i="5"/>
  <c r="BF786" i="5" s="1"/>
  <c r="AT786" i="5" s="1"/>
  <c r="BE784" i="5"/>
  <c r="BF784" i="5" s="1"/>
  <c r="AT784" i="5" s="1"/>
  <c r="BE783" i="5"/>
  <c r="BF783" i="5" s="1"/>
  <c r="AT783" i="5" s="1"/>
  <c r="BE782" i="5"/>
  <c r="BF782" i="5" s="1"/>
  <c r="AT782" i="5" s="1"/>
  <c r="BE781" i="5"/>
  <c r="BF781" i="5" s="1"/>
  <c r="AT781" i="5" s="1"/>
  <c r="BE780" i="5"/>
  <c r="BF780" i="5" s="1"/>
  <c r="AT780" i="5" s="1"/>
  <c r="BE779" i="5"/>
  <c r="BF779" i="5" s="1"/>
  <c r="AT779" i="5" s="1"/>
  <c r="BE778" i="5"/>
  <c r="BF778" i="5" s="1"/>
  <c r="AT778" i="5" s="1"/>
  <c r="BE777" i="5"/>
  <c r="BF777" i="5" s="1"/>
  <c r="AT777" i="5" s="1"/>
  <c r="BE776" i="5"/>
  <c r="BF776" i="5" s="1"/>
  <c r="AT776" i="5" s="1"/>
  <c r="BE775" i="5"/>
  <c r="BE774" i="5"/>
  <c r="BE773" i="5"/>
  <c r="BF773" i="5" s="1"/>
  <c r="AT773" i="5" s="1"/>
  <c r="BE771" i="5"/>
  <c r="BE770" i="5"/>
  <c r="BF770" i="5" s="1"/>
  <c r="AT770" i="5" s="1"/>
  <c r="BE769" i="5"/>
  <c r="BE768" i="5"/>
  <c r="BE767" i="5"/>
  <c r="BE766" i="5"/>
  <c r="BE765" i="5"/>
  <c r="BF765" i="5" s="1"/>
  <c r="AT765" i="5" s="1"/>
  <c r="BE764" i="5"/>
  <c r="BE763" i="5"/>
  <c r="BF763" i="5" s="1"/>
  <c r="AT763" i="5" s="1"/>
  <c r="BE762" i="5"/>
  <c r="BF762" i="5" s="1"/>
  <c r="AT762" i="5" s="1"/>
  <c r="BE761" i="5"/>
  <c r="BE760" i="5"/>
  <c r="BE759" i="5"/>
  <c r="BF759" i="5" s="1"/>
  <c r="AT759" i="5" s="1"/>
  <c r="BE757" i="5"/>
  <c r="BF757" i="5" s="1"/>
  <c r="AT757" i="5" s="1"/>
  <c r="BE756" i="5"/>
  <c r="BF756" i="5" s="1"/>
  <c r="AT756" i="5" s="1"/>
  <c r="BE755" i="5"/>
  <c r="BF755" i="5" s="1"/>
  <c r="AT755" i="5" s="1"/>
  <c r="BE754" i="5"/>
  <c r="BE753" i="5"/>
  <c r="BE752" i="5"/>
  <c r="BF752" i="5" s="1"/>
  <c r="AT752" i="5" s="1"/>
  <c r="BE750" i="5"/>
  <c r="BF750" i="5" s="1"/>
  <c r="AT750" i="5" s="1"/>
  <c r="BE749" i="5"/>
  <c r="BF749" i="5" s="1"/>
  <c r="AT749" i="5" s="1"/>
  <c r="BE748" i="5"/>
  <c r="BF748" i="5" s="1"/>
  <c r="AT748" i="5" s="1"/>
  <c r="BE747" i="5"/>
  <c r="BF747" i="5" s="1"/>
  <c r="AT747" i="5" s="1"/>
  <c r="BE746" i="5"/>
  <c r="BF746" i="5" s="1"/>
  <c r="AT746" i="5" s="1"/>
  <c r="BE745" i="5"/>
  <c r="BF745" i="5" s="1"/>
  <c r="AT745" i="5" s="1"/>
  <c r="BE744" i="5"/>
  <c r="BF744" i="5" s="1"/>
  <c r="AT744" i="5" s="1"/>
  <c r="BE743" i="5"/>
  <c r="BF743" i="5" s="1"/>
  <c r="AT743" i="5" s="1"/>
  <c r="BE742" i="5"/>
  <c r="BF742" i="5" s="1"/>
  <c r="AT742" i="5" s="1"/>
  <c r="BE741" i="5"/>
  <c r="BF741" i="5" s="1"/>
  <c r="AT741" i="5" s="1"/>
  <c r="BE740" i="5"/>
  <c r="BF740" i="5" s="1"/>
  <c r="AT740" i="5" s="1"/>
  <c r="BE739" i="5"/>
  <c r="BF739" i="5" s="1"/>
  <c r="AT739" i="5" s="1"/>
  <c r="BE738" i="5"/>
  <c r="BF738" i="5" s="1"/>
  <c r="AT738" i="5" s="1"/>
  <c r="BE737" i="5"/>
  <c r="BF737" i="5" s="1"/>
  <c r="AT737" i="5" s="1"/>
  <c r="BE736" i="5"/>
  <c r="BF736" i="5" s="1"/>
  <c r="AT736" i="5" s="1"/>
  <c r="BE735" i="5"/>
  <c r="BF735" i="5" s="1"/>
  <c r="AT735" i="5" s="1"/>
  <c r="BE734" i="5"/>
  <c r="BF734" i="5" s="1"/>
  <c r="AT734" i="5" s="1"/>
  <c r="BE733" i="5"/>
  <c r="BF733" i="5" s="1"/>
  <c r="AT733" i="5" s="1"/>
  <c r="BE732" i="5"/>
  <c r="BF732" i="5" s="1"/>
  <c r="AT732" i="5" s="1"/>
  <c r="BE730" i="5"/>
  <c r="BF730" i="5" s="1"/>
  <c r="AT730" i="5" s="1"/>
  <c r="BE729" i="5"/>
  <c r="BF729" i="5" s="1"/>
  <c r="AT729" i="5" s="1"/>
  <c r="BE728" i="5"/>
  <c r="BF728" i="5" s="1"/>
  <c r="AT728" i="5" s="1"/>
  <c r="BE727" i="5"/>
  <c r="BF727" i="5" s="1"/>
  <c r="AT727" i="5" s="1"/>
  <c r="BE726" i="5"/>
  <c r="BF726" i="5" s="1"/>
  <c r="AT726" i="5" s="1"/>
  <c r="BE725" i="5"/>
  <c r="BF725" i="5" s="1"/>
  <c r="AT725" i="5" s="1"/>
  <c r="BE724" i="5"/>
  <c r="BF724" i="5" s="1"/>
  <c r="AT724" i="5" s="1"/>
  <c r="BE723" i="5"/>
  <c r="BF723" i="5" s="1"/>
  <c r="AT723" i="5" s="1"/>
  <c r="BE722" i="5"/>
  <c r="BF722" i="5" s="1"/>
  <c r="AT722" i="5" s="1"/>
  <c r="BE721" i="5"/>
  <c r="BF721" i="5" s="1"/>
  <c r="AT721" i="5" s="1"/>
  <c r="BE720" i="5"/>
  <c r="BF720" i="5" s="1"/>
  <c r="AT720" i="5" s="1"/>
  <c r="BE719" i="5"/>
  <c r="BF719" i="5" s="1"/>
  <c r="AT719" i="5" s="1"/>
  <c r="BE718" i="5"/>
  <c r="BF718" i="5" s="1"/>
  <c r="AT718" i="5" s="1"/>
  <c r="BE717" i="5"/>
  <c r="BF717" i="5" s="1"/>
  <c r="AT717" i="5" s="1"/>
  <c r="BE716" i="5"/>
  <c r="BF716" i="5" s="1"/>
  <c r="AT716" i="5" s="1"/>
  <c r="BE715" i="5"/>
  <c r="BF715" i="5" s="1"/>
  <c r="AT715" i="5" s="1"/>
  <c r="BE714" i="5"/>
  <c r="BF714" i="5" s="1"/>
  <c r="AT714" i="5" s="1"/>
  <c r="BE713" i="5"/>
  <c r="BF713" i="5" s="1"/>
  <c r="AT713" i="5" s="1"/>
  <c r="BE712" i="5"/>
  <c r="BF712" i="5" s="1"/>
  <c r="AT712" i="5" s="1"/>
  <c r="BE711" i="5"/>
  <c r="BF711" i="5" s="1"/>
  <c r="AT711" i="5" s="1"/>
  <c r="BE710" i="5"/>
  <c r="BF710" i="5" s="1"/>
  <c r="AT710" i="5" s="1"/>
  <c r="BE709" i="5"/>
  <c r="BF709" i="5" s="1"/>
  <c r="AT709" i="5" s="1"/>
  <c r="BE708" i="5"/>
  <c r="BF708" i="5" s="1"/>
  <c r="AT708" i="5" s="1"/>
  <c r="BE707" i="5"/>
  <c r="BF707" i="5" s="1"/>
  <c r="AT707" i="5" s="1"/>
  <c r="BE706" i="5"/>
  <c r="BF706" i="5" s="1"/>
  <c r="AT706" i="5" s="1"/>
  <c r="BE705" i="5"/>
  <c r="BF705" i="5" s="1"/>
  <c r="AT705" i="5" s="1"/>
  <c r="BE704" i="5"/>
  <c r="BF704" i="5" s="1"/>
  <c r="AT704" i="5" s="1"/>
  <c r="BE703" i="5"/>
  <c r="BF703" i="5" s="1"/>
  <c r="AT703" i="5" s="1"/>
  <c r="BE702" i="5"/>
  <c r="BF702" i="5" s="1"/>
  <c r="AT702" i="5" s="1"/>
  <c r="BE701" i="5"/>
  <c r="BF701" i="5" s="1"/>
  <c r="AT701" i="5" s="1"/>
  <c r="BE700" i="5"/>
  <c r="BF700" i="5" s="1"/>
  <c r="AT700" i="5" s="1"/>
  <c r="BE699" i="5"/>
  <c r="BF699" i="5" s="1"/>
  <c r="AT699" i="5" s="1"/>
  <c r="BE698" i="5"/>
  <c r="BF698" i="5" s="1"/>
  <c r="AT698" i="5" s="1"/>
  <c r="BE697" i="5"/>
  <c r="BE696" i="5"/>
  <c r="BE695" i="5"/>
  <c r="BE694" i="5"/>
  <c r="BF694" i="5" s="1"/>
  <c r="AT694" i="5" s="1"/>
  <c r="BE693" i="5"/>
  <c r="BE692" i="5"/>
  <c r="BE691" i="5"/>
  <c r="BE690" i="5"/>
  <c r="BF690" i="5" s="1"/>
  <c r="AT690" i="5" s="1"/>
  <c r="BE689" i="5"/>
  <c r="BF689" i="5" s="1"/>
  <c r="AT689" i="5" s="1"/>
  <c r="BE688" i="5"/>
  <c r="BF688" i="5" s="1"/>
  <c r="AT688" i="5" s="1"/>
  <c r="BE687" i="5"/>
  <c r="BF687" i="5" s="1"/>
  <c r="AT687" i="5" s="1"/>
  <c r="BE686" i="5"/>
  <c r="BF686" i="5" s="1"/>
  <c r="AT686" i="5" s="1"/>
  <c r="BE685" i="5"/>
  <c r="BF685" i="5" s="1"/>
  <c r="AT685" i="5" s="1"/>
  <c r="BE684" i="5"/>
  <c r="BF684" i="5" s="1"/>
  <c r="AT684" i="5" s="1"/>
  <c r="BE682" i="5"/>
  <c r="BE681" i="5"/>
  <c r="BF681" i="5" s="1"/>
  <c r="AT681" i="5" s="1"/>
  <c r="BE680" i="5"/>
  <c r="BF680" i="5" s="1"/>
  <c r="AT680" i="5" s="1"/>
  <c r="BE679" i="5"/>
  <c r="BF679" i="5" s="1"/>
  <c r="AT679" i="5" s="1"/>
  <c r="BE678" i="5"/>
  <c r="BF678" i="5" s="1"/>
  <c r="AT678" i="5" s="1"/>
  <c r="BE677" i="5"/>
  <c r="BF677" i="5" s="1"/>
  <c r="AT677" i="5" s="1"/>
  <c r="BE676" i="5"/>
  <c r="BF676" i="5" s="1"/>
  <c r="AT676" i="5" s="1"/>
  <c r="BE675" i="5"/>
  <c r="BF675" i="5" s="1"/>
  <c r="AT675" i="5" s="1"/>
  <c r="BE674" i="5"/>
  <c r="BF674" i="5" s="1"/>
  <c r="AT674" i="5" s="1"/>
  <c r="BE673" i="5"/>
  <c r="BF673" i="5" s="1"/>
  <c r="AT673" i="5" s="1"/>
  <c r="BE672" i="5"/>
  <c r="BF672" i="5" s="1"/>
  <c r="AT672" i="5" s="1"/>
  <c r="BE671" i="5"/>
  <c r="BF671" i="5" s="1"/>
  <c r="AT671" i="5" s="1"/>
  <c r="BE670" i="5"/>
  <c r="BF670" i="5" s="1"/>
  <c r="AT670" i="5" s="1"/>
  <c r="BE669" i="5"/>
  <c r="BF669" i="5" s="1"/>
  <c r="AT669" i="5" s="1"/>
  <c r="BE668" i="5"/>
  <c r="BE667" i="5"/>
  <c r="BF667" i="5" s="1"/>
  <c r="AT667" i="5" s="1"/>
  <c r="BE666" i="5"/>
  <c r="BF666" i="5" s="1"/>
  <c r="AT666" i="5" s="1"/>
  <c r="BE665" i="5"/>
  <c r="BF665" i="5" s="1"/>
  <c r="AT665" i="5" s="1"/>
  <c r="BE664" i="5"/>
  <c r="BF664" i="5" s="1"/>
  <c r="AT664" i="5" s="1"/>
  <c r="BE663" i="5"/>
  <c r="BF663" i="5" s="1"/>
  <c r="AT663" i="5" s="1"/>
  <c r="BE662" i="5"/>
  <c r="BF662" i="5" s="1"/>
  <c r="AT662" i="5" s="1"/>
  <c r="BE661" i="5"/>
  <c r="BF661" i="5" s="1"/>
  <c r="AT661" i="5" s="1"/>
  <c r="BE660" i="5"/>
  <c r="BE659" i="5"/>
  <c r="BF659" i="5" s="1"/>
  <c r="AT659" i="5" s="1"/>
  <c r="BE658" i="5"/>
  <c r="BF658" i="5" s="1"/>
  <c r="AT658" i="5" s="1"/>
  <c r="BE657" i="5"/>
  <c r="BF657" i="5" s="1"/>
  <c r="AT657" i="5" s="1"/>
  <c r="BE655" i="5"/>
  <c r="BF655" i="5" s="1"/>
  <c r="AT655" i="5" s="1"/>
  <c r="BE654" i="5"/>
  <c r="BF654" i="5" s="1"/>
  <c r="AT654" i="5" s="1"/>
  <c r="BE653" i="5"/>
  <c r="BF653" i="5" s="1"/>
  <c r="AT653" i="5" s="1"/>
  <c r="BE652" i="5"/>
  <c r="BF652" i="5" s="1"/>
  <c r="AT652" i="5" s="1"/>
  <c r="BE651" i="5"/>
  <c r="BF651" i="5" s="1"/>
  <c r="AT651" i="5" s="1"/>
  <c r="BE650" i="5"/>
  <c r="BF650" i="5" s="1"/>
  <c r="AT650" i="5" s="1"/>
  <c r="BE649" i="5"/>
  <c r="BF649" i="5" s="1"/>
  <c r="AT649" i="5" s="1"/>
  <c r="BE648" i="5"/>
  <c r="BF648" i="5" s="1"/>
  <c r="AT648" i="5" s="1"/>
  <c r="BE647" i="5"/>
  <c r="BF647" i="5" s="1"/>
  <c r="AT647" i="5" s="1"/>
  <c r="BE646" i="5"/>
  <c r="BF646" i="5" s="1"/>
  <c r="AT646" i="5" s="1"/>
  <c r="BE645" i="5"/>
  <c r="BF645" i="5" s="1"/>
  <c r="AT645" i="5" s="1"/>
  <c r="BE644" i="5"/>
  <c r="BF644" i="5" s="1"/>
  <c r="AT644" i="5" s="1"/>
  <c r="BE643" i="5"/>
  <c r="BF643" i="5" s="1"/>
  <c r="AT643" i="5" s="1"/>
  <c r="BE642" i="5"/>
  <c r="BF642" i="5" s="1"/>
  <c r="AT642" i="5" s="1"/>
  <c r="BE641" i="5"/>
  <c r="BF641" i="5" s="1"/>
  <c r="AT641" i="5" s="1"/>
  <c r="BE640" i="5"/>
  <c r="BF640" i="5" s="1"/>
  <c r="AT640" i="5" s="1"/>
  <c r="BE638" i="5"/>
  <c r="BF638" i="5" s="1"/>
  <c r="AT638" i="5" s="1"/>
  <c r="BE637" i="5"/>
  <c r="BF637" i="5" s="1"/>
  <c r="AT637" i="5" s="1"/>
  <c r="BE636" i="5"/>
  <c r="BF636" i="5" s="1"/>
  <c r="AT636" i="5" s="1"/>
  <c r="BE635" i="5"/>
  <c r="BF635" i="5" s="1"/>
  <c r="AT635" i="5" s="1"/>
  <c r="BE634" i="5"/>
  <c r="BF634" i="5" s="1"/>
  <c r="AT634" i="5" s="1"/>
  <c r="BE633" i="5"/>
  <c r="BF633" i="5" s="1"/>
  <c r="AT633" i="5" s="1"/>
  <c r="BE632" i="5"/>
  <c r="BF632" i="5" s="1"/>
  <c r="AT632" i="5" s="1"/>
  <c r="BE631" i="5"/>
  <c r="BF631" i="5" s="1"/>
  <c r="AT631" i="5" s="1"/>
  <c r="BE630" i="5"/>
  <c r="BF630" i="5" s="1"/>
  <c r="AT630" i="5" s="1"/>
  <c r="BE628" i="5"/>
  <c r="BF628" i="5" s="1"/>
  <c r="AT628" i="5" s="1"/>
  <c r="BE627" i="5"/>
  <c r="BF627" i="5" s="1"/>
  <c r="AT627" i="5" s="1"/>
  <c r="BE626" i="5"/>
  <c r="BF626" i="5" s="1"/>
  <c r="AT626" i="5" s="1"/>
  <c r="BE625" i="5"/>
  <c r="BF625" i="5" s="1"/>
  <c r="AT625" i="5" s="1"/>
  <c r="BE624" i="5"/>
  <c r="BF624" i="5" s="1"/>
  <c r="AT624" i="5" s="1"/>
  <c r="BE623" i="5"/>
  <c r="BF623" i="5" s="1"/>
  <c r="AT623" i="5" s="1"/>
  <c r="BE622" i="5"/>
  <c r="BF622" i="5" s="1"/>
  <c r="AT622" i="5" s="1"/>
  <c r="BE621" i="5"/>
  <c r="BF621" i="5" s="1"/>
  <c r="AT621" i="5" s="1"/>
  <c r="BE620" i="5"/>
  <c r="BE619" i="5"/>
  <c r="BE618" i="5"/>
  <c r="BF618" i="5" s="1"/>
  <c r="AT618" i="5" s="1"/>
  <c r="BE617" i="5"/>
  <c r="BF617" i="5" s="1"/>
  <c r="AT617" i="5" s="1"/>
  <c r="BE616" i="5"/>
  <c r="BF616" i="5" s="1"/>
  <c r="AT616" i="5" s="1"/>
  <c r="BE615" i="5"/>
  <c r="BF615" i="5" s="1"/>
  <c r="AT615" i="5" s="1"/>
  <c r="BE614" i="5"/>
  <c r="BF614" i="5" s="1"/>
  <c r="AT614" i="5" s="1"/>
  <c r="BE613" i="5"/>
  <c r="BF613" i="5" s="1"/>
  <c r="AT613" i="5" s="1"/>
  <c r="BE611" i="5"/>
  <c r="BF611" i="5" s="1"/>
  <c r="AT611" i="5" s="1"/>
  <c r="BE610" i="5"/>
  <c r="BF610" i="5" s="1"/>
  <c r="AT610" i="5" s="1"/>
  <c r="BE609" i="5"/>
  <c r="BF609" i="5" s="1"/>
  <c r="AT609" i="5" s="1"/>
  <c r="BE608" i="5"/>
  <c r="BF608" i="5" s="1"/>
  <c r="AT608" i="5" s="1"/>
  <c r="BE607" i="5"/>
  <c r="BF607" i="5" s="1"/>
  <c r="AT607" i="5" s="1"/>
  <c r="BE606" i="5"/>
  <c r="BF606" i="5" s="1"/>
  <c r="AT606" i="5" s="1"/>
  <c r="BE605" i="5"/>
  <c r="BF605" i="5" s="1"/>
  <c r="AT605" i="5" s="1"/>
  <c r="BE604" i="5"/>
  <c r="BF604" i="5" s="1"/>
  <c r="AT604" i="5" s="1"/>
  <c r="BE603" i="5"/>
  <c r="BF603" i="5" s="1"/>
  <c r="AT603" i="5" s="1"/>
  <c r="BE601" i="5"/>
  <c r="BF601" i="5" s="1"/>
  <c r="AT601" i="5" s="1"/>
  <c r="BE600" i="5"/>
  <c r="BF600" i="5" s="1"/>
  <c r="AT600" i="5" s="1"/>
  <c r="BE599" i="5"/>
  <c r="BF599" i="5" s="1"/>
  <c r="AT599" i="5" s="1"/>
  <c r="BE598" i="5"/>
  <c r="BF598" i="5" s="1"/>
  <c r="AT598" i="5" s="1"/>
  <c r="BE597" i="5"/>
  <c r="BF597" i="5" s="1"/>
  <c r="AT597" i="5" s="1"/>
  <c r="BE596" i="5"/>
  <c r="BF596" i="5" s="1"/>
  <c r="AT596" i="5" s="1"/>
  <c r="BE595" i="5"/>
  <c r="BF595" i="5" s="1"/>
  <c r="AT595" i="5" s="1"/>
  <c r="BE594" i="5"/>
  <c r="BF594" i="5" s="1"/>
  <c r="AT594" i="5" s="1"/>
  <c r="BE593" i="5"/>
  <c r="BF593" i="5" s="1"/>
  <c r="AT593" i="5" s="1"/>
  <c r="BE592" i="5"/>
  <c r="BF592" i="5" s="1"/>
  <c r="AT592" i="5" s="1"/>
  <c r="BE591" i="5"/>
  <c r="BF591" i="5" s="1"/>
  <c r="AT591" i="5" s="1"/>
  <c r="BE590" i="5"/>
  <c r="BF590" i="5" s="1"/>
  <c r="AT590" i="5" s="1"/>
  <c r="BE589" i="5"/>
  <c r="BF589" i="5" s="1"/>
  <c r="AT589" i="5" s="1"/>
  <c r="BE588" i="5"/>
  <c r="BF588" i="5" s="1"/>
  <c r="AT588" i="5" s="1"/>
  <c r="BE587" i="5"/>
  <c r="BF587" i="5" s="1"/>
  <c r="AT587" i="5" s="1"/>
  <c r="BE586" i="5"/>
  <c r="BF586" i="5" s="1"/>
  <c r="AT586" i="5" s="1"/>
  <c r="BE585" i="5"/>
  <c r="BF585" i="5" s="1"/>
  <c r="AT585" i="5" s="1"/>
  <c r="BE584" i="5"/>
  <c r="BF584" i="5" s="1"/>
  <c r="AT584" i="5" s="1"/>
  <c r="BE583" i="5"/>
  <c r="BF583" i="5" s="1"/>
  <c r="AT583" i="5" s="1"/>
  <c r="BE582" i="5"/>
  <c r="BF582" i="5" s="1"/>
  <c r="AT582" i="5" s="1"/>
  <c r="BE581" i="5"/>
  <c r="BF581" i="5" s="1"/>
  <c r="AT581" i="5" s="1"/>
  <c r="BE580" i="5"/>
  <c r="BF580" i="5" s="1"/>
  <c r="AT580" i="5" s="1"/>
  <c r="BE579" i="5"/>
  <c r="BE578" i="5"/>
  <c r="BF578" i="5" s="1"/>
  <c r="AT578" i="5" s="1"/>
  <c r="BE577" i="5"/>
  <c r="BF577" i="5" s="1"/>
  <c r="AT577" i="5" s="1"/>
  <c r="BE576" i="5"/>
  <c r="BF576" i="5" s="1"/>
  <c r="AT576" i="5" s="1"/>
  <c r="BE575" i="5"/>
  <c r="BF575" i="5" s="1"/>
  <c r="AT575" i="5" s="1"/>
  <c r="BE574" i="5"/>
  <c r="BF574" i="5" s="1"/>
  <c r="AT574" i="5" s="1"/>
  <c r="BE573" i="5"/>
  <c r="BF573" i="5" s="1"/>
  <c r="AT573" i="5" s="1"/>
  <c r="BE572" i="5"/>
  <c r="BF572" i="5" s="1"/>
  <c r="AT572" i="5" s="1"/>
  <c r="BE571" i="5"/>
  <c r="BF571" i="5" s="1"/>
  <c r="AT571" i="5" s="1"/>
  <c r="BE570" i="5"/>
  <c r="BF570" i="5" s="1"/>
  <c r="AT570" i="5" s="1"/>
  <c r="BE569" i="5"/>
  <c r="BF569" i="5" s="1"/>
  <c r="AT569" i="5" s="1"/>
  <c r="BE568" i="5"/>
  <c r="BF568" i="5" s="1"/>
  <c r="AT568" i="5" s="1"/>
  <c r="BE567" i="5"/>
  <c r="BE566" i="5"/>
  <c r="BF566" i="5" s="1"/>
  <c r="AT566" i="5" s="1"/>
  <c r="BE565" i="5"/>
  <c r="BE564" i="5"/>
  <c r="BF564" i="5" s="1"/>
  <c r="AT564" i="5" s="1"/>
  <c r="BE563" i="5"/>
  <c r="BF563" i="5" s="1"/>
  <c r="AT563" i="5" s="1"/>
  <c r="BE562" i="5"/>
  <c r="BF562" i="5" s="1"/>
  <c r="AT562" i="5" s="1"/>
  <c r="BE561" i="5"/>
  <c r="BF561" i="5" s="1"/>
  <c r="AT561" i="5" s="1"/>
  <c r="BE560" i="5"/>
  <c r="BF560" i="5" s="1"/>
  <c r="AT560" i="5" s="1"/>
  <c r="BE559" i="5"/>
  <c r="BF559" i="5" s="1"/>
  <c r="AT559" i="5" s="1"/>
  <c r="BE558" i="5"/>
  <c r="BE557" i="5"/>
  <c r="BF557" i="5" s="1"/>
  <c r="AT557" i="5" s="1"/>
  <c r="BE556" i="5"/>
  <c r="BF556" i="5" s="1"/>
  <c r="AT556" i="5" s="1"/>
  <c r="BE555" i="5"/>
  <c r="BF555" i="5" s="1"/>
  <c r="AT555" i="5" s="1"/>
  <c r="BE554" i="5"/>
  <c r="BF554" i="5" s="1"/>
  <c r="AT554" i="5" s="1"/>
  <c r="BE553" i="5"/>
  <c r="BF553" i="5" s="1"/>
  <c r="AT553" i="5" s="1"/>
  <c r="BE552" i="5"/>
  <c r="BF552" i="5" s="1"/>
  <c r="AT552" i="5" s="1"/>
  <c r="BE551" i="5"/>
  <c r="BF551" i="5" s="1"/>
  <c r="AT551" i="5" s="1"/>
  <c r="BE549" i="5"/>
  <c r="BF549" i="5" s="1"/>
  <c r="AT549" i="5" s="1"/>
  <c r="BE548" i="5"/>
  <c r="BF548" i="5" s="1"/>
  <c r="AT548" i="5" s="1"/>
  <c r="BE547" i="5"/>
  <c r="BF547" i="5" s="1"/>
  <c r="AT547" i="5" s="1"/>
  <c r="BE546" i="5"/>
  <c r="BF546" i="5" s="1"/>
  <c r="AT546" i="5" s="1"/>
  <c r="BE545" i="5"/>
  <c r="BF545" i="5" s="1"/>
  <c r="AT545" i="5" s="1"/>
  <c r="BE544" i="5"/>
  <c r="BF544" i="5" s="1"/>
  <c r="AT544" i="5" s="1"/>
  <c r="BE543" i="5"/>
  <c r="BF543" i="5" s="1"/>
  <c r="AT543" i="5" s="1"/>
  <c r="BE542" i="5"/>
  <c r="BE541" i="5"/>
  <c r="BF541" i="5" s="1"/>
  <c r="AT541" i="5" s="1"/>
  <c r="BE540" i="5"/>
  <c r="BF540" i="5" s="1"/>
  <c r="AT540" i="5" s="1"/>
  <c r="BE539" i="5"/>
  <c r="BF539" i="5" s="1"/>
  <c r="AT539" i="5" s="1"/>
  <c r="BE538" i="5"/>
  <c r="BF538" i="5" s="1"/>
  <c r="AT538" i="5" s="1"/>
  <c r="BE537" i="5"/>
  <c r="BF537" i="5" s="1"/>
  <c r="AT537" i="5" s="1"/>
  <c r="BE536" i="5"/>
  <c r="BF536" i="5" s="1"/>
  <c r="AT536" i="5" s="1"/>
  <c r="BE535" i="5"/>
  <c r="BF535" i="5" s="1"/>
  <c r="AT535" i="5" s="1"/>
  <c r="BE534" i="5"/>
  <c r="BF534" i="5" s="1"/>
  <c r="AT534" i="5" s="1"/>
  <c r="BE533" i="5"/>
  <c r="BF533" i="5" s="1"/>
  <c r="AT533" i="5" s="1"/>
  <c r="BE532" i="5"/>
  <c r="BF532" i="5" s="1"/>
  <c r="AT532" i="5" s="1"/>
  <c r="BE531" i="5"/>
  <c r="BF531" i="5" s="1"/>
  <c r="AT531" i="5" s="1"/>
  <c r="BE530" i="5"/>
  <c r="BF530" i="5" s="1"/>
  <c r="AT530" i="5" s="1"/>
  <c r="BE529" i="5"/>
  <c r="BF529" i="5" s="1"/>
  <c r="AT529" i="5" s="1"/>
  <c r="BE528" i="5"/>
  <c r="BF528" i="5" s="1"/>
  <c r="AT528" i="5" s="1"/>
  <c r="BE527" i="5"/>
  <c r="BF527" i="5" s="1"/>
  <c r="AT527" i="5" s="1"/>
  <c r="BE526" i="5"/>
  <c r="BF526" i="5" s="1"/>
  <c r="AT526" i="5" s="1"/>
  <c r="BE525" i="5"/>
  <c r="BF525" i="5" s="1"/>
  <c r="AT525" i="5" s="1"/>
  <c r="BE524" i="5"/>
  <c r="BF524" i="5" s="1"/>
  <c r="AT524" i="5" s="1"/>
  <c r="BE523" i="5"/>
  <c r="BF523" i="5" s="1"/>
  <c r="AT523" i="5" s="1"/>
  <c r="BE522" i="5"/>
  <c r="BF522" i="5" s="1"/>
  <c r="AT522" i="5" s="1"/>
  <c r="BE521" i="5"/>
  <c r="BF521" i="5" s="1"/>
  <c r="AT521" i="5" s="1"/>
  <c r="BE520" i="5"/>
  <c r="BF520" i="5" s="1"/>
  <c r="AT520" i="5" s="1"/>
  <c r="BE519" i="5"/>
  <c r="BF519" i="5" s="1"/>
  <c r="AT519" i="5" s="1"/>
  <c r="BE518" i="5"/>
  <c r="BF518" i="5" s="1"/>
  <c r="AT518" i="5" s="1"/>
  <c r="BE517" i="5"/>
  <c r="BF517" i="5" s="1"/>
  <c r="AT517" i="5" s="1"/>
  <c r="BE516" i="5"/>
  <c r="BE515" i="5"/>
  <c r="BF515" i="5" s="1"/>
  <c r="AT515" i="5" s="1"/>
  <c r="BE514" i="5"/>
  <c r="BF514" i="5" s="1"/>
  <c r="AT514" i="5" s="1"/>
  <c r="BE513" i="5"/>
  <c r="BF513" i="5" s="1"/>
  <c r="AT513" i="5" s="1"/>
  <c r="BE512" i="5"/>
  <c r="BF512" i="5" s="1"/>
  <c r="AT512" i="5" s="1"/>
  <c r="BE511" i="5"/>
  <c r="BE510" i="5"/>
  <c r="BF510" i="5" s="1"/>
  <c r="AT510" i="5" s="1"/>
  <c r="BE509" i="5"/>
  <c r="BF509" i="5" s="1"/>
  <c r="AT509" i="5" s="1"/>
  <c r="BE508" i="5"/>
  <c r="BF508" i="5" s="1"/>
  <c r="AT508" i="5" s="1"/>
  <c r="BE507" i="5"/>
  <c r="BE506" i="5"/>
  <c r="BF506" i="5" s="1"/>
  <c r="AT506" i="5" s="1"/>
  <c r="BE505" i="5"/>
  <c r="BF505" i="5" s="1"/>
  <c r="AT505" i="5" s="1"/>
  <c r="BE504" i="5"/>
  <c r="BF504" i="5" s="1"/>
  <c r="AT504" i="5" s="1"/>
  <c r="BE503" i="5"/>
  <c r="BE502" i="5"/>
  <c r="BF502" i="5" s="1"/>
  <c r="AT502" i="5" s="1"/>
  <c r="BE501" i="5"/>
  <c r="BF501" i="5" s="1"/>
  <c r="AT501" i="5" s="1"/>
  <c r="BE500" i="5"/>
  <c r="BF500" i="5" s="1"/>
  <c r="AT500" i="5" s="1"/>
  <c r="BE499" i="5"/>
  <c r="BF499" i="5" s="1"/>
  <c r="AT499" i="5" s="1"/>
  <c r="BE498" i="5"/>
  <c r="BF498" i="5" s="1"/>
  <c r="AT498" i="5" s="1"/>
  <c r="BE497" i="5"/>
  <c r="BF497" i="5" s="1"/>
  <c r="AT497" i="5" s="1"/>
  <c r="BE496" i="5"/>
  <c r="BF496" i="5" s="1"/>
  <c r="AT496" i="5" s="1"/>
  <c r="BE495" i="5"/>
  <c r="BF495" i="5" s="1"/>
  <c r="AT495" i="5" s="1"/>
  <c r="BE494" i="5"/>
  <c r="BF494" i="5" s="1"/>
  <c r="AT494" i="5" s="1"/>
  <c r="BE493" i="5"/>
  <c r="BF493" i="5" s="1"/>
  <c r="AT493" i="5" s="1"/>
  <c r="BE491" i="5"/>
  <c r="BF491" i="5" s="1"/>
  <c r="AT491" i="5" s="1"/>
  <c r="BE490" i="5"/>
  <c r="BF490" i="5" s="1"/>
  <c r="AT490" i="5" s="1"/>
  <c r="BE489" i="5"/>
  <c r="BF489" i="5" s="1"/>
  <c r="AT489" i="5" s="1"/>
  <c r="BE488" i="5"/>
  <c r="BF488" i="5" s="1"/>
  <c r="AT488" i="5" s="1"/>
  <c r="BE487" i="5"/>
  <c r="BF487" i="5" s="1"/>
  <c r="AT487" i="5" s="1"/>
  <c r="BE486" i="5"/>
  <c r="BF486" i="5" s="1"/>
  <c r="AT486" i="5" s="1"/>
  <c r="BE485" i="5"/>
  <c r="BF485" i="5" s="1"/>
  <c r="AT485" i="5" s="1"/>
  <c r="BE484" i="5"/>
  <c r="BF484" i="5" s="1"/>
  <c r="AT484" i="5" s="1"/>
  <c r="BE483" i="5"/>
  <c r="BF483" i="5" s="1"/>
  <c r="AT483" i="5" s="1"/>
  <c r="BE482" i="5"/>
  <c r="BF482" i="5" s="1"/>
  <c r="AT482" i="5" s="1"/>
  <c r="BE481" i="5"/>
  <c r="BF481" i="5" s="1"/>
  <c r="AT481" i="5" s="1"/>
  <c r="BE480" i="5"/>
  <c r="BF480" i="5" s="1"/>
  <c r="AT480" i="5" s="1"/>
  <c r="BE479" i="5"/>
  <c r="BF479" i="5" s="1"/>
  <c r="AT479" i="5" s="1"/>
  <c r="BE478" i="5"/>
  <c r="BF478" i="5" s="1"/>
  <c r="AT478" i="5" s="1"/>
  <c r="BE477" i="5"/>
  <c r="BF477" i="5" s="1"/>
  <c r="AT477" i="5" s="1"/>
  <c r="BE476" i="5"/>
  <c r="BF476" i="5" s="1"/>
  <c r="AT476" i="5" s="1"/>
  <c r="BE475" i="5"/>
  <c r="BF475" i="5" s="1"/>
  <c r="AT475" i="5" s="1"/>
  <c r="BE474" i="5"/>
  <c r="BF474" i="5" s="1"/>
  <c r="AT474" i="5" s="1"/>
  <c r="BE473" i="5"/>
  <c r="BF473" i="5" s="1"/>
  <c r="AT473" i="5" s="1"/>
  <c r="BE472" i="5"/>
  <c r="BF472" i="5" s="1"/>
  <c r="AT472" i="5" s="1"/>
  <c r="BE471" i="5"/>
  <c r="BF471" i="5" s="1"/>
  <c r="AT471" i="5" s="1"/>
  <c r="BE470" i="5"/>
  <c r="BF470" i="5" s="1"/>
  <c r="AT470" i="5" s="1"/>
  <c r="BE469" i="5"/>
  <c r="BF469" i="5" s="1"/>
  <c r="AT469" i="5" s="1"/>
  <c r="BE468" i="5"/>
  <c r="BF468" i="5" s="1"/>
  <c r="AT468" i="5" s="1"/>
  <c r="BE467" i="5"/>
  <c r="BF467" i="5" s="1"/>
  <c r="AT467" i="5" s="1"/>
  <c r="BE466" i="5"/>
  <c r="BF466" i="5" s="1"/>
  <c r="AT466" i="5" s="1"/>
  <c r="BE465" i="5"/>
  <c r="BF465" i="5" s="1"/>
  <c r="AT465" i="5" s="1"/>
  <c r="BE464" i="5"/>
  <c r="BF464" i="5" s="1"/>
  <c r="AT464" i="5" s="1"/>
  <c r="BE463" i="5"/>
  <c r="BF463" i="5" s="1"/>
  <c r="AT463" i="5" s="1"/>
  <c r="BE462" i="5"/>
  <c r="BF462" i="5" s="1"/>
  <c r="AT462" i="5" s="1"/>
  <c r="BE461" i="5"/>
  <c r="BF461" i="5" s="1"/>
  <c r="AT461" i="5" s="1"/>
  <c r="BE460" i="5"/>
  <c r="BF460" i="5" s="1"/>
  <c r="AT460" i="5" s="1"/>
  <c r="BE459" i="5"/>
  <c r="BF459" i="5" s="1"/>
  <c r="AT459" i="5" s="1"/>
  <c r="BE458" i="5"/>
  <c r="BF458" i="5" s="1"/>
  <c r="AT458" i="5" s="1"/>
  <c r="BE457" i="5"/>
  <c r="BF457" i="5" s="1"/>
  <c r="AT457" i="5" s="1"/>
  <c r="BE456" i="5"/>
  <c r="BF456" i="5" s="1"/>
  <c r="AT456" i="5" s="1"/>
  <c r="BE455" i="5"/>
  <c r="BF455" i="5" s="1"/>
  <c r="AT455" i="5" s="1"/>
  <c r="BE454" i="5"/>
  <c r="BF454" i="5" s="1"/>
  <c r="AT454" i="5" s="1"/>
  <c r="BE453" i="5"/>
  <c r="BF453" i="5" s="1"/>
  <c r="AT453" i="5" s="1"/>
  <c r="BE452" i="5"/>
  <c r="BF452" i="5" s="1"/>
  <c r="AT452" i="5" s="1"/>
  <c r="BE451" i="5"/>
  <c r="BF451" i="5" s="1"/>
  <c r="AT451" i="5" s="1"/>
  <c r="BE450" i="5"/>
  <c r="BF450" i="5" s="1"/>
  <c r="AT450" i="5" s="1"/>
  <c r="BE449" i="5"/>
  <c r="BF449" i="5" s="1"/>
  <c r="AT449" i="5" s="1"/>
  <c r="BE448" i="5"/>
  <c r="BF448" i="5" s="1"/>
  <c r="AT448" i="5" s="1"/>
  <c r="BE447" i="5"/>
  <c r="BF447" i="5" s="1"/>
  <c r="AT447" i="5" s="1"/>
  <c r="BE446" i="5"/>
  <c r="BF446" i="5" s="1"/>
  <c r="AT446" i="5" s="1"/>
  <c r="BE445" i="5"/>
  <c r="BF445" i="5" s="1"/>
  <c r="AT445" i="5" s="1"/>
  <c r="BE444" i="5"/>
  <c r="BF444" i="5" s="1"/>
  <c r="AT444" i="5" s="1"/>
  <c r="BE443" i="5"/>
  <c r="BF443" i="5" s="1"/>
  <c r="AT443" i="5" s="1"/>
  <c r="BE442" i="5"/>
  <c r="BF442" i="5" s="1"/>
  <c r="AT442" i="5" s="1"/>
  <c r="BE441" i="5"/>
  <c r="BF441" i="5" s="1"/>
  <c r="AT441" i="5" s="1"/>
  <c r="BE440" i="5"/>
  <c r="BF440" i="5" s="1"/>
  <c r="AT440" i="5" s="1"/>
  <c r="BE439" i="5"/>
  <c r="BF439" i="5" s="1"/>
  <c r="AT439" i="5" s="1"/>
  <c r="BE438" i="5"/>
  <c r="BF438" i="5" s="1"/>
  <c r="AT438" i="5" s="1"/>
  <c r="BE437" i="5"/>
  <c r="BF437" i="5" s="1"/>
  <c r="AT437" i="5" s="1"/>
  <c r="BE435" i="5"/>
  <c r="BF435" i="5" s="1"/>
  <c r="AT435" i="5" s="1"/>
  <c r="BE434" i="5"/>
  <c r="BF434" i="5" s="1"/>
  <c r="AT434" i="5" s="1"/>
  <c r="BE433" i="5"/>
  <c r="BF433" i="5" s="1"/>
  <c r="AT433" i="5" s="1"/>
  <c r="BE432" i="5"/>
  <c r="BF432" i="5" s="1"/>
  <c r="AT432" i="5" s="1"/>
  <c r="BE431" i="5"/>
  <c r="BF431" i="5" s="1"/>
  <c r="AT431" i="5" s="1"/>
  <c r="BE430" i="5"/>
  <c r="BF430" i="5" s="1"/>
  <c r="AT430" i="5" s="1"/>
  <c r="BE429" i="5"/>
  <c r="BF429" i="5" s="1"/>
  <c r="AT429" i="5" s="1"/>
  <c r="BE428" i="5"/>
  <c r="BF428" i="5" s="1"/>
  <c r="AT428" i="5" s="1"/>
  <c r="BE427" i="5"/>
  <c r="BF427" i="5" s="1"/>
  <c r="AT427" i="5" s="1"/>
  <c r="BE426" i="5"/>
  <c r="BF426" i="5" s="1"/>
  <c r="AT426" i="5" s="1"/>
  <c r="BE425" i="5"/>
  <c r="BF425" i="5" s="1"/>
  <c r="AT425" i="5" s="1"/>
  <c r="BE424" i="5"/>
  <c r="BF424" i="5" s="1"/>
  <c r="AT424" i="5" s="1"/>
  <c r="BE423" i="5"/>
  <c r="BF423" i="5" s="1"/>
  <c r="AT423" i="5" s="1"/>
  <c r="BE422" i="5"/>
  <c r="BF422" i="5" s="1"/>
  <c r="AT422" i="5" s="1"/>
  <c r="BE421" i="5"/>
  <c r="BF421" i="5" s="1"/>
  <c r="AT421" i="5" s="1"/>
  <c r="BE420" i="5"/>
  <c r="BF420" i="5" s="1"/>
  <c r="AT420" i="5" s="1"/>
  <c r="BE419" i="5"/>
  <c r="BF419" i="5" s="1"/>
  <c r="AT419" i="5" s="1"/>
  <c r="BE418" i="5"/>
  <c r="BF418" i="5" s="1"/>
  <c r="AT418" i="5" s="1"/>
  <c r="BE417" i="5"/>
  <c r="BF417" i="5" s="1"/>
  <c r="AT417" i="5" s="1"/>
  <c r="BE416" i="5"/>
  <c r="BF416" i="5" s="1"/>
  <c r="AT416" i="5" s="1"/>
  <c r="BE415" i="5"/>
  <c r="BF415" i="5" s="1"/>
  <c r="AT415" i="5" s="1"/>
  <c r="BE414" i="5"/>
  <c r="BF414" i="5" s="1"/>
  <c r="AT414" i="5" s="1"/>
  <c r="BE413" i="5"/>
  <c r="BF413" i="5" s="1"/>
  <c r="AT413" i="5" s="1"/>
  <c r="BE412" i="5"/>
  <c r="BF412" i="5" s="1"/>
  <c r="AT412" i="5" s="1"/>
  <c r="BE411" i="5"/>
  <c r="BF411" i="5" s="1"/>
  <c r="AT411" i="5" s="1"/>
  <c r="BE410" i="5"/>
  <c r="BF410" i="5" s="1"/>
  <c r="AT410" i="5" s="1"/>
  <c r="BE409" i="5"/>
  <c r="BF409" i="5" s="1"/>
  <c r="AT409" i="5" s="1"/>
  <c r="BE408" i="5"/>
  <c r="BF408" i="5" s="1"/>
  <c r="AT408" i="5" s="1"/>
  <c r="BE407" i="5"/>
  <c r="BF407" i="5" s="1"/>
  <c r="AT407" i="5" s="1"/>
  <c r="BE406" i="5"/>
  <c r="BF406" i="5" s="1"/>
  <c r="AT406" i="5" s="1"/>
  <c r="BE405" i="5"/>
  <c r="BF405" i="5" s="1"/>
  <c r="AT405" i="5" s="1"/>
  <c r="BE404" i="5"/>
  <c r="BF404" i="5" s="1"/>
  <c r="AT404" i="5" s="1"/>
  <c r="BE403" i="5"/>
  <c r="BF403" i="5" s="1"/>
  <c r="AT403" i="5" s="1"/>
  <c r="BE402" i="5"/>
  <c r="BF402" i="5" s="1"/>
  <c r="AT402" i="5" s="1"/>
  <c r="BE401" i="5"/>
  <c r="BF401" i="5" s="1"/>
  <c r="AT401" i="5" s="1"/>
  <c r="BE400" i="5"/>
  <c r="BF400" i="5" s="1"/>
  <c r="AT400" i="5" s="1"/>
  <c r="BE398" i="5"/>
  <c r="BE397" i="5"/>
  <c r="BF397" i="5" s="1"/>
  <c r="AT397" i="5" s="1"/>
  <c r="BE396" i="5"/>
  <c r="BF396" i="5" s="1"/>
  <c r="AT396" i="5" s="1"/>
  <c r="BE395" i="5"/>
  <c r="BF395" i="5" s="1"/>
  <c r="AT395" i="5" s="1"/>
  <c r="BE394" i="5"/>
  <c r="BE393" i="5"/>
  <c r="BF393" i="5" s="1"/>
  <c r="AT393" i="5" s="1"/>
  <c r="BE392" i="5"/>
  <c r="BF392" i="5" s="1"/>
  <c r="AT392" i="5" s="1"/>
  <c r="BE391" i="5"/>
  <c r="BF391" i="5" s="1"/>
  <c r="AT391" i="5" s="1"/>
  <c r="BE390" i="5"/>
  <c r="BF390" i="5" s="1"/>
  <c r="AT390" i="5" s="1"/>
  <c r="BE389" i="5"/>
  <c r="BF389" i="5" s="1"/>
  <c r="AT389" i="5" s="1"/>
  <c r="BE388" i="5"/>
  <c r="BF388" i="5" s="1"/>
  <c r="AT388" i="5" s="1"/>
  <c r="BE387" i="5"/>
  <c r="BF387" i="5" s="1"/>
  <c r="AT387" i="5" s="1"/>
  <c r="BE386" i="5"/>
  <c r="BF386" i="5" s="1"/>
  <c r="AT386" i="5" s="1"/>
  <c r="BE385" i="5"/>
  <c r="BF385" i="5" s="1"/>
  <c r="AT385" i="5" s="1"/>
  <c r="BE383" i="5"/>
  <c r="BF383" i="5" s="1"/>
  <c r="AT383" i="5" s="1"/>
  <c r="BE382" i="5"/>
  <c r="BF382" i="5" s="1"/>
  <c r="AT382" i="5" s="1"/>
  <c r="BE381" i="5"/>
  <c r="BE380" i="5"/>
  <c r="BF380" i="5" s="1"/>
  <c r="AT380" i="5" s="1"/>
  <c r="BE379" i="5"/>
  <c r="BF379" i="5" s="1"/>
  <c r="AT379" i="5" s="1"/>
  <c r="BE378" i="5"/>
  <c r="BF378" i="5" s="1"/>
  <c r="AT378" i="5" s="1"/>
  <c r="BE377" i="5"/>
  <c r="BF377" i="5" s="1"/>
  <c r="AT377" i="5" s="1"/>
  <c r="BE376" i="5"/>
  <c r="BF376" i="5" s="1"/>
  <c r="AT376" i="5" s="1"/>
  <c r="BE375" i="5"/>
  <c r="BF375" i="5" s="1"/>
  <c r="AT375" i="5" s="1"/>
  <c r="BE373" i="5"/>
  <c r="BF373" i="5" s="1"/>
  <c r="AT373" i="5" s="1"/>
  <c r="BE372" i="5"/>
  <c r="BF372" i="5" s="1"/>
  <c r="AT372" i="5" s="1"/>
  <c r="BE371" i="5"/>
  <c r="BF371" i="5" s="1"/>
  <c r="AT371" i="5" s="1"/>
  <c r="BE370" i="5"/>
  <c r="BF370" i="5" s="1"/>
  <c r="AT370" i="5" s="1"/>
  <c r="BE369" i="5"/>
  <c r="BF369" i="5" s="1"/>
  <c r="AT369" i="5" s="1"/>
  <c r="BE368" i="5"/>
  <c r="BF368" i="5" s="1"/>
  <c r="AT368" i="5" s="1"/>
  <c r="BE367" i="5"/>
  <c r="BF367" i="5" s="1"/>
  <c r="AT367" i="5" s="1"/>
  <c r="BE366" i="5"/>
  <c r="BF366" i="5" s="1"/>
  <c r="AT366" i="5" s="1"/>
  <c r="BE365" i="5"/>
  <c r="BF365" i="5" s="1"/>
  <c r="AT365" i="5" s="1"/>
  <c r="BE364" i="5"/>
  <c r="BF364" i="5" s="1"/>
  <c r="AT364" i="5" s="1"/>
  <c r="BE363" i="5"/>
  <c r="BE362" i="5"/>
  <c r="BF362" i="5" s="1"/>
  <c r="AT362" i="5" s="1"/>
  <c r="BE360" i="5"/>
  <c r="BF360" i="5" s="1"/>
  <c r="AT360" i="5" s="1"/>
  <c r="BE359" i="5"/>
  <c r="BF359" i="5" s="1"/>
  <c r="AT359" i="5" s="1"/>
  <c r="BE358" i="5"/>
  <c r="BF358" i="5" s="1"/>
  <c r="AT358" i="5" s="1"/>
  <c r="BE357" i="5"/>
  <c r="BF357" i="5" s="1"/>
  <c r="AT357" i="5" s="1"/>
  <c r="BE356" i="5"/>
  <c r="BF356" i="5" s="1"/>
  <c r="AT356" i="5" s="1"/>
  <c r="BE355" i="5"/>
  <c r="BF355" i="5" s="1"/>
  <c r="AT355" i="5" s="1"/>
  <c r="BE354" i="5"/>
  <c r="BF354" i="5" s="1"/>
  <c r="AT354" i="5" s="1"/>
  <c r="BE353" i="5"/>
  <c r="BF353" i="5" s="1"/>
  <c r="AT353" i="5" s="1"/>
  <c r="BE352" i="5"/>
  <c r="BF352" i="5" s="1"/>
  <c r="AT352" i="5" s="1"/>
  <c r="BE351" i="5"/>
  <c r="BF351" i="5" s="1"/>
  <c r="AT351" i="5" s="1"/>
  <c r="BE350" i="5"/>
  <c r="BE349" i="5"/>
  <c r="BF349" i="5" s="1"/>
  <c r="AT349" i="5" s="1"/>
  <c r="BE348" i="5"/>
  <c r="BF348" i="5" s="1"/>
  <c r="AT348" i="5" s="1"/>
  <c r="BE347" i="5"/>
  <c r="BE346" i="5"/>
  <c r="BF346" i="5" s="1"/>
  <c r="AT346" i="5" s="1"/>
  <c r="BE345" i="5"/>
  <c r="BF345" i="5" s="1"/>
  <c r="AT345" i="5" s="1"/>
  <c r="BE344" i="5"/>
  <c r="BF344" i="5" s="1"/>
  <c r="AT344" i="5" s="1"/>
  <c r="BE343" i="5"/>
  <c r="BF343" i="5" s="1"/>
  <c r="AT343" i="5" s="1"/>
  <c r="BE342" i="5"/>
  <c r="BF342" i="5" s="1"/>
  <c r="AT342" i="5" s="1"/>
  <c r="BE341" i="5"/>
  <c r="BF341" i="5" s="1"/>
  <c r="AT341" i="5" s="1"/>
  <c r="BE340" i="5"/>
  <c r="BF340" i="5" s="1"/>
  <c r="AT340" i="5" s="1"/>
  <c r="BE339" i="5"/>
  <c r="BF339" i="5" s="1"/>
  <c r="AT339" i="5" s="1"/>
  <c r="BE338" i="5"/>
  <c r="BF338" i="5" s="1"/>
  <c r="AT338" i="5" s="1"/>
  <c r="BE337" i="5"/>
  <c r="BF337" i="5" s="1"/>
  <c r="AT337" i="5" s="1"/>
  <c r="BE336" i="5"/>
  <c r="BF336" i="5" s="1"/>
  <c r="AT336" i="5" s="1"/>
  <c r="BE335" i="5"/>
  <c r="BF335" i="5" s="1"/>
  <c r="AT335" i="5" s="1"/>
  <c r="BE334" i="5"/>
  <c r="BF334" i="5" s="1"/>
  <c r="AT334" i="5" s="1"/>
  <c r="BE333" i="5"/>
  <c r="BF333" i="5" s="1"/>
  <c r="AT333" i="5" s="1"/>
  <c r="BE332" i="5"/>
  <c r="BF332" i="5" s="1"/>
  <c r="AT332" i="5" s="1"/>
  <c r="BE331" i="5"/>
  <c r="BF331" i="5" s="1"/>
  <c r="AT331" i="5" s="1"/>
  <c r="BE330" i="5"/>
  <c r="BF330" i="5" s="1"/>
  <c r="AT330" i="5" s="1"/>
  <c r="BE329" i="5"/>
  <c r="BF329" i="5" s="1"/>
  <c r="AT329" i="5" s="1"/>
  <c r="BE328" i="5"/>
  <c r="BF328" i="5" s="1"/>
  <c r="AT328" i="5" s="1"/>
  <c r="BE327" i="5"/>
  <c r="BF327" i="5" s="1"/>
  <c r="AT327" i="5" s="1"/>
  <c r="BE325" i="5"/>
  <c r="BF325" i="5" s="1"/>
  <c r="AT325" i="5" s="1"/>
  <c r="BE324" i="5"/>
  <c r="BF324" i="5" s="1"/>
  <c r="AT324" i="5" s="1"/>
  <c r="BE323" i="5"/>
  <c r="BF323" i="5" s="1"/>
  <c r="AT323" i="5" s="1"/>
  <c r="BE322" i="5"/>
  <c r="BF322" i="5" s="1"/>
  <c r="AT322" i="5" s="1"/>
  <c r="BE321" i="5"/>
  <c r="BF321" i="5" s="1"/>
  <c r="AT321" i="5" s="1"/>
  <c r="BE320" i="5"/>
  <c r="BF320" i="5" s="1"/>
  <c r="AT320" i="5" s="1"/>
  <c r="BE319" i="5"/>
  <c r="BF319" i="5" s="1"/>
  <c r="AT319" i="5" s="1"/>
  <c r="BE318" i="5"/>
  <c r="BF318" i="5" s="1"/>
  <c r="AT318" i="5" s="1"/>
  <c r="BE317" i="5"/>
  <c r="BF317" i="5" s="1"/>
  <c r="AT317" i="5" s="1"/>
  <c r="BE316" i="5"/>
  <c r="BF316" i="5" s="1"/>
  <c r="AT316" i="5" s="1"/>
  <c r="BE315" i="5"/>
  <c r="BF315" i="5" s="1"/>
  <c r="AT315" i="5" s="1"/>
  <c r="BE314" i="5"/>
  <c r="BF314" i="5" s="1"/>
  <c r="AT314" i="5" s="1"/>
  <c r="BE312" i="5"/>
  <c r="BE311" i="5"/>
  <c r="BF311" i="5" s="1"/>
  <c r="AT311" i="5" s="1"/>
  <c r="BE310" i="5"/>
  <c r="BE309" i="5"/>
  <c r="BF309" i="5" s="1"/>
  <c r="AT309" i="5" s="1"/>
  <c r="BE308" i="5"/>
  <c r="BE307" i="5"/>
  <c r="BF307" i="5" s="1"/>
  <c r="AT307" i="5" s="1"/>
  <c r="BE306" i="5"/>
  <c r="BE305" i="5"/>
  <c r="BF305" i="5" s="1"/>
  <c r="AT305" i="5" s="1"/>
  <c r="BE304" i="5"/>
  <c r="BE303" i="5"/>
  <c r="BF303" i="5" s="1"/>
  <c r="AT303" i="5" s="1"/>
  <c r="BE302" i="5"/>
  <c r="BE301" i="5"/>
  <c r="BF301" i="5" s="1"/>
  <c r="AT301" i="5" s="1"/>
  <c r="BE300" i="5"/>
  <c r="BE299" i="5"/>
  <c r="BF299" i="5" s="1"/>
  <c r="AT299" i="5" s="1"/>
  <c r="BE298" i="5"/>
  <c r="BE297" i="5"/>
  <c r="BF297" i="5" s="1"/>
  <c r="AT297" i="5" s="1"/>
  <c r="BE296" i="5"/>
  <c r="BE295" i="5"/>
  <c r="BF295" i="5" s="1"/>
  <c r="AT295" i="5" s="1"/>
  <c r="BE294" i="5"/>
  <c r="BF294" i="5" s="1"/>
  <c r="AT294" i="5" s="1"/>
  <c r="BE293" i="5"/>
  <c r="BF293" i="5" s="1"/>
  <c r="AT293" i="5" s="1"/>
  <c r="BE292" i="5"/>
  <c r="BF292" i="5" s="1"/>
  <c r="AT292" i="5" s="1"/>
  <c r="BE291" i="5"/>
  <c r="BF291" i="5" s="1"/>
  <c r="AT291" i="5" s="1"/>
  <c r="BE290" i="5"/>
  <c r="BE289" i="5"/>
  <c r="BF289" i="5" s="1"/>
  <c r="AT289" i="5" s="1"/>
  <c r="BE288" i="5"/>
  <c r="BE287" i="5"/>
  <c r="BF287" i="5" s="1"/>
  <c r="AT287" i="5" s="1"/>
  <c r="BE285" i="5"/>
  <c r="BF285" i="5" s="1"/>
  <c r="AT285" i="5" s="1"/>
  <c r="BE284" i="5"/>
  <c r="BF284" i="5" s="1"/>
  <c r="AT284" i="5" s="1"/>
  <c r="BE283" i="5"/>
  <c r="BF283" i="5" s="1"/>
  <c r="AT283" i="5" s="1"/>
  <c r="BE282" i="5"/>
  <c r="BF282" i="5" s="1"/>
  <c r="AT282" i="5" s="1"/>
  <c r="BE281" i="5"/>
  <c r="BE280" i="5"/>
  <c r="BF280" i="5" s="1"/>
  <c r="AT280" i="5" s="1"/>
  <c r="BE279" i="5"/>
  <c r="BF279" i="5" s="1"/>
  <c r="AT279" i="5" s="1"/>
  <c r="BE278" i="5"/>
  <c r="BF278" i="5" s="1"/>
  <c r="AT278" i="5" s="1"/>
  <c r="BE277" i="5"/>
  <c r="BF277" i="5" s="1"/>
  <c r="AT277" i="5" s="1"/>
  <c r="BE275" i="5"/>
  <c r="BF275" i="5" s="1"/>
  <c r="AT275" i="5" s="1"/>
  <c r="BE274" i="5"/>
  <c r="BF274" i="5" s="1"/>
  <c r="AT274" i="5" s="1"/>
  <c r="BE273" i="5"/>
  <c r="BF273" i="5" s="1"/>
  <c r="AT273" i="5" s="1"/>
  <c r="BE272" i="5"/>
  <c r="BF272" i="5" s="1"/>
  <c r="AT272" i="5" s="1"/>
  <c r="BE271" i="5"/>
  <c r="BF271" i="5" s="1"/>
  <c r="AT271" i="5" s="1"/>
  <c r="BE270" i="5"/>
  <c r="BF270" i="5" s="1"/>
  <c r="AT270" i="5" s="1"/>
  <c r="BE269" i="5"/>
  <c r="BF269" i="5" s="1"/>
  <c r="AT269" i="5" s="1"/>
  <c r="BE268" i="5"/>
  <c r="BF268" i="5" s="1"/>
  <c r="AT268" i="5" s="1"/>
  <c r="BE267" i="5"/>
  <c r="BF267" i="5" s="1"/>
  <c r="AT267" i="5" s="1"/>
  <c r="BE266" i="5"/>
  <c r="BE265" i="5"/>
  <c r="BF265" i="5" s="1"/>
  <c r="AT265" i="5" s="1"/>
  <c r="BE264" i="5"/>
  <c r="BF264" i="5" s="1"/>
  <c r="AT264" i="5" s="1"/>
  <c r="BE263" i="5"/>
  <c r="BE262" i="5"/>
  <c r="BF262" i="5" s="1"/>
  <c r="AT262" i="5" s="1"/>
  <c r="BE261" i="5"/>
  <c r="BF261" i="5" s="1"/>
  <c r="AT261" i="5" s="1"/>
  <c r="BE260" i="5"/>
  <c r="BF260" i="5" s="1"/>
  <c r="AT260" i="5" s="1"/>
  <c r="BE259" i="5"/>
  <c r="BF259" i="5" s="1"/>
  <c r="AT259" i="5" s="1"/>
  <c r="BE258" i="5"/>
  <c r="BF258" i="5" s="1"/>
  <c r="AT258" i="5" s="1"/>
  <c r="BE257" i="5"/>
  <c r="BF257" i="5" s="1"/>
  <c r="AT257" i="5" s="1"/>
  <c r="BE256" i="5"/>
  <c r="BF256" i="5" s="1"/>
  <c r="AT256" i="5" s="1"/>
  <c r="BE255" i="5"/>
  <c r="BF255" i="5" s="1"/>
  <c r="AT255" i="5" s="1"/>
  <c r="BE254" i="5"/>
  <c r="BF254" i="5" s="1"/>
  <c r="AT254" i="5" s="1"/>
  <c r="BE253" i="5"/>
  <c r="BF253" i="5" s="1"/>
  <c r="AT253" i="5" s="1"/>
  <c r="BE251" i="5"/>
  <c r="BE250" i="5"/>
  <c r="BF250" i="5" s="1"/>
  <c r="AT250" i="5" s="1"/>
  <c r="BE249" i="5"/>
  <c r="BF249" i="5" s="1"/>
  <c r="AT249" i="5" s="1"/>
  <c r="BE248" i="5"/>
  <c r="BF248" i="5" s="1"/>
  <c r="AT248" i="5" s="1"/>
  <c r="BE247" i="5"/>
  <c r="BF247" i="5" s="1"/>
  <c r="AT247" i="5" s="1"/>
  <c r="BE246" i="5"/>
  <c r="BF246" i="5" s="1"/>
  <c r="AT246" i="5" s="1"/>
  <c r="BE245" i="5"/>
  <c r="BF245" i="5" s="1"/>
  <c r="AT245" i="5" s="1"/>
  <c r="BE244" i="5"/>
  <c r="BF244" i="5" s="1"/>
  <c r="AT244" i="5" s="1"/>
  <c r="BE243" i="5"/>
  <c r="BF243" i="5" s="1"/>
  <c r="AT243" i="5" s="1"/>
  <c r="BE242" i="5"/>
  <c r="BF242" i="5" s="1"/>
  <c r="AT242" i="5" s="1"/>
  <c r="BE241" i="5"/>
  <c r="BF241" i="5" s="1"/>
  <c r="AT241" i="5" s="1"/>
  <c r="BE240" i="5"/>
  <c r="BF240" i="5" s="1"/>
  <c r="AT240" i="5" s="1"/>
  <c r="BE239" i="5"/>
  <c r="BF239" i="5" s="1"/>
  <c r="AT239" i="5" s="1"/>
  <c r="BE238" i="5"/>
  <c r="BF238" i="5" s="1"/>
  <c r="AT238" i="5" s="1"/>
  <c r="BE237" i="5"/>
  <c r="BF237" i="5" s="1"/>
  <c r="AT237" i="5" s="1"/>
  <c r="BE236" i="5"/>
  <c r="BF236" i="5" s="1"/>
  <c r="AT236" i="5" s="1"/>
  <c r="BE235" i="5"/>
  <c r="BF235" i="5" s="1"/>
  <c r="AT235" i="5" s="1"/>
  <c r="BE234" i="5"/>
  <c r="BF234" i="5" s="1"/>
  <c r="AT234" i="5" s="1"/>
  <c r="BE233" i="5"/>
  <c r="BF233" i="5" s="1"/>
  <c r="AT233" i="5" s="1"/>
  <c r="BE232" i="5"/>
  <c r="BF232" i="5" s="1"/>
  <c r="AT232" i="5" s="1"/>
  <c r="BE231" i="5"/>
  <c r="BF231" i="5" s="1"/>
  <c r="AT231" i="5" s="1"/>
  <c r="BE230" i="5"/>
  <c r="BF230" i="5" s="1"/>
  <c r="AT230" i="5" s="1"/>
  <c r="BE229" i="5"/>
  <c r="BF229" i="5" s="1"/>
  <c r="AT229" i="5" s="1"/>
  <c r="BE228" i="5"/>
  <c r="BF228" i="5" s="1"/>
  <c r="AT228" i="5" s="1"/>
  <c r="BE227" i="5"/>
  <c r="BF227" i="5" s="1"/>
  <c r="AT227" i="5" s="1"/>
  <c r="BE226" i="5"/>
  <c r="BF226" i="5" s="1"/>
  <c r="AT226" i="5" s="1"/>
  <c r="BE224" i="5"/>
  <c r="BF224" i="5" s="1"/>
  <c r="AT224" i="5" s="1"/>
  <c r="BE223" i="5"/>
  <c r="BF223" i="5" s="1"/>
  <c r="AT223" i="5" s="1"/>
  <c r="BE222" i="5"/>
  <c r="BF222" i="5" s="1"/>
  <c r="AT222" i="5" s="1"/>
  <c r="BE221" i="5"/>
  <c r="BF221" i="5" s="1"/>
  <c r="AT221" i="5" s="1"/>
  <c r="BE220" i="5"/>
  <c r="BF220" i="5" s="1"/>
  <c r="AT220" i="5" s="1"/>
  <c r="BE219" i="5"/>
  <c r="BF219" i="5" s="1"/>
  <c r="AT219" i="5" s="1"/>
  <c r="BE218" i="5"/>
  <c r="BF218" i="5" s="1"/>
  <c r="AT218" i="5" s="1"/>
  <c r="BE217" i="5"/>
  <c r="BF217" i="5" s="1"/>
  <c r="AT217" i="5" s="1"/>
  <c r="BE216" i="5"/>
  <c r="BF216" i="5" s="1"/>
  <c r="AT216" i="5" s="1"/>
  <c r="BE215" i="5"/>
  <c r="BF215" i="5" s="1"/>
  <c r="AT215" i="5" s="1"/>
  <c r="BE214" i="5"/>
  <c r="BF214" i="5" s="1"/>
  <c r="AT214" i="5" s="1"/>
  <c r="BE213" i="5"/>
  <c r="BF213" i="5" s="1"/>
  <c r="AT213" i="5" s="1"/>
  <c r="BE212" i="5"/>
  <c r="BF212" i="5" s="1"/>
  <c r="AT212" i="5" s="1"/>
  <c r="BE211" i="5"/>
  <c r="BF211" i="5" s="1"/>
  <c r="AT211" i="5" s="1"/>
  <c r="BE210" i="5"/>
  <c r="BF210" i="5" s="1"/>
  <c r="AT210" i="5" s="1"/>
  <c r="BE209" i="5"/>
  <c r="BF209" i="5" s="1"/>
  <c r="AT209" i="5" s="1"/>
  <c r="BE208" i="5"/>
  <c r="BF208" i="5" s="1"/>
  <c r="AT208" i="5" s="1"/>
  <c r="BE207" i="5"/>
  <c r="BF207" i="5" s="1"/>
  <c r="AT207" i="5" s="1"/>
  <c r="BE206" i="5"/>
  <c r="BE205" i="5"/>
  <c r="BF205" i="5" s="1"/>
  <c r="AT205" i="5" s="1"/>
  <c r="BE204" i="5"/>
  <c r="BF204" i="5" s="1"/>
  <c r="AT204" i="5" s="1"/>
  <c r="BE203" i="5"/>
  <c r="BF203" i="5" s="1"/>
  <c r="AT203" i="5" s="1"/>
  <c r="BE202" i="5"/>
  <c r="BF202" i="5" s="1"/>
  <c r="AT202" i="5" s="1"/>
  <c r="BE201" i="5"/>
  <c r="BE200" i="5"/>
  <c r="BE199" i="5"/>
  <c r="BF199" i="5" s="1"/>
  <c r="AT199" i="5" s="1"/>
  <c r="BE197" i="5"/>
  <c r="BF197" i="5" s="1"/>
  <c r="AT197" i="5" s="1"/>
  <c r="BE196" i="5"/>
  <c r="BF196" i="5" s="1"/>
  <c r="AT196" i="5" s="1"/>
  <c r="BE195" i="5"/>
  <c r="BF195" i="5" s="1"/>
  <c r="AT195" i="5" s="1"/>
  <c r="BE194" i="5"/>
  <c r="BF194" i="5" s="1"/>
  <c r="AT194" i="5" s="1"/>
  <c r="BE193" i="5"/>
  <c r="BF193" i="5" s="1"/>
  <c r="AT193" i="5" s="1"/>
  <c r="BE192" i="5"/>
  <c r="BF192" i="5" s="1"/>
  <c r="AT192" i="5" s="1"/>
  <c r="BE191" i="5"/>
  <c r="BF191" i="5" s="1"/>
  <c r="AT191" i="5" s="1"/>
  <c r="BE190" i="5"/>
  <c r="BF190" i="5" s="1"/>
  <c r="AT190" i="5" s="1"/>
  <c r="BE189" i="5"/>
  <c r="BE188" i="5"/>
  <c r="BF188" i="5" s="1"/>
  <c r="AT188" i="5" s="1"/>
  <c r="BE187" i="5"/>
  <c r="BE186" i="5"/>
  <c r="BF186" i="5" s="1"/>
  <c r="AT186" i="5" s="1"/>
  <c r="BE185" i="5"/>
  <c r="BE184" i="5"/>
  <c r="BF184" i="5" s="1"/>
  <c r="AT184" i="5" s="1"/>
  <c r="BE183" i="5"/>
  <c r="BE182" i="5"/>
  <c r="BF182" i="5" s="1"/>
  <c r="AT182" i="5" s="1"/>
  <c r="BE181" i="5"/>
  <c r="BE180" i="5"/>
  <c r="BF180" i="5" s="1"/>
  <c r="AT180" i="5" s="1"/>
  <c r="BE179" i="5"/>
  <c r="BE178" i="5"/>
  <c r="BF178" i="5" s="1"/>
  <c r="AT178" i="5" s="1"/>
  <c r="BE177" i="5"/>
  <c r="BE176" i="5"/>
  <c r="BF176" i="5" s="1"/>
  <c r="AT176" i="5" s="1"/>
  <c r="BE175" i="5"/>
  <c r="BE174" i="5"/>
  <c r="BF174" i="5" s="1"/>
  <c r="AT174" i="5" s="1"/>
  <c r="BE173" i="5"/>
  <c r="BE172" i="5"/>
  <c r="BF172" i="5" s="1"/>
  <c r="AT172" i="5" s="1"/>
  <c r="BE170" i="5"/>
  <c r="BF170" i="5" s="1"/>
  <c r="AT170" i="5" s="1"/>
  <c r="BE169" i="5"/>
  <c r="BF169" i="5" s="1"/>
  <c r="AT169" i="5" s="1"/>
  <c r="BE168" i="5"/>
  <c r="BF168" i="5" s="1"/>
  <c r="AT168" i="5" s="1"/>
  <c r="BE167" i="5"/>
  <c r="BF167" i="5" s="1"/>
  <c r="AT167" i="5" s="1"/>
  <c r="BE166" i="5"/>
  <c r="BF166" i="5" s="1"/>
  <c r="AT166" i="5" s="1"/>
  <c r="BE165" i="5"/>
  <c r="BF165" i="5" s="1"/>
  <c r="AT165" i="5" s="1"/>
  <c r="BE164" i="5"/>
  <c r="BF164" i="5" s="1"/>
  <c r="AT164" i="5" s="1"/>
  <c r="BE163" i="5"/>
  <c r="BF163" i="5" s="1"/>
  <c r="AT163" i="5" s="1"/>
  <c r="BE162" i="5"/>
  <c r="BF162" i="5" s="1"/>
  <c r="AT162" i="5" s="1"/>
  <c r="BE161" i="5"/>
  <c r="BF161" i="5" s="1"/>
  <c r="AT161" i="5" s="1"/>
  <c r="BE160" i="5"/>
  <c r="BF160" i="5" s="1"/>
  <c r="AT160" i="5" s="1"/>
  <c r="BE158" i="5"/>
  <c r="BF158" i="5" s="1"/>
  <c r="AT158" i="5" s="1"/>
  <c r="BE157" i="5"/>
  <c r="BF157" i="5" s="1"/>
  <c r="AT157" i="5" s="1"/>
  <c r="BE156" i="5"/>
  <c r="BF156" i="5" s="1"/>
  <c r="AT156" i="5" s="1"/>
  <c r="BE155" i="5"/>
  <c r="BF155" i="5" s="1"/>
  <c r="AT155" i="5" s="1"/>
  <c r="BE154" i="5"/>
  <c r="BF154" i="5" s="1"/>
  <c r="AT154" i="5" s="1"/>
  <c r="BE153" i="5"/>
  <c r="BF153" i="5" s="1"/>
  <c r="AT153" i="5" s="1"/>
  <c r="BE152" i="5"/>
  <c r="BF152" i="5" s="1"/>
  <c r="AT152" i="5" s="1"/>
  <c r="BE151" i="5"/>
  <c r="BF151" i="5" s="1"/>
  <c r="AT151" i="5" s="1"/>
  <c r="BE150" i="5"/>
  <c r="BF150" i="5" s="1"/>
  <c r="AT150" i="5" s="1"/>
  <c r="BE149" i="5"/>
  <c r="BF149" i="5" s="1"/>
  <c r="AT149" i="5" s="1"/>
  <c r="BE148" i="5"/>
  <c r="BF148" i="5" s="1"/>
  <c r="AT148" i="5" s="1"/>
  <c r="BE147" i="5"/>
  <c r="BF147" i="5" s="1"/>
  <c r="AT147" i="5" s="1"/>
  <c r="BE146" i="5"/>
  <c r="BF146" i="5" s="1"/>
  <c r="AT146" i="5" s="1"/>
  <c r="BE145" i="5"/>
  <c r="BF145" i="5" s="1"/>
  <c r="AT145" i="5" s="1"/>
  <c r="BE144" i="5"/>
  <c r="BF144" i="5" s="1"/>
  <c r="AT144" i="5" s="1"/>
  <c r="BE142" i="5"/>
  <c r="BF142" i="5" s="1"/>
  <c r="BE141" i="5"/>
  <c r="BF141" i="5" s="1"/>
  <c r="BE140" i="5"/>
  <c r="BE139" i="5"/>
  <c r="BF139" i="5" s="1"/>
  <c r="BE138" i="5"/>
  <c r="BF138" i="5" s="1"/>
  <c r="BE137" i="5"/>
  <c r="BE136" i="5"/>
  <c r="BF136" i="5" s="1"/>
  <c r="BE135" i="5"/>
  <c r="BF135" i="5" s="1"/>
  <c r="BE134" i="5"/>
  <c r="BF134" i="5" s="1"/>
  <c r="BE133" i="5"/>
  <c r="BF133" i="5" s="1"/>
  <c r="BE132" i="5"/>
  <c r="BE131" i="5"/>
  <c r="BF131" i="5" s="1"/>
  <c r="BE130" i="5"/>
  <c r="BE129" i="5"/>
  <c r="BF129" i="5" s="1"/>
  <c r="BE128" i="5"/>
  <c r="BE127" i="5"/>
  <c r="BF127" i="5" s="1"/>
  <c r="BE126" i="5"/>
  <c r="BE125" i="5"/>
  <c r="BE124" i="5"/>
  <c r="BE123" i="5"/>
  <c r="BF123" i="5" s="1"/>
  <c r="BE122" i="5"/>
  <c r="BE121" i="5"/>
  <c r="BF121" i="5" s="1"/>
  <c r="BE120" i="5"/>
  <c r="BE119" i="5"/>
  <c r="BF119" i="5" s="1"/>
  <c r="BE118" i="5"/>
  <c r="BE117" i="5"/>
  <c r="BF117" i="5" s="1"/>
  <c r="BE116" i="5"/>
  <c r="BE115" i="5"/>
  <c r="BF115" i="5" s="1"/>
  <c r="BE114" i="5"/>
  <c r="BE113" i="5"/>
  <c r="BF113" i="5" s="1"/>
  <c r="BE112" i="5"/>
  <c r="BE111" i="5"/>
  <c r="BF111" i="5" s="1"/>
  <c r="BE110" i="5"/>
  <c r="BE109" i="5"/>
  <c r="BF109" i="5" s="1"/>
  <c r="BE108" i="5"/>
  <c r="BE107" i="5"/>
  <c r="BF107" i="5" s="1"/>
  <c r="BE106" i="5"/>
  <c r="BF106" i="5" s="1"/>
  <c r="BE105" i="5"/>
  <c r="BE104" i="5"/>
  <c r="BF104" i="5" s="1"/>
  <c r="BE103" i="5"/>
  <c r="BE102" i="5"/>
  <c r="BF102" i="5" s="1"/>
  <c r="BE101" i="5"/>
  <c r="BE100" i="5"/>
  <c r="BF100" i="5" s="1"/>
  <c r="BE99" i="5"/>
  <c r="BE98" i="5"/>
  <c r="BF98" i="5" s="1"/>
  <c r="BE97" i="5"/>
  <c r="BE96" i="5"/>
  <c r="BF96" i="5" s="1"/>
  <c r="BE95" i="5"/>
  <c r="BE94" i="5"/>
  <c r="BF94" i="5" s="1"/>
  <c r="BE93" i="5"/>
  <c r="BE92" i="5"/>
  <c r="BF92" i="5" s="1"/>
  <c r="BE91" i="5"/>
  <c r="BE90" i="5"/>
  <c r="BF90" i="5" s="1"/>
  <c r="BE89" i="5"/>
  <c r="BE88" i="5"/>
  <c r="BF88" i="5" s="1"/>
  <c r="BE87" i="5"/>
  <c r="BE86" i="5"/>
  <c r="BF86" i="5" s="1"/>
  <c r="BE85" i="5"/>
  <c r="BE84" i="5"/>
  <c r="BF84" i="5" s="1"/>
  <c r="BE83" i="5"/>
  <c r="BE82" i="5"/>
  <c r="BF82" i="5" s="1"/>
  <c r="BE81" i="5"/>
  <c r="BE80" i="5"/>
  <c r="BF80" i="5" s="1"/>
  <c r="BE79" i="5"/>
  <c r="BE78" i="5"/>
  <c r="BF78" i="5" s="1"/>
  <c r="BE77" i="5"/>
  <c r="BE76" i="5"/>
  <c r="BF76" i="5" s="1"/>
  <c r="BE75" i="5"/>
  <c r="BE74" i="5"/>
  <c r="BF74" i="5" s="1"/>
  <c r="BE73" i="5"/>
  <c r="BE72" i="5"/>
  <c r="BF72" i="5" s="1"/>
  <c r="BE71" i="5"/>
  <c r="BE70" i="5"/>
  <c r="BF70" i="5" s="1"/>
  <c r="BE69" i="5"/>
  <c r="BE68" i="5"/>
  <c r="BF68" i="5" s="1"/>
  <c r="BE67" i="5"/>
  <c r="BE66" i="5"/>
  <c r="BF66" i="5" s="1"/>
  <c r="BE65" i="5"/>
  <c r="BE64" i="5"/>
  <c r="BF64" i="5" s="1"/>
  <c r="BE63" i="5"/>
  <c r="BE62" i="5"/>
  <c r="BF62" i="5" s="1"/>
  <c r="BE61" i="5"/>
  <c r="BE60" i="5"/>
  <c r="BF60" i="5" s="1"/>
  <c r="BE59" i="5"/>
  <c r="BE58" i="5"/>
  <c r="BF58" i="5" s="1"/>
  <c r="BE57" i="5"/>
  <c r="BE56" i="5"/>
  <c r="BF56" i="5" s="1"/>
  <c r="BE55" i="5"/>
  <c r="BE54" i="5"/>
  <c r="BF54" i="5" s="1"/>
  <c r="BE53" i="5"/>
  <c r="BE52" i="5"/>
  <c r="BF52" i="5" s="1"/>
  <c r="BE51" i="5"/>
  <c r="BE50" i="5"/>
  <c r="BF50" i="5" s="1"/>
  <c r="BE49" i="5"/>
  <c r="BE48" i="5"/>
  <c r="BF48" i="5" s="1"/>
  <c r="BE47" i="5"/>
  <c r="BE46" i="5"/>
  <c r="BF46" i="5" s="1"/>
  <c r="BE45" i="5"/>
  <c r="BE44" i="5"/>
  <c r="BF44" i="5" s="1"/>
  <c r="BE43" i="5"/>
  <c r="BE42" i="5"/>
  <c r="BF42" i="5" s="1"/>
  <c r="BE41" i="5"/>
  <c r="BE40" i="5"/>
  <c r="BF40" i="5" s="1"/>
  <c r="BE39" i="5"/>
  <c r="BE38" i="5"/>
  <c r="BF38" i="5" s="1"/>
  <c r="BE37" i="5"/>
  <c r="BE36" i="5"/>
  <c r="BF36" i="5" s="1"/>
  <c r="BE35" i="5"/>
  <c r="BE34" i="5"/>
  <c r="BF34" i="5" s="1"/>
  <c r="BE33" i="5"/>
  <c r="BE32" i="5"/>
  <c r="BF32" i="5" s="1"/>
  <c r="BE31" i="5"/>
  <c r="BE30" i="5"/>
  <c r="BF30" i="5" s="1"/>
  <c r="BE29" i="5"/>
  <c r="BE28" i="5"/>
  <c r="BF28" i="5" s="1"/>
  <c r="BE27" i="5"/>
  <c r="BE26" i="5"/>
  <c r="BF26" i="5" s="1"/>
  <c r="BE25" i="5"/>
  <c r="BE24" i="5"/>
  <c r="BF24" i="5" s="1"/>
  <c r="BE23" i="5"/>
  <c r="BE22" i="5"/>
  <c r="BF22" i="5" s="1"/>
  <c r="BE21" i="5"/>
  <c r="BE20" i="5"/>
  <c r="BF20" i="5" s="1"/>
  <c r="BE19" i="5"/>
  <c r="BE18" i="5"/>
  <c r="BF18" i="5" s="1"/>
  <c r="BE17" i="5"/>
  <c r="BE16" i="5"/>
  <c r="BF16" i="5" s="1"/>
  <c r="BE15" i="5"/>
  <c r="BE14" i="5"/>
  <c r="BF14" i="5" s="1"/>
  <c r="BE13" i="5"/>
  <c r="BF13" i="5" s="1"/>
  <c r="BF12" i="5"/>
  <c r="BF10" i="5"/>
  <c r="BF11" i="5" s="1"/>
  <c r="BF8" i="5"/>
  <c r="BF9" i="5" s="1"/>
  <c r="BF6" i="5"/>
  <c r="BF7" i="5" s="1"/>
  <c r="BF5" i="5"/>
  <c r="BF4" i="5"/>
  <c r="AK1152" i="5"/>
  <c r="AK1151" i="5"/>
  <c r="AK1150" i="5"/>
  <c r="AK1149" i="5"/>
  <c r="AK1148" i="5"/>
  <c r="AK1147" i="5"/>
  <c r="AK1146" i="5"/>
  <c r="AK1145" i="5"/>
  <c r="AK1144" i="5"/>
  <c r="AK1143" i="5"/>
  <c r="AK1142" i="5"/>
  <c r="AK1141" i="5"/>
  <c r="AK1140" i="5"/>
  <c r="AK1139" i="5"/>
  <c r="AK1138" i="5"/>
  <c r="AK1137" i="5"/>
  <c r="AK1136" i="5"/>
  <c r="AK1135" i="5"/>
  <c r="AK1134" i="5"/>
  <c r="AK1133" i="5"/>
  <c r="AK1132" i="5"/>
  <c r="AK1131" i="5"/>
  <c r="AK1130" i="5"/>
  <c r="AK1129" i="5"/>
  <c r="AK1127" i="5"/>
  <c r="AK1126" i="5"/>
  <c r="AK1125" i="5"/>
  <c r="AK1124" i="5"/>
  <c r="AK1123" i="5"/>
  <c r="AK1122" i="5"/>
  <c r="AK1121" i="5"/>
  <c r="AK1120" i="5"/>
  <c r="AK1119" i="5"/>
  <c r="AK1118" i="5"/>
  <c r="AK1117" i="5"/>
  <c r="AK1116" i="5"/>
  <c r="AK1115" i="5"/>
  <c r="AK1114" i="5"/>
  <c r="AK1113" i="5"/>
  <c r="AK1112" i="5"/>
  <c r="AK1111" i="5"/>
  <c r="AK1110" i="5"/>
  <c r="AK1109" i="5"/>
  <c r="AK1108" i="5"/>
  <c r="AK1107" i="5"/>
  <c r="AK1106" i="5"/>
  <c r="AK1105" i="5"/>
  <c r="AK1104" i="5"/>
  <c r="AK1103" i="5"/>
  <c r="AK1102" i="5"/>
  <c r="AK1101" i="5"/>
  <c r="AK1100" i="5"/>
  <c r="AK1099" i="5"/>
  <c r="AK1098" i="5"/>
  <c r="AK1097" i="5"/>
  <c r="AK1096" i="5"/>
  <c r="AK1095" i="5"/>
  <c r="AK1094" i="5"/>
  <c r="AK1093" i="5"/>
  <c r="AK1092" i="5"/>
  <c r="AK1091" i="5"/>
  <c r="AK1090" i="5"/>
  <c r="AK1089" i="5"/>
  <c r="AK1088" i="5"/>
  <c r="AK1087" i="5"/>
  <c r="AK1086" i="5"/>
  <c r="AK1085" i="5"/>
  <c r="AK1084" i="5"/>
  <c r="AK1083" i="5"/>
  <c r="AK1082" i="5"/>
  <c r="AK1081" i="5"/>
  <c r="AK1080" i="5"/>
  <c r="AK1079" i="5"/>
  <c r="AK1078" i="5"/>
  <c r="AK1077" i="5"/>
  <c r="AK1076" i="5"/>
  <c r="AK1075" i="5"/>
  <c r="AK1074" i="5"/>
  <c r="AK1073" i="5"/>
  <c r="AK1072" i="5"/>
  <c r="AK1071" i="5"/>
  <c r="AK1070" i="5"/>
  <c r="AK1069" i="5"/>
  <c r="AK1068" i="5"/>
  <c r="AK1067" i="5"/>
  <c r="AK1066" i="5"/>
  <c r="AK1065" i="5"/>
  <c r="AK1064" i="5"/>
  <c r="AK1063" i="5"/>
  <c r="AK1062" i="5"/>
  <c r="AK1061" i="5"/>
  <c r="AK1060" i="5"/>
  <c r="AK1059" i="5"/>
  <c r="AK1058" i="5"/>
  <c r="AK1057" i="5"/>
  <c r="AK1056" i="5"/>
  <c r="AK1055" i="5"/>
  <c r="AK1054" i="5"/>
  <c r="AK1053" i="5"/>
  <c r="AK1052" i="5"/>
  <c r="AK1051" i="5"/>
  <c r="AK1050" i="5"/>
  <c r="AK1049" i="5"/>
  <c r="AK1048" i="5"/>
  <c r="AK1047" i="5"/>
  <c r="AK1046" i="5"/>
  <c r="AK1045" i="5"/>
  <c r="AK1044" i="5"/>
  <c r="AK1043" i="5"/>
  <c r="AK1042" i="5"/>
  <c r="AK1041" i="5"/>
  <c r="AK1040" i="5"/>
  <c r="AK1039" i="5"/>
  <c r="AK1038" i="5"/>
  <c r="AK1037" i="5"/>
  <c r="AK1036" i="5"/>
  <c r="AK1035" i="5"/>
  <c r="AK1034" i="5"/>
  <c r="AK1033" i="5"/>
  <c r="AK1032" i="5"/>
  <c r="AK1031" i="5"/>
  <c r="AK1030" i="5"/>
  <c r="AK1029" i="5"/>
  <c r="AK1028" i="5"/>
  <c r="AK1027" i="5"/>
  <c r="AK1026" i="5"/>
  <c r="AK1025" i="5"/>
  <c r="AK1024" i="5"/>
  <c r="AK1023" i="5"/>
  <c r="AK1022" i="5"/>
  <c r="AK1021" i="5"/>
  <c r="AK1020" i="5"/>
  <c r="AK1019" i="5"/>
  <c r="AK1018" i="5"/>
  <c r="AK1017" i="5"/>
  <c r="AK1016" i="5"/>
  <c r="AK1015" i="5"/>
  <c r="AK1014" i="5"/>
  <c r="AK1013" i="5"/>
  <c r="AK1012" i="5"/>
  <c r="AK1011" i="5"/>
  <c r="AK1010" i="5"/>
  <c r="AK1009" i="5"/>
  <c r="AK1008" i="5"/>
  <c r="AK1007" i="5"/>
  <c r="AK1006" i="5"/>
  <c r="AK1005" i="5"/>
  <c r="AK1004" i="5"/>
  <c r="AK1003" i="5"/>
  <c r="AK1002" i="5"/>
  <c r="AK1001" i="5"/>
  <c r="AK1000" i="5"/>
  <c r="AK999" i="5"/>
  <c r="AK998" i="5"/>
  <c r="AK997" i="5"/>
  <c r="AK996" i="5"/>
  <c r="AK995" i="5"/>
  <c r="AK994" i="5"/>
  <c r="AK993" i="5"/>
  <c r="AK992" i="5"/>
  <c r="AK991" i="5"/>
  <c r="AK990" i="5"/>
  <c r="AK989" i="5"/>
  <c r="AK988" i="5"/>
  <c r="AK987" i="5"/>
  <c r="AK986" i="5"/>
  <c r="AK985" i="5"/>
  <c r="AK984" i="5"/>
  <c r="AK983" i="5"/>
  <c r="AK982" i="5"/>
  <c r="AK981" i="5"/>
  <c r="AK980" i="5"/>
  <c r="AK979" i="5"/>
  <c r="AK978" i="5"/>
  <c r="AK977" i="5"/>
  <c r="AK976" i="5"/>
  <c r="AK975" i="5"/>
  <c r="AK974" i="5"/>
  <c r="AK973" i="5"/>
  <c r="AK972" i="5"/>
  <c r="AK971" i="5"/>
  <c r="AK970" i="5"/>
  <c r="AK969" i="5"/>
  <c r="AK968" i="5"/>
  <c r="AK967" i="5"/>
  <c r="AK966" i="5"/>
  <c r="AK965" i="5"/>
  <c r="AK964" i="5"/>
  <c r="AK963" i="5"/>
  <c r="AK962" i="5"/>
  <c r="AK961" i="5"/>
  <c r="AK960" i="5"/>
  <c r="AK959" i="5"/>
  <c r="AK958" i="5"/>
  <c r="AK957" i="5"/>
  <c r="AK956" i="5"/>
  <c r="AK955" i="5"/>
  <c r="AK954" i="5"/>
  <c r="AK952" i="5"/>
  <c r="AK951" i="5"/>
  <c r="AK950" i="5"/>
  <c r="AK949" i="5"/>
  <c r="AK948" i="5"/>
  <c r="AK947" i="5"/>
  <c r="AK946" i="5"/>
  <c r="AK945" i="5"/>
  <c r="AK944" i="5"/>
  <c r="AK943" i="5"/>
  <c r="AK942" i="5"/>
  <c r="AK941" i="5"/>
  <c r="AK940" i="5"/>
  <c r="AK939" i="5"/>
  <c r="AK938" i="5"/>
  <c r="AK937" i="5"/>
  <c r="AK936" i="5"/>
  <c r="AK935" i="5"/>
  <c r="AK934" i="5"/>
  <c r="AK933" i="5"/>
  <c r="AK932" i="5"/>
  <c r="AK931" i="5"/>
  <c r="AK930" i="5"/>
  <c r="AK929" i="5"/>
  <c r="AK928" i="5"/>
  <c r="AK927" i="5"/>
  <c r="AK925" i="5"/>
  <c r="AK924" i="5"/>
  <c r="AK923" i="5"/>
  <c r="AK922" i="5"/>
  <c r="AK921" i="5"/>
  <c r="AK920" i="5"/>
  <c r="AK919" i="5"/>
  <c r="AK918" i="5"/>
  <c r="AK917" i="5"/>
  <c r="AK916" i="5"/>
  <c r="AK915" i="5"/>
  <c r="AK914" i="5"/>
  <c r="AK913" i="5"/>
  <c r="AK912" i="5"/>
  <c r="AK911" i="5"/>
  <c r="AK910" i="5"/>
  <c r="AK909" i="5"/>
  <c r="AK908" i="5"/>
  <c r="AK907" i="5"/>
  <c r="AK906" i="5"/>
  <c r="AK905" i="5"/>
  <c r="AK904" i="5"/>
  <c r="AK903" i="5"/>
  <c r="AK902" i="5"/>
  <c r="AK901" i="5"/>
  <c r="AK900" i="5"/>
  <c r="AK899" i="5"/>
  <c r="AK898" i="5"/>
  <c r="AK897" i="5"/>
  <c r="AK896" i="5"/>
  <c r="AK895" i="5"/>
  <c r="AK894" i="5"/>
  <c r="AK893" i="5"/>
  <c r="AK892" i="5"/>
  <c r="AK891" i="5"/>
  <c r="AK890" i="5"/>
  <c r="AK889" i="5"/>
  <c r="AK888" i="5"/>
  <c r="AK887" i="5"/>
  <c r="AK886" i="5"/>
  <c r="AK885" i="5"/>
  <c r="AK884" i="5"/>
  <c r="AK883" i="5"/>
  <c r="AK882" i="5"/>
  <c r="AK881" i="5"/>
  <c r="AK880" i="5"/>
  <c r="AK879" i="5"/>
  <c r="AK878" i="5"/>
  <c r="AK877" i="5"/>
  <c r="AK876" i="5"/>
  <c r="AK875" i="5"/>
  <c r="AK874" i="5"/>
  <c r="AK873" i="5"/>
  <c r="AK872" i="5"/>
  <c r="AK871" i="5"/>
  <c r="AK870" i="5"/>
  <c r="AK869" i="5"/>
  <c r="AK868" i="5"/>
  <c r="AK867" i="5"/>
  <c r="AK866" i="5"/>
  <c r="AK865" i="5"/>
  <c r="AK864" i="5"/>
  <c r="AK863" i="5"/>
  <c r="AK862" i="5"/>
  <c r="AK861" i="5"/>
  <c r="AK860" i="5"/>
  <c r="AK859" i="5"/>
  <c r="AK858" i="5"/>
  <c r="AK857" i="5"/>
  <c r="AK856" i="5"/>
  <c r="AK855" i="5"/>
  <c r="AK854" i="5"/>
  <c r="AK853" i="5"/>
  <c r="AK852" i="5"/>
  <c r="AK851" i="5"/>
  <c r="AK850" i="5"/>
  <c r="AK849" i="5"/>
  <c r="AK848" i="5"/>
  <c r="AK847" i="5"/>
  <c r="AK846" i="5"/>
  <c r="AK845" i="5"/>
  <c r="AK844" i="5"/>
  <c r="AK843" i="5"/>
  <c r="AK842" i="5"/>
  <c r="AK841" i="5"/>
  <c r="AK840" i="5"/>
  <c r="AK839" i="5"/>
  <c r="AK838" i="5"/>
  <c r="AK837" i="5"/>
  <c r="AK836" i="5"/>
  <c r="AK835" i="5"/>
  <c r="AK834" i="5"/>
  <c r="AK833" i="5"/>
  <c r="AK832" i="5"/>
  <c r="AK831" i="5"/>
  <c r="AK830" i="5"/>
  <c r="AK829" i="5"/>
  <c r="AK828" i="5"/>
  <c r="AK827" i="5"/>
  <c r="AK826" i="5"/>
  <c r="AK825" i="5"/>
  <c r="AK824" i="5"/>
  <c r="AK823" i="5"/>
  <c r="AK822" i="5"/>
  <c r="AK821" i="5"/>
  <c r="AK820" i="5"/>
  <c r="AK819" i="5"/>
  <c r="AK818" i="5"/>
  <c r="AK817" i="5"/>
  <c r="AK816" i="5"/>
  <c r="AK815" i="5"/>
  <c r="AK814" i="5"/>
  <c r="AK813" i="5"/>
  <c r="AK812" i="5"/>
  <c r="AK811" i="5"/>
  <c r="AK810" i="5"/>
  <c r="AK809" i="5"/>
  <c r="AK808" i="5"/>
  <c r="AK807" i="5"/>
  <c r="AK806" i="5"/>
  <c r="AK805" i="5"/>
  <c r="AK804" i="5"/>
  <c r="AK803" i="5"/>
  <c r="AK802" i="5"/>
  <c r="AK801" i="5"/>
  <c r="AK800" i="5"/>
  <c r="AK799" i="5"/>
  <c r="AK798" i="5"/>
  <c r="AK797" i="5"/>
  <c r="AK796" i="5"/>
  <c r="AK795" i="5"/>
  <c r="AK794" i="5"/>
  <c r="AK793" i="5"/>
  <c r="AK792" i="5"/>
  <c r="AK791" i="5"/>
  <c r="AK790" i="5"/>
  <c r="AK789" i="5"/>
  <c r="AK788" i="5"/>
  <c r="AK787" i="5"/>
  <c r="AK786" i="5"/>
  <c r="AK784" i="5"/>
  <c r="AK783" i="5"/>
  <c r="AK782" i="5"/>
  <c r="AK781" i="5"/>
  <c r="AK780" i="5"/>
  <c r="AK779" i="5"/>
  <c r="AK778" i="5"/>
  <c r="AK777" i="5"/>
  <c r="AK776" i="5"/>
  <c r="AK775" i="5"/>
  <c r="AK774" i="5"/>
  <c r="AK773" i="5"/>
  <c r="AK771" i="5"/>
  <c r="AK770" i="5"/>
  <c r="AK769" i="5"/>
  <c r="AK768" i="5"/>
  <c r="AK767" i="5"/>
  <c r="AK766" i="5"/>
  <c r="AK765" i="5"/>
  <c r="AK764" i="5"/>
  <c r="AK763" i="5"/>
  <c r="AK762" i="5"/>
  <c r="AK761" i="5"/>
  <c r="AK760" i="5"/>
  <c r="AK759" i="5"/>
  <c r="AK757" i="5"/>
  <c r="AK756" i="5"/>
  <c r="AK755" i="5"/>
  <c r="AK754" i="5"/>
  <c r="AK753" i="5"/>
  <c r="AK752" i="5"/>
  <c r="AK750" i="5"/>
  <c r="AK749" i="5"/>
  <c r="AK748" i="5"/>
  <c r="AK747" i="5"/>
  <c r="AK746" i="5"/>
  <c r="AK745" i="5"/>
  <c r="AK744" i="5"/>
  <c r="AK743" i="5"/>
  <c r="AK742" i="5"/>
  <c r="AK741" i="5"/>
  <c r="AK740" i="5"/>
  <c r="AK739" i="5"/>
  <c r="AK738" i="5"/>
  <c r="AK737" i="5"/>
  <c r="AK736" i="5"/>
  <c r="AK735" i="5"/>
  <c r="AK734" i="5"/>
  <c r="AK733" i="5"/>
  <c r="AK732" i="5"/>
  <c r="AK730" i="5"/>
  <c r="AK729" i="5"/>
  <c r="AK728" i="5"/>
  <c r="AK727" i="5"/>
  <c r="AK726" i="5"/>
  <c r="AK725" i="5"/>
  <c r="AK724" i="5"/>
  <c r="AK723" i="5"/>
  <c r="AK722" i="5"/>
  <c r="AK721" i="5"/>
  <c r="AK720" i="5"/>
  <c r="AK719" i="5"/>
  <c r="AK718" i="5"/>
  <c r="AK717" i="5"/>
  <c r="AK716" i="5"/>
  <c r="AK715" i="5"/>
  <c r="AK714" i="5"/>
  <c r="AK713" i="5"/>
  <c r="AK712" i="5"/>
  <c r="AK711" i="5"/>
  <c r="AK710" i="5"/>
  <c r="AK709" i="5"/>
  <c r="AK708" i="5"/>
  <c r="AK707" i="5"/>
  <c r="AK706" i="5"/>
  <c r="AK705" i="5"/>
  <c r="AK704" i="5"/>
  <c r="AK703" i="5"/>
  <c r="AK702" i="5"/>
  <c r="AK701" i="5"/>
  <c r="AK700" i="5"/>
  <c r="AK699" i="5"/>
  <c r="AK698" i="5"/>
  <c r="AK697" i="5"/>
  <c r="AK696" i="5"/>
  <c r="AK695" i="5"/>
  <c r="AK694" i="5"/>
  <c r="AK693" i="5"/>
  <c r="AK692" i="5"/>
  <c r="AK691" i="5"/>
  <c r="AK690" i="5"/>
  <c r="AK689" i="5"/>
  <c r="AK688" i="5"/>
  <c r="AK687" i="5"/>
  <c r="AK686" i="5"/>
  <c r="AK685" i="5"/>
  <c r="AK684" i="5"/>
  <c r="AK682" i="5"/>
  <c r="AK681" i="5"/>
  <c r="AK680" i="5"/>
  <c r="AK679" i="5"/>
  <c r="AK678" i="5"/>
  <c r="AK677" i="5"/>
  <c r="AK676" i="5"/>
  <c r="AK675" i="5"/>
  <c r="AK674" i="5"/>
  <c r="AK673" i="5"/>
  <c r="AK672" i="5"/>
  <c r="AK671" i="5"/>
  <c r="AK670" i="5"/>
  <c r="AK669" i="5"/>
  <c r="AK668" i="5"/>
  <c r="AK667" i="5"/>
  <c r="AK666" i="5"/>
  <c r="AK665" i="5"/>
  <c r="AK664" i="5"/>
  <c r="AK663" i="5"/>
  <c r="AK662" i="5"/>
  <c r="AK661" i="5"/>
  <c r="AK660" i="5"/>
  <c r="AK659" i="5"/>
  <c r="AK658" i="5"/>
  <c r="AK657" i="5"/>
  <c r="AK655" i="5"/>
  <c r="AK654" i="5"/>
  <c r="AK653" i="5"/>
  <c r="AK652" i="5"/>
  <c r="AK651" i="5"/>
  <c r="AK650" i="5"/>
  <c r="AK649" i="5"/>
  <c r="AK648" i="5"/>
  <c r="AK647" i="5"/>
  <c r="AK646" i="5"/>
  <c r="AK645" i="5"/>
  <c r="AK644" i="5"/>
  <c r="AK643" i="5"/>
  <c r="AK642" i="5"/>
  <c r="AK641" i="5"/>
  <c r="AK640" i="5"/>
  <c r="AK638" i="5"/>
  <c r="AK637" i="5"/>
  <c r="AK636" i="5"/>
  <c r="AK635" i="5"/>
  <c r="AK634" i="5"/>
  <c r="AK633" i="5"/>
  <c r="AK632" i="5"/>
  <c r="AK631" i="5"/>
  <c r="AK630" i="5"/>
  <c r="AK628" i="5"/>
  <c r="AK627" i="5"/>
  <c r="AK626" i="5"/>
  <c r="AK625" i="5"/>
  <c r="AK624" i="5"/>
  <c r="AK623" i="5"/>
  <c r="AK622" i="5"/>
  <c r="AK621" i="5"/>
  <c r="AK620" i="5"/>
  <c r="AK619" i="5"/>
  <c r="AK618" i="5"/>
  <c r="AK617" i="5"/>
  <c r="AK616" i="5"/>
  <c r="AK615" i="5"/>
  <c r="AK614" i="5"/>
  <c r="AK613" i="5"/>
  <c r="AK611" i="5"/>
  <c r="AK610" i="5"/>
  <c r="AK609" i="5"/>
  <c r="AK608" i="5"/>
  <c r="AK607" i="5"/>
  <c r="AK606" i="5"/>
  <c r="AK605" i="5"/>
  <c r="AK604" i="5"/>
  <c r="AK603" i="5"/>
  <c r="AK601" i="5"/>
  <c r="AK600" i="5"/>
  <c r="AK599" i="5"/>
  <c r="AK598" i="5"/>
  <c r="AK597" i="5"/>
  <c r="AK596" i="5"/>
  <c r="AK595" i="5"/>
  <c r="AK594" i="5"/>
  <c r="AK593" i="5"/>
  <c r="AK592" i="5"/>
  <c r="AK591" i="5"/>
  <c r="AK590" i="5"/>
  <c r="AK589" i="5"/>
  <c r="AK588" i="5"/>
  <c r="AK587" i="5"/>
  <c r="AK586" i="5"/>
  <c r="AK585" i="5"/>
  <c r="AK584" i="5"/>
  <c r="AK583" i="5"/>
  <c r="AK582" i="5"/>
  <c r="AK581" i="5"/>
  <c r="AK580" i="5"/>
  <c r="AK579" i="5"/>
  <c r="AK578" i="5"/>
  <c r="AK577" i="5"/>
  <c r="AK576" i="5"/>
  <c r="AK575" i="5"/>
  <c r="AK574" i="5"/>
  <c r="AK573" i="5"/>
  <c r="AK572" i="5"/>
  <c r="AK571" i="5"/>
  <c r="AK570" i="5"/>
  <c r="AK569" i="5"/>
  <c r="AK568" i="5"/>
  <c r="AK567" i="5"/>
  <c r="AK566" i="5"/>
  <c r="AK565" i="5"/>
  <c r="AK564" i="5"/>
  <c r="AK563" i="5"/>
  <c r="AK562" i="5"/>
  <c r="AK561" i="5"/>
  <c r="AK560" i="5"/>
  <c r="AK559" i="5"/>
  <c r="AK558" i="5"/>
  <c r="AK557" i="5"/>
  <c r="AK556" i="5"/>
  <c r="AK555" i="5"/>
  <c r="AK554" i="5"/>
  <c r="AK553" i="5"/>
  <c r="AK552" i="5"/>
  <c r="AK551" i="5"/>
  <c r="AK549" i="5"/>
  <c r="AK548" i="5"/>
  <c r="AK547" i="5"/>
  <c r="AK546" i="5"/>
  <c r="AK545" i="5"/>
  <c r="AK544" i="5"/>
  <c r="AK543" i="5"/>
  <c r="AK542" i="5"/>
  <c r="AK541" i="5"/>
  <c r="AK540" i="5"/>
  <c r="AK539" i="5"/>
  <c r="AK538" i="5"/>
  <c r="AK537" i="5"/>
  <c r="AK536" i="5"/>
  <c r="AK535" i="5"/>
  <c r="AK534" i="5"/>
  <c r="AK533" i="5"/>
  <c r="AK532" i="5"/>
  <c r="AK531" i="5"/>
  <c r="AK530" i="5"/>
  <c r="AK529" i="5"/>
  <c r="AK528" i="5"/>
  <c r="AK527" i="5"/>
  <c r="AK526" i="5"/>
  <c r="AK525" i="5"/>
  <c r="AK524" i="5"/>
  <c r="AK523" i="5"/>
  <c r="AK522" i="5"/>
  <c r="AK521" i="5"/>
  <c r="AK520" i="5"/>
  <c r="AK519" i="5"/>
  <c r="AK518" i="5"/>
  <c r="AK517" i="5"/>
  <c r="AK516" i="5"/>
  <c r="AK515" i="5"/>
  <c r="AK514" i="5"/>
  <c r="AK513" i="5"/>
  <c r="AK512" i="5"/>
  <c r="AK511" i="5"/>
  <c r="AK510" i="5"/>
  <c r="AK509" i="5"/>
  <c r="AK508" i="5"/>
  <c r="AK507" i="5"/>
  <c r="AK506" i="5"/>
  <c r="AK505" i="5"/>
  <c r="AK504" i="5"/>
  <c r="AK503" i="5"/>
  <c r="AK502" i="5"/>
  <c r="AK501" i="5"/>
  <c r="AK500" i="5"/>
  <c r="AK499" i="5"/>
  <c r="AK498" i="5"/>
  <c r="AK497" i="5"/>
  <c r="AK496" i="5"/>
  <c r="AK495" i="5"/>
  <c r="AK494" i="5"/>
  <c r="AK493" i="5"/>
  <c r="AK491" i="5"/>
  <c r="AK490" i="5"/>
  <c r="AK489" i="5"/>
  <c r="AK488" i="5"/>
  <c r="AK487" i="5"/>
  <c r="AK486" i="5"/>
  <c r="AK485" i="5"/>
  <c r="AK484" i="5"/>
  <c r="AK483" i="5"/>
  <c r="AK482" i="5"/>
  <c r="AK481" i="5"/>
  <c r="AK480" i="5"/>
  <c r="AK479" i="5"/>
  <c r="AK478" i="5"/>
  <c r="AK477" i="5"/>
  <c r="AK476" i="5"/>
  <c r="AK475" i="5"/>
  <c r="AK474" i="5"/>
  <c r="AK473" i="5"/>
  <c r="AK472" i="5"/>
  <c r="AK471" i="5"/>
  <c r="AK470" i="5"/>
  <c r="AK469" i="5"/>
  <c r="AK468" i="5"/>
  <c r="AK467" i="5"/>
  <c r="AK466" i="5"/>
  <c r="AK465" i="5"/>
  <c r="AK464" i="5"/>
  <c r="AK463" i="5"/>
  <c r="AK462" i="5"/>
  <c r="AK461" i="5"/>
  <c r="AK460" i="5"/>
  <c r="AK459" i="5"/>
  <c r="AK458" i="5"/>
  <c r="AK457" i="5"/>
  <c r="AK456" i="5"/>
  <c r="AK455" i="5"/>
  <c r="AK454" i="5"/>
  <c r="AK453" i="5"/>
  <c r="AK452" i="5"/>
  <c r="AK451" i="5"/>
  <c r="AK450" i="5"/>
  <c r="AK449" i="5"/>
  <c r="AK448" i="5"/>
  <c r="AK447" i="5"/>
  <c r="AK446" i="5"/>
  <c r="AK445" i="5"/>
  <c r="AK444" i="5"/>
  <c r="AK443" i="5"/>
  <c r="AK442" i="5"/>
  <c r="AK441" i="5"/>
  <c r="AK440" i="5"/>
  <c r="AK439" i="5"/>
  <c r="AK438" i="5"/>
  <c r="AK437" i="5"/>
  <c r="AK435" i="5"/>
  <c r="AK434" i="5"/>
  <c r="AK433" i="5"/>
  <c r="AK432" i="5"/>
  <c r="AK431" i="5"/>
  <c r="AK430" i="5"/>
  <c r="AK429" i="5"/>
  <c r="AK428" i="5"/>
  <c r="AK427" i="5"/>
  <c r="AK426" i="5"/>
  <c r="AK425" i="5"/>
  <c r="AK424" i="5"/>
  <c r="AK423" i="5"/>
  <c r="AK422" i="5"/>
  <c r="AK421" i="5"/>
  <c r="AK420" i="5"/>
  <c r="AK419" i="5"/>
  <c r="AK418" i="5"/>
  <c r="AK417" i="5"/>
  <c r="AK416" i="5"/>
  <c r="AK415" i="5"/>
  <c r="AK414" i="5"/>
  <c r="AK413" i="5"/>
  <c r="AK412" i="5"/>
  <c r="AK411" i="5"/>
  <c r="AK410" i="5"/>
  <c r="AK409" i="5"/>
  <c r="AK408" i="5"/>
  <c r="AK407" i="5"/>
  <c r="AK406" i="5"/>
  <c r="AK405" i="5"/>
  <c r="AK404" i="5"/>
  <c r="AK403" i="5"/>
  <c r="AK402" i="5"/>
  <c r="AK401" i="5"/>
  <c r="AK400" i="5"/>
  <c r="AK398" i="5"/>
  <c r="AK397" i="5"/>
  <c r="AK396" i="5"/>
  <c r="AK395" i="5"/>
  <c r="AK394" i="5"/>
  <c r="AK393" i="5"/>
  <c r="AK392" i="5"/>
  <c r="AK391" i="5"/>
  <c r="AK390" i="5"/>
  <c r="AK389" i="5"/>
  <c r="AK388" i="5"/>
  <c r="AK387" i="5"/>
  <c r="AK386" i="5"/>
  <c r="AK385" i="5"/>
  <c r="AK383" i="5"/>
  <c r="AK382" i="5"/>
  <c r="AK381" i="5"/>
  <c r="AK380" i="5"/>
  <c r="AK379" i="5"/>
  <c r="AK378" i="5"/>
  <c r="AK377" i="5"/>
  <c r="AK376" i="5"/>
  <c r="AK375" i="5"/>
  <c r="AK373" i="5"/>
  <c r="AK372" i="5"/>
  <c r="AK371" i="5"/>
  <c r="AK370" i="5"/>
  <c r="AK369" i="5"/>
  <c r="AK368" i="5"/>
  <c r="AK367" i="5"/>
  <c r="AK366" i="5"/>
  <c r="AK365" i="5"/>
  <c r="AK364" i="5"/>
  <c r="AK363" i="5"/>
  <c r="AK362" i="5"/>
  <c r="AK360" i="5"/>
  <c r="AK359" i="5"/>
  <c r="AK358" i="5"/>
  <c r="AK357" i="5"/>
  <c r="AK356" i="5"/>
  <c r="AK355" i="5"/>
  <c r="AK354" i="5"/>
  <c r="AK353" i="5"/>
  <c r="AK352" i="5"/>
  <c r="AK351" i="5"/>
  <c r="AK350" i="5"/>
  <c r="AK349" i="5"/>
  <c r="AK348" i="5"/>
  <c r="AK347" i="5"/>
  <c r="AK346" i="5"/>
  <c r="AK345" i="5"/>
  <c r="AK344" i="5"/>
  <c r="AK343" i="5"/>
  <c r="AK342" i="5"/>
  <c r="AK341" i="5"/>
  <c r="AK340" i="5"/>
  <c r="AK339" i="5"/>
  <c r="AK338" i="5"/>
  <c r="AK337" i="5"/>
  <c r="AK336" i="5"/>
  <c r="AK335" i="5"/>
  <c r="AK334" i="5"/>
  <c r="AK333" i="5"/>
  <c r="AK332" i="5"/>
  <c r="AK331" i="5"/>
  <c r="AK330" i="5"/>
  <c r="AK329" i="5"/>
  <c r="AK328" i="5"/>
  <c r="AK327" i="5"/>
  <c r="AK325" i="5"/>
  <c r="AK324" i="5"/>
  <c r="AK323" i="5"/>
  <c r="AK322" i="5"/>
  <c r="AK321" i="5"/>
  <c r="AK320" i="5"/>
  <c r="AK319" i="5"/>
  <c r="AK318" i="5"/>
  <c r="AK317" i="5"/>
  <c r="AK316" i="5"/>
  <c r="AK315" i="5"/>
  <c r="AK314" i="5"/>
  <c r="AK312" i="5"/>
  <c r="AK311" i="5"/>
  <c r="AK310" i="5"/>
  <c r="AK309" i="5"/>
  <c r="AK308" i="5"/>
  <c r="AK307" i="5"/>
  <c r="AK306" i="5"/>
  <c r="AK305" i="5"/>
  <c r="AK304" i="5"/>
  <c r="AK303" i="5"/>
  <c r="AK302" i="5"/>
  <c r="AK301" i="5"/>
  <c r="AK300" i="5"/>
  <c r="AK299" i="5"/>
  <c r="AK298" i="5"/>
  <c r="AK297" i="5"/>
  <c r="AK296" i="5"/>
  <c r="AK295" i="5"/>
  <c r="AK294" i="5"/>
  <c r="AK293" i="5"/>
  <c r="AK292" i="5"/>
  <c r="AK291" i="5"/>
  <c r="AK290" i="5"/>
  <c r="AK289" i="5"/>
  <c r="AK288" i="5"/>
  <c r="AK287" i="5"/>
  <c r="AK285" i="5"/>
  <c r="AK284" i="5"/>
  <c r="AK283" i="5"/>
  <c r="AK282" i="5"/>
  <c r="AK281" i="5"/>
  <c r="AK280" i="5"/>
  <c r="AK279" i="5"/>
  <c r="AK278" i="5"/>
  <c r="AK277" i="5"/>
  <c r="AK275" i="5"/>
  <c r="AK274" i="5"/>
  <c r="AK273" i="5"/>
  <c r="AK272" i="5"/>
  <c r="AK271" i="5"/>
  <c r="AK270" i="5"/>
  <c r="AK269" i="5"/>
  <c r="AK268" i="5"/>
  <c r="AK267" i="5"/>
  <c r="AK266" i="5"/>
  <c r="AK265" i="5"/>
  <c r="AK264" i="5"/>
  <c r="AK263" i="5"/>
  <c r="AK262" i="5"/>
  <c r="AK261" i="5"/>
  <c r="AK260" i="5"/>
  <c r="AK259" i="5"/>
  <c r="AK258" i="5"/>
  <c r="AK257" i="5"/>
  <c r="AK256" i="5"/>
  <c r="AK255" i="5"/>
  <c r="AK254" i="5"/>
  <c r="AK253" i="5"/>
  <c r="AK251" i="5"/>
  <c r="AK250" i="5"/>
  <c r="AK249" i="5"/>
  <c r="AK248" i="5"/>
  <c r="AK247" i="5"/>
  <c r="AK246" i="5"/>
  <c r="AK245" i="5"/>
  <c r="AK244" i="5"/>
  <c r="AK243" i="5"/>
  <c r="AK242" i="5"/>
  <c r="AK241" i="5"/>
  <c r="AK240" i="5"/>
  <c r="AK239" i="5"/>
  <c r="AK238" i="5"/>
  <c r="AK237" i="5"/>
  <c r="AK236" i="5"/>
  <c r="AK235" i="5"/>
  <c r="AK234" i="5"/>
  <c r="AK233" i="5"/>
  <c r="AK232" i="5"/>
  <c r="AK231" i="5"/>
  <c r="AK230" i="5"/>
  <c r="AK229" i="5"/>
  <c r="AK228" i="5"/>
  <c r="AK227" i="5"/>
  <c r="AK226" i="5"/>
  <c r="AK224" i="5"/>
  <c r="AK223" i="5"/>
  <c r="AK222" i="5"/>
  <c r="AK221" i="5"/>
  <c r="AK220" i="5"/>
  <c r="AK219" i="5"/>
  <c r="AK218" i="5"/>
  <c r="AK217" i="5"/>
  <c r="AK216" i="5"/>
  <c r="AK215" i="5"/>
  <c r="AK214" i="5"/>
  <c r="AK213" i="5"/>
  <c r="AK212" i="5"/>
  <c r="AK211" i="5"/>
  <c r="AK210" i="5"/>
  <c r="AK209" i="5"/>
  <c r="AK208" i="5"/>
  <c r="AK207" i="5"/>
  <c r="AK206" i="5"/>
  <c r="AK205" i="5"/>
  <c r="AK204" i="5"/>
  <c r="AK203" i="5"/>
  <c r="AK202" i="5"/>
  <c r="AK201" i="5"/>
  <c r="AK200" i="5"/>
  <c r="AK199" i="5"/>
  <c r="AK197" i="5"/>
  <c r="AK196" i="5"/>
  <c r="AK195" i="5"/>
  <c r="AK194" i="5"/>
  <c r="AK193" i="5"/>
  <c r="AK192" i="5"/>
  <c r="AK191" i="5"/>
  <c r="AK190" i="5"/>
  <c r="AK189" i="5"/>
  <c r="AK188" i="5"/>
  <c r="AK187" i="5"/>
  <c r="AK186" i="5"/>
  <c r="AK185" i="5"/>
  <c r="AK184" i="5"/>
  <c r="AK183" i="5"/>
  <c r="AK182" i="5"/>
  <c r="AK181" i="5"/>
  <c r="AK180" i="5"/>
  <c r="AK179" i="5"/>
  <c r="AK178" i="5"/>
  <c r="AK177" i="5"/>
  <c r="AK176" i="5"/>
  <c r="AK175" i="5"/>
  <c r="AK174" i="5"/>
  <c r="AK173" i="5"/>
  <c r="AK172" i="5"/>
  <c r="AK170" i="5"/>
  <c r="AK169" i="5"/>
  <c r="AK168" i="5"/>
  <c r="AK167" i="5"/>
  <c r="AK166" i="5"/>
  <c r="AK165" i="5"/>
  <c r="AK164" i="5"/>
  <c r="AK163" i="5"/>
  <c r="AK162" i="5"/>
  <c r="AK161" i="5"/>
  <c r="AK160" i="5"/>
  <c r="AK158" i="5"/>
  <c r="AK157" i="5"/>
  <c r="AK156" i="5"/>
  <c r="AK155" i="5"/>
  <c r="AK154" i="5"/>
  <c r="AK153" i="5"/>
  <c r="AK152" i="5"/>
  <c r="AK151" i="5"/>
  <c r="AK150" i="5"/>
  <c r="AK149" i="5"/>
  <c r="AK148" i="5"/>
  <c r="AK147" i="5"/>
  <c r="AK146" i="5"/>
  <c r="AK145" i="5"/>
  <c r="AK144" i="5"/>
  <c r="AK142" i="5"/>
  <c r="AK141" i="5"/>
  <c r="AK140" i="5"/>
  <c r="AK139" i="5"/>
  <c r="AK138" i="5"/>
  <c r="AK137" i="5"/>
  <c r="AK136" i="5"/>
  <c r="AK135" i="5"/>
  <c r="AK134" i="5"/>
  <c r="AK133" i="5"/>
  <c r="AK132" i="5"/>
  <c r="AK131" i="5"/>
  <c r="AK130" i="5"/>
  <c r="AK129" i="5"/>
  <c r="AK128" i="5"/>
  <c r="AK127" i="5"/>
  <c r="AK126" i="5"/>
  <c r="AK125" i="5"/>
  <c r="AK124" i="5"/>
  <c r="AK123" i="5"/>
  <c r="AK122" i="5"/>
  <c r="AK121" i="5"/>
  <c r="AK120" i="5"/>
  <c r="AK119" i="5"/>
  <c r="AK118" i="5"/>
  <c r="AK117" i="5"/>
  <c r="AK116" i="5"/>
  <c r="AK115" i="5"/>
  <c r="AK114" i="5"/>
  <c r="AK113" i="5"/>
  <c r="AK112" i="5"/>
  <c r="AK111" i="5"/>
  <c r="AK110" i="5"/>
  <c r="AK109" i="5"/>
  <c r="AK108" i="5"/>
  <c r="AK107" i="5"/>
  <c r="AK106" i="5"/>
  <c r="AK105" i="5"/>
  <c r="AK104" i="5"/>
  <c r="AK103" i="5"/>
  <c r="AK102" i="5"/>
  <c r="AK101" i="5"/>
  <c r="AK100" i="5"/>
  <c r="AK99" i="5"/>
  <c r="AK98" i="5"/>
  <c r="AK97" i="5"/>
  <c r="AK96" i="5"/>
  <c r="AK95" i="5"/>
  <c r="AK94" i="5"/>
  <c r="AK93" i="5"/>
  <c r="AK92" i="5"/>
  <c r="AK91" i="5"/>
  <c r="AK90" i="5"/>
  <c r="AK89" i="5"/>
  <c r="AK88" i="5"/>
  <c r="AK87" i="5"/>
  <c r="AK86" i="5"/>
  <c r="AK85" i="5"/>
  <c r="AK84" i="5"/>
  <c r="AK83" i="5"/>
  <c r="AK82" i="5"/>
  <c r="AK81" i="5"/>
  <c r="AK80" i="5"/>
  <c r="AK79" i="5"/>
  <c r="AK78" i="5"/>
  <c r="AK77" i="5"/>
  <c r="AK76" i="5"/>
  <c r="AK75" i="5"/>
  <c r="AK74" i="5"/>
  <c r="AK73" i="5"/>
  <c r="AK72" i="5"/>
  <c r="AK71" i="5"/>
  <c r="AK70" i="5"/>
  <c r="AK69" i="5"/>
  <c r="AK68" i="5"/>
  <c r="AK67" i="5"/>
  <c r="AK66" i="5"/>
  <c r="AK65" i="5"/>
  <c r="AK64" i="5"/>
  <c r="AK63" i="5"/>
  <c r="AK62" i="5"/>
  <c r="AK61" i="5"/>
  <c r="AK60" i="5"/>
  <c r="AK59" i="5"/>
  <c r="AK58" i="5"/>
  <c r="AK57" i="5"/>
  <c r="AK56" i="5"/>
  <c r="AK55" i="5"/>
  <c r="AK54" i="5"/>
  <c r="AK53" i="5"/>
  <c r="AK52" i="5"/>
  <c r="AK51" i="5"/>
  <c r="AK50" i="5"/>
  <c r="AK49" i="5"/>
  <c r="AK48" i="5"/>
  <c r="AK47" i="5"/>
  <c r="AK46" i="5"/>
  <c r="AK45" i="5"/>
  <c r="AK44" i="5"/>
  <c r="AK43" i="5"/>
  <c r="AK42" i="5"/>
  <c r="AK41" i="5"/>
  <c r="AK40" i="5"/>
  <c r="AK39" i="5"/>
  <c r="AK38" i="5"/>
  <c r="AK37" i="5"/>
  <c r="AK36" i="5"/>
  <c r="AK35" i="5"/>
  <c r="AK34" i="5"/>
  <c r="AK33" i="5"/>
  <c r="AK32" i="5"/>
  <c r="AK31" i="5"/>
  <c r="AK30" i="5"/>
  <c r="AK29" i="5"/>
  <c r="AK28" i="5"/>
  <c r="AK27" i="5"/>
  <c r="AK26" i="5"/>
  <c r="AK25" i="5"/>
  <c r="AK24" i="5"/>
  <c r="AK23" i="5"/>
  <c r="AK22" i="5"/>
  <c r="AK21" i="5"/>
  <c r="AK20" i="5"/>
  <c r="AK19" i="5"/>
  <c r="AK18" i="5"/>
  <c r="AK17" i="5"/>
  <c r="AK16" i="5"/>
  <c r="AK15" i="5"/>
  <c r="AK14" i="5"/>
  <c r="AK13" i="5"/>
  <c r="AK12" i="5"/>
  <c r="AK11" i="5"/>
  <c r="AK10" i="5"/>
  <c r="AK9" i="5"/>
  <c r="AK8" i="5"/>
  <c r="AK7" i="5"/>
  <c r="AK6" i="5"/>
  <c r="AK5" i="5"/>
  <c r="AK4" i="5"/>
  <c r="BE12" i="5"/>
  <c r="BE11" i="5"/>
  <c r="BE10" i="5"/>
  <c r="BE9" i="5"/>
  <c r="BE8" i="5"/>
  <c r="BE7" i="5"/>
  <c r="BE6" i="5"/>
  <c r="BE5" i="5"/>
  <c r="BE4" i="5"/>
  <c r="BC4" i="5"/>
  <c r="BC157" i="5"/>
  <c r="AJ38" i="5"/>
  <c r="AJ37" i="5"/>
  <c r="BC38" i="5" s="1"/>
  <c r="AJ36" i="5"/>
  <c r="BC37" i="5" s="1"/>
  <c r="AJ35" i="5"/>
  <c r="BC36" i="5" s="1"/>
  <c r="AJ34" i="5"/>
  <c r="BC35" i="5" s="1"/>
  <c r="AJ33" i="5"/>
  <c r="BC34" i="5" s="1"/>
  <c r="BD34" i="5" s="1"/>
  <c r="AJ32" i="5"/>
  <c r="BC33" i="5" s="1"/>
  <c r="AJ31" i="5"/>
  <c r="BC32" i="5" s="1"/>
  <c r="AJ30" i="5"/>
  <c r="BC31" i="5" s="1"/>
  <c r="AJ29" i="5"/>
  <c r="BC30" i="5" s="1"/>
  <c r="BD30" i="5" s="1"/>
  <c r="AJ28" i="5"/>
  <c r="BC29" i="5" s="1"/>
  <c r="AJ27" i="5"/>
  <c r="BC28" i="5" s="1"/>
  <c r="BD28" i="5" s="1"/>
  <c r="AJ26" i="5"/>
  <c r="BC27" i="5" s="1"/>
  <c r="AJ25" i="5"/>
  <c r="BC26" i="5" s="1"/>
  <c r="BD26" i="5" s="1"/>
  <c r="AJ24" i="5"/>
  <c r="BC25" i="5" s="1"/>
  <c r="AJ23" i="5"/>
  <c r="BC24" i="5" s="1"/>
  <c r="AJ22" i="5"/>
  <c r="BC23" i="5" s="1"/>
  <c r="AJ21" i="5"/>
  <c r="BC22" i="5" s="1"/>
  <c r="AJ20" i="5"/>
  <c r="BC21" i="5" s="1"/>
  <c r="AJ19" i="5"/>
  <c r="BC20" i="5" s="1"/>
  <c r="BD20" i="5" s="1"/>
  <c r="AJ18" i="5"/>
  <c r="BC19" i="5" s="1"/>
  <c r="AJ17" i="5"/>
  <c r="BC18" i="5" s="1"/>
  <c r="BD18" i="5" s="1"/>
  <c r="AJ16" i="5"/>
  <c r="BC17" i="5" s="1"/>
  <c r="AJ15" i="5"/>
  <c r="BC16" i="5" s="1"/>
  <c r="AJ14" i="5"/>
  <c r="BC15" i="5" s="1"/>
  <c r="AJ13" i="5"/>
  <c r="BC14" i="5" s="1"/>
  <c r="BD14" i="5" s="1"/>
  <c r="AJ12" i="5"/>
  <c r="BC13" i="5" s="1"/>
  <c r="AJ11" i="5"/>
  <c r="BC12" i="5" s="1"/>
  <c r="AJ10" i="5"/>
  <c r="BC11" i="5" s="1"/>
  <c r="AJ9" i="5"/>
  <c r="BC10" i="5" s="1"/>
  <c r="AJ8" i="5"/>
  <c r="BC9" i="5" s="1"/>
  <c r="AJ7" i="5"/>
  <c r="BC8" i="5" s="1"/>
  <c r="BD8" i="5" s="1"/>
  <c r="AJ6" i="5"/>
  <c r="BC7" i="5" s="1"/>
  <c r="AJ5" i="5"/>
  <c r="BC6" i="5" s="1"/>
  <c r="AJ4" i="5"/>
  <c r="BM202" i="5"/>
  <c r="BM201" i="5"/>
  <c r="BM200" i="5"/>
  <c r="BM199" i="5"/>
  <c r="BM198" i="5"/>
  <c r="BM197" i="5"/>
  <c r="BM196" i="5"/>
  <c r="BM195" i="5"/>
  <c r="BM194" i="5"/>
  <c r="BM193" i="5"/>
  <c r="BM192" i="5"/>
  <c r="BM191" i="5"/>
  <c r="BM190" i="5"/>
  <c r="BM189" i="5"/>
  <c r="BM188" i="5"/>
  <c r="BM187" i="5"/>
  <c r="BM186" i="5"/>
  <c r="BM185" i="5"/>
  <c r="BM184" i="5"/>
  <c r="BM183" i="5"/>
  <c r="BM182" i="5"/>
  <c r="BM181" i="5"/>
  <c r="BM180" i="5"/>
  <c r="BM179" i="5"/>
  <c r="BM178" i="5"/>
  <c r="BM177" i="5"/>
  <c r="BM176" i="5"/>
  <c r="BM175" i="5"/>
  <c r="BM174" i="5"/>
  <c r="BM173" i="5"/>
  <c r="BM172" i="5"/>
  <c r="BM171" i="5"/>
  <c r="BM170" i="5"/>
  <c r="BM169" i="5"/>
  <c r="BM168" i="5"/>
  <c r="BM167" i="5"/>
  <c r="BM166" i="5"/>
  <c r="BM165" i="5"/>
  <c r="BM164" i="5"/>
  <c r="BM163" i="5"/>
  <c r="BM162" i="5"/>
  <c r="BM161" i="5"/>
  <c r="BM160" i="5"/>
  <c r="BM159" i="5"/>
  <c r="BM158" i="5"/>
  <c r="BM157" i="5"/>
  <c r="BM156" i="5"/>
  <c r="BM155" i="5"/>
  <c r="BM154" i="5"/>
  <c r="BM153" i="5"/>
  <c r="BM152" i="5"/>
  <c r="BM151" i="5"/>
  <c r="BM150" i="5"/>
  <c r="BM149" i="5"/>
  <c r="BM148" i="5"/>
  <c r="BM147" i="5"/>
  <c r="BM146" i="5"/>
  <c r="BM145" i="5"/>
  <c r="BM144" i="5"/>
  <c r="BM143" i="5"/>
  <c r="BM142" i="5"/>
  <c r="BM141" i="5"/>
  <c r="BM140" i="5"/>
  <c r="BM139" i="5"/>
  <c r="BM138" i="5"/>
  <c r="BM137" i="5"/>
  <c r="BM136" i="5"/>
  <c r="BM135" i="5"/>
  <c r="BM134" i="5"/>
  <c r="BM133" i="5"/>
  <c r="BM132" i="5"/>
  <c r="BM131" i="5"/>
  <c r="BM130" i="5"/>
  <c r="BM129" i="5"/>
  <c r="BM128" i="5"/>
  <c r="BM127" i="5"/>
  <c r="BM126" i="5"/>
  <c r="BM125" i="5"/>
  <c r="BM124" i="5"/>
  <c r="BM123" i="5"/>
  <c r="BM122" i="5"/>
  <c r="BM121" i="5"/>
  <c r="BM120" i="5"/>
  <c r="BM119" i="5"/>
  <c r="BM118" i="5"/>
  <c r="BM117" i="5"/>
  <c r="BM116" i="5"/>
  <c r="BM115" i="5"/>
  <c r="BM114" i="5"/>
  <c r="BM113" i="5"/>
  <c r="BM112" i="5"/>
  <c r="BM111" i="5"/>
  <c r="BM110" i="5"/>
  <c r="BM109" i="5"/>
  <c r="BM108" i="5"/>
  <c r="BM107" i="5"/>
  <c r="BM106" i="5"/>
  <c r="BM105" i="5"/>
  <c r="BM104" i="5"/>
  <c r="BM103" i="5"/>
  <c r="BM102" i="5"/>
  <c r="BM101" i="5"/>
  <c r="BM100" i="5"/>
  <c r="BM99" i="5"/>
  <c r="BM98" i="5"/>
  <c r="BM97" i="5"/>
  <c r="BM96" i="5"/>
  <c r="BM95" i="5"/>
  <c r="BM94" i="5"/>
  <c r="BM93" i="5"/>
  <c r="BM92" i="5"/>
  <c r="BM91" i="5"/>
  <c r="BM90" i="5"/>
  <c r="BM89" i="5"/>
  <c r="BM88" i="5"/>
  <c r="BM87" i="5"/>
  <c r="BM86" i="5"/>
  <c r="BM85" i="5"/>
  <c r="BM84" i="5"/>
  <c r="BM83" i="5"/>
  <c r="BM82" i="5"/>
  <c r="BM81" i="5"/>
  <c r="BM80" i="5"/>
  <c r="BM79" i="5"/>
  <c r="BM78" i="5"/>
  <c r="BM77" i="5"/>
  <c r="BM76" i="5"/>
  <c r="BM75" i="5"/>
  <c r="BM74" i="5"/>
  <c r="BM73" i="5"/>
  <c r="BM72" i="5"/>
  <c r="BM71" i="5"/>
  <c r="BM70" i="5"/>
  <c r="BM69" i="5"/>
  <c r="BM68" i="5"/>
  <c r="BM67" i="5"/>
  <c r="BM66" i="5"/>
  <c r="BM65" i="5"/>
  <c r="BM64" i="5"/>
  <c r="BM63" i="5"/>
  <c r="BM62" i="5"/>
  <c r="BM61" i="5"/>
  <c r="BM60" i="5"/>
  <c r="BM59" i="5"/>
  <c r="BM58" i="5"/>
  <c r="BM57" i="5"/>
  <c r="BM56" i="5"/>
  <c r="BM55" i="5"/>
  <c r="BM54" i="5"/>
  <c r="BM53" i="5"/>
  <c r="BM52" i="5"/>
  <c r="BM51" i="5"/>
  <c r="BM50" i="5"/>
  <c r="BM49" i="5"/>
  <c r="BM48" i="5"/>
  <c r="BM47" i="5"/>
  <c r="BM46" i="5"/>
  <c r="BM45" i="5"/>
  <c r="BM44" i="5"/>
  <c r="BM43" i="5"/>
  <c r="BM42" i="5"/>
  <c r="BM41" i="5"/>
  <c r="BM40" i="5"/>
  <c r="BM39" i="5"/>
  <c r="BM38" i="5"/>
  <c r="BM37" i="5"/>
  <c r="BM36" i="5"/>
  <c r="BM35" i="5"/>
  <c r="BM34" i="5"/>
  <c r="BM33" i="5"/>
  <c r="BM32" i="5"/>
  <c r="BM31" i="5"/>
  <c r="BM30" i="5"/>
  <c r="BM29" i="5"/>
  <c r="BM28" i="5"/>
  <c r="BM27" i="5"/>
  <c r="BM26" i="5"/>
  <c r="BM25" i="5"/>
  <c r="BM24" i="5"/>
  <c r="BM23" i="5"/>
  <c r="BM22" i="5"/>
  <c r="BM21" i="5"/>
  <c r="BM20" i="5"/>
  <c r="BM19" i="5"/>
  <c r="BM18" i="5"/>
  <c r="BM17" i="5"/>
  <c r="BM16" i="5"/>
  <c r="BM15" i="5"/>
  <c r="BM14" i="5"/>
  <c r="BM13" i="5"/>
  <c r="BM12" i="5"/>
  <c r="BM11" i="5"/>
  <c r="BM10" i="5"/>
  <c r="BM9" i="5"/>
  <c r="BM8" i="5"/>
  <c r="BM7" i="5"/>
  <c r="BA1152" i="5"/>
  <c r="BA1151" i="5"/>
  <c r="BA1150" i="5"/>
  <c r="BA1149" i="5"/>
  <c r="BA1148" i="5"/>
  <c r="BA1147" i="5"/>
  <c r="BA1146" i="5"/>
  <c r="BA1145" i="5"/>
  <c r="BA1144" i="5"/>
  <c r="BA1143" i="5"/>
  <c r="BA1142" i="5"/>
  <c r="BA1141" i="5"/>
  <c r="BA1140" i="5"/>
  <c r="BA1139" i="5"/>
  <c r="BA1138" i="5"/>
  <c r="BA1137" i="5"/>
  <c r="BA1136" i="5"/>
  <c r="BA1135" i="5"/>
  <c r="BA1134" i="5"/>
  <c r="BA1133" i="5"/>
  <c r="BA1132" i="5"/>
  <c r="BA1131" i="5"/>
  <c r="BA1130" i="5"/>
  <c r="BA1129" i="5"/>
  <c r="BA1127" i="5"/>
  <c r="BA1126" i="5"/>
  <c r="BA1125" i="5"/>
  <c r="BA1124" i="5"/>
  <c r="BA1123" i="5"/>
  <c r="BA1122" i="5"/>
  <c r="BA1121" i="5"/>
  <c r="BA1120" i="5"/>
  <c r="BA1119" i="5"/>
  <c r="BA1118" i="5"/>
  <c r="BA1117" i="5"/>
  <c r="BA1116" i="5"/>
  <c r="BA1115" i="5"/>
  <c r="BA1114" i="5"/>
  <c r="BA1113" i="5"/>
  <c r="BA1112" i="5"/>
  <c r="BA1111" i="5"/>
  <c r="BA1110" i="5"/>
  <c r="BA1109" i="5"/>
  <c r="BA1108" i="5"/>
  <c r="BA1107" i="5"/>
  <c r="BA1106" i="5"/>
  <c r="BA1105" i="5"/>
  <c r="BA1104" i="5"/>
  <c r="BA1103" i="5"/>
  <c r="BA1102" i="5"/>
  <c r="BA1101" i="5"/>
  <c r="BA1100" i="5"/>
  <c r="BA1099" i="5"/>
  <c r="BA1098" i="5"/>
  <c r="BA1097" i="5"/>
  <c r="BA1096" i="5"/>
  <c r="BA1095" i="5"/>
  <c r="BA1094" i="5"/>
  <c r="BA1093" i="5"/>
  <c r="BA1092" i="5"/>
  <c r="BA1091" i="5"/>
  <c r="BA1090" i="5"/>
  <c r="BA1089" i="5"/>
  <c r="BA1088" i="5"/>
  <c r="BA1087" i="5"/>
  <c r="BA1086" i="5"/>
  <c r="BA1085" i="5"/>
  <c r="BA1084" i="5"/>
  <c r="BA1083" i="5"/>
  <c r="BA1082" i="5"/>
  <c r="BA1081" i="5"/>
  <c r="BA1080" i="5"/>
  <c r="BA1079" i="5"/>
  <c r="BA1078" i="5"/>
  <c r="BA1077" i="5"/>
  <c r="BA1076" i="5"/>
  <c r="BA1075" i="5"/>
  <c r="BA1074" i="5"/>
  <c r="BA1073" i="5"/>
  <c r="BA1072" i="5"/>
  <c r="BA1071" i="5"/>
  <c r="BA1070" i="5"/>
  <c r="BA1069" i="5"/>
  <c r="BA1068" i="5"/>
  <c r="BA1067" i="5"/>
  <c r="BA1066" i="5"/>
  <c r="BA1065" i="5"/>
  <c r="BA1064" i="5"/>
  <c r="BA1063" i="5"/>
  <c r="BA1062" i="5"/>
  <c r="BA1061" i="5"/>
  <c r="BA1060" i="5"/>
  <c r="BA1059" i="5"/>
  <c r="BA1058" i="5"/>
  <c r="BA1057" i="5"/>
  <c r="BA1056" i="5"/>
  <c r="BA1055" i="5"/>
  <c r="BA1054" i="5"/>
  <c r="BA1053" i="5"/>
  <c r="BA1052" i="5"/>
  <c r="BA1051" i="5"/>
  <c r="BA1050" i="5"/>
  <c r="BA1049" i="5"/>
  <c r="BA1048" i="5"/>
  <c r="BA1047" i="5"/>
  <c r="BA1046" i="5"/>
  <c r="BA1045" i="5"/>
  <c r="BA1044" i="5"/>
  <c r="BA1043" i="5"/>
  <c r="BA1042" i="5"/>
  <c r="BA1041" i="5"/>
  <c r="BA1040" i="5"/>
  <c r="BA1039" i="5"/>
  <c r="BA1038" i="5"/>
  <c r="BA1037" i="5"/>
  <c r="BA1036" i="5"/>
  <c r="BA1035" i="5"/>
  <c r="BA1034" i="5"/>
  <c r="BA1033" i="5"/>
  <c r="BA1032" i="5"/>
  <c r="BA1031" i="5"/>
  <c r="BA1030" i="5"/>
  <c r="BA1029" i="5"/>
  <c r="BA1028" i="5"/>
  <c r="BA1027" i="5"/>
  <c r="BA1026" i="5"/>
  <c r="BA1025" i="5"/>
  <c r="BA1024" i="5"/>
  <c r="BA1023" i="5"/>
  <c r="BA1022" i="5"/>
  <c r="BA1021" i="5"/>
  <c r="BA1020" i="5"/>
  <c r="BA1019" i="5"/>
  <c r="BA1018" i="5"/>
  <c r="BA1017" i="5"/>
  <c r="BA1016" i="5"/>
  <c r="BA1015" i="5"/>
  <c r="BA1014" i="5"/>
  <c r="BA1013" i="5"/>
  <c r="BA1012" i="5"/>
  <c r="BA1011" i="5"/>
  <c r="BA1010" i="5"/>
  <c r="BA1009" i="5"/>
  <c r="BA1008" i="5"/>
  <c r="BA1007" i="5"/>
  <c r="BA1006" i="5"/>
  <c r="BA1005" i="5"/>
  <c r="BA1004" i="5"/>
  <c r="BA1003" i="5"/>
  <c r="BA1002" i="5"/>
  <c r="BA1001" i="5"/>
  <c r="BA1000" i="5"/>
  <c r="BA999" i="5"/>
  <c r="BA998" i="5"/>
  <c r="BA997" i="5"/>
  <c r="BA996" i="5"/>
  <c r="BA995" i="5"/>
  <c r="BA994" i="5"/>
  <c r="BA993" i="5"/>
  <c r="BA992" i="5"/>
  <c r="BA991" i="5"/>
  <c r="BA990" i="5"/>
  <c r="BA989" i="5"/>
  <c r="BA988" i="5"/>
  <c r="BA987" i="5"/>
  <c r="BA986" i="5"/>
  <c r="BA985" i="5"/>
  <c r="BA984" i="5"/>
  <c r="BA983" i="5"/>
  <c r="BA982" i="5"/>
  <c r="BA981" i="5"/>
  <c r="BA980" i="5"/>
  <c r="BA979" i="5"/>
  <c r="BA978" i="5"/>
  <c r="BA977" i="5"/>
  <c r="BA976" i="5"/>
  <c r="BA975" i="5"/>
  <c r="BA974" i="5"/>
  <c r="BA973" i="5"/>
  <c r="BA972" i="5"/>
  <c r="BA971" i="5"/>
  <c r="BA970" i="5"/>
  <c r="BA969" i="5"/>
  <c r="BA968" i="5"/>
  <c r="BA967" i="5"/>
  <c r="BA966" i="5"/>
  <c r="BA965" i="5"/>
  <c r="BA964" i="5"/>
  <c r="BA963" i="5"/>
  <c r="BA962" i="5"/>
  <c r="BA961" i="5"/>
  <c r="BA960" i="5"/>
  <c r="BA959" i="5"/>
  <c r="BA958" i="5"/>
  <c r="BA957" i="5"/>
  <c r="BA956" i="5"/>
  <c r="BA955" i="5"/>
  <c r="BA954" i="5"/>
  <c r="BA952" i="5"/>
  <c r="BA951" i="5"/>
  <c r="BA950" i="5"/>
  <c r="BA949" i="5"/>
  <c r="BA948" i="5"/>
  <c r="BA947" i="5"/>
  <c r="BA946" i="5"/>
  <c r="BA945" i="5"/>
  <c r="BA944" i="5"/>
  <c r="BA943" i="5"/>
  <c r="BA942" i="5"/>
  <c r="BA941" i="5"/>
  <c r="BA940" i="5"/>
  <c r="BA939" i="5"/>
  <c r="BA938" i="5"/>
  <c r="BA937" i="5"/>
  <c r="BA936" i="5"/>
  <c r="BA935" i="5"/>
  <c r="BA934" i="5"/>
  <c r="BA933" i="5"/>
  <c r="BA932" i="5"/>
  <c r="BA931" i="5"/>
  <c r="BA930" i="5"/>
  <c r="BA929" i="5"/>
  <c r="BA928" i="5"/>
  <c r="BA927" i="5"/>
  <c r="BA925" i="5"/>
  <c r="BA924" i="5"/>
  <c r="BA923" i="5"/>
  <c r="BA922" i="5"/>
  <c r="BA921" i="5"/>
  <c r="BA920" i="5"/>
  <c r="BA919" i="5"/>
  <c r="BA918" i="5"/>
  <c r="BA917" i="5"/>
  <c r="BA916" i="5"/>
  <c r="BA915" i="5"/>
  <c r="BA914" i="5"/>
  <c r="BA913" i="5"/>
  <c r="BA912" i="5"/>
  <c r="BA911" i="5"/>
  <c r="BA910" i="5"/>
  <c r="BA909" i="5"/>
  <c r="BA908" i="5"/>
  <c r="BA907" i="5"/>
  <c r="BA906" i="5"/>
  <c r="BA905" i="5"/>
  <c r="BA904" i="5"/>
  <c r="BA903" i="5"/>
  <c r="BA902" i="5"/>
  <c r="BA901" i="5"/>
  <c r="BA900" i="5"/>
  <c r="BA899" i="5"/>
  <c r="BA898" i="5"/>
  <c r="BA897" i="5"/>
  <c r="BA896" i="5"/>
  <c r="BA895" i="5"/>
  <c r="BA894" i="5"/>
  <c r="BA893" i="5"/>
  <c r="BA892" i="5"/>
  <c r="BA891" i="5"/>
  <c r="BA890" i="5"/>
  <c r="BA889" i="5"/>
  <c r="BA888" i="5"/>
  <c r="BA887" i="5"/>
  <c r="BA886" i="5"/>
  <c r="BA885" i="5"/>
  <c r="BA884" i="5"/>
  <c r="BA883" i="5"/>
  <c r="BA882" i="5"/>
  <c r="BA881" i="5"/>
  <c r="BA880" i="5"/>
  <c r="BA879" i="5"/>
  <c r="BA878" i="5"/>
  <c r="BA877" i="5"/>
  <c r="BA876" i="5"/>
  <c r="BA875" i="5"/>
  <c r="BA874" i="5"/>
  <c r="BA873" i="5"/>
  <c r="BA872" i="5"/>
  <c r="BA871" i="5"/>
  <c r="BA870" i="5"/>
  <c r="BA869" i="5"/>
  <c r="BA868" i="5"/>
  <c r="BA867" i="5"/>
  <c r="BA866" i="5"/>
  <c r="BA865" i="5"/>
  <c r="BA864" i="5"/>
  <c r="BA863" i="5"/>
  <c r="BA862" i="5"/>
  <c r="BA861" i="5"/>
  <c r="BA860" i="5"/>
  <c r="BA859" i="5"/>
  <c r="BA858" i="5"/>
  <c r="BA857" i="5"/>
  <c r="BA856" i="5"/>
  <c r="BA855" i="5"/>
  <c r="BA854" i="5"/>
  <c r="BA853" i="5"/>
  <c r="BA852" i="5"/>
  <c r="BA851" i="5"/>
  <c r="BA850" i="5"/>
  <c r="BA849" i="5"/>
  <c r="BA848" i="5"/>
  <c r="BA847" i="5"/>
  <c r="BA846" i="5"/>
  <c r="BA845" i="5"/>
  <c r="BA844" i="5"/>
  <c r="BA843" i="5"/>
  <c r="BA842" i="5"/>
  <c r="BA841" i="5"/>
  <c r="BA840" i="5"/>
  <c r="BA839" i="5"/>
  <c r="BA838" i="5"/>
  <c r="BA837" i="5"/>
  <c r="BA836" i="5"/>
  <c r="BA835" i="5"/>
  <c r="BA834" i="5"/>
  <c r="BA833" i="5"/>
  <c r="BA832" i="5"/>
  <c r="BA831" i="5"/>
  <c r="BA830" i="5"/>
  <c r="BA829" i="5"/>
  <c r="BA828" i="5"/>
  <c r="BA827" i="5"/>
  <c r="BA826" i="5"/>
  <c r="BA825" i="5"/>
  <c r="BA824" i="5"/>
  <c r="BA823" i="5"/>
  <c r="BA822" i="5"/>
  <c r="BA821" i="5"/>
  <c r="BA820" i="5"/>
  <c r="BA819" i="5"/>
  <c r="BA818" i="5"/>
  <c r="BA817" i="5"/>
  <c r="BA816" i="5"/>
  <c r="BA815" i="5"/>
  <c r="BA814" i="5"/>
  <c r="BA813" i="5"/>
  <c r="BA812" i="5"/>
  <c r="BA811" i="5"/>
  <c r="BA810" i="5"/>
  <c r="BA809" i="5"/>
  <c r="BA808" i="5"/>
  <c r="BA807" i="5"/>
  <c r="BA806" i="5"/>
  <c r="BA805" i="5"/>
  <c r="BA804" i="5"/>
  <c r="BA803" i="5"/>
  <c r="BA802" i="5"/>
  <c r="BA801" i="5"/>
  <c r="BA800" i="5"/>
  <c r="BA799" i="5"/>
  <c r="BA798" i="5"/>
  <c r="BA797" i="5"/>
  <c r="BA796" i="5"/>
  <c r="BA795" i="5"/>
  <c r="BA794" i="5"/>
  <c r="BA793" i="5"/>
  <c r="BA792" i="5"/>
  <c r="BA791" i="5"/>
  <c r="BA790" i="5"/>
  <c r="BA789" i="5"/>
  <c r="BA788" i="5"/>
  <c r="BA787" i="5"/>
  <c r="BA786" i="5"/>
  <c r="BA784" i="5"/>
  <c r="BA783" i="5"/>
  <c r="BA782" i="5"/>
  <c r="BA781" i="5"/>
  <c r="BA780" i="5"/>
  <c r="BA779" i="5"/>
  <c r="BA778" i="5"/>
  <c r="BA777" i="5"/>
  <c r="BA776" i="5"/>
  <c r="BA775" i="5"/>
  <c r="BA774" i="5"/>
  <c r="BA773" i="5"/>
  <c r="BA771" i="5"/>
  <c r="BA770" i="5"/>
  <c r="BA769" i="5"/>
  <c r="BA768" i="5"/>
  <c r="BA767" i="5"/>
  <c r="BA766" i="5"/>
  <c r="BA765" i="5"/>
  <c r="BA764" i="5"/>
  <c r="BA763" i="5"/>
  <c r="BA762" i="5"/>
  <c r="BA761" i="5"/>
  <c r="BA760" i="5"/>
  <c r="BA759" i="5"/>
  <c r="BA757" i="5"/>
  <c r="BA756" i="5"/>
  <c r="BA755" i="5"/>
  <c r="BA754" i="5"/>
  <c r="BA753" i="5"/>
  <c r="BA752" i="5"/>
  <c r="BA750" i="5"/>
  <c r="BA749" i="5"/>
  <c r="BA748" i="5"/>
  <c r="BA747" i="5"/>
  <c r="BA746" i="5"/>
  <c r="BA745" i="5"/>
  <c r="BA744" i="5"/>
  <c r="BA743" i="5"/>
  <c r="BA742" i="5"/>
  <c r="BA741" i="5"/>
  <c r="BA740" i="5"/>
  <c r="BA739" i="5"/>
  <c r="BA738" i="5"/>
  <c r="BA737" i="5"/>
  <c r="BA736" i="5"/>
  <c r="BA735" i="5"/>
  <c r="BA734" i="5"/>
  <c r="BA733" i="5"/>
  <c r="BA732" i="5"/>
  <c r="BA730" i="5"/>
  <c r="BA729" i="5"/>
  <c r="BA728" i="5"/>
  <c r="BA727" i="5"/>
  <c r="BA726" i="5"/>
  <c r="BA725" i="5"/>
  <c r="BA724" i="5"/>
  <c r="BA723" i="5"/>
  <c r="BA722" i="5"/>
  <c r="BA721" i="5"/>
  <c r="BA720" i="5"/>
  <c r="BA719" i="5"/>
  <c r="BA718" i="5"/>
  <c r="BA717" i="5"/>
  <c r="BA716" i="5"/>
  <c r="BA715" i="5"/>
  <c r="BA714" i="5"/>
  <c r="BA713" i="5"/>
  <c r="BA712" i="5"/>
  <c r="BA711" i="5"/>
  <c r="BA710" i="5"/>
  <c r="BA709" i="5"/>
  <c r="BA708" i="5"/>
  <c r="BA707" i="5"/>
  <c r="BA706" i="5"/>
  <c r="BA705" i="5"/>
  <c r="BA704" i="5"/>
  <c r="BA703" i="5"/>
  <c r="BA702" i="5"/>
  <c r="BA701" i="5"/>
  <c r="BA700" i="5"/>
  <c r="BA699" i="5"/>
  <c r="BA698" i="5"/>
  <c r="BA697" i="5"/>
  <c r="BA696" i="5"/>
  <c r="BA695" i="5"/>
  <c r="BA694" i="5"/>
  <c r="BA693" i="5"/>
  <c r="BA692" i="5"/>
  <c r="BA691" i="5"/>
  <c r="BA690" i="5"/>
  <c r="BA689" i="5"/>
  <c r="BA688" i="5"/>
  <c r="BA687" i="5"/>
  <c r="BA686" i="5"/>
  <c r="BA685" i="5"/>
  <c r="BA684" i="5"/>
  <c r="BA682" i="5"/>
  <c r="BA681" i="5"/>
  <c r="BA680" i="5"/>
  <c r="BA679" i="5"/>
  <c r="BA678" i="5"/>
  <c r="BA677" i="5"/>
  <c r="BA676" i="5"/>
  <c r="BA675" i="5"/>
  <c r="BA674" i="5"/>
  <c r="BA673" i="5"/>
  <c r="BA672" i="5"/>
  <c r="BA671" i="5"/>
  <c r="BA670" i="5"/>
  <c r="BA669" i="5"/>
  <c r="BA668" i="5"/>
  <c r="BA667" i="5"/>
  <c r="BA666" i="5"/>
  <c r="BA665" i="5"/>
  <c r="BA664" i="5"/>
  <c r="BA663" i="5"/>
  <c r="BA662" i="5"/>
  <c r="BA661" i="5"/>
  <c r="BA660" i="5"/>
  <c r="BA659" i="5"/>
  <c r="BA658" i="5"/>
  <c r="BA657" i="5"/>
  <c r="BA655" i="5"/>
  <c r="BA654" i="5"/>
  <c r="BA653" i="5"/>
  <c r="BA652" i="5"/>
  <c r="BA651" i="5"/>
  <c r="BA650" i="5"/>
  <c r="BA649" i="5"/>
  <c r="BA648" i="5"/>
  <c r="BA647" i="5"/>
  <c r="BA646" i="5"/>
  <c r="BA645" i="5"/>
  <c r="BA644" i="5"/>
  <c r="BA643" i="5"/>
  <c r="BA642" i="5"/>
  <c r="BA641" i="5"/>
  <c r="BA640" i="5"/>
  <c r="BA638" i="5"/>
  <c r="BA637" i="5"/>
  <c r="BA636" i="5"/>
  <c r="BA635" i="5"/>
  <c r="BA634" i="5"/>
  <c r="BA633" i="5"/>
  <c r="BA632" i="5"/>
  <c r="BA631" i="5"/>
  <c r="BA630" i="5"/>
  <c r="BA628" i="5"/>
  <c r="BA627" i="5"/>
  <c r="BA626" i="5"/>
  <c r="BA625" i="5"/>
  <c r="BA624" i="5"/>
  <c r="BA623" i="5"/>
  <c r="BA622" i="5"/>
  <c r="BA621" i="5"/>
  <c r="BA620" i="5"/>
  <c r="BA619" i="5"/>
  <c r="BA618" i="5"/>
  <c r="BA617" i="5"/>
  <c r="BA616" i="5"/>
  <c r="BA615" i="5"/>
  <c r="BA614" i="5"/>
  <c r="BA613" i="5"/>
  <c r="BA611" i="5"/>
  <c r="BA610" i="5"/>
  <c r="BA609" i="5"/>
  <c r="BA608" i="5"/>
  <c r="BA607" i="5"/>
  <c r="BA606" i="5"/>
  <c r="BA605" i="5"/>
  <c r="BA604" i="5"/>
  <c r="BA603" i="5"/>
  <c r="BA601" i="5"/>
  <c r="BA600" i="5"/>
  <c r="BA599" i="5"/>
  <c r="BA598" i="5"/>
  <c r="BA597" i="5"/>
  <c r="BA596" i="5"/>
  <c r="BA595" i="5"/>
  <c r="BA594" i="5"/>
  <c r="BA593" i="5"/>
  <c r="BA592" i="5"/>
  <c r="BA591" i="5"/>
  <c r="BA590" i="5"/>
  <c r="BA589" i="5"/>
  <c r="BA588" i="5"/>
  <c r="BA587" i="5"/>
  <c r="BA586" i="5"/>
  <c r="BA585" i="5"/>
  <c r="BA584" i="5"/>
  <c r="BA583" i="5"/>
  <c r="BA582" i="5"/>
  <c r="BA581" i="5"/>
  <c r="BA580" i="5"/>
  <c r="BA579" i="5"/>
  <c r="BA578" i="5"/>
  <c r="BA577" i="5"/>
  <c r="BA576" i="5"/>
  <c r="BA575" i="5"/>
  <c r="BA574" i="5"/>
  <c r="BA573" i="5"/>
  <c r="BA572" i="5"/>
  <c r="BA571" i="5"/>
  <c r="BA570" i="5"/>
  <c r="BA569" i="5"/>
  <c r="BA568" i="5"/>
  <c r="BA567" i="5"/>
  <c r="BA566" i="5"/>
  <c r="BA565" i="5"/>
  <c r="BA564" i="5"/>
  <c r="BA563" i="5"/>
  <c r="BA562" i="5"/>
  <c r="BA561" i="5"/>
  <c r="BA560" i="5"/>
  <c r="BA559" i="5"/>
  <c r="BA558" i="5"/>
  <c r="BA557" i="5"/>
  <c r="BA556" i="5"/>
  <c r="BA555" i="5"/>
  <c r="BA554" i="5"/>
  <c r="BA553" i="5"/>
  <c r="BA552" i="5"/>
  <c r="BA551" i="5"/>
  <c r="BA549" i="5"/>
  <c r="BA548" i="5"/>
  <c r="BA547" i="5"/>
  <c r="BA546" i="5"/>
  <c r="BA545" i="5"/>
  <c r="BA544" i="5"/>
  <c r="BA543" i="5"/>
  <c r="BA542" i="5"/>
  <c r="BA541" i="5"/>
  <c r="BA540" i="5"/>
  <c r="BA539" i="5"/>
  <c r="BA538" i="5"/>
  <c r="BA537" i="5"/>
  <c r="BA536" i="5"/>
  <c r="BA535" i="5"/>
  <c r="BA534" i="5"/>
  <c r="BA533" i="5"/>
  <c r="BA532" i="5"/>
  <c r="BA531" i="5"/>
  <c r="BA530" i="5"/>
  <c r="BA529" i="5"/>
  <c r="BA528" i="5"/>
  <c r="BA527" i="5"/>
  <c r="BA526" i="5"/>
  <c r="BA525" i="5"/>
  <c r="BA524" i="5"/>
  <c r="BA523" i="5"/>
  <c r="BA522" i="5"/>
  <c r="BA521" i="5"/>
  <c r="BA520" i="5"/>
  <c r="BA519" i="5"/>
  <c r="BA518" i="5"/>
  <c r="BA517" i="5"/>
  <c r="BA516" i="5"/>
  <c r="BA515" i="5"/>
  <c r="BA514" i="5"/>
  <c r="BA513" i="5"/>
  <c r="BA512" i="5"/>
  <c r="BA511" i="5"/>
  <c r="BA510" i="5"/>
  <c r="BA509" i="5"/>
  <c r="BA508" i="5"/>
  <c r="BA507" i="5"/>
  <c r="BA506" i="5"/>
  <c r="BA505" i="5"/>
  <c r="BA504" i="5"/>
  <c r="BA503" i="5"/>
  <c r="BA502" i="5"/>
  <c r="BA501" i="5"/>
  <c r="BA500" i="5"/>
  <c r="BA499" i="5"/>
  <c r="BA498" i="5"/>
  <c r="BA497" i="5"/>
  <c r="BA496" i="5"/>
  <c r="BA495" i="5"/>
  <c r="BA494" i="5"/>
  <c r="BA493" i="5"/>
  <c r="BA491" i="5"/>
  <c r="BA490" i="5"/>
  <c r="BA489" i="5"/>
  <c r="BA488" i="5"/>
  <c r="BA487" i="5"/>
  <c r="BA486" i="5"/>
  <c r="BA485" i="5"/>
  <c r="BA484" i="5"/>
  <c r="BA483" i="5"/>
  <c r="BA482" i="5"/>
  <c r="BA481" i="5"/>
  <c r="BA480" i="5"/>
  <c r="BA479" i="5"/>
  <c r="BA478" i="5"/>
  <c r="BA477" i="5"/>
  <c r="BA476" i="5"/>
  <c r="BA475" i="5"/>
  <c r="BA474" i="5"/>
  <c r="BA473" i="5"/>
  <c r="BA472" i="5"/>
  <c r="BA471" i="5"/>
  <c r="BA470" i="5"/>
  <c r="BA469" i="5"/>
  <c r="BA468" i="5"/>
  <c r="BA467" i="5"/>
  <c r="BA466" i="5"/>
  <c r="BA465" i="5"/>
  <c r="BA464" i="5"/>
  <c r="BA463" i="5"/>
  <c r="BA462" i="5"/>
  <c r="BA461" i="5"/>
  <c r="BA460" i="5"/>
  <c r="BA459" i="5"/>
  <c r="BA458" i="5"/>
  <c r="BA457" i="5"/>
  <c r="BA456" i="5"/>
  <c r="BA455" i="5"/>
  <c r="BA454" i="5"/>
  <c r="BA453" i="5"/>
  <c r="BA452" i="5"/>
  <c r="BA451" i="5"/>
  <c r="BA450" i="5"/>
  <c r="BA449" i="5"/>
  <c r="BA448" i="5"/>
  <c r="BA447" i="5"/>
  <c r="BA446" i="5"/>
  <c r="BA445" i="5"/>
  <c r="BA444" i="5"/>
  <c r="BA443" i="5"/>
  <c r="BA442" i="5"/>
  <c r="BA441" i="5"/>
  <c r="BA440" i="5"/>
  <c r="BA439" i="5"/>
  <c r="BA438" i="5"/>
  <c r="BA437" i="5"/>
  <c r="BA435" i="5"/>
  <c r="BA434" i="5"/>
  <c r="BA433" i="5"/>
  <c r="BA432" i="5"/>
  <c r="BA431" i="5"/>
  <c r="BA430" i="5"/>
  <c r="BA429" i="5"/>
  <c r="BA428" i="5"/>
  <c r="BA427" i="5"/>
  <c r="BA426" i="5"/>
  <c r="BA425" i="5"/>
  <c r="BA424" i="5"/>
  <c r="BA423" i="5"/>
  <c r="BA422" i="5"/>
  <c r="BA421" i="5"/>
  <c r="BA420" i="5"/>
  <c r="BA419" i="5"/>
  <c r="BA418" i="5"/>
  <c r="BA417" i="5"/>
  <c r="BA416" i="5"/>
  <c r="BA415" i="5"/>
  <c r="BA414" i="5"/>
  <c r="BA413" i="5"/>
  <c r="BA412" i="5"/>
  <c r="BA411" i="5"/>
  <c r="BA410" i="5"/>
  <c r="BA409" i="5"/>
  <c r="BA408" i="5"/>
  <c r="BA407" i="5"/>
  <c r="BA406" i="5"/>
  <c r="BA405" i="5"/>
  <c r="BA404" i="5"/>
  <c r="BA403" i="5"/>
  <c r="BA402" i="5"/>
  <c r="BA401" i="5"/>
  <c r="BA400" i="5"/>
  <c r="BA398" i="5"/>
  <c r="BA397" i="5"/>
  <c r="BA396" i="5"/>
  <c r="BA395" i="5"/>
  <c r="BA394" i="5"/>
  <c r="BA393" i="5"/>
  <c r="BA392" i="5"/>
  <c r="BA391" i="5"/>
  <c r="BA390" i="5"/>
  <c r="BA389" i="5"/>
  <c r="BA388" i="5"/>
  <c r="BA387" i="5"/>
  <c r="BA386" i="5"/>
  <c r="BA385" i="5"/>
  <c r="BA383" i="5"/>
  <c r="BA382" i="5"/>
  <c r="BA381" i="5"/>
  <c r="BA380" i="5"/>
  <c r="BA379" i="5"/>
  <c r="BA378" i="5"/>
  <c r="BA377" i="5"/>
  <c r="BA376" i="5"/>
  <c r="BA375" i="5"/>
  <c r="BA373" i="5"/>
  <c r="BA372" i="5"/>
  <c r="BA371" i="5"/>
  <c r="BA370" i="5"/>
  <c r="BA369" i="5"/>
  <c r="BA368" i="5"/>
  <c r="BA367" i="5"/>
  <c r="BA366" i="5"/>
  <c r="BA365" i="5"/>
  <c r="BA364" i="5"/>
  <c r="BA363" i="5"/>
  <c r="BA362" i="5"/>
  <c r="BA360" i="5"/>
  <c r="BA359" i="5"/>
  <c r="BA358" i="5"/>
  <c r="BA357" i="5"/>
  <c r="BA356" i="5"/>
  <c r="BA355" i="5"/>
  <c r="BA354" i="5"/>
  <c r="BA353" i="5"/>
  <c r="BA352" i="5"/>
  <c r="BA351" i="5"/>
  <c r="BA350" i="5"/>
  <c r="BA349" i="5"/>
  <c r="BA348" i="5"/>
  <c r="BA347" i="5"/>
  <c r="BA346" i="5"/>
  <c r="BA345" i="5"/>
  <c r="BA344" i="5"/>
  <c r="BA343" i="5"/>
  <c r="BA342" i="5"/>
  <c r="BA341" i="5"/>
  <c r="BA340" i="5"/>
  <c r="BA339" i="5"/>
  <c r="BA338" i="5"/>
  <c r="BA337" i="5"/>
  <c r="BA336" i="5"/>
  <c r="BA335" i="5"/>
  <c r="BA334" i="5"/>
  <c r="BA333" i="5"/>
  <c r="BA332" i="5"/>
  <c r="BA331" i="5"/>
  <c r="BA330" i="5"/>
  <c r="BA329" i="5"/>
  <c r="BA328" i="5"/>
  <c r="BA327" i="5"/>
  <c r="BA325" i="5"/>
  <c r="BA324" i="5"/>
  <c r="BA323" i="5"/>
  <c r="BA322" i="5"/>
  <c r="BA321" i="5"/>
  <c r="BA320" i="5"/>
  <c r="BA319" i="5"/>
  <c r="BA318" i="5"/>
  <c r="BA317" i="5"/>
  <c r="BA316" i="5"/>
  <c r="BA315" i="5"/>
  <c r="BA314" i="5"/>
  <c r="BA312" i="5"/>
  <c r="BA311" i="5"/>
  <c r="BA310" i="5"/>
  <c r="BA309" i="5"/>
  <c r="BA308" i="5"/>
  <c r="BA307" i="5"/>
  <c r="BA306" i="5"/>
  <c r="BA305" i="5"/>
  <c r="BA304" i="5"/>
  <c r="BA303" i="5"/>
  <c r="BA302" i="5"/>
  <c r="BA301" i="5"/>
  <c r="BA300" i="5"/>
  <c r="BA299" i="5"/>
  <c r="BA298" i="5"/>
  <c r="BA297" i="5"/>
  <c r="BA296" i="5"/>
  <c r="BA295" i="5"/>
  <c r="BA294" i="5"/>
  <c r="BA293" i="5"/>
  <c r="BA292" i="5"/>
  <c r="BA291" i="5"/>
  <c r="BA290" i="5"/>
  <c r="BA289" i="5"/>
  <c r="BA288" i="5"/>
  <c r="BA287" i="5"/>
  <c r="BA285" i="5"/>
  <c r="BA284" i="5"/>
  <c r="BA283" i="5"/>
  <c r="BA282" i="5"/>
  <c r="BA281" i="5"/>
  <c r="BA280" i="5"/>
  <c r="BA279" i="5"/>
  <c r="BA278" i="5"/>
  <c r="BA277" i="5"/>
  <c r="BA275" i="5"/>
  <c r="BA274" i="5"/>
  <c r="BA273" i="5"/>
  <c r="BA272" i="5"/>
  <c r="BA271" i="5"/>
  <c r="BA270" i="5"/>
  <c r="BA269" i="5"/>
  <c r="BA268" i="5"/>
  <c r="BA267" i="5"/>
  <c r="BA266" i="5"/>
  <c r="BA265" i="5"/>
  <c r="BA264" i="5"/>
  <c r="BA263" i="5"/>
  <c r="BA262" i="5"/>
  <c r="BA261" i="5"/>
  <c r="BA260" i="5"/>
  <c r="BA259" i="5"/>
  <c r="BA258" i="5"/>
  <c r="BA257" i="5"/>
  <c r="BA256" i="5"/>
  <c r="BA255" i="5"/>
  <c r="BA254" i="5"/>
  <c r="BA253" i="5"/>
  <c r="BA251" i="5"/>
  <c r="BA250" i="5"/>
  <c r="BA249" i="5"/>
  <c r="BA248" i="5"/>
  <c r="BA247" i="5"/>
  <c r="BA246" i="5"/>
  <c r="BA245" i="5"/>
  <c r="BA244" i="5"/>
  <c r="BA243" i="5"/>
  <c r="BA242" i="5"/>
  <c r="BA241" i="5"/>
  <c r="BA240" i="5"/>
  <c r="BA239" i="5"/>
  <c r="BA238" i="5"/>
  <c r="BA237" i="5"/>
  <c r="BA236" i="5"/>
  <c r="BA235" i="5"/>
  <c r="BA234" i="5"/>
  <c r="BA233" i="5"/>
  <c r="BA232" i="5"/>
  <c r="BA231" i="5"/>
  <c r="BA230" i="5"/>
  <c r="BA229" i="5"/>
  <c r="BA228" i="5"/>
  <c r="BA227" i="5"/>
  <c r="BA226" i="5"/>
  <c r="BA224" i="5"/>
  <c r="BA223" i="5"/>
  <c r="BA222" i="5"/>
  <c r="BA221" i="5"/>
  <c r="BA220" i="5"/>
  <c r="BA219" i="5"/>
  <c r="BA218" i="5"/>
  <c r="BA217" i="5"/>
  <c r="BA216" i="5"/>
  <c r="BA215" i="5"/>
  <c r="BA214" i="5"/>
  <c r="BA213" i="5"/>
  <c r="BA212" i="5"/>
  <c r="BA211" i="5"/>
  <c r="BA210" i="5"/>
  <c r="BA209" i="5"/>
  <c r="BA208" i="5"/>
  <c r="BA207" i="5"/>
  <c r="BA206" i="5"/>
  <c r="BA205" i="5"/>
  <c r="BA204" i="5"/>
  <c r="BA203" i="5"/>
  <c r="BA202" i="5"/>
  <c r="BA201" i="5"/>
  <c r="BA200" i="5"/>
  <c r="BA199" i="5"/>
  <c r="BA197" i="5"/>
  <c r="BA196" i="5"/>
  <c r="BA195" i="5"/>
  <c r="BA194" i="5"/>
  <c r="BA193" i="5"/>
  <c r="BA192" i="5"/>
  <c r="BA191" i="5"/>
  <c r="BA190" i="5"/>
  <c r="BA189" i="5"/>
  <c r="BA188" i="5"/>
  <c r="BA187" i="5"/>
  <c r="BA186" i="5"/>
  <c r="BA185" i="5"/>
  <c r="BA184" i="5"/>
  <c r="BA183" i="5"/>
  <c r="BA182" i="5"/>
  <c r="BA181" i="5"/>
  <c r="BA180" i="5"/>
  <c r="BA179" i="5"/>
  <c r="BA178" i="5"/>
  <c r="BA177" i="5"/>
  <c r="BA176" i="5"/>
  <c r="BA175" i="5"/>
  <c r="BA174" i="5"/>
  <c r="BA173" i="5"/>
  <c r="BA172" i="5"/>
  <c r="BA170" i="5"/>
  <c r="BA169" i="5"/>
  <c r="BA168" i="5"/>
  <c r="BA167" i="5"/>
  <c r="BA166" i="5"/>
  <c r="BA165" i="5"/>
  <c r="BA164" i="5"/>
  <c r="BA163" i="5"/>
  <c r="BA162" i="5"/>
  <c r="BA161" i="5"/>
  <c r="BA160" i="5"/>
  <c r="BA158" i="5"/>
  <c r="BA157" i="5"/>
  <c r="BA156" i="5"/>
  <c r="BA155" i="5"/>
  <c r="BA154" i="5"/>
  <c r="BA153" i="5"/>
  <c r="BA152" i="5"/>
  <c r="BA151" i="5"/>
  <c r="BA150" i="5"/>
  <c r="BA149" i="5"/>
  <c r="BA148" i="5"/>
  <c r="BA147" i="5"/>
  <c r="BA146" i="5"/>
  <c r="BA145" i="5"/>
  <c r="BA144" i="5"/>
  <c r="BA142" i="5"/>
  <c r="BA141" i="5"/>
  <c r="BA140" i="5"/>
  <c r="BA139" i="5"/>
  <c r="BA138" i="5"/>
  <c r="BA137" i="5"/>
  <c r="BA136" i="5"/>
  <c r="BA135" i="5"/>
  <c r="BA134" i="5"/>
  <c r="BA133" i="5"/>
  <c r="BA132" i="5"/>
  <c r="BA131" i="5"/>
  <c r="BA130" i="5"/>
  <c r="BA129" i="5"/>
  <c r="BA128" i="5"/>
  <c r="BA127" i="5"/>
  <c r="BA126" i="5"/>
  <c r="BA125" i="5"/>
  <c r="BA124" i="5"/>
  <c r="BA123" i="5"/>
  <c r="BA122" i="5"/>
  <c r="BA121" i="5"/>
  <c r="BA120" i="5"/>
  <c r="BA119" i="5"/>
  <c r="BA118" i="5"/>
  <c r="BA117" i="5"/>
  <c r="BA116" i="5"/>
  <c r="BA115" i="5"/>
  <c r="BA114" i="5"/>
  <c r="BA113" i="5"/>
  <c r="BA112" i="5"/>
  <c r="BA111" i="5"/>
  <c r="BA110" i="5"/>
  <c r="BA109" i="5"/>
  <c r="BA108" i="5"/>
  <c r="BA107" i="5"/>
  <c r="BA106" i="5"/>
  <c r="BA105" i="5"/>
  <c r="BA104" i="5"/>
  <c r="BA103" i="5"/>
  <c r="BA102" i="5"/>
  <c r="BA101" i="5"/>
  <c r="BA100" i="5"/>
  <c r="BA99" i="5"/>
  <c r="BA98" i="5"/>
  <c r="BA97" i="5"/>
  <c r="BA96" i="5"/>
  <c r="BA95" i="5"/>
  <c r="BA94" i="5"/>
  <c r="BA93" i="5"/>
  <c r="BA92" i="5"/>
  <c r="BA91" i="5"/>
  <c r="BA90" i="5"/>
  <c r="BA89" i="5"/>
  <c r="BA88" i="5"/>
  <c r="BA87" i="5"/>
  <c r="BA86" i="5"/>
  <c r="BA85" i="5"/>
  <c r="BA84" i="5"/>
  <c r="BA83" i="5"/>
  <c r="BA82" i="5"/>
  <c r="BA81" i="5"/>
  <c r="BA80" i="5"/>
  <c r="BA79" i="5"/>
  <c r="BA78" i="5"/>
  <c r="BA77" i="5"/>
  <c r="BA76" i="5"/>
  <c r="BA75" i="5"/>
  <c r="BA74" i="5"/>
  <c r="BA73" i="5"/>
  <c r="BA72" i="5"/>
  <c r="BA71" i="5"/>
  <c r="BA70" i="5"/>
  <c r="BA69" i="5"/>
  <c r="BA68" i="5"/>
  <c r="BA67" i="5"/>
  <c r="BA66" i="5"/>
  <c r="BA65" i="5"/>
  <c r="BA64" i="5"/>
  <c r="BA63" i="5"/>
  <c r="BA62" i="5"/>
  <c r="BA61" i="5"/>
  <c r="BA60" i="5"/>
  <c r="BA59" i="5"/>
  <c r="BA58" i="5"/>
  <c r="BA57" i="5"/>
  <c r="BA56" i="5"/>
  <c r="BA55" i="5"/>
  <c r="BA54" i="5"/>
  <c r="BA53" i="5"/>
  <c r="BA52" i="5"/>
  <c r="BA51" i="5"/>
  <c r="BA50" i="5"/>
  <c r="BA49" i="5"/>
  <c r="BA48" i="5"/>
  <c r="BA47" i="5"/>
  <c r="BA46" i="5"/>
  <c r="BA45" i="5"/>
  <c r="BA44" i="5"/>
  <c r="BA43" i="5"/>
  <c r="BA42" i="5"/>
  <c r="BA41" i="5"/>
  <c r="BA40" i="5"/>
  <c r="BA39" i="5"/>
  <c r="BA38" i="5"/>
  <c r="BA37" i="5"/>
  <c r="BA36" i="5"/>
  <c r="BA35" i="5"/>
  <c r="BA34" i="5"/>
  <c r="BA33" i="5"/>
  <c r="BA32" i="5"/>
  <c r="BA31" i="5"/>
  <c r="BA30" i="5"/>
  <c r="BA29" i="5"/>
  <c r="BA28" i="5"/>
  <c r="BA27" i="5"/>
  <c r="BA26" i="5"/>
  <c r="BA25" i="5"/>
  <c r="BA24" i="5"/>
  <c r="BA23" i="5"/>
  <c r="BA22" i="5"/>
  <c r="BA21" i="5"/>
  <c r="BA20" i="5"/>
  <c r="BA19" i="5"/>
  <c r="BA18" i="5"/>
  <c r="BA17" i="5"/>
  <c r="BA16" i="5"/>
  <c r="BA15" i="5"/>
  <c r="BA14" i="5"/>
  <c r="BA13" i="5"/>
  <c r="BA12" i="5"/>
  <c r="BA11" i="5"/>
  <c r="BA10" i="5"/>
  <c r="BA9" i="5"/>
  <c r="BA8" i="5"/>
  <c r="BA7" i="5"/>
  <c r="BA6" i="5"/>
  <c r="BA5" i="5"/>
  <c r="BA4" i="5"/>
  <c r="AH1127" i="5"/>
  <c r="AH1126" i="5"/>
  <c r="AH1125" i="5"/>
  <c r="AH1124" i="5"/>
  <c r="AH1123" i="5"/>
  <c r="AH1122" i="5"/>
  <c r="AH1121" i="5"/>
  <c r="AH1120" i="5"/>
  <c r="AH1119" i="5"/>
  <c r="AH1118" i="5"/>
  <c r="AH1117" i="5"/>
  <c r="AH1116" i="5"/>
  <c r="AH1115" i="5"/>
  <c r="AH1114" i="5"/>
  <c r="AH1113" i="5"/>
  <c r="AH1112" i="5"/>
  <c r="AH1111" i="5"/>
  <c r="AH1110" i="5"/>
  <c r="AH1109" i="5"/>
  <c r="AH1108" i="5"/>
  <c r="AH1107" i="5"/>
  <c r="AH1106" i="5"/>
  <c r="AH1105" i="5"/>
  <c r="AH1104" i="5"/>
  <c r="AH1103" i="5"/>
  <c r="AH1102" i="5"/>
  <c r="AH1101" i="5"/>
  <c r="AH1100" i="5"/>
  <c r="AH1099" i="5"/>
  <c r="AH1098" i="5"/>
  <c r="AH1097" i="5"/>
  <c r="AH1096" i="5"/>
  <c r="AH1095" i="5"/>
  <c r="AH1094" i="5"/>
  <c r="AH1093" i="5"/>
  <c r="AH1092" i="5"/>
  <c r="AH1091" i="5"/>
  <c r="AH1090" i="5"/>
  <c r="AH1089" i="5"/>
  <c r="AH1088" i="5"/>
  <c r="AH1087" i="5"/>
  <c r="AH1086" i="5"/>
  <c r="AH1085" i="5"/>
  <c r="AH1084" i="5"/>
  <c r="AH1083" i="5"/>
  <c r="AH1082" i="5"/>
  <c r="AH1081" i="5"/>
  <c r="AH1080" i="5"/>
  <c r="AH1079" i="5"/>
  <c r="AH1078" i="5"/>
  <c r="AH1077" i="5"/>
  <c r="AH1076" i="5"/>
  <c r="AH1075" i="5"/>
  <c r="AH1074" i="5"/>
  <c r="AH1073" i="5"/>
  <c r="AH1072" i="5"/>
  <c r="AH1071" i="5"/>
  <c r="AH1070" i="5"/>
  <c r="AH1069" i="5"/>
  <c r="AH1068" i="5"/>
  <c r="AH1067" i="5"/>
  <c r="AH1066" i="5"/>
  <c r="AH1065" i="5"/>
  <c r="AH1064" i="5"/>
  <c r="AH1063" i="5"/>
  <c r="AH1062" i="5"/>
  <c r="AH1061" i="5"/>
  <c r="AH1060" i="5"/>
  <c r="AH1059" i="5"/>
  <c r="AH1058" i="5"/>
  <c r="AH1057" i="5"/>
  <c r="AH1056" i="5"/>
  <c r="AH1055" i="5"/>
  <c r="AH1054" i="5"/>
  <c r="AH1053" i="5"/>
  <c r="AH1052" i="5"/>
  <c r="AH1051" i="5"/>
  <c r="AH1050" i="5"/>
  <c r="AH1049" i="5"/>
  <c r="AH1048" i="5"/>
  <c r="AH1047" i="5"/>
  <c r="AH1046" i="5"/>
  <c r="AH1045" i="5"/>
  <c r="AH1044" i="5"/>
  <c r="AH1043" i="5"/>
  <c r="AH1042" i="5"/>
  <c r="AH1041" i="5"/>
  <c r="AH1040" i="5"/>
  <c r="AH1039" i="5"/>
  <c r="AH1038" i="5"/>
  <c r="AH1037" i="5"/>
  <c r="AH1036" i="5"/>
  <c r="AH1035" i="5"/>
  <c r="AH1034" i="5"/>
  <c r="AH1033" i="5"/>
  <c r="AH1032" i="5"/>
  <c r="AH1031" i="5"/>
  <c r="AH1030" i="5"/>
  <c r="AH1029" i="5"/>
  <c r="AH1028" i="5"/>
  <c r="AH1027" i="5"/>
  <c r="AH1026" i="5"/>
  <c r="AH1025" i="5"/>
  <c r="AH1024" i="5"/>
  <c r="AH1023" i="5"/>
  <c r="AH1022" i="5"/>
  <c r="AH1021" i="5"/>
  <c r="AH1020" i="5"/>
  <c r="AH1019" i="5"/>
  <c r="AH1018" i="5"/>
  <c r="AH1017" i="5"/>
  <c r="AH1016" i="5"/>
  <c r="AH1015" i="5"/>
  <c r="AH1014" i="5"/>
  <c r="AH1013" i="5"/>
  <c r="AH1012" i="5"/>
  <c r="AH1011" i="5"/>
  <c r="AH1010" i="5"/>
  <c r="AH1009" i="5"/>
  <c r="AH1008" i="5"/>
  <c r="AH1007" i="5"/>
  <c r="AH1006" i="5"/>
  <c r="AH1005" i="5"/>
  <c r="AH1004" i="5"/>
  <c r="AH1003" i="5"/>
  <c r="AH1002" i="5"/>
  <c r="AH1001" i="5"/>
  <c r="AH1000" i="5"/>
  <c r="AH999" i="5"/>
  <c r="AH998" i="5"/>
  <c r="AH997" i="5"/>
  <c r="AH996" i="5"/>
  <c r="AH995" i="5"/>
  <c r="AH994" i="5"/>
  <c r="AH993" i="5"/>
  <c r="AH992" i="5"/>
  <c r="AH991" i="5"/>
  <c r="AH990" i="5"/>
  <c r="AH989" i="5"/>
  <c r="AH988" i="5"/>
  <c r="AH987" i="5"/>
  <c r="AH986" i="5"/>
  <c r="AH985" i="5"/>
  <c r="AH984" i="5"/>
  <c r="AH983" i="5"/>
  <c r="AH982" i="5"/>
  <c r="AH981" i="5"/>
  <c r="AH980" i="5"/>
  <c r="AH979" i="5"/>
  <c r="AH978" i="5"/>
  <c r="AH977" i="5"/>
  <c r="AH976" i="5"/>
  <c r="AH975" i="5"/>
  <c r="AH974" i="5"/>
  <c r="AH973" i="5"/>
  <c r="AH972" i="5"/>
  <c r="AH971" i="5"/>
  <c r="AH970" i="5"/>
  <c r="AH969" i="5"/>
  <c r="AH968" i="5"/>
  <c r="AH967" i="5"/>
  <c r="AH966" i="5"/>
  <c r="AH965" i="5"/>
  <c r="AH964" i="5"/>
  <c r="AH963" i="5"/>
  <c r="AH962" i="5"/>
  <c r="AH961" i="5"/>
  <c r="AH960" i="5"/>
  <c r="AH959" i="5"/>
  <c r="AH958" i="5"/>
  <c r="AH957" i="5"/>
  <c r="AH956" i="5"/>
  <c r="AH955" i="5"/>
  <c r="AH952" i="5"/>
  <c r="AH951" i="5"/>
  <c r="AH950" i="5"/>
  <c r="AH949" i="5"/>
  <c r="AH948" i="5"/>
  <c r="AH947" i="5"/>
  <c r="AH946" i="5"/>
  <c r="AH945" i="5"/>
  <c r="AH944" i="5"/>
  <c r="AH943" i="5"/>
  <c r="AH942" i="5"/>
  <c r="AH941" i="5"/>
  <c r="AH940" i="5"/>
  <c r="AH939" i="5"/>
  <c r="AH938" i="5"/>
  <c r="AH937" i="5"/>
  <c r="AH936" i="5"/>
  <c r="AH935" i="5"/>
  <c r="AH934" i="5"/>
  <c r="AH933" i="5"/>
  <c r="AH932" i="5"/>
  <c r="AH931" i="5"/>
  <c r="AH930" i="5"/>
  <c r="AH929" i="5"/>
  <c r="AH928" i="5"/>
  <c r="AH784" i="5"/>
  <c r="AH783" i="5"/>
  <c r="AH782" i="5"/>
  <c r="AH781" i="5"/>
  <c r="AH780" i="5"/>
  <c r="AH779" i="5"/>
  <c r="AH778" i="5"/>
  <c r="AH777" i="5"/>
  <c r="AH776" i="5"/>
  <c r="AH775" i="5"/>
  <c r="AH774" i="5"/>
  <c r="AH773" i="5"/>
  <c r="AH771" i="5"/>
  <c r="AH770" i="5"/>
  <c r="AH769" i="5"/>
  <c r="AH768" i="5"/>
  <c r="AH767" i="5"/>
  <c r="AH766" i="5"/>
  <c r="AH765" i="5"/>
  <c r="AH764" i="5"/>
  <c r="AH763" i="5"/>
  <c r="AH762" i="5"/>
  <c r="AH761" i="5"/>
  <c r="AH760" i="5"/>
  <c r="AH759" i="5"/>
  <c r="AH750" i="5"/>
  <c r="AH749" i="5"/>
  <c r="AH748" i="5"/>
  <c r="AH747" i="5"/>
  <c r="AH746" i="5"/>
  <c r="AH745" i="5"/>
  <c r="AH744" i="5"/>
  <c r="AH743" i="5"/>
  <c r="AH742" i="5"/>
  <c r="AH741" i="5"/>
  <c r="AH740" i="5"/>
  <c r="AH739" i="5"/>
  <c r="AH738" i="5"/>
  <c r="AH737" i="5"/>
  <c r="AH736" i="5"/>
  <c r="AH735" i="5"/>
  <c r="AH734" i="5"/>
  <c r="AH733" i="5"/>
  <c r="AH730" i="5"/>
  <c r="AH729" i="5"/>
  <c r="AH728" i="5"/>
  <c r="AH727" i="5"/>
  <c r="AH726" i="5"/>
  <c r="AH725" i="5"/>
  <c r="AH724" i="5"/>
  <c r="AH723" i="5"/>
  <c r="AH722" i="5"/>
  <c r="AH721" i="5"/>
  <c r="AH720" i="5"/>
  <c r="AH719" i="5"/>
  <c r="AH718" i="5"/>
  <c r="AH717" i="5"/>
  <c r="AH716" i="5"/>
  <c r="AH715" i="5"/>
  <c r="AH714" i="5"/>
  <c r="AH713" i="5"/>
  <c r="AH712" i="5"/>
  <c r="AH711" i="5"/>
  <c r="AH710" i="5"/>
  <c r="AH709" i="5"/>
  <c r="AH708" i="5"/>
  <c r="AH707" i="5"/>
  <c r="AH706" i="5"/>
  <c r="AH705" i="5"/>
  <c r="AH704" i="5"/>
  <c r="AH703" i="5"/>
  <c r="AH702" i="5"/>
  <c r="AH701" i="5"/>
  <c r="AH700" i="5"/>
  <c r="AH699" i="5"/>
  <c r="AH698" i="5"/>
  <c r="AH697" i="5"/>
  <c r="AH696" i="5"/>
  <c r="AH695" i="5"/>
  <c r="AH694" i="5"/>
  <c r="AH693" i="5"/>
  <c r="AH692" i="5"/>
  <c r="AH691" i="5"/>
  <c r="AH690" i="5"/>
  <c r="AH689" i="5"/>
  <c r="AH688" i="5"/>
  <c r="AH687" i="5"/>
  <c r="AH686" i="5"/>
  <c r="AH685" i="5"/>
  <c r="AH682" i="5"/>
  <c r="AH681" i="5"/>
  <c r="AH680" i="5"/>
  <c r="AH679" i="5"/>
  <c r="AH678" i="5"/>
  <c r="AH677" i="5"/>
  <c r="AH676" i="5"/>
  <c r="AH675" i="5"/>
  <c r="AH674" i="5"/>
  <c r="AH673" i="5"/>
  <c r="AH672" i="5"/>
  <c r="AH671" i="5"/>
  <c r="AH670" i="5"/>
  <c r="AH669" i="5"/>
  <c r="AH668" i="5"/>
  <c r="AH667" i="5"/>
  <c r="AH666" i="5"/>
  <c r="AH665" i="5"/>
  <c r="AH664" i="5"/>
  <c r="AH663" i="5"/>
  <c r="AH662" i="5"/>
  <c r="AH661" i="5"/>
  <c r="AH660" i="5"/>
  <c r="AH659" i="5"/>
  <c r="AH658" i="5"/>
  <c r="AH655" i="5"/>
  <c r="AH654" i="5"/>
  <c r="AH653" i="5"/>
  <c r="AH652" i="5"/>
  <c r="AH651" i="5"/>
  <c r="AH650" i="5"/>
  <c r="AH649" i="5"/>
  <c r="AH648" i="5"/>
  <c r="AH647" i="5"/>
  <c r="AH646" i="5"/>
  <c r="AH645" i="5"/>
  <c r="AH644" i="5"/>
  <c r="AH643" i="5"/>
  <c r="AH642" i="5"/>
  <c r="AH641" i="5"/>
  <c r="AI628" i="5"/>
  <c r="AI627" i="5"/>
  <c r="AI626" i="5"/>
  <c r="AI625" i="5"/>
  <c r="AI624" i="5"/>
  <c r="AI623" i="5"/>
  <c r="AI622" i="5"/>
  <c r="AI621" i="5"/>
  <c r="AI620" i="5"/>
  <c r="AI619" i="5"/>
  <c r="AI618" i="5"/>
  <c r="AI617" i="5"/>
  <c r="AI616" i="5"/>
  <c r="AI615" i="5"/>
  <c r="AI614" i="5"/>
  <c r="AR172" i="5"/>
  <c r="AR170" i="5"/>
  <c r="AR169" i="5"/>
  <c r="AR168" i="5"/>
  <c r="AR167" i="5"/>
  <c r="AR166" i="5"/>
  <c r="AR165" i="5"/>
  <c r="AR164" i="5"/>
  <c r="AR163" i="5"/>
  <c r="AR162" i="5"/>
  <c r="AR161" i="5"/>
  <c r="AR160" i="5"/>
  <c r="AR158" i="5"/>
  <c r="AR157" i="5"/>
  <c r="AR156" i="5"/>
  <c r="AR155" i="5"/>
  <c r="AR154" i="5"/>
  <c r="AR153" i="5"/>
  <c r="AR152" i="5"/>
  <c r="AR151" i="5"/>
  <c r="AR150" i="5"/>
  <c r="AR149" i="5"/>
  <c r="AR148" i="5"/>
  <c r="AR147" i="5"/>
  <c r="AR146" i="5"/>
  <c r="AR145" i="5"/>
  <c r="AR144" i="5"/>
  <c r="AR142" i="5"/>
  <c r="AR141" i="5"/>
  <c r="AR140" i="5"/>
  <c r="AR139" i="5"/>
  <c r="AR138" i="5"/>
  <c r="AR137" i="5"/>
  <c r="AR136" i="5"/>
  <c r="AR135" i="5"/>
  <c r="AR134" i="5"/>
  <c r="AR133" i="5"/>
  <c r="AR132" i="5"/>
  <c r="AR131" i="5"/>
  <c r="AR130" i="5"/>
  <c r="AR129" i="5"/>
  <c r="AR128" i="5"/>
  <c r="AR127" i="5"/>
  <c r="AR126" i="5"/>
  <c r="AR125" i="5"/>
  <c r="AR124" i="5"/>
  <c r="AR123" i="5"/>
  <c r="AR122" i="5"/>
  <c r="AR121" i="5"/>
  <c r="AR120" i="5"/>
  <c r="AR119" i="5"/>
  <c r="AR118" i="5"/>
  <c r="AR117" i="5"/>
  <c r="AR116" i="5"/>
  <c r="AR115" i="5"/>
  <c r="AR114" i="5"/>
  <c r="AR113" i="5"/>
  <c r="AR112" i="5"/>
  <c r="AR111" i="5"/>
  <c r="AR110" i="5"/>
  <c r="AR109" i="5"/>
  <c r="AR108" i="5"/>
  <c r="AR107" i="5"/>
  <c r="AR105" i="5"/>
  <c r="AR104" i="5"/>
  <c r="AR103" i="5"/>
  <c r="AR102" i="5"/>
  <c r="AR101" i="5"/>
  <c r="AR100" i="5"/>
  <c r="AR99" i="5"/>
  <c r="AR98" i="5"/>
  <c r="AR97" i="5"/>
  <c r="AR96" i="5"/>
  <c r="AR95" i="5"/>
  <c r="AR94" i="5"/>
  <c r="AR93" i="5"/>
  <c r="AR92" i="5"/>
  <c r="AR91" i="5"/>
  <c r="AR90" i="5"/>
  <c r="AR89" i="5"/>
  <c r="AR88" i="5"/>
  <c r="AR87" i="5"/>
  <c r="AR86" i="5"/>
  <c r="AR85" i="5"/>
  <c r="AR84" i="5"/>
  <c r="AR83" i="5"/>
  <c r="AR82" i="5"/>
  <c r="AR81" i="5"/>
  <c r="AR80" i="5"/>
  <c r="AR79" i="5"/>
  <c r="AR78" i="5"/>
  <c r="AR77" i="5"/>
  <c r="AR76" i="5"/>
  <c r="AR75" i="5"/>
  <c r="AR74" i="5"/>
  <c r="AR73" i="5"/>
  <c r="AR72" i="5"/>
  <c r="AR71" i="5"/>
  <c r="AR70" i="5"/>
  <c r="AR69" i="5"/>
  <c r="AR68" i="5"/>
  <c r="AR67" i="5"/>
  <c r="AR66" i="5"/>
  <c r="AR65" i="5"/>
  <c r="AR64" i="5"/>
  <c r="AR63" i="5"/>
  <c r="AR62" i="5"/>
  <c r="AR61" i="5"/>
  <c r="AR60" i="5"/>
  <c r="AR59" i="5"/>
  <c r="AR58" i="5"/>
  <c r="AR57" i="5"/>
  <c r="AR56" i="5"/>
  <c r="AR55" i="5"/>
  <c r="AR54" i="5"/>
  <c r="AR53" i="5"/>
  <c r="AR52" i="5"/>
  <c r="AR51" i="5"/>
  <c r="AR50" i="5"/>
  <c r="AR49" i="5"/>
  <c r="AR48" i="5"/>
  <c r="AR47" i="5"/>
  <c r="AR46" i="5"/>
  <c r="AR45" i="5"/>
  <c r="AR44" i="5"/>
  <c r="AR43" i="5"/>
  <c r="AR42" i="5"/>
  <c r="AR41" i="5"/>
  <c r="AR40" i="5"/>
  <c r="AR39" i="5"/>
  <c r="AR38" i="5"/>
  <c r="AR37" i="5"/>
  <c r="AR36" i="5"/>
  <c r="AR35" i="5"/>
  <c r="AR34" i="5"/>
  <c r="AR33" i="5"/>
  <c r="AR32" i="5"/>
  <c r="AR31" i="5"/>
  <c r="AR30" i="5"/>
  <c r="AR29" i="5"/>
  <c r="AR28" i="5"/>
  <c r="AR27" i="5"/>
  <c r="AR26" i="5"/>
  <c r="AR25" i="5"/>
  <c r="AR24" i="5"/>
  <c r="AR23" i="5"/>
  <c r="AR22" i="5"/>
  <c r="AR21" i="5"/>
  <c r="AR20" i="5"/>
  <c r="AR19" i="5"/>
  <c r="AR18" i="5"/>
  <c r="AR17" i="5"/>
  <c r="AR16" i="5"/>
  <c r="AR15" i="5"/>
  <c r="AR14" i="5"/>
  <c r="AR13" i="5"/>
  <c r="AR12" i="5"/>
  <c r="AR11" i="5"/>
  <c r="AR10" i="5"/>
  <c r="AR9" i="5"/>
  <c r="AR8" i="5"/>
  <c r="AR7" i="5"/>
  <c r="AR6" i="5"/>
  <c r="AR5" i="5"/>
  <c r="AR4" i="5"/>
  <c r="AQ1152" i="5"/>
  <c r="AQ1151" i="5"/>
  <c r="AQ1150" i="5"/>
  <c r="AQ1149" i="5"/>
  <c r="AQ1148" i="5"/>
  <c r="AQ1147" i="5"/>
  <c r="AQ1146" i="5"/>
  <c r="AQ1145" i="5"/>
  <c r="AQ1144" i="5"/>
  <c r="AQ1143" i="5"/>
  <c r="AQ1142" i="5"/>
  <c r="AQ1141" i="5"/>
  <c r="AQ1140" i="5"/>
  <c r="AQ1139" i="5"/>
  <c r="AQ1138" i="5"/>
  <c r="AQ1137" i="5"/>
  <c r="AQ1136" i="5"/>
  <c r="AQ1135" i="5"/>
  <c r="AQ1134" i="5"/>
  <c r="AQ1133" i="5"/>
  <c r="AQ1132" i="5"/>
  <c r="AQ1131" i="5"/>
  <c r="AQ1130" i="5"/>
  <c r="AQ1129" i="5"/>
  <c r="AQ1127" i="5"/>
  <c r="AQ1126" i="5"/>
  <c r="AQ1125" i="5"/>
  <c r="AQ1124" i="5"/>
  <c r="AQ1123" i="5"/>
  <c r="AQ1122" i="5"/>
  <c r="AQ1121" i="5"/>
  <c r="AQ1120" i="5"/>
  <c r="AQ1119" i="5"/>
  <c r="AQ1118" i="5"/>
  <c r="AQ1117" i="5"/>
  <c r="AQ1116" i="5"/>
  <c r="AQ1115" i="5"/>
  <c r="AQ1114" i="5"/>
  <c r="AQ1113" i="5"/>
  <c r="AQ1112" i="5"/>
  <c r="AQ1111" i="5"/>
  <c r="AQ1110" i="5"/>
  <c r="AQ1109" i="5"/>
  <c r="AQ1108" i="5"/>
  <c r="AQ1107" i="5"/>
  <c r="AQ1106" i="5"/>
  <c r="AQ1105" i="5"/>
  <c r="AQ1104" i="5"/>
  <c r="AQ1103" i="5"/>
  <c r="AQ1102" i="5"/>
  <c r="AQ1101" i="5"/>
  <c r="AQ1100" i="5"/>
  <c r="AQ1099" i="5"/>
  <c r="AQ1098" i="5"/>
  <c r="AQ1097" i="5"/>
  <c r="AQ1096" i="5"/>
  <c r="AQ1095" i="5"/>
  <c r="AQ1094" i="5"/>
  <c r="AQ1093" i="5"/>
  <c r="AQ1092" i="5"/>
  <c r="AQ1091" i="5"/>
  <c r="AQ1090" i="5"/>
  <c r="AQ1089" i="5"/>
  <c r="AQ1088" i="5"/>
  <c r="AQ1087" i="5"/>
  <c r="AQ1086" i="5"/>
  <c r="AQ1085" i="5"/>
  <c r="AQ1084" i="5"/>
  <c r="AQ1083" i="5"/>
  <c r="AQ1082" i="5"/>
  <c r="AQ1081" i="5"/>
  <c r="AQ1080" i="5"/>
  <c r="AQ1079" i="5"/>
  <c r="AQ1078" i="5"/>
  <c r="AQ1077" i="5"/>
  <c r="AQ1076" i="5"/>
  <c r="AQ1075" i="5"/>
  <c r="AQ1074" i="5"/>
  <c r="AQ1073" i="5"/>
  <c r="AQ1072" i="5"/>
  <c r="AQ1071" i="5"/>
  <c r="AQ1070" i="5"/>
  <c r="AQ1069" i="5"/>
  <c r="AQ1068" i="5"/>
  <c r="AQ1067" i="5"/>
  <c r="AQ1066" i="5"/>
  <c r="AQ1065" i="5"/>
  <c r="AQ1064" i="5"/>
  <c r="AQ1063" i="5"/>
  <c r="AQ1062" i="5"/>
  <c r="AQ1061" i="5"/>
  <c r="AQ1060" i="5"/>
  <c r="AQ1059" i="5"/>
  <c r="AQ1058" i="5"/>
  <c r="AQ1057" i="5"/>
  <c r="AQ1056" i="5"/>
  <c r="AQ1055" i="5"/>
  <c r="AQ1054" i="5"/>
  <c r="AQ1053" i="5"/>
  <c r="AQ1052" i="5"/>
  <c r="AQ1051" i="5"/>
  <c r="AQ1050" i="5"/>
  <c r="AQ1049" i="5"/>
  <c r="AQ1048" i="5"/>
  <c r="AQ1047" i="5"/>
  <c r="AQ1046" i="5"/>
  <c r="AQ1045" i="5"/>
  <c r="AQ1044" i="5"/>
  <c r="AQ1043" i="5"/>
  <c r="AQ1042" i="5"/>
  <c r="AQ1041" i="5"/>
  <c r="AQ1040" i="5"/>
  <c r="AQ1039" i="5"/>
  <c r="AQ1038" i="5"/>
  <c r="AQ1037" i="5"/>
  <c r="AQ1036" i="5"/>
  <c r="AQ1035" i="5"/>
  <c r="AQ1034" i="5"/>
  <c r="AQ1033" i="5"/>
  <c r="AQ1032" i="5"/>
  <c r="AQ1031" i="5"/>
  <c r="AQ1030" i="5"/>
  <c r="AQ1029" i="5"/>
  <c r="AQ1028" i="5"/>
  <c r="AQ1027" i="5"/>
  <c r="AQ1026" i="5"/>
  <c r="AQ1025" i="5"/>
  <c r="AQ1024" i="5"/>
  <c r="AQ1023" i="5"/>
  <c r="AQ1022" i="5"/>
  <c r="AQ1021" i="5"/>
  <c r="AQ1020" i="5"/>
  <c r="AQ1019" i="5"/>
  <c r="AQ1018" i="5"/>
  <c r="AQ1017" i="5"/>
  <c r="AQ1016" i="5"/>
  <c r="AQ1015" i="5"/>
  <c r="AQ1014" i="5"/>
  <c r="AQ1013" i="5"/>
  <c r="AQ1012" i="5"/>
  <c r="AQ1011" i="5"/>
  <c r="AQ1010" i="5"/>
  <c r="AQ1009" i="5"/>
  <c r="AQ1008" i="5"/>
  <c r="AQ1007" i="5"/>
  <c r="AQ1006" i="5"/>
  <c r="AQ1005" i="5"/>
  <c r="AQ1004" i="5"/>
  <c r="AQ1003" i="5"/>
  <c r="AQ1002" i="5"/>
  <c r="AQ1001" i="5"/>
  <c r="AQ1000" i="5"/>
  <c r="AQ999" i="5"/>
  <c r="AQ998" i="5"/>
  <c r="AQ997" i="5"/>
  <c r="AQ996" i="5"/>
  <c r="AQ995" i="5"/>
  <c r="AQ994" i="5"/>
  <c r="AQ993" i="5"/>
  <c r="AQ992" i="5"/>
  <c r="AQ991" i="5"/>
  <c r="AQ990" i="5"/>
  <c r="AQ989" i="5"/>
  <c r="AQ988" i="5"/>
  <c r="AQ987" i="5"/>
  <c r="AQ986" i="5"/>
  <c r="AQ985" i="5"/>
  <c r="AQ984" i="5"/>
  <c r="AQ983" i="5"/>
  <c r="AQ982" i="5"/>
  <c r="AQ981" i="5"/>
  <c r="AQ980" i="5"/>
  <c r="AQ979" i="5"/>
  <c r="AQ978" i="5"/>
  <c r="AQ977" i="5"/>
  <c r="AQ976" i="5"/>
  <c r="AQ975" i="5"/>
  <c r="AQ974" i="5"/>
  <c r="AQ973" i="5"/>
  <c r="AQ972" i="5"/>
  <c r="AQ971" i="5"/>
  <c r="AQ970" i="5"/>
  <c r="AQ969" i="5"/>
  <c r="AQ968" i="5"/>
  <c r="AQ967" i="5"/>
  <c r="AQ966" i="5"/>
  <c r="AQ965" i="5"/>
  <c r="AQ964" i="5"/>
  <c r="AQ963" i="5"/>
  <c r="AQ962" i="5"/>
  <c r="AQ961" i="5"/>
  <c r="AQ960" i="5"/>
  <c r="AQ959" i="5"/>
  <c r="AQ958" i="5"/>
  <c r="AQ957" i="5"/>
  <c r="AQ956" i="5"/>
  <c r="AQ955" i="5"/>
  <c r="AQ954" i="5"/>
  <c r="AQ952" i="5"/>
  <c r="AQ951" i="5"/>
  <c r="AQ950" i="5"/>
  <c r="AQ949" i="5"/>
  <c r="AQ948" i="5"/>
  <c r="AQ947" i="5"/>
  <c r="AQ946" i="5"/>
  <c r="AQ945" i="5"/>
  <c r="AQ944" i="5"/>
  <c r="AQ943" i="5"/>
  <c r="AQ942" i="5"/>
  <c r="AQ941" i="5"/>
  <c r="AQ940" i="5"/>
  <c r="AQ939" i="5"/>
  <c r="AQ938" i="5"/>
  <c r="AQ937" i="5"/>
  <c r="AQ936" i="5"/>
  <c r="AQ935" i="5"/>
  <c r="AQ934" i="5"/>
  <c r="AQ933" i="5"/>
  <c r="AQ932" i="5"/>
  <c r="AQ931" i="5"/>
  <c r="AQ930" i="5"/>
  <c r="AQ929" i="5"/>
  <c r="AQ928" i="5"/>
  <c r="AQ927" i="5"/>
  <c r="AQ925" i="5"/>
  <c r="AQ924" i="5"/>
  <c r="AQ923" i="5"/>
  <c r="AQ922" i="5"/>
  <c r="AQ921" i="5"/>
  <c r="AQ920" i="5"/>
  <c r="AQ919" i="5"/>
  <c r="AQ918" i="5"/>
  <c r="AQ917" i="5"/>
  <c r="AQ916" i="5"/>
  <c r="AQ915" i="5"/>
  <c r="AQ914" i="5"/>
  <c r="AQ913" i="5"/>
  <c r="AQ912" i="5"/>
  <c r="AQ911" i="5"/>
  <c r="AQ910" i="5"/>
  <c r="AQ909" i="5"/>
  <c r="AQ908" i="5"/>
  <c r="AQ907" i="5"/>
  <c r="AQ906" i="5"/>
  <c r="AQ905" i="5"/>
  <c r="AQ904" i="5"/>
  <c r="AQ903" i="5"/>
  <c r="AQ902" i="5"/>
  <c r="AQ901" i="5"/>
  <c r="AQ900" i="5"/>
  <c r="AQ899" i="5"/>
  <c r="AQ898" i="5"/>
  <c r="AQ897" i="5"/>
  <c r="AQ896" i="5"/>
  <c r="AQ895" i="5"/>
  <c r="AQ894" i="5"/>
  <c r="AQ893" i="5"/>
  <c r="AQ892" i="5"/>
  <c r="AQ891" i="5"/>
  <c r="AQ890" i="5"/>
  <c r="AQ889" i="5"/>
  <c r="AQ888" i="5"/>
  <c r="AQ887" i="5"/>
  <c r="AQ886" i="5"/>
  <c r="AQ885" i="5"/>
  <c r="AQ884" i="5"/>
  <c r="AQ883" i="5"/>
  <c r="AQ882" i="5"/>
  <c r="AQ881" i="5"/>
  <c r="AQ880" i="5"/>
  <c r="AQ879" i="5"/>
  <c r="AQ878" i="5"/>
  <c r="AQ877" i="5"/>
  <c r="AQ876" i="5"/>
  <c r="AQ875" i="5"/>
  <c r="AQ874" i="5"/>
  <c r="AQ873" i="5"/>
  <c r="AQ872" i="5"/>
  <c r="AQ871" i="5"/>
  <c r="AQ870" i="5"/>
  <c r="AQ869" i="5"/>
  <c r="AQ868" i="5"/>
  <c r="AQ867" i="5"/>
  <c r="AQ866" i="5"/>
  <c r="AQ865" i="5"/>
  <c r="AQ864" i="5"/>
  <c r="AQ863" i="5"/>
  <c r="AQ862" i="5"/>
  <c r="AQ861" i="5"/>
  <c r="AQ860" i="5"/>
  <c r="AQ859" i="5"/>
  <c r="AQ858" i="5"/>
  <c r="AQ857" i="5"/>
  <c r="AQ856" i="5"/>
  <c r="AQ855" i="5"/>
  <c r="AQ854" i="5"/>
  <c r="AQ853" i="5"/>
  <c r="AQ852" i="5"/>
  <c r="AQ851" i="5"/>
  <c r="AQ850" i="5"/>
  <c r="AQ849" i="5"/>
  <c r="AQ848" i="5"/>
  <c r="AQ847" i="5"/>
  <c r="AQ846" i="5"/>
  <c r="AQ845" i="5"/>
  <c r="AQ844" i="5"/>
  <c r="AQ843" i="5"/>
  <c r="AQ842" i="5"/>
  <c r="AQ841" i="5"/>
  <c r="AQ840" i="5"/>
  <c r="AQ839" i="5"/>
  <c r="AQ838" i="5"/>
  <c r="AQ837" i="5"/>
  <c r="AQ836" i="5"/>
  <c r="AQ835" i="5"/>
  <c r="AQ834" i="5"/>
  <c r="AQ833" i="5"/>
  <c r="AQ832" i="5"/>
  <c r="AQ831" i="5"/>
  <c r="AQ830" i="5"/>
  <c r="AQ829" i="5"/>
  <c r="AQ828" i="5"/>
  <c r="AQ827" i="5"/>
  <c r="AQ826" i="5"/>
  <c r="AQ825" i="5"/>
  <c r="AQ824" i="5"/>
  <c r="AQ823" i="5"/>
  <c r="AQ822" i="5"/>
  <c r="AQ821" i="5"/>
  <c r="AQ820" i="5"/>
  <c r="AQ819" i="5"/>
  <c r="AQ818" i="5"/>
  <c r="AQ817" i="5"/>
  <c r="AQ816" i="5"/>
  <c r="AQ815" i="5"/>
  <c r="AQ814" i="5"/>
  <c r="AQ813" i="5"/>
  <c r="AQ812" i="5"/>
  <c r="AQ811" i="5"/>
  <c r="AQ810" i="5"/>
  <c r="AQ809" i="5"/>
  <c r="AQ808" i="5"/>
  <c r="AQ807" i="5"/>
  <c r="AQ806" i="5"/>
  <c r="AQ805" i="5"/>
  <c r="AQ804" i="5"/>
  <c r="AQ803" i="5"/>
  <c r="AQ802" i="5"/>
  <c r="AQ801" i="5"/>
  <c r="AQ800" i="5"/>
  <c r="AQ799" i="5"/>
  <c r="AQ798" i="5"/>
  <c r="AQ797" i="5"/>
  <c r="AQ796" i="5"/>
  <c r="AQ795" i="5"/>
  <c r="AQ794" i="5"/>
  <c r="AQ793" i="5"/>
  <c r="AQ792" i="5"/>
  <c r="AQ791" i="5"/>
  <c r="AQ790" i="5"/>
  <c r="AQ789" i="5"/>
  <c r="AQ788" i="5"/>
  <c r="AQ787" i="5"/>
  <c r="AQ786" i="5"/>
  <c r="AQ784" i="5"/>
  <c r="AQ783" i="5"/>
  <c r="AQ782" i="5"/>
  <c r="AQ781" i="5"/>
  <c r="AQ780" i="5"/>
  <c r="AQ779" i="5"/>
  <c r="AQ778" i="5"/>
  <c r="AQ777" i="5"/>
  <c r="AQ776" i="5"/>
  <c r="AQ775" i="5"/>
  <c r="AQ774" i="5"/>
  <c r="AQ773" i="5"/>
  <c r="AQ771" i="5"/>
  <c r="AQ770" i="5"/>
  <c r="AQ769" i="5"/>
  <c r="AQ768" i="5"/>
  <c r="AQ767" i="5"/>
  <c r="AQ766" i="5"/>
  <c r="AQ765" i="5"/>
  <c r="AQ764" i="5"/>
  <c r="AQ763" i="5"/>
  <c r="AQ762" i="5"/>
  <c r="AQ761" i="5"/>
  <c r="AQ760" i="5"/>
  <c r="AQ759" i="5"/>
  <c r="AQ757" i="5"/>
  <c r="AQ756" i="5"/>
  <c r="AQ755" i="5"/>
  <c r="AQ754" i="5"/>
  <c r="AQ753" i="5"/>
  <c r="AQ752" i="5"/>
  <c r="AQ750" i="5"/>
  <c r="AQ749" i="5"/>
  <c r="AQ748" i="5"/>
  <c r="AQ747" i="5"/>
  <c r="AQ746" i="5"/>
  <c r="AQ745" i="5"/>
  <c r="AQ744" i="5"/>
  <c r="AQ743" i="5"/>
  <c r="AQ742" i="5"/>
  <c r="AQ741" i="5"/>
  <c r="AQ740" i="5"/>
  <c r="AQ739" i="5"/>
  <c r="AQ738" i="5"/>
  <c r="AQ737" i="5"/>
  <c r="AQ736" i="5"/>
  <c r="AQ735" i="5"/>
  <c r="AQ734" i="5"/>
  <c r="AQ733" i="5"/>
  <c r="AQ732" i="5"/>
  <c r="AQ730" i="5"/>
  <c r="AQ729" i="5"/>
  <c r="AQ728" i="5"/>
  <c r="AQ727" i="5"/>
  <c r="AQ726" i="5"/>
  <c r="AQ725" i="5"/>
  <c r="AQ724" i="5"/>
  <c r="AQ723" i="5"/>
  <c r="AQ722" i="5"/>
  <c r="AQ721" i="5"/>
  <c r="AQ720" i="5"/>
  <c r="AQ719" i="5"/>
  <c r="AQ718" i="5"/>
  <c r="AQ717" i="5"/>
  <c r="AQ716" i="5"/>
  <c r="AQ715" i="5"/>
  <c r="AQ714" i="5"/>
  <c r="AQ713" i="5"/>
  <c r="AQ712" i="5"/>
  <c r="AQ711" i="5"/>
  <c r="AQ710" i="5"/>
  <c r="AQ709" i="5"/>
  <c r="AQ708" i="5"/>
  <c r="AQ707" i="5"/>
  <c r="AQ706" i="5"/>
  <c r="AQ705" i="5"/>
  <c r="AQ704" i="5"/>
  <c r="AQ703" i="5"/>
  <c r="AQ702" i="5"/>
  <c r="AQ701" i="5"/>
  <c r="AQ700" i="5"/>
  <c r="AQ699" i="5"/>
  <c r="AQ698" i="5"/>
  <c r="AQ697" i="5"/>
  <c r="AQ696" i="5"/>
  <c r="AQ695" i="5"/>
  <c r="AQ694" i="5"/>
  <c r="AQ693" i="5"/>
  <c r="AQ692" i="5"/>
  <c r="AQ691" i="5"/>
  <c r="AQ690" i="5"/>
  <c r="AQ689" i="5"/>
  <c r="AQ688" i="5"/>
  <c r="AQ687" i="5"/>
  <c r="AQ686" i="5"/>
  <c r="AQ685" i="5"/>
  <c r="AQ684" i="5"/>
  <c r="AQ682" i="5"/>
  <c r="AQ681" i="5"/>
  <c r="AQ680" i="5"/>
  <c r="AQ679" i="5"/>
  <c r="AQ678" i="5"/>
  <c r="AQ677" i="5"/>
  <c r="AQ676" i="5"/>
  <c r="AQ675" i="5"/>
  <c r="AQ674" i="5"/>
  <c r="AQ673" i="5"/>
  <c r="AQ672" i="5"/>
  <c r="AQ671" i="5"/>
  <c r="AQ670" i="5"/>
  <c r="AQ669" i="5"/>
  <c r="AQ668" i="5"/>
  <c r="AQ667" i="5"/>
  <c r="AQ666" i="5"/>
  <c r="AQ665" i="5"/>
  <c r="AQ664" i="5"/>
  <c r="AQ663" i="5"/>
  <c r="AQ662" i="5"/>
  <c r="AQ661" i="5"/>
  <c r="AQ660" i="5"/>
  <c r="AQ659" i="5"/>
  <c r="AQ658" i="5"/>
  <c r="AQ657" i="5"/>
  <c r="AQ655" i="5"/>
  <c r="AQ654" i="5"/>
  <c r="AQ653" i="5"/>
  <c r="AQ652" i="5"/>
  <c r="AQ651" i="5"/>
  <c r="AQ650" i="5"/>
  <c r="AQ649" i="5"/>
  <c r="AQ648" i="5"/>
  <c r="AQ647" i="5"/>
  <c r="AQ646" i="5"/>
  <c r="AQ645" i="5"/>
  <c r="AQ644" i="5"/>
  <c r="AQ643" i="5"/>
  <c r="AQ642" i="5"/>
  <c r="AQ641" i="5"/>
  <c r="AQ640" i="5"/>
  <c r="AQ638" i="5"/>
  <c r="AQ637" i="5"/>
  <c r="AQ636" i="5"/>
  <c r="AQ635" i="5"/>
  <c r="AQ634" i="5"/>
  <c r="AQ633" i="5"/>
  <c r="AQ632" i="5"/>
  <c r="AQ631" i="5"/>
  <c r="AQ630" i="5"/>
  <c r="AQ628" i="5"/>
  <c r="AQ627" i="5"/>
  <c r="AQ626" i="5"/>
  <c r="AQ625" i="5"/>
  <c r="AQ624" i="5"/>
  <c r="AQ623" i="5"/>
  <c r="AQ622" i="5"/>
  <c r="AQ621" i="5"/>
  <c r="AQ620" i="5"/>
  <c r="AQ619" i="5"/>
  <c r="AQ618" i="5"/>
  <c r="AQ617" i="5"/>
  <c r="AQ616" i="5"/>
  <c r="AQ615" i="5"/>
  <c r="AQ614" i="5"/>
  <c r="AQ613" i="5"/>
  <c r="AQ611" i="5"/>
  <c r="AQ610" i="5"/>
  <c r="AQ609" i="5"/>
  <c r="AQ608" i="5"/>
  <c r="AQ607" i="5"/>
  <c r="AQ606" i="5"/>
  <c r="AQ605" i="5"/>
  <c r="AQ604" i="5"/>
  <c r="AQ603" i="5"/>
  <c r="AQ601" i="5"/>
  <c r="AQ600" i="5"/>
  <c r="AQ599" i="5"/>
  <c r="AQ598" i="5"/>
  <c r="AQ597" i="5"/>
  <c r="AQ596" i="5"/>
  <c r="AQ595" i="5"/>
  <c r="AQ594" i="5"/>
  <c r="AQ593" i="5"/>
  <c r="AQ592" i="5"/>
  <c r="AQ591" i="5"/>
  <c r="AQ590" i="5"/>
  <c r="AQ589" i="5"/>
  <c r="AQ588" i="5"/>
  <c r="AQ587" i="5"/>
  <c r="AQ586" i="5"/>
  <c r="AQ585" i="5"/>
  <c r="AQ584" i="5"/>
  <c r="AQ583" i="5"/>
  <c r="AQ582" i="5"/>
  <c r="AQ581" i="5"/>
  <c r="AQ580" i="5"/>
  <c r="AQ579" i="5"/>
  <c r="AQ578" i="5"/>
  <c r="AQ577" i="5"/>
  <c r="AQ576" i="5"/>
  <c r="AQ575" i="5"/>
  <c r="AQ574" i="5"/>
  <c r="AQ573" i="5"/>
  <c r="AQ572" i="5"/>
  <c r="AQ571" i="5"/>
  <c r="AQ570" i="5"/>
  <c r="AQ569" i="5"/>
  <c r="AQ568" i="5"/>
  <c r="AQ567" i="5"/>
  <c r="AQ566" i="5"/>
  <c r="AQ565" i="5"/>
  <c r="AQ564" i="5"/>
  <c r="AQ563" i="5"/>
  <c r="AQ562" i="5"/>
  <c r="AQ561" i="5"/>
  <c r="AQ560" i="5"/>
  <c r="AQ559" i="5"/>
  <c r="AQ558" i="5"/>
  <c r="AQ557" i="5"/>
  <c r="AQ556" i="5"/>
  <c r="AQ555" i="5"/>
  <c r="AQ554" i="5"/>
  <c r="AQ553" i="5"/>
  <c r="AQ552" i="5"/>
  <c r="AQ551" i="5"/>
  <c r="AQ549" i="5"/>
  <c r="AQ548" i="5"/>
  <c r="AQ547" i="5"/>
  <c r="AQ546" i="5"/>
  <c r="AQ545" i="5"/>
  <c r="AQ544" i="5"/>
  <c r="AQ543" i="5"/>
  <c r="AQ542" i="5"/>
  <c r="AQ541" i="5"/>
  <c r="AQ540" i="5"/>
  <c r="AQ539" i="5"/>
  <c r="AQ538" i="5"/>
  <c r="AQ537" i="5"/>
  <c r="AQ536" i="5"/>
  <c r="AQ535" i="5"/>
  <c r="AQ534" i="5"/>
  <c r="AQ533" i="5"/>
  <c r="AQ532" i="5"/>
  <c r="AQ531" i="5"/>
  <c r="AQ530" i="5"/>
  <c r="AQ529" i="5"/>
  <c r="AQ528" i="5"/>
  <c r="AQ527" i="5"/>
  <c r="AQ526" i="5"/>
  <c r="AQ525" i="5"/>
  <c r="AQ524" i="5"/>
  <c r="AQ523" i="5"/>
  <c r="AQ522" i="5"/>
  <c r="AQ521" i="5"/>
  <c r="AQ520" i="5"/>
  <c r="AQ519" i="5"/>
  <c r="AQ518" i="5"/>
  <c r="AQ517" i="5"/>
  <c r="AQ516" i="5"/>
  <c r="AQ515" i="5"/>
  <c r="AQ514" i="5"/>
  <c r="AQ513" i="5"/>
  <c r="AQ512" i="5"/>
  <c r="AQ511" i="5"/>
  <c r="AQ510" i="5"/>
  <c r="AQ509" i="5"/>
  <c r="AQ508" i="5"/>
  <c r="AQ507" i="5"/>
  <c r="AQ506" i="5"/>
  <c r="AQ505" i="5"/>
  <c r="AQ504" i="5"/>
  <c r="AQ503" i="5"/>
  <c r="AQ502" i="5"/>
  <c r="AQ501" i="5"/>
  <c r="AQ500" i="5"/>
  <c r="AQ499" i="5"/>
  <c r="AQ498" i="5"/>
  <c r="AQ497" i="5"/>
  <c r="AQ496" i="5"/>
  <c r="AQ495" i="5"/>
  <c r="AQ494" i="5"/>
  <c r="AQ493" i="5"/>
  <c r="AQ491" i="5"/>
  <c r="AQ490" i="5"/>
  <c r="AQ489" i="5"/>
  <c r="AQ488" i="5"/>
  <c r="AQ487" i="5"/>
  <c r="AQ486" i="5"/>
  <c r="AQ485" i="5"/>
  <c r="AQ484" i="5"/>
  <c r="AQ483" i="5"/>
  <c r="AQ482" i="5"/>
  <c r="AQ481" i="5"/>
  <c r="AQ480" i="5"/>
  <c r="AQ479" i="5"/>
  <c r="AQ478" i="5"/>
  <c r="AQ477" i="5"/>
  <c r="AQ476" i="5"/>
  <c r="AQ475" i="5"/>
  <c r="AQ474" i="5"/>
  <c r="AQ473" i="5"/>
  <c r="AQ472" i="5"/>
  <c r="AQ471" i="5"/>
  <c r="AQ470" i="5"/>
  <c r="AQ469" i="5"/>
  <c r="AQ468" i="5"/>
  <c r="AQ467" i="5"/>
  <c r="AQ466" i="5"/>
  <c r="AQ465" i="5"/>
  <c r="AQ464" i="5"/>
  <c r="AQ463" i="5"/>
  <c r="AQ462" i="5"/>
  <c r="AQ461" i="5"/>
  <c r="AQ460" i="5"/>
  <c r="AQ459" i="5"/>
  <c r="AQ458" i="5"/>
  <c r="AQ457" i="5"/>
  <c r="AQ456" i="5"/>
  <c r="AQ455" i="5"/>
  <c r="AQ454" i="5"/>
  <c r="AQ453" i="5"/>
  <c r="AQ452" i="5"/>
  <c r="AQ451" i="5"/>
  <c r="AQ450" i="5"/>
  <c r="AQ449" i="5"/>
  <c r="AQ448" i="5"/>
  <c r="AQ447" i="5"/>
  <c r="AQ446" i="5"/>
  <c r="AQ445" i="5"/>
  <c r="AQ444" i="5"/>
  <c r="AQ443" i="5"/>
  <c r="AQ442" i="5"/>
  <c r="AQ441" i="5"/>
  <c r="AQ440" i="5"/>
  <c r="AQ439" i="5"/>
  <c r="AQ438" i="5"/>
  <c r="AQ437" i="5"/>
  <c r="AQ435" i="5"/>
  <c r="AQ434" i="5"/>
  <c r="AQ433" i="5"/>
  <c r="AQ432" i="5"/>
  <c r="AQ431" i="5"/>
  <c r="AQ430" i="5"/>
  <c r="AQ429" i="5"/>
  <c r="AQ428" i="5"/>
  <c r="AQ427" i="5"/>
  <c r="AQ426" i="5"/>
  <c r="AQ425" i="5"/>
  <c r="AQ424" i="5"/>
  <c r="AQ423" i="5"/>
  <c r="AQ422" i="5"/>
  <c r="AQ421" i="5"/>
  <c r="AQ420" i="5"/>
  <c r="AQ419" i="5"/>
  <c r="AQ418" i="5"/>
  <c r="AQ417" i="5"/>
  <c r="AQ416" i="5"/>
  <c r="AQ415" i="5"/>
  <c r="AQ414" i="5"/>
  <c r="AQ413" i="5"/>
  <c r="AQ412" i="5"/>
  <c r="AQ411" i="5"/>
  <c r="AQ410" i="5"/>
  <c r="AQ409" i="5"/>
  <c r="AQ408" i="5"/>
  <c r="AQ407" i="5"/>
  <c r="AQ406" i="5"/>
  <c r="AQ405" i="5"/>
  <c r="AQ404" i="5"/>
  <c r="AQ403" i="5"/>
  <c r="AQ402" i="5"/>
  <c r="AQ401" i="5"/>
  <c r="AQ400" i="5"/>
  <c r="AQ398" i="5"/>
  <c r="AQ397" i="5"/>
  <c r="AQ396" i="5"/>
  <c r="AQ395" i="5"/>
  <c r="AQ394" i="5"/>
  <c r="AQ393" i="5"/>
  <c r="AQ392" i="5"/>
  <c r="AQ391" i="5"/>
  <c r="AQ390" i="5"/>
  <c r="AQ389" i="5"/>
  <c r="AQ388" i="5"/>
  <c r="AQ387" i="5"/>
  <c r="AQ386" i="5"/>
  <c r="AQ385" i="5"/>
  <c r="AQ383" i="5"/>
  <c r="AQ382" i="5"/>
  <c r="AQ381" i="5"/>
  <c r="AQ380" i="5"/>
  <c r="AQ379" i="5"/>
  <c r="AQ378" i="5"/>
  <c r="AQ377" i="5"/>
  <c r="AQ376" i="5"/>
  <c r="AQ375" i="5"/>
  <c r="AQ373" i="5"/>
  <c r="AQ372" i="5"/>
  <c r="AQ371" i="5"/>
  <c r="AQ370" i="5"/>
  <c r="AQ369" i="5"/>
  <c r="AQ368" i="5"/>
  <c r="AQ367" i="5"/>
  <c r="AQ366" i="5"/>
  <c r="AQ365" i="5"/>
  <c r="AQ364" i="5"/>
  <c r="AQ363" i="5"/>
  <c r="AQ362" i="5"/>
  <c r="AQ360" i="5"/>
  <c r="AQ359" i="5"/>
  <c r="AQ358" i="5"/>
  <c r="AQ357" i="5"/>
  <c r="AQ356" i="5"/>
  <c r="AQ355" i="5"/>
  <c r="AQ354" i="5"/>
  <c r="AQ353" i="5"/>
  <c r="AQ352" i="5"/>
  <c r="AQ351" i="5"/>
  <c r="AQ350" i="5"/>
  <c r="AQ349" i="5"/>
  <c r="AQ348" i="5"/>
  <c r="AQ347" i="5"/>
  <c r="AQ346" i="5"/>
  <c r="AQ345" i="5"/>
  <c r="AQ344" i="5"/>
  <c r="AQ343" i="5"/>
  <c r="AQ342" i="5"/>
  <c r="AQ341" i="5"/>
  <c r="AQ340" i="5"/>
  <c r="AQ339" i="5"/>
  <c r="AQ338" i="5"/>
  <c r="AQ337" i="5"/>
  <c r="AQ336" i="5"/>
  <c r="AQ335" i="5"/>
  <c r="AQ334" i="5"/>
  <c r="AQ333" i="5"/>
  <c r="AQ332" i="5"/>
  <c r="AQ331" i="5"/>
  <c r="AQ330" i="5"/>
  <c r="AQ329" i="5"/>
  <c r="AQ328" i="5"/>
  <c r="AQ327" i="5"/>
  <c r="AQ325" i="5"/>
  <c r="AQ324" i="5"/>
  <c r="AQ323" i="5"/>
  <c r="AQ322" i="5"/>
  <c r="AQ321" i="5"/>
  <c r="AQ320" i="5"/>
  <c r="AQ319" i="5"/>
  <c r="AQ318" i="5"/>
  <c r="AQ317" i="5"/>
  <c r="AQ316" i="5"/>
  <c r="AQ315" i="5"/>
  <c r="AQ314" i="5"/>
  <c r="AQ312" i="5"/>
  <c r="AQ311" i="5"/>
  <c r="AQ310" i="5"/>
  <c r="AQ309" i="5"/>
  <c r="AQ308" i="5"/>
  <c r="AQ307" i="5"/>
  <c r="AQ306" i="5"/>
  <c r="AQ305" i="5"/>
  <c r="AQ304" i="5"/>
  <c r="AQ303" i="5"/>
  <c r="AQ302" i="5"/>
  <c r="AQ301" i="5"/>
  <c r="AQ300" i="5"/>
  <c r="AQ299" i="5"/>
  <c r="AQ298" i="5"/>
  <c r="AQ297" i="5"/>
  <c r="AQ296" i="5"/>
  <c r="AQ295" i="5"/>
  <c r="AQ294" i="5"/>
  <c r="AQ293" i="5"/>
  <c r="AQ292" i="5"/>
  <c r="AQ291" i="5"/>
  <c r="AQ290" i="5"/>
  <c r="AQ289" i="5"/>
  <c r="AQ288" i="5"/>
  <c r="AQ287" i="5"/>
  <c r="AQ285" i="5"/>
  <c r="AQ284" i="5"/>
  <c r="AQ283" i="5"/>
  <c r="AQ282" i="5"/>
  <c r="AQ281" i="5"/>
  <c r="AQ280" i="5"/>
  <c r="AQ279" i="5"/>
  <c r="AQ278" i="5"/>
  <c r="AQ277" i="5"/>
  <c r="AQ275" i="5"/>
  <c r="AQ274" i="5"/>
  <c r="AQ273" i="5"/>
  <c r="AQ272" i="5"/>
  <c r="AQ271" i="5"/>
  <c r="AQ270" i="5"/>
  <c r="AQ269" i="5"/>
  <c r="AQ268" i="5"/>
  <c r="AQ267" i="5"/>
  <c r="AQ266" i="5"/>
  <c r="AQ265" i="5"/>
  <c r="AQ264" i="5"/>
  <c r="AQ263" i="5"/>
  <c r="AQ262" i="5"/>
  <c r="AQ261" i="5"/>
  <c r="AQ260" i="5"/>
  <c r="AQ259" i="5"/>
  <c r="AQ258" i="5"/>
  <c r="AQ257" i="5"/>
  <c r="AQ256" i="5"/>
  <c r="AQ255" i="5"/>
  <c r="AQ254" i="5"/>
  <c r="AQ253" i="5"/>
  <c r="AQ251" i="5"/>
  <c r="AQ250" i="5"/>
  <c r="AQ249" i="5"/>
  <c r="AQ248" i="5"/>
  <c r="AQ247" i="5"/>
  <c r="AQ246" i="5"/>
  <c r="AQ245" i="5"/>
  <c r="AQ244" i="5"/>
  <c r="AQ243" i="5"/>
  <c r="AQ242" i="5"/>
  <c r="AQ241" i="5"/>
  <c r="AQ240" i="5"/>
  <c r="AQ239" i="5"/>
  <c r="AQ238" i="5"/>
  <c r="AQ237" i="5"/>
  <c r="AQ236" i="5"/>
  <c r="AQ235" i="5"/>
  <c r="AQ234" i="5"/>
  <c r="AQ233" i="5"/>
  <c r="AQ232" i="5"/>
  <c r="AQ231" i="5"/>
  <c r="AQ230" i="5"/>
  <c r="AQ229" i="5"/>
  <c r="AQ228" i="5"/>
  <c r="AQ227" i="5"/>
  <c r="AQ226" i="5"/>
  <c r="AQ224" i="5"/>
  <c r="AQ223" i="5"/>
  <c r="AQ222" i="5"/>
  <c r="AQ221" i="5"/>
  <c r="AQ220" i="5"/>
  <c r="AQ219" i="5"/>
  <c r="AQ218" i="5"/>
  <c r="AQ217" i="5"/>
  <c r="AQ216" i="5"/>
  <c r="AQ215" i="5"/>
  <c r="AQ214" i="5"/>
  <c r="AQ213" i="5"/>
  <c r="AQ212" i="5"/>
  <c r="AQ211" i="5"/>
  <c r="AQ210" i="5"/>
  <c r="AQ209" i="5"/>
  <c r="AQ208" i="5"/>
  <c r="AQ207" i="5"/>
  <c r="AQ206" i="5"/>
  <c r="AQ205" i="5"/>
  <c r="AQ204" i="5"/>
  <c r="AQ203" i="5"/>
  <c r="AQ202" i="5"/>
  <c r="AQ201" i="5"/>
  <c r="AQ200" i="5"/>
  <c r="AQ199" i="5"/>
  <c r="AQ197" i="5"/>
  <c r="AQ196" i="5"/>
  <c r="AQ195" i="5"/>
  <c r="AQ194" i="5"/>
  <c r="AQ193" i="5"/>
  <c r="AQ192" i="5"/>
  <c r="AQ191" i="5"/>
  <c r="AQ190" i="5"/>
  <c r="AQ189" i="5"/>
  <c r="AQ188" i="5"/>
  <c r="AQ187" i="5"/>
  <c r="AQ186" i="5"/>
  <c r="AQ185" i="5"/>
  <c r="AQ184" i="5"/>
  <c r="AQ183" i="5"/>
  <c r="AQ182" i="5"/>
  <c r="AQ181" i="5"/>
  <c r="AQ180" i="5"/>
  <c r="AQ179" i="5"/>
  <c r="AQ178" i="5"/>
  <c r="AQ177" i="5"/>
  <c r="AQ176" i="5"/>
  <c r="AQ175" i="5"/>
  <c r="AQ174" i="5"/>
  <c r="AQ173" i="5"/>
  <c r="AQ172" i="5"/>
  <c r="AQ170" i="5"/>
  <c r="AQ169" i="5"/>
  <c r="AQ168" i="5"/>
  <c r="AQ167" i="5"/>
  <c r="AQ166" i="5"/>
  <c r="AQ165" i="5"/>
  <c r="AQ164" i="5"/>
  <c r="AQ163" i="5"/>
  <c r="AQ162" i="5"/>
  <c r="AQ161" i="5"/>
  <c r="AQ160" i="5"/>
  <c r="AQ158" i="5"/>
  <c r="AQ157" i="5"/>
  <c r="AQ156" i="5"/>
  <c r="AQ155" i="5"/>
  <c r="AQ154" i="5"/>
  <c r="AQ153" i="5"/>
  <c r="AQ152" i="5"/>
  <c r="AQ151" i="5"/>
  <c r="AQ150" i="5"/>
  <c r="AQ149" i="5"/>
  <c r="AQ148" i="5"/>
  <c r="AQ147" i="5"/>
  <c r="AQ146" i="5"/>
  <c r="AQ145" i="5"/>
  <c r="AQ144" i="5"/>
  <c r="AQ142" i="5"/>
  <c r="AQ141" i="5"/>
  <c r="AQ140" i="5"/>
  <c r="AQ139" i="5"/>
  <c r="AQ138" i="5"/>
  <c r="AQ137" i="5"/>
  <c r="AQ136" i="5"/>
  <c r="AQ135" i="5"/>
  <c r="AQ134" i="5"/>
  <c r="AQ133" i="5"/>
  <c r="AQ132" i="5"/>
  <c r="AQ131" i="5"/>
  <c r="AQ130" i="5"/>
  <c r="AQ129" i="5"/>
  <c r="AQ128" i="5"/>
  <c r="AQ127" i="5"/>
  <c r="AQ126" i="5"/>
  <c r="AQ125" i="5"/>
  <c r="AQ124" i="5"/>
  <c r="AQ123" i="5"/>
  <c r="AQ122" i="5"/>
  <c r="AQ121" i="5"/>
  <c r="AQ120" i="5"/>
  <c r="AQ119" i="5"/>
  <c r="AQ118" i="5"/>
  <c r="AQ117" i="5"/>
  <c r="AQ116" i="5"/>
  <c r="AQ115" i="5"/>
  <c r="AQ114" i="5"/>
  <c r="AQ113" i="5"/>
  <c r="AQ112" i="5"/>
  <c r="AQ111" i="5"/>
  <c r="AQ110" i="5"/>
  <c r="AQ109" i="5"/>
  <c r="AQ108" i="5"/>
  <c r="AQ107" i="5"/>
  <c r="AQ105" i="5"/>
  <c r="AQ104" i="5"/>
  <c r="AQ103" i="5"/>
  <c r="AQ102" i="5"/>
  <c r="AQ101" i="5"/>
  <c r="AQ100" i="5"/>
  <c r="AQ99" i="5"/>
  <c r="AQ98" i="5"/>
  <c r="AQ97" i="5"/>
  <c r="AQ96" i="5"/>
  <c r="AQ95" i="5"/>
  <c r="AQ94" i="5"/>
  <c r="AQ93" i="5"/>
  <c r="AQ92" i="5"/>
  <c r="AQ91" i="5"/>
  <c r="AQ90" i="5"/>
  <c r="AQ89" i="5"/>
  <c r="AQ88" i="5"/>
  <c r="AQ87" i="5"/>
  <c r="AQ86" i="5"/>
  <c r="AQ85" i="5"/>
  <c r="AQ84" i="5"/>
  <c r="AQ83" i="5"/>
  <c r="AQ82" i="5"/>
  <c r="AQ81" i="5"/>
  <c r="AQ80" i="5"/>
  <c r="AQ79" i="5"/>
  <c r="AQ78" i="5"/>
  <c r="AQ77" i="5"/>
  <c r="AQ76" i="5"/>
  <c r="AQ75" i="5"/>
  <c r="AQ74" i="5"/>
  <c r="AQ73" i="5"/>
  <c r="AQ72" i="5"/>
  <c r="AQ71" i="5"/>
  <c r="AQ70" i="5"/>
  <c r="AQ69" i="5"/>
  <c r="AQ68" i="5"/>
  <c r="AQ67" i="5"/>
  <c r="AQ66" i="5"/>
  <c r="AQ65" i="5"/>
  <c r="AQ64" i="5"/>
  <c r="AQ63" i="5"/>
  <c r="AQ62" i="5"/>
  <c r="AQ61" i="5"/>
  <c r="AQ60" i="5"/>
  <c r="AQ59" i="5"/>
  <c r="AQ58" i="5"/>
  <c r="AQ57" i="5"/>
  <c r="AQ56" i="5"/>
  <c r="AQ55" i="5"/>
  <c r="AQ54" i="5"/>
  <c r="AQ53" i="5"/>
  <c r="AQ52" i="5"/>
  <c r="AQ51" i="5"/>
  <c r="AQ50" i="5"/>
  <c r="AQ49" i="5"/>
  <c r="AQ48" i="5"/>
  <c r="AQ47" i="5"/>
  <c r="AQ46" i="5"/>
  <c r="AQ45" i="5"/>
  <c r="AQ44" i="5"/>
  <c r="AQ43" i="5"/>
  <c r="AQ42" i="5"/>
  <c r="AQ41" i="5"/>
  <c r="AQ40" i="5"/>
  <c r="AQ39" i="5"/>
  <c r="AQ38" i="5"/>
  <c r="AQ37" i="5"/>
  <c r="AQ36" i="5"/>
  <c r="AQ35" i="5"/>
  <c r="AQ34" i="5"/>
  <c r="AQ33" i="5"/>
  <c r="AQ32" i="5"/>
  <c r="AQ31" i="5"/>
  <c r="AQ30" i="5"/>
  <c r="AQ29" i="5"/>
  <c r="AQ28" i="5"/>
  <c r="AQ27" i="5"/>
  <c r="AQ26" i="5"/>
  <c r="AQ25" i="5"/>
  <c r="AQ24" i="5"/>
  <c r="AQ23" i="5"/>
  <c r="AQ22" i="5"/>
  <c r="AQ21" i="5"/>
  <c r="AQ20" i="5"/>
  <c r="AQ19" i="5"/>
  <c r="AQ18" i="5"/>
  <c r="AQ17" i="5"/>
  <c r="AQ16" i="5"/>
  <c r="AQ15" i="5"/>
  <c r="AQ14" i="5"/>
  <c r="AQ13" i="5"/>
  <c r="AQ12" i="5"/>
  <c r="AQ11" i="5"/>
  <c r="AQ10" i="5"/>
  <c r="AQ9" i="5"/>
  <c r="AQ8" i="5"/>
  <c r="AQ7" i="5"/>
  <c r="AQ6" i="5"/>
  <c r="AQ5" i="5"/>
  <c r="AQ4" i="5"/>
  <c r="AL5" i="5"/>
  <c r="AN5" i="5"/>
  <c r="AM1152" i="5"/>
  <c r="AL1152" i="5"/>
  <c r="AN1152" i="5" s="1"/>
  <c r="AJ1152" i="5"/>
  <c r="AM1151" i="5"/>
  <c r="AL1151" i="5"/>
  <c r="AN1151" i="5" s="1"/>
  <c r="AJ1151" i="5"/>
  <c r="BC1152" i="5" s="1"/>
  <c r="BD1152" i="5" s="1"/>
  <c r="AS1152" i="5" s="1"/>
  <c r="AX1152" i="5" s="1"/>
  <c r="AM1150" i="5"/>
  <c r="AL1150" i="5"/>
  <c r="AN1150" i="5" s="1"/>
  <c r="AJ1150" i="5"/>
  <c r="BC1151" i="5" s="1"/>
  <c r="BD1151" i="5" s="1"/>
  <c r="AS1151" i="5" s="1"/>
  <c r="AX1151" i="5" s="1"/>
  <c r="AM1149" i="5"/>
  <c r="AL1149" i="5"/>
  <c r="AN1149" i="5" s="1"/>
  <c r="AJ1149" i="5"/>
  <c r="BC1150" i="5" s="1"/>
  <c r="BD1150" i="5" s="1"/>
  <c r="AS1150" i="5" s="1"/>
  <c r="AX1150" i="5" s="1"/>
  <c r="AM1148" i="5"/>
  <c r="AL1148" i="5"/>
  <c r="AN1148" i="5" s="1"/>
  <c r="AJ1148" i="5"/>
  <c r="BC1149" i="5" s="1"/>
  <c r="BD1149" i="5" s="1"/>
  <c r="AS1149" i="5" s="1"/>
  <c r="AX1149" i="5" s="1"/>
  <c r="AM1147" i="5"/>
  <c r="AL1147" i="5"/>
  <c r="AN1147" i="5" s="1"/>
  <c r="AJ1147" i="5"/>
  <c r="BC1148" i="5" s="1"/>
  <c r="BD1148" i="5" s="1"/>
  <c r="AS1148" i="5" s="1"/>
  <c r="AX1148" i="5" s="1"/>
  <c r="AM1146" i="5"/>
  <c r="AL1146" i="5"/>
  <c r="AN1146" i="5" s="1"/>
  <c r="AJ1146" i="5"/>
  <c r="BC1147" i="5" s="1"/>
  <c r="BD1147" i="5" s="1"/>
  <c r="AS1147" i="5" s="1"/>
  <c r="AX1147" i="5" s="1"/>
  <c r="AM1145" i="5"/>
  <c r="AL1145" i="5"/>
  <c r="AN1145" i="5" s="1"/>
  <c r="AJ1145" i="5"/>
  <c r="BC1146" i="5" s="1"/>
  <c r="BD1146" i="5" s="1"/>
  <c r="AS1146" i="5" s="1"/>
  <c r="AX1146" i="5" s="1"/>
  <c r="AM1144" i="5"/>
  <c r="AL1144" i="5"/>
  <c r="AN1144" i="5" s="1"/>
  <c r="AJ1144" i="5"/>
  <c r="BC1145" i="5" s="1"/>
  <c r="BD1145" i="5" s="1"/>
  <c r="AS1145" i="5" s="1"/>
  <c r="AX1145" i="5" s="1"/>
  <c r="AM1143" i="5"/>
  <c r="AL1143" i="5"/>
  <c r="AN1143" i="5" s="1"/>
  <c r="AJ1143" i="5"/>
  <c r="BC1144" i="5" s="1"/>
  <c r="AM1142" i="5"/>
  <c r="AL1142" i="5"/>
  <c r="AN1142" i="5" s="1"/>
  <c r="AJ1142" i="5"/>
  <c r="BC1143" i="5" s="1"/>
  <c r="AM1141" i="5"/>
  <c r="AL1141" i="5"/>
  <c r="AN1141" i="5" s="1"/>
  <c r="AJ1141" i="5"/>
  <c r="BC1142" i="5" s="1"/>
  <c r="BD1142" i="5" s="1"/>
  <c r="AS1142" i="5" s="1"/>
  <c r="AX1142" i="5" s="1"/>
  <c r="AM1140" i="5"/>
  <c r="AL1140" i="5"/>
  <c r="AN1140" i="5" s="1"/>
  <c r="AJ1140" i="5"/>
  <c r="BC1141" i="5" s="1"/>
  <c r="BD1141" i="5" s="1"/>
  <c r="AS1141" i="5" s="1"/>
  <c r="AX1141" i="5" s="1"/>
  <c r="AM1139" i="5"/>
  <c r="AL1139" i="5"/>
  <c r="AN1139" i="5" s="1"/>
  <c r="AJ1139" i="5"/>
  <c r="BC1140" i="5" s="1"/>
  <c r="AM1138" i="5"/>
  <c r="AL1138" i="5"/>
  <c r="AN1138" i="5" s="1"/>
  <c r="AJ1138" i="5"/>
  <c r="BC1139" i="5" s="1"/>
  <c r="BD1139" i="5" s="1"/>
  <c r="AS1139" i="5" s="1"/>
  <c r="AX1139" i="5" s="1"/>
  <c r="AM1137" i="5"/>
  <c r="AL1137" i="5"/>
  <c r="AN1137" i="5" s="1"/>
  <c r="AJ1137" i="5"/>
  <c r="BC1138" i="5" s="1"/>
  <c r="BD1138" i="5" s="1"/>
  <c r="AS1138" i="5" s="1"/>
  <c r="AX1138" i="5" s="1"/>
  <c r="AM1136" i="5"/>
  <c r="AL1136" i="5"/>
  <c r="AN1136" i="5" s="1"/>
  <c r="AJ1136" i="5"/>
  <c r="BC1137" i="5" s="1"/>
  <c r="BD1137" i="5" s="1"/>
  <c r="AS1137" i="5" s="1"/>
  <c r="AX1137" i="5" s="1"/>
  <c r="AM1135" i="5"/>
  <c r="AL1135" i="5"/>
  <c r="AN1135" i="5" s="1"/>
  <c r="AJ1135" i="5"/>
  <c r="BC1136" i="5" s="1"/>
  <c r="BD1136" i="5" s="1"/>
  <c r="AS1136" i="5" s="1"/>
  <c r="AX1136" i="5" s="1"/>
  <c r="AM1134" i="5"/>
  <c r="AL1134" i="5"/>
  <c r="AN1134" i="5" s="1"/>
  <c r="AJ1134" i="5"/>
  <c r="BC1135" i="5" s="1"/>
  <c r="BD1135" i="5" s="1"/>
  <c r="AS1135" i="5" s="1"/>
  <c r="AX1135" i="5" s="1"/>
  <c r="AM1133" i="5"/>
  <c r="AL1133" i="5"/>
  <c r="AN1133" i="5" s="1"/>
  <c r="AJ1133" i="5"/>
  <c r="BC1134" i="5" s="1"/>
  <c r="BD1134" i="5" s="1"/>
  <c r="AS1134" i="5" s="1"/>
  <c r="AX1134" i="5" s="1"/>
  <c r="AM1132" i="5"/>
  <c r="AL1132" i="5"/>
  <c r="AN1132" i="5" s="1"/>
  <c r="AJ1132" i="5"/>
  <c r="BC1133" i="5" s="1"/>
  <c r="BD1133" i="5" s="1"/>
  <c r="AS1133" i="5" s="1"/>
  <c r="AX1133" i="5" s="1"/>
  <c r="AM1131" i="5"/>
  <c r="AL1131" i="5"/>
  <c r="AN1131" i="5" s="1"/>
  <c r="AJ1131" i="5"/>
  <c r="BC1132" i="5" s="1"/>
  <c r="BD1132" i="5" s="1"/>
  <c r="AS1132" i="5" s="1"/>
  <c r="AX1132" i="5" s="1"/>
  <c r="AM1130" i="5"/>
  <c r="AL1130" i="5"/>
  <c r="AN1130" i="5" s="1"/>
  <c r="AJ1130" i="5"/>
  <c r="BC1131" i="5" s="1"/>
  <c r="BD1131" i="5" s="1"/>
  <c r="AS1131" i="5" s="1"/>
  <c r="AX1131" i="5" s="1"/>
  <c r="AM1129" i="5"/>
  <c r="AL1129" i="5"/>
  <c r="AN1129" i="5" s="1"/>
  <c r="AJ1129" i="5"/>
  <c r="AM1127" i="5"/>
  <c r="AL1127" i="5"/>
  <c r="AJ1127" i="5"/>
  <c r="AM1126" i="5"/>
  <c r="AL1126" i="5"/>
  <c r="AJ1126" i="5"/>
  <c r="BC1127" i="5" s="1"/>
  <c r="AM1125" i="5"/>
  <c r="AL1125" i="5"/>
  <c r="AJ1125" i="5"/>
  <c r="BC1126" i="5" s="1"/>
  <c r="AM1124" i="5"/>
  <c r="AL1124" i="5"/>
  <c r="AJ1124" i="5"/>
  <c r="BC1125" i="5" s="1"/>
  <c r="AM1123" i="5"/>
  <c r="AL1123" i="5"/>
  <c r="AJ1123" i="5"/>
  <c r="BC1124" i="5" s="1"/>
  <c r="BD1124" i="5" s="1"/>
  <c r="AS1124" i="5" s="1"/>
  <c r="AX1124" i="5" s="1"/>
  <c r="AM1122" i="5"/>
  <c r="AL1122" i="5"/>
  <c r="AJ1122" i="5"/>
  <c r="BC1123" i="5" s="1"/>
  <c r="AM1121" i="5"/>
  <c r="AL1121" i="5"/>
  <c r="AJ1121" i="5"/>
  <c r="BC1122" i="5" s="1"/>
  <c r="AM1120" i="5"/>
  <c r="AL1120" i="5"/>
  <c r="AJ1120" i="5"/>
  <c r="BC1121" i="5" s="1"/>
  <c r="BD1121" i="5" s="1"/>
  <c r="AS1121" i="5" s="1"/>
  <c r="AX1121" i="5" s="1"/>
  <c r="AM1119" i="5"/>
  <c r="AL1119" i="5"/>
  <c r="AJ1119" i="5"/>
  <c r="BC1120" i="5" s="1"/>
  <c r="AM1118" i="5"/>
  <c r="AL1118" i="5"/>
  <c r="AJ1118" i="5"/>
  <c r="BC1119" i="5" s="1"/>
  <c r="BD1119" i="5" s="1"/>
  <c r="AS1119" i="5" s="1"/>
  <c r="AX1119" i="5" s="1"/>
  <c r="AM1117" i="5"/>
  <c r="AL1117" i="5"/>
  <c r="AJ1117" i="5"/>
  <c r="BC1118" i="5" s="1"/>
  <c r="AM1116" i="5"/>
  <c r="AL1116" i="5"/>
  <c r="AJ1116" i="5"/>
  <c r="BC1117" i="5" s="1"/>
  <c r="BD1117" i="5" s="1"/>
  <c r="AS1117" i="5" s="1"/>
  <c r="AX1117" i="5" s="1"/>
  <c r="AM1115" i="5"/>
  <c r="AL1115" i="5"/>
  <c r="AJ1115" i="5"/>
  <c r="BC1116" i="5" s="1"/>
  <c r="AM1114" i="5"/>
  <c r="AL1114" i="5"/>
  <c r="AJ1114" i="5"/>
  <c r="BC1115" i="5" s="1"/>
  <c r="AM1113" i="5"/>
  <c r="AL1113" i="5"/>
  <c r="AJ1113" i="5"/>
  <c r="BC1114" i="5" s="1"/>
  <c r="BD1114" i="5" s="1"/>
  <c r="AS1114" i="5" s="1"/>
  <c r="AX1114" i="5" s="1"/>
  <c r="AM1112" i="5"/>
  <c r="AL1112" i="5"/>
  <c r="AJ1112" i="5"/>
  <c r="BC1113" i="5" s="1"/>
  <c r="AM1111" i="5"/>
  <c r="AL1111" i="5"/>
  <c r="AJ1111" i="5"/>
  <c r="BC1112" i="5" s="1"/>
  <c r="AM1110" i="5"/>
  <c r="AL1110" i="5"/>
  <c r="AJ1110" i="5"/>
  <c r="BC1111" i="5" s="1"/>
  <c r="AM1109" i="5"/>
  <c r="AL1109" i="5"/>
  <c r="AJ1109" i="5"/>
  <c r="BC1110" i="5" s="1"/>
  <c r="BD1110" i="5" s="1"/>
  <c r="AS1110" i="5" s="1"/>
  <c r="AX1110" i="5" s="1"/>
  <c r="AM1108" i="5"/>
  <c r="AL1108" i="5"/>
  <c r="AJ1108" i="5"/>
  <c r="BC1109" i="5" s="1"/>
  <c r="BD1109" i="5" s="1"/>
  <c r="AS1109" i="5" s="1"/>
  <c r="AX1109" i="5" s="1"/>
  <c r="AM1107" i="5"/>
  <c r="AL1107" i="5"/>
  <c r="AJ1107" i="5"/>
  <c r="BC1108" i="5" s="1"/>
  <c r="AM1106" i="5"/>
  <c r="AL1106" i="5"/>
  <c r="AJ1106" i="5"/>
  <c r="BC1107" i="5" s="1"/>
  <c r="BD1107" i="5" s="1"/>
  <c r="AS1107" i="5" s="1"/>
  <c r="AX1107" i="5" s="1"/>
  <c r="AM1105" i="5"/>
  <c r="AL1105" i="5"/>
  <c r="AJ1105" i="5"/>
  <c r="BC1106" i="5" s="1"/>
  <c r="AM1104" i="5"/>
  <c r="AL1104" i="5"/>
  <c r="AJ1104" i="5"/>
  <c r="BC1105" i="5" s="1"/>
  <c r="AM1103" i="5"/>
  <c r="AL1103" i="5"/>
  <c r="AJ1103" i="5"/>
  <c r="BC1104" i="5" s="1"/>
  <c r="AM1102" i="5"/>
  <c r="AL1102" i="5"/>
  <c r="AJ1102" i="5"/>
  <c r="BC1103" i="5" s="1"/>
  <c r="AM1101" i="5"/>
  <c r="AL1101" i="5"/>
  <c r="AJ1101" i="5"/>
  <c r="BC1102" i="5" s="1"/>
  <c r="AM1100" i="5"/>
  <c r="AL1100" i="5"/>
  <c r="AJ1100" i="5"/>
  <c r="BC1101" i="5" s="1"/>
  <c r="BD1101" i="5" s="1"/>
  <c r="AS1101" i="5" s="1"/>
  <c r="AX1101" i="5" s="1"/>
  <c r="AM1099" i="5"/>
  <c r="AL1099" i="5"/>
  <c r="AJ1099" i="5"/>
  <c r="BC1100" i="5" s="1"/>
  <c r="AM1098" i="5"/>
  <c r="AL1098" i="5"/>
  <c r="AJ1098" i="5"/>
  <c r="BC1099" i="5" s="1"/>
  <c r="AM1097" i="5"/>
  <c r="AL1097" i="5"/>
  <c r="AJ1097" i="5"/>
  <c r="BC1098" i="5" s="1"/>
  <c r="BD1098" i="5" s="1"/>
  <c r="AS1098" i="5" s="1"/>
  <c r="AX1098" i="5" s="1"/>
  <c r="AM1096" i="5"/>
  <c r="AL1096" i="5"/>
  <c r="AJ1096" i="5"/>
  <c r="BC1097" i="5" s="1"/>
  <c r="AM1095" i="5"/>
  <c r="AL1095" i="5"/>
  <c r="AJ1095" i="5"/>
  <c r="BC1096" i="5" s="1"/>
  <c r="AM1094" i="5"/>
  <c r="AL1094" i="5"/>
  <c r="AJ1094" i="5"/>
  <c r="BC1095" i="5" s="1"/>
  <c r="AM1093" i="5"/>
  <c r="AL1093" i="5"/>
  <c r="AJ1093" i="5"/>
  <c r="BC1094" i="5" s="1"/>
  <c r="AM1092" i="5"/>
  <c r="AL1092" i="5"/>
  <c r="AJ1092" i="5"/>
  <c r="BC1093" i="5" s="1"/>
  <c r="BD1093" i="5" s="1"/>
  <c r="AS1093" i="5" s="1"/>
  <c r="AX1093" i="5" s="1"/>
  <c r="AM1091" i="5"/>
  <c r="AL1091" i="5"/>
  <c r="AJ1091" i="5"/>
  <c r="BC1092" i="5" s="1"/>
  <c r="AM1090" i="5"/>
  <c r="AL1090" i="5"/>
  <c r="AJ1090" i="5"/>
  <c r="BC1091" i="5" s="1"/>
  <c r="AM1089" i="5"/>
  <c r="AL1089" i="5"/>
  <c r="AJ1089" i="5"/>
  <c r="BC1090" i="5" s="1"/>
  <c r="AM1088" i="5"/>
  <c r="AL1088" i="5"/>
  <c r="AJ1088" i="5"/>
  <c r="BC1089" i="5" s="1"/>
  <c r="AM1087" i="5"/>
  <c r="AL1087" i="5"/>
  <c r="AJ1087" i="5"/>
  <c r="BC1088" i="5" s="1"/>
  <c r="AM1086" i="5"/>
  <c r="AL1086" i="5"/>
  <c r="AJ1086" i="5"/>
  <c r="BC1087" i="5" s="1"/>
  <c r="AM1085" i="5"/>
  <c r="AL1085" i="5"/>
  <c r="AJ1085" i="5"/>
  <c r="BC1086" i="5" s="1"/>
  <c r="AM1084" i="5"/>
  <c r="AL1084" i="5"/>
  <c r="AN1084" i="5" s="1"/>
  <c r="AJ1084" i="5"/>
  <c r="BC1085" i="5" s="1"/>
  <c r="BD1085" i="5" s="1"/>
  <c r="AS1085" i="5" s="1"/>
  <c r="AX1085" i="5" s="1"/>
  <c r="AM1083" i="5"/>
  <c r="AL1083" i="5"/>
  <c r="AN1083" i="5" s="1"/>
  <c r="AJ1083" i="5"/>
  <c r="BC1084" i="5" s="1"/>
  <c r="AM1082" i="5"/>
  <c r="AL1082" i="5"/>
  <c r="AN1082" i="5" s="1"/>
  <c r="AJ1082" i="5"/>
  <c r="BC1083" i="5" s="1"/>
  <c r="AM1081" i="5"/>
  <c r="AL1081" i="5"/>
  <c r="AN1081" i="5" s="1"/>
  <c r="AJ1081" i="5"/>
  <c r="BC1082" i="5" s="1"/>
  <c r="AM1080" i="5"/>
  <c r="AL1080" i="5"/>
  <c r="AN1080" i="5" s="1"/>
  <c r="AJ1080" i="5"/>
  <c r="BC1081" i="5" s="1"/>
  <c r="AM1079" i="5"/>
  <c r="AL1079" i="5"/>
  <c r="AN1079" i="5" s="1"/>
  <c r="AJ1079" i="5"/>
  <c r="BC1080" i="5" s="1"/>
  <c r="BD1080" i="5" s="1"/>
  <c r="AS1080" i="5" s="1"/>
  <c r="AX1080" i="5" s="1"/>
  <c r="AM1078" i="5"/>
  <c r="AL1078" i="5"/>
  <c r="AN1078" i="5" s="1"/>
  <c r="AJ1078" i="5"/>
  <c r="BC1079" i="5" s="1"/>
  <c r="AM1077" i="5"/>
  <c r="AL1077" i="5"/>
  <c r="AN1077" i="5" s="1"/>
  <c r="AJ1077" i="5"/>
  <c r="BC1078" i="5" s="1"/>
  <c r="AM1076" i="5"/>
  <c r="AL1076" i="5"/>
  <c r="AN1076" i="5" s="1"/>
  <c r="AJ1076" i="5"/>
  <c r="BC1077" i="5" s="1"/>
  <c r="AM1075" i="5"/>
  <c r="AL1075" i="5"/>
  <c r="AN1075" i="5" s="1"/>
  <c r="AJ1075" i="5"/>
  <c r="BC1076" i="5" s="1"/>
  <c r="BD1076" i="5" s="1"/>
  <c r="AS1076" i="5" s="1"/>
  <c r="AX1076" i="5" s="1"/>
  <c r="AM1074" i="5"/>
  <c r="AL1074" i="5"/>
  <c r="AN1074" i="5" s="1"/>
  <c r="AJ1074" i="5"/>
  <c r="BC1075" i="5" s="1"/>
  <c r="AM1073" i="5"/>
  <c r="AL1073" i="5"/>
  <c r="AN1073" i="5" s="1"/>
  <c r="AJ1073" i="5"/>
  <c r="BC1074" i="5" s="1"/>
  <c r="AM1072" i="5"/>
  <c r="AL1072" i="5"/>
  <c r="AN1072" i="5" s="1"/>
  <c r="AJ1072" i="5"/>
  <c r="BC1073" i="5" s="1"/>
  <c r="AM1071" i="5"/>
  <c r="AL1071" i="5"/>
  <c r="AN1071" i="5" s="1"/>
  <c r="AJ1071" i="5"/>
  <c r="BC1072" i="5" s="1"/>
  <c r="AM1070" i="5"/>
  <c r="AL1070" i="5"/>
  <c r="AN1070" i="5" s="1"/>
  <c r="AJ1070" i="5"/>
  <c r="BC1071" i="5" s="1"/>
  <c r="AM1069" i="5"/>
  <c r="AL1069" i="5"/>
  <c r="AN1069" i="5" s="1"/>
  <c r="AJ1069" i="5"/>
  <c r="BC1070" i="5" s="1"/>
  <c r="AM1068" i="5"/>
  <c r="AL1068" i="5"/>
  <c r="AN1068" i="5" s="1"/>
  <c r="AJ1068" i="5"/>
  <c r="BC1069" i="5" s="1"/>
  <c r="AM1067" i="5"/>
  <c r="AL1067" i="5"/>
  <c r="AN1067" i="5" s="1"/>
  <c r="AJ1067" i="5"/>
  <c r="BC1068" i="5" s="1"/>
  <c r="AM1066" i="5"/>
  <c r="AL1066" i="5"/>
  <c r="AN1066" i="5" s="1"/>
  <c r="AJ1066" i="5"/>
  <c r="BC1067" i="5" s="1"/>
  <c r="AM1065" i="5"/>
  <c r="AL1065" i="5"/>
  <c r="AN1065" i="5" s="1"/>
  <c r="AJ1065" i="5"/>
  <c r="BC1066" i="5" s="1"/>
  <c r="AM1064" i="5"/>
  <c r="AL1064" i="5"/>
  <c r="AN1064" i="5" s="1"/>
  <c r="AJ1064" i="5"/>
  <c r="BC1065" i="5" s="1"/>
  <c r="AM1063" i="5"/>
  <c r="AL1063" i="5"/>
  <c r="AN1063" i="5" s="1"/>
  <c r="AJ1063" i="5"/>
  <c r="BC1064" i="5" s="1"/>
  <c r="BD1064" i="5" s="1"/>
  <c r="AS1064" i="5" s="1"/>
  <c r="AX1064" i="5" s="1"/>
  <c r="AM1062" i="5"/>
  <c r="AL1062" i="5"/>
  <c r="AN1062" i="5" s="1"/>
  <c r="AJ1062" i="5"/>
  <c r="BC1063" i="5" s="1"/>
  <c r="AM1061" i="5"/>
  <c r="AL1061" i="5"/>
  <c r="AN1061" i="5" s="1"/>
  <c r="AJ1061" i="5"/>
  <c r="BC1062" i="5" s="1"/>
  <c r="AM1060" i="5"/>
  <c r="AL1060" i="5"/>
  <c r="AN1060" i="5" s="1"/>
  <c r="AJ1060" i="5"/>
  <c r="BC1061" i="5" s="1"/>
  <c r="AM1059" i="5"/>
  <c r="AL1059" i="5"/>
  <c r="AN1059" i="5" s="1"/>
  <c r="AJ1059" i="5"/>
  <c r="BC1060" i="5" s="1"/>
  <c r="AM1058" i="5"/>
  <c r="AL1058" i="5"/>
  <c r="AN1058" i="5" s="1"/>
  <c r="AJ1058" i="5"/>
  <c r="BC1059" i="5" s="1"/>
  <c r="BD1059" i="5" s="1"/>
  <c r="AS1059" i="5" s="1"/>
  <c r="AX1059" i="5" s="1"/>
  <c r="AM1057" i="5"/>
  <c r="AL1057" i="5"/>
  <c r="AN1057" i="5" s="1"/>
  <c r="AJ1057" i="5"/>
  <c r="BC1058" i="5" s="1"/>
  <c r="AM1056" i="5"/>
  <c r="AL1056" i="5"/>
  <c r="AN1056" i="5" s="1"/>
  <c r="AJ1056" i="5"/>
  <c r="BC1057" i="5" s="1"/>
  <c r="AM1055" i="5"/>
  <c r="AL1055" i="5"/>
  <c r="AN1055" i="5" s="1"/>
  <c r="AJ1055" i="5"/>
  <c r="BC1056" i="5" s="1"/>
  <c r="AM1054" i="5"/>
  <c r="AL1054" i="5"/>
  <c r="AN1054" i="5" s="1"/>
  <c r="AJ1054" i="5"/>
  <c r="BC1055" i="5" s="1"/>
  <c r="AM1053" i="5"/>
  <c r="AL1053" i="5"/>
  <c r="AN1053" i="5" s="1"/>
  <c r="AJ1053" i="5"/>
  <c r="BC1054" i="5" s="1"/>
  <c r="AM1052" i="5"/>
  <c r="AL1052" i="5"/>
  <c r="AN1052" i="5" s="1"/>
  <c r="AJ1052" i="5"/>
  <c r="BC1053" i="5" s="1"/>
  <c r="AM1051" i="5"/>
  <c r="AL1051" i="5"/>
  <c r="AN1051" i="5" s="1"/>
  <c r="AJ1051" i="5"/>
  <c r="BC1052" i="5" s="1"/>
  <c r="AM1050" i="5"/>
  <c r="AL1050" i="5"/>
  <c r="AN1050" i="5" s="1"/>
  <c r="AJ1050" i="5"/>
  <c r="BC1051" i="5" s="1"/>
  <c r="AM1049" i="5"/>
  <c r="AL1049" i="5"/>
  <c r="AN1049" i="5" s="1"/>
  <c r="AJ1049" i="5"/>
  <c r="BC1050" i="5" s="1"/>
  <c r="AM1048" i="5"/>
  <c r="AL1048" i="5"/>
  <c r="AN1048" i="5" s="1"/>
  <c r="AJ1048" i="5"/>
  <c r="BC1049" i="5" s="1"/>
  <c r="AM1047" i="5"/>
  <c r="AL1047" i="5"/>
  <c r="AN1047" i="5" s="1"/>
  <c r="AJ1047" i="5"/>
  <c r="BC1048" i="5" s="1"/>
  <c r="AM1046" i="5"/>
  <c r="AL1046" i="5"/>
  <c r="AN1046" i="5" s="1"/>
  <c r="AJ1046" i="5"/>
  <c r="BC1047" i="5" s="1"/>
  <c r="AM1045" i="5"/>
  <c r="AL1045" i="5"/>
  <c r="AN1045" i="5" s="1"/>
  <c r="AJ1045" i="5"/>
  <c r="BC1046" i="5" s="1"/>
  <c r="AM1044" i="5"/>
  <c r="AL1044" i="5"/>
  <c r="AN1044" i="5" s="1"/>
  <c r="AJ1044" i="5"/>
  <c r="BC1045" i="5" s="1"/>
  <c r="AM1043" i="5"/>
  <c r="AL1043" i="5"/>
  <c r="AN1043" i="5" s="1"/>
  <c r="AJ1043" i="5"/>
  <c r="BC1044" i="5" s="1"/>
  <c r="AM1042" i="5"/>
  <c r="AL1042" i="5"/>
  <c r="AN1042" i="5" s="1"/>
  <c r="AJ1042" i="5"/>
  <c r="BC1043" i="5" s="1"/>
  <c r="BD1043" i="5" s="1"/>
  <c r="AS1043" i="5" s="1"/>
  <c r="AX1043" i="5" s="1"/>
  <c r="AM1041" i="5"/>
  <c r="AL1041" i="5"/>
  <c r="AN1041" i="5" s="1"/>
  <c r="AJ1041" i="5"/>
  <c r="BC1042" i="5" s="1"/>
  <c r="AM1040" i="5"/>
  <c r="AL1040" i="5"/>
  <c r="AN1040" i="5" s="1"/>
  <c r="AJ1040" i="5"/>
  <c r="BC1041" i="5" s="1"/>
  <c r="AM1039" i="5"/>
  <c r="AL1039" i="5"/>
  <c r="AN1039" i="5" s="1"/>
  <c r="AJ1039" i="5"/>
  <c r="BC1040" i="5" s="1"/>
  <c r="AM1038" i="5"/>
  <c r="AL1038" i="5"/>
  <c r="AN1038" i="5" s="1"/>
  <c r="AJ1038" i="5"/>
  <c r="BC1039" i="5" s="1"/>
  <c r="AM1037" i="5"/>
  <c r="AL1037" i="5"/>
  <c r="AN1037" i="5" s="1"/>
  <c r="AJ1037" i="5"/>
  <c r="BC1038" i="5" s="1"/>
  <c r="BD1038" i="5" s="1"/>
  <c r="AS1038" i="5" s="1"/>
  <c r="AX1038" i="5" s="1"/>
  <c r="AM1036" i="5"/>
  <c r="AL1036" i="5"/>
  <c r="AN1036" i="5" s="1"/>
  <c r="AJ1036" i="5"/>
  <c r="BC1037" i="5" s="1"/>
  <c r="AM1035" i="5"/>
  <c r="AL1035" i="5"/>
  <c r="AN1035" i="5" s="1"/>
  <c r="AJ1035" i="5"/>
  <c r="BC1036" i="5" s="1"/>
  <c r="AM1034" i="5"/>
  <c r="AL1034" i="5"/>
  <c r="AN1034" i="5" s="1"/>
  <c r="AJ1034" i="5"/>
  <c r="BC1035" i="5" s="1"/>
  <c r="AM1033" i="5"/>
  <c r="AL1033" i="5"/>
  <c r="AN1033" i="5" s="1"/>
  <c r="AJ1033" i="5"/>
  <c r="BC1034" i="5" s="1"/>
  <c r="AM1032" i="5"/>
  <c r="AL1032" i="5"/>
  <c r="AN1032" i="5" s="1"/>
  <c r="AJ1032" i="5"/>
  <c r="BC1033" i="5" s="1"/>
  <c r="BD1033" i="5" s="1"/>
  <c r="AS1033" i="5" s="1"/>
  <c r="AX1033" i="5" s="1"/>
  <c r="AM1031" i="5"/>
  <c r="AL1031" i="5"/>
  <c r="AN1031" i="5" s="1"/>
  <c r="AJ1031" i="5"/>
  <c r="BC1032" i="5" s="1"/>
  <c r="AM1030" i="5"/>
  <c r="AL1030" i="5"/>
  <c r="AN1030" i="5" s="1"/>
  <c r="AJ1030" i="5"/>
  <c r="BC1031" i="5" s="1"/>
  <c r="AM1029" i="5"/>
  <c r="AL1029" i="5"/>
  <c r="AN1029" i="5" s="1"/>
  <c r="AJ1029" i="5"/>
  <c r="BC1030" i="5" s="1"/>
  <c r="AM1028" i="5"/>
  <c r="AL1028" i="5"/>
  <c r="AN1028" i="5" s="1"/>
  <c r="AJ1028" i="5"/>
  <c r="BC1029" i="5" s="1"/>
  <c r="AM1027" i="5"/>
  <c r="AL1027" i="5"/>
  <c r="AN1027" i="5" s="1"/>
  <c r="AJ1027" i="5"/>
  <c r="BC1028" i="5" s="1"/>
  <c r="BD1028" i="5" s="1"/>
  <c r="AS1028" i="5" s="1"/>
  <c r="AX1028" i="5" s="1"/>
  <c r="AM1026" i="5"/>
  <c r="AL1026" i="5"/>
  <c r="AN1026" i="5" s="1"/>
  <c r="AJ1026" i="5"/>
  <c r="BC1027" i="5" s="1"/>
  <c r="AM1025" i="5"/>
  <c r="AL1025" i="5"/>
  <c r="AN1025" i="5" s="1"/>
  <c r="AJ1025" i="5"/>
  <c r="BC1026" i="5" s="1"/>
  <c r="AM1024" i="5"/>
  <c r="AL1024" i="5"/>
  <c r="AN1024" i="5" s="1"/>
  <c r="AJ1024" i="5"/>
  <c r="BC1025" i="5" s="1"/>
  <c r="AM1023" i="5"/>
  <c r="AL1023" i="5"/>
  <c r="AN1023" i="5" s="1"/>
  <c r="AJ1023" i="5"/>
  <c r="BC1024" i="5" s="1"/>
  <c r="AM1022" i="5"/>
  <c r="AL1022" i="5"/>
  <c r="AN1022" i="5" s="1"/>
  <c r="AJ1022" i="5"/>
  <c r="BC1023" i="5" s="1"/>
  <c r="BD1023" i="5" s="1"/>
  <c r="AS1023" i="5" s="1"/>
  <c r="AX1023" i="5" s="1"/>
  <c r="AM1021" i="5"/>
  <c r="AL1021" i="5"/>
  <c r="AN1021" i="5" s="1"/>
  <c r="AJ1021" i="5"/>
  <c r="BC1022" i="5" s="1"/>
  <c r="AM1020" i="5"/>
  <c r="AL1020" i="5"/>
  <c r="AN1020" i="5" s="1"/>
  <c r="AJ1020" i="5"/>
  <c r="BC1021" i="5" s="1"/>
  <c r="AM1019" i="5"/>
  <c r="AL1019" i="5"/>
  <c r="AN1019" i="5" s="1"/>
  <c r="AJ1019" i="5"/>
  <c r="BC1020" i="5" s="1"/>
  <c r="AM1018" i="5"/>
  <c r="AL1018" i="5"/>
  <c r="AN1018" i="5" s="1"/>
  <c r="AJ1018" i="5"/>
  <c r="BC1019" i="5" s="1"/>
  <c r="AM1017" i="5"/>
  <c r="AL1017" i="5"/>
  <c r="AN1017" i="5" s="1"/>
  <c r="AJ1017" i="5"/>
  <c r="BC1018" i="5" s="1"/>
  <c r="BD1018" i="5" s="1"/>
  <c r="AS1018" i="5" s="1"/>
  <c r="AX1018" i="5" s="1"/>
  <c r="AM1016" i="5"/>
  <c r="AL1016" i="5"/>
  <c r="AN1016" i="5" s="1"/>
  <c r="AJ1016" i="5"/>
  <c r="BC1017" i="5" s="1"/>
  <c r="AM1015" i="5"/>
  <c r="AL1015" i="5"/>
  <c r="AN1015" i="5" s="1"/>
  <c r="AJ1015" i="5"/>
  <c r="BC1016" i="5" s="1"/>
  <c r="AM1014" i="5"/>
  <c r="AL1014" i="5"/>
  <c r="AN1014" i="5" s="1"/>
  <c r="AJ1014" i="5"/>
  <c r="BC1015" i="5" s="1"/>
  <c r="AM1013" i="5"/>
  <c r="AL1013" i="5"/>
  <c r="AN1013" i="5" s="1"/>
  <c r="AJ1013" i="5"/>
  <c r="BC1014" i="5" s="1"/>
  <c r="AM1012" i="5"/>
  <c r="AL1012" i="5"/>
  <c r="AN1012" i="5" s="1"/>
  <c r="AJ1012" i="5"/>
  <c r="BC1013" i="5" s="1"/>
  <c r="BD1013" i="5" s="1"/>
  <c r="AS1013" i="5" s="1"/>
  <c r="AX1013" i="5" s="1"/>
  <c r="AM1011" i="5"/>
  <c r="AL1011" i="5"/>
  <c r="AN1011" i="5" s="1"/>
  <c r="AJ1011" i="5"/>
  <c r="BC1012" i="5" s="1"/>
  <c r="BD1012" i="5" s="1"/>
  <c r="AS1012" i="5" s="1"/>
  <c r="AX1012" i="5" s="1"/>
  <c r="AM1010" i="5"/>
  <c r="AL1010" i="5"/>
  <c r="AN1010" i="5" s="1"/>
  <c r="AJ1010" i="5"/>
  <c r="BC1011" i="5" s="1"/>
  <c r="BD1011" i="5" s="1"/>
  <c r="AS1011" i="5" s="1"/>
  <c r="AX1011" i="5" s="1"/>
  <c r="AM1009" i="5"/>
  <c r="AL1009" i="5"/>
  <c r="AN1009" i="5" s="1"/>
  <c r="AJ1009" i="5"/>
  <c r="BC1010" i="5" s="1"/>
  <c r="BD1010" i="5" s="1"/>
  <c r="AS1010" i="5" s="1"/>
  <c r="AX1010" i="5" s="1"/>
  <c r="AM1008" i="5"/>
  <c r="AL1008" i="5"/>
  <c r="AN1008" i="5" s="1"/>
  <c r="AJ1008" i="5"/>
  <c r="BC1009" i="5" s="1"/>
  <c r="BD1009" i="5" s="1"/>
  <c r="AS1009" i="5" s="1"/>
  <c r="AX1009" i="5" s="1"/>
  <c r="AM1007" i="5"/>
  <c r="AL1007" i="5"/>
  <c r="AN1007" i="5" s="1"/>
  <c r="AJ1007" i="5"/>
  <c r="BC1008" i="5" s="1"/>
  <c r="BD1008" i="5" s="1"/>
  <c r="AS1008" i="5" s="1"/>
  <c r="AX1008" i="5" s="1"/>
  <c r="AM1006" i="5"/>
  <c r="AL1006" i="5"/>
  <c r="AN1006" i="5" s="1"/>
  <c r="AJ1006" i="5"/>
  <c r="BC1007" i="5" s="1"/>
  <c r="BD1007" i="5" s="1"/>
  <c r="AS1007" i="5" s="1"/>
  <c r="AX1007" i="5" s="1"/>
  <c r="AM1005" i="5"/>
  <c r="AL1005" i="5"/>
  <c r="AN1005" i="5" s="1"/>
  <c r="AJ1005" i="5"/>
  <c r="BC1006" i="5" s="1"/>
  <c r="BD1006" i="5" s="1"/>
  <c r="AS1006" i="5" s="1"/>
  <c r="AX1006" i="5" s="1"/>
  <c r="AM1004" i="5"/>
  <c r="AL1004" i="5"/>
  <c r="AN1004" i="5" s="1"/>
  <c r="AJ1004" i="5"/>
  <c r="BC1005" i="5" s="1"/>
  <c r="BD1005" i="5" s="1"/>
  <c r="AS1005" i="5" s="1"/>
  <c r="AX1005" i="5" s="1"/>
  <c r="AM1003" i="5"/>
  <c r="AL1003" i="5"/>
  <c r="AN1003" i="5" s="1"/>
  <c r="AJ1003" i="5"/>
  <c r="BC1004" i="5" s="1"/>
  <c r="BD1004" i="5" s="1"/>
  <c r="AS1004" i="5" s="1"/>
  <c r="AX1004" i="5" s="1"/>
  <c r="AM1002" i="5"/>
  <c r="AL1002" i="5"/>
  <c r="AN1002" i="5" s="1"/>
  <c r="AJ1002" i="5"/>
  <c r="BC1003" i="5" s="1"/>
  <c r="BD1003" i="5" s="1"/>
  <c r="AS1003" i="5" s="1"/>
  <c r="AX1003" i="5" s="1"/>
  <c r="AM1001" i="5"/>
  <c r="AL1001" i="5"/>
  <c r="AN1001" i="5" s="1"/>
  <c r="AJ1001" i="5"/>
  <c r="BC1002" i="5" s="1"/>
  <c r="AM1000" i="5"/>
  <c r="AL1000" i="5"/>
  <c r="AN1000" i="5" s="1"/>
  <c r="AJ1000" i="5"/>
  <c r="BC1001" i="5" s="1"/>
  <c r="BD1001" i="5" s="1"/>
  <c r="AS1001" i="5" s="1"/>
  <c r="AX1001" i="5" s="1"/>
  <c r="AM999" i="5"/>
  <c r="AL999" i="5"/>
  <c r="AN999" i="5" s="1"/>
  <c r="AJ999" i="5"/>
  <c r="BC1000" i="5" s="1"/>
  <c r="AM998" i="5"/>
  <c r="AL998" i="5"/>
  <c r="AN998" i="5" s="1"/>
  <c r="AJ998" i="5"/>
  <c r="BC999" i="5" s="1"/>
  <c r="BD999" i="5" s="1"/>
  <c r="AS999" i="5" s="1"/>
  <c r="AX999" i="5" s="1"/>
  <c r="AM997" i="5"/>
  <c r="AL997" i="5"/>
  <c r="AN997" i="5" s="1"/>
  <c r="AJ997" i="5"/>
  <c r="BC998" i="5" s="1"/>
  <c r="BD998" i="5" s="1"/>
  <c r="AS998" i="5" s="1"/>
  <c r="AX998" i="5" s="1"/>
  <c r="AM996" i="5"/>
  <c r="AL996" i="5"/>
  <c r="AN996" i="5" s="1"/>
  <c r="AJ996" i="5"/>
  <c r="BC997" i="5" s="1"/>
  <c r="AM995" i="5"/>
  <c r="AL995" i="5"/>
  <c r="AN995" i="5" s="1"/>
  <c r="AJ995" i="5"/>
  <c r="BC996" i="5" s="1"/>
  <c r="AM994" i="5"/>
  <c r="AL994" i="5"/>
  <c r="AN994" i="5" s="1"/>
  <c r="AJ994" i="5"/>
  <c r="BC995" i="5" s="1"/>
  <c r="AM993" i="5"/>
  <c r="AL993" i="5"/>
  <c r="AN993" i="5" s="1"/>
  <c r="AJ993" i="5"/>
  <c r="BC994" i="5" s="1"/>
  <c r="BD994" i="5" s="1"/>
  <c r="AS994" i="5" s="1"/>
  <c r="AX994" i="5" s="1"/>
  <c r="AM992" i="5"/>
  <c r="AL992" i="5"/>
  <c r="AN992" i="5" s="1"/>
  <c r="AJ992" i="5"/>
  <c r="BC993" i="5" s="1"/>
  <c r="AM991" i="5"/>
  <c r="AL991" i="5"/>
  <c r="AN991" i="5" s="1"/>
  <c r="AJ991" i="5"/>
  <c r="BC992" i="5" s="1"/>
  <c r="AM990" i="5"/>
  <c r="AL990" i="5"/>
  <c r="AN990" i="5" s="1"/>
  <c r="AJ990" i="5"/>
  <c r="BC991" i="5" s="1"/>
  <c r="AM989" i="5"/>
  <c r="AL989" i="5"/>
  <c r="AN989" i="5" s="1"/>
  <c r="AJ989" i="5"/>
  <c r="BC990" i="5" s="1"/>
  <c r="BD990" i="5" s="1"/>
  <c r="AS990" i="5" s="1"/>
  <c r="AX990" i="5" s="1"/>
  <c r="AM988" i="5"/>
  <c r="AL988" i="5"/>
  <c r="AN988" i="5" s="1"/>
  <c r="AJ988" i="5"/>
  <c r="BC989" i="5" s="1"/>
  <c r="AM987" i="5"/>
  <c r="AL987" i="5"/>
  <c r="AN987" i="5" s="1"/>
  <c r="AJ987" i="5"/>
  <c r="BC988" i="5" s="1"/>
  <c r="AM986" i="5"/>
  <c r="AL986" i="5"/>
  <c r="AN986" i="5" s="1"/>
  <c r="AJ986" i="5"/>
  <c r="BC987" i="5" s="1"/>
  <c r="AM985" i="5"/>
  <c r="AL985" i="5"/>
  <c r="AN985" i="5" s="1"/>
  <c r="AJ985" i="5"/>
  <c r="BC986" i="5" s="1"/>
  <c r="AM984" i="5"/>
  <c r="AL984" i="5"/>
  <c r="AN984" i="5" s="1"/>
  <c r="AJ984" i="5"/>
  <c r="BC985" i="5" s="1"/>
  <c r="BD985" i="5" s="1"/>
  <c r="AS985" i="5" s="1"/>
  <c r="AX985" i="5" s="1"/>
  <c r="AM983" i="5"/>
  <c r="AL983" i="5"/>
  <c r="AN983" i="5" s="1"/>
  <c r="AJ983" i="5"/>
  <c r="BC984" i="5" s="1"/>
  <c r="AM982" i="5"/>
  <c r="AL982" i="5"/>
  <c r="AN982" i="5" s="1"/>
  <c r="AJ982" i="5"/>
  <c r="BC983" i="5" s="1"/>
  <c r="AM981" i="5"/>
  <c r="AL981" i="5"/>
  <c r="AN981" i="5" s="1"/>
  <c r="AJ981" i="5"/>
  <c r="BC982" i="5" s="1"/>
  <c r="AM980" i="5"/>
  <c r="AL980" i="5"/>
  <c r="AN980" i="5" s="1"/>
  <c r="AJ980" i="5"/>
  <c r="BC981" i="5" s="1"/>
  <c r="BD981" i="5" s="1"/>
  <c r="AS981" i="5" s="1"/>
  <c r="AX981" i="5" s="1"/>
  <c r="AM979" i="5"/>
  <c r="AL979" i="5"/>
  <c r="AN979" i="5" s="1"/>
  <c r="AJ979" i="5"/>
  <c r="BC980" i="5" s="1"/>
  <c r="BD980" i="5" s="1"/>
  <c r="AS980" i="5" s="1"/>
  <c r="AX980" i="5" s="1"/>
  <c r="AM978" i="5"/>
  <c r="AL978" i="5"/>
  <c r="AN978" i="5" s="1"/>
  <c r="AJ978" i="5"/>
  <c r="BC979" i="5" s="1"/>
  <c r="AM977" i="5"/>
  <c r="AL977" i="5"/>
  <c r="AN977" i="5" s="1"/>
  <c r="AJ977" i="5"/>
  <c r="BC978" i="5" s="1"/>
  <c r="BD978" i="5" s="1"/>
  <c r="AS978" i="5" s="1"/>
  <c r="AX978" i="5" s="1"/>
  <c r="AM976" i="5"/>
  <c r="AL976" i="5"/>
  <c r="AN976" i="5" s="1"/>
  <c r="AJ976" i="5"/>
  <c r="BC977" i="5" s="1"/>
  <c r="AM975" i="5"/>
  <c r="AL975" i="5"/>
  <c r="AN975" i="5" s="1"/>
  <c r="AJ975" i="5"/>
  <c r="BC976" i="5" s="1"/>
  <c r="AM974" i="5"/>
  <c r="AL974" i="5"/>
  <c r="AN974" i="5" s="1"/>
  <c r="AJ974" i="5"/>
  <c r="BC975" i="5" s="1"/>
  <c r="BD975" i="5" s="1"/>
  <c r="AS975" i="5" s="1"/>
  <c r="AX975" i="5" s="1"/>
  <c r="AM973" i="5"/>
  <c r="AL973" i="5"/>
  <c r="AN973" i="5" s="1"/>
  <c r="AJ973" i="5"/>
  <c r="BC974" i="5" s="1"/>
  <c r="AM972" i="5"/>
  <c r="AL972" i="5"/>
  <c r="AN972" i="5" s="1"/>
  <c r="AJ972" i="5"/>
  <c r="BC973" i="5" s="1"/>
  <c r="AM971" i="5"/>
  <c r="AL971" i="5"/>
  <c r="AN971" i="5" s="1"/>
  <c r="AJ971" i="5"/>
  <c r="BC972" i="5" s="1"/>
  <c r="BD972" i="5" s="1"/>
  <c r="AS972" i="5" s="1"/>
  <c r="AX972" i="5" s="1"/>
  <c r="AM970" i="5"/>
  <c r="AL970" i="5"/>
  <c r="AN970" i="5" s="1"/>
  <c r="AJ970" i="5"/>
  <c r="BC971" i="5" s="1"/>
  <c r="AM969" i="5"/>
  <c r="AL969" i="5"/>
  <c r="AN969" i="5" s="1"/>
  <c r="AJ969" i="5"/>
  <c r="BC970" i="5" s="1"/>
  <c r="AM968" i="5"/>
  <c r="AL968" i="5"/>
  <c r="AN968" i="5" s="1"/>
  <c r="AJ968" i="5"/>
  <c r="BC969" i="5" s="1"/>
  <c r="BD969" i="5" s="1"/>
  <c r="AS969" i="5" s="1"/>
  <c r="AX969" i="5" s="1"/>
  <c r="AM967" i="5"/>
  <c r="AL967" i="5"/>
  <c r="AN967" i="5" s="1"/>
  <c r="AJ967" i="5"/>
  <c r="BC968" i="5" s="1"/>
  <c r="AM966" i="5"/>
  <c r="AL966" i="5"/>
  <c r="AN966" i="5" s="1"/>
  <c r="AJ966" i="5"/>
  <c r="BC967" i="5" s="1"/>
  <c r="AM965" i="5"/>
  <c r="AL965" i="5"/>
  <c r="AN965" i="5" s="1"/>
  <c r="AJ965" i="5"/>
  <c r="BC966" i="5" s="1"/>
  <c r="BD966" i="5" s="1"/>
  <c r="AS966" i="5" s="1"/>
  <c r="AX966" i="5" s="1"/>
  <c r="AM964" i="5"/>
  <c r="AL964" i="5"/>
  <c r="AN964" i="5" s="1"/>
  <c r="AJ964" i="5"/>
  <c r="BC965" i="5" s="1"/>
  <c r="AM963" i="5"/>
  <c r="AL963" i="5"/>
  <c r="AN963" i="5" s="1"/>
  <c r="AJ963" i="5"/>
  <c r="BC964" i="5" s="1"/>
  <c r="AM962" i="5"/>
  <c r="AL962" i="5"/>
  <c r="AN962" i="5" s="1"/>
  <c r="AJ962" i="5"/>
  <c r="BC963" i="5" s="1"/>
  <c r="AM961" i="5"/>
  <c r="AL961" i="5"/>
  <c r="AN961" i="5" s="1"/>
  <c r="AJ961" i="5"/>
  <c r="BC962" i="5" s="1"/>
  <c r="AM960" i="5"/>
  <c r="AL960" i="5"/>
  <c r="AN960" i="5" s="1"/>
  <c r="AJ960" i="5"/>
  <c r="BC961" i="5" s="1"/>
  <c r="BD961" i="5" s="1"/>
  <c r="AS961" i="5" s="1"/>
  <c r="AX961" i="5" s="1"/>
  <c r="AM959" i="5"/>
  <c r="AL959" i="5"/>
  <c r="AN959" i="5" s="1"/>
  <c r="AJ959" i="5"/>
  <c r="BC960" i="5" s="1"/>
  <c r="AM958" i="5"/>
  <c r="AL958" i="5"/>
  <c r="AN958" i="5" s="1"/>
  <c r="AJ958" i="5"/>
  <c r="BC959" i="5" s="1"/>
  <c r="AM957" i="5"/>
  <c r="AL957" i="5"/>
  <c r="AN957" i="5" s="1"/>
  <c r="AJ957" i="5"/>
  <c r="BC958" i="5" s="1"/>
  <c r="AM956" i="5"/>
  <c r="AL956" i="5"/>
  <c r="AN956" i="5" s="1"/>
  <c r="AJ956" i="5"/>
  <c r="BC957" i="5" s="1"/>
  <c r="AM955" i="5"/>
  <c r="AL955" i="5"/>
  <c r="AN955" i="5" s="1"/>
  <c r="AJ955" i="5"/>
  <c r="BC956" i="5" s="1"/>
  <c r="BD956" i="5" s="1"/>
  <c r="AS956" i="5" s="1"/>
  <c r="AX956" i="5" s="1"/>
  <c r="AM954" i="5"/>
  <c r="AL954" i="5"/>
  <c r="AJ954" i="5"/>
  <c r="AM952" i="5"/>
  <c r="AL952" i="5"/>
  <c r="AJ952" i="5"/>
  <c r="AM951" i="5"/>
  <c r="AL951" i="5"/>
  <c r="AJ951" i="5"/>
  <c r="BC952" i="5" s="1"/>
  <c r="AM950" i="5"/>
  <c r="AL950" i="5"/>
  <c r="AJ950" i="5"/>
  <c r="BC951" i="5" s="1"/>
  <c r="AM949" i="5"/>
  <c r="AL949" i="5"/>
  <c r="AJ949" i="5"/>
  <c r="BC950" i="5" s="1"/>
  <c r="AM948" i="5"/>
  <c r="AL948" i="5"/>
  <c r="AJ948" i="5"/>
  <c r="BC949" i="5" s="1"/>
  <c r="BD949" i="5" s="1"/>
  <c r="AS949" i="5" s="1"/>
  <c r="AX949" i="5" s="1"/>
  <c r="AM947" i="5"/>
  <c r="AL947" i="5"/>
  <c r="AJ947" i="5"/>
  <c r="BC948" i="5" s="1"/>
  <c r="BD948" i="5" s="1"/>
  <c r="AS948" i="5" s="1"/>
  <c r="AX948" i="5" s="1"/>
  <c r="AM946" i="5"/>
  <c r="AL946" i="5"/>
  <c r="AJ946" i="5"/>
  <c r="BC947" i="5" s="1"/>
  <c r="AM945" i="5"/>
  <c r="AL945" i="5"/>
  <c r="AJ945" i="5"/>
  <c r="BC946" i="5" s="1"/>
  <c r="BD946" i="5" s="1"/>
  <c r="AS946" i="5" s="1"/>
  <c r="AX946" i="5" s="1"/>
  <c r="AM944" i="5"/>
  <c r="AL944" i="5"/>
  <c r="AJ944" i="5"/>
  <c r="BC945" i="5" s="1"/>
  <c r="BD945" i="5" s="1"/>
  <c r="AS945" i="5" s="1"/>
  <c r="AX945" i="5" s="1"/>
  <c r="AM943" i="5"/>
  <c r="AL943" i="5"/>
  <c r="AJ943" i="5"/>
  <c r="BC944" i="5" s="1"/>
  <c r="AM942" i="5"/>
  <c r="AL942" i="5"/>
  <c r="AJ942" i="5"/>
  <c r="BC943" i="5" s="1"/>
  <c r="AM941" i="5"/>
  <c r="AL941" i="5"/>
  <c r="AJ941" i="5"/>
  <c r="BC942" i="5" s="1"/>
  <c r="BD942" i="5" s="1"/>
  <c r="AS942" i="5" s="1"/>
  <c r="AX942" i="5" s="1"/>
  <c r="AM940" i="5"/>
  <c r="AL940" i="5"/>
  <c r="AJ940" i="5"/>
  <c r="BC941" i="5" s="1"/>
  <c r="AM939" i="5"/>
  <c r="AL939" i="5"/>
  <c r="AJ939" i="5"/>
  <c r="BC940" i="5" s="1"/>
  <c r="AM938" i="5"/>
  <c r="AL938" i="5"/>
  <c r="AJ938" i="5"/>
  <c r="BC939" i="5" s="1"/>
  <c r="BD939" i="5" s="1"/>
  <c r="AS939" i="5" s="1"/>
  <c r="AX939" i="5" s="1"/>
  <c r="AM937" i="5"/>
  <c r="AL937" i="5"/>
  <c r="AJ937" i="5"/>
  <c r="BC938" i="5" s="1"/>
  <c r="AM936" i="5"/>
  <c r="AL936" i="5"/>
  <c r="AJ936" i="5"/>
  <c r="BC937" i="5" s="1"/>
  <c r="BD937" i="5" s="1"/>
  <c r="AS937" i="5" s="1"/>
  <c r="AX937" i="5" s="1"/>
  <c r="AM935" i="5"/>
  <c r="AL935" i="5"/>
  <c r="AJ935" i="5"/>
  <c r="BC936" i="5" s="1"/>
  <c r="AM934" i="5"/>
  <c r="AL934" i="5"/>
  <c r="AJ934" i="5"/>
  <c r="BC935" i="5" s="1"/>
  <c r="BD935" i="5" s="1"/>
  <c r="AS935" i="5" s="1"/>
  <c r="AX935" i="5" s="1"/>
  <c r="AM933" i="5"/>
  <c r="AL933" i="5"/>
  <c r="AJ933" i="5"/>
  <c r="BC934" i="5" s="1"/>
  <c r="AM932" i="5"/>
  <c r="AL932" i="5"/>
  <c r="AJ932" i="5"/>
  <c r="BC933" i="5" s="1"/>
  <c r="AM931" i="5"/>
  <c r="AL931" i="5"/>
  <c r="AJ931" i="5"/>
  <c r="BC932" i="5" s="1"/>
  <c r="BD932" i="5" s="1"/>
  <c r="AS932" i="5" s="1"/>
  <c r="AX932" i="5" s="1"/>
  <c r="AM930" i="5"/>
  <c r="AL930" i="5"/>
  <c r="AJ930" i="5"/>
  <c r="BC931" i="5" s="1"/>
  <c r="AM929" i="5"/>
  <c r="AL929" i="5"/>
  <c r="AJ929" i="5"/>
  <c r="BC930" i="5" s="1"/>
  <c r="AM928" i="5"/>
  <c r="AL928" i="5"/>
  <c r="AJ928" i="5"/>
  <c r="BC929" i="5" s="1"/>
  <c r="BD929" i="5" s="1"/>
  <c r="AS929" i="5" s="1"/>
  <c r="AX929" i="5" s="1"/>
  <c r="AM927" i="5"/>
  <c r="AL927" i="5"/>
  <c r="AJ927" i="5"/>
  <c r="AM925" i="5"/>
  <c r="AL925" i="5"/>
  <c r="AJ925" i="5"/>
  <c r="AM924" i="5"/>
  <c r="AL924" i="5"/>
  <c r="AJ924" i="5"/>
  <c r="BC925" i="5" s="1"/>
  <c r="AM923" i="5"/>
  <c r="AL923" i="5"/>
  <c r="AJ923" i="5"/>
  <c r="BC924" i="5" s="1"/>
  <c r="AM922" i="5"/>
  <c r="AL922" i="5"/>
  <c r="AJ922" i="5"/>
  <c r="BC923" i="5" s="1"/>
  <c r="AM921" i="5"/>
  <c r="AL921" i="5"/>
  <c r="AJ921" i="5"/>
  <c r="BC922" i="5" s="1"/>
  <c r="BD922" i="5" s="1"/>
  <c r="AS922" i="5" s="1"/>
  <c r="AX922" i="5" s="1"/>
  <c r="AM920" i="5"/>
  <c r="AL920" i="5"/>
  <c r="AJ920" i="5"/>
  <c r="BC921" i="5" s="1"/>
  <c r="AM919" i="5"/>
  <c r="AL919" i="5"/>
  <c r="AJ919" i="5"/>
  <c r="BC920" i="5" s="1"/>
  <c r="AM918" i="5"/>
  <c r="AL918" i="5"/>
  <c r="AJ918" i="5"/>
  <c r="BC919" i="5" s="1"/>
  <c r="AM917" i="5"/>
  <c r="AL917" i="5"/>
  <c r="AJ917" i="5"/>
  <c r="BC918" i="5" s="1"/>
  <c r="BD918" i="5" s="1"/>
  <c r="AS918" i="5" s="1"/>
  <c r="AX918" i="5" s="1"/>
  <c r="AM916" i="5"/>
  <c r="AL916" i="5"/>
  <c r="AJ916" i="5"/>
  <c r="BC917" i="5" s="1"/>
  <c r="AM915" i="5"/>
  <c r="AL915" i="5"/>
  <c r="AJ915" i="5"/>
  <c r="BC916" i="5" s="1"/>
  <c r="AM914" i="5"/>
  <c r="AL914" i="5"/>
  <c r="AJ914" i="5"/>
  <c r="BC915" i="5" s="1"/>
  <c r="AM913" i="5"/>
  <c r="AL913" i="5"/>
  <c r="AJ913" i="5"/>
  <c r="BC914" i="5" s="1"/>
  <c r="BD914" i="5" s="1"/>
  <c r="AS914" i="5" s="1"/>
  <c r="AX914" i="5" s="1"/>
  <c r="AM912" i="5"/>
  <c r="AL912" i="5"/>
  <c r="AJ912" i="5"/>
  <c r="BC913" i="5" s="1"/>
  <c r="AM911" i="5"/>
  <c r="AL911" i="5"/>
  <c r="AJ911" i="5"/>
  <c r="BC912" i="5" s="1"/>
  <c r="AM910" i="5"/>
  <c r="AL910" i="5"/>
  <c r="AJ910" i="5"/>
  <c r="BC911" i="5" s="1"/>
  <c r="AM909" i="5"/>
  <c r="AL909" i="5"/>
  <c r="AJ909" i="5"/>
  <c r="BC910" i="5" s="1"/>
  <c r="BD910" i="5" s="1"/>
  <c r="AS910" i="5" s="1"/>
  <c r="AX910" i="5" s="1"/>
  <c r="AM908" i="5"/>
  <c r="AL908" i="5"/>
  <c r="AJ908" i="5"/>
  <c r="BC909" i="5" s="1"/>
  <c r="AM907" i="5"/>
  <c r="AL907" i="5"/>
  <c r="AJ907" i="5"/>
  <c r="BC908" i="5" s="1"/>
  <c r="AM906" i="5"/>
  <c r="AL906" i="5"/>
  <c r="AJ906" i="5"/>
  <c r="BC907" i="5" s="1"/>
  <c r="AM905" i="5"/>
  <c r="AL905" i="5"/>
  <c r="AJ905" i="5"/>
  <c r="BC906" i="5" s="1"/>
  <c r="AM904" i="5"/>
  <c r="AL904" i="5"/>
  <c r="AJ904" i="5"/>
  <c r="BC905" i="5" s="1"/>
  <c r="AM903" i="5"/>
  <c r="AL903" i="5"/>
  <c r="AJ903" i="5"/>
  <c r="BC904" i="5" s="1"/>
  <c r="AM902" i="5"/>
  <c r="AL902" i="5"/>
  <c r="AJ902" i="5"/>
  <c r="BC903" i="5" s="1"/>
  <c r="AM901" i="5"/>
  <c r="AL901" i="5"/>
  <c r="AJ901" i="5"/>
  <c r="BC902" i="5" s="1"/>
  <c r="AM900" i="5"/>
  <c r="AL900" i="5"/>
  <c r="AJ900" i="5"/>
  <c r="BC901" i="5" s="1"/>
  <c r="BD901" i="5" s="1"/>
  <c r="AS901" i="5" s="1"/>
  <c r="AX901" i="5" s="1"/>
  <c r="AM899" i="5"/>
  <c r="AL899" i="5"/>
  <c r="AJ899" i="5"/>
  <c r="BC900" i="5" s="1"/>
  <c r="AM898" i="5"/>
  <c r="AL898" i="5"/>
  <c r="AJ898" i="5"/>
  <c r="BC899" i="5" s="1"/>
  <c r="AM897" i="5"/>
  <c r="AL897" i="5"/>
  <c r="AJ897" i="5"/>
  <c r="BC898" i="5" s="1"/>
  <c r="AM896" i="5"/>
  <c r="AL896" i="5"/>
  <c r="AJ896" i="5"/>
  <c r="BC897" i="5" s="1"/>
  <c r="AM895" i="5"/>
  <c r="AL895" i="5"/>
  <c r="AJ895" i="5"/>
  <c r="BC896" i="5" s="1"/>
  <c r="AM894" i="5"/>
  <c r="AL894" i="5"/>
  <c r="AJ894" i="5"/>
  <c r="BC895" i="5" s="1"/>
  <c r="AM893" i="5"/>
  <c r="AL893" i="5"/>
  <c r="AJ893" i="5"/>
  <c r="BC894" i="5" s="1"/>
  <c r="AM892" i="5"/>
  <c r="AL892" i="5"/>
  <c r="AJ892" i="5"/>
  <c r="BC893" i="5" s="1"/>
  <c r="AM891" i="5"/>
  <c r="AL891" i="5"/>
  <c r="AJ891" i="5"/>
  <c r="BC892" i="5" s="1"/>
  <c r="BD892" i="5" s="1"/>
  <c r="AS892" i="5" s="1"/>
  <c r="AX892" i="5" s="1"/>
  <c r="AM890" i="5"/>
  <c r="AL890" i="5"/>
  <c r="AJ890" i="5"/>
  <c r="BC891" i="5" s="1"/>
  <c r="AM889" i="5"/>
  <c r="AL889" i="5"/>
  <c r="AJ889" i="5"/>
  <c r="BC890" i="5" s="1"/>
  <c r="AM888" i="5"/>
  <c r="AL888" i="5"/>
  <c r="AJ888" i="5"/>
  <c r="BC889" i="5" s="1"/>
  <c r="AM887" i="5"/>
  <c r="AL887" i="5"/>
  <c r="AJ887" i="5"/>
  <c r="BC888" i="5" s="1"/>
  <c r="AM886" i="5"/>
  <c r="AL886" i="5"/>
  <c r="AJ886" i="5"/>
  <c r="BC887" i="5" s="1"/>
  <c r="AM885" i="5"/>
  <c r="AL885" i="5"/>
  <c r="AJ885" i="5"/>
  <c r="BC886" i="5" s="1"/>
  <c r="AM884" i="5"/>
  <c r="AL884" i="5"/>
  <c r="AJ884" i="5"/>
  <c r="BC885" i="5" s="1"/>
  <c r="AM883" i="5"/>
  <c r="AL883" i="5"/>
  <c r="AJ883" i="5"/>
  <c r="BC884" i="5" s="1"/>
  <c r="AM882" i="5"/>
  <c r="AL882" i="5"/>
  <c r="AJ882" i="5"/>
  <c r="BC883" i="5" s="1"/>
  <c r="BD883" i="5" s="1"/>
  <c r="AS883" i="5" s="1"/>
  <c r="AX883" i="5" s="1"/>
  <c r="AM881" i="5"/>
  <c r="AL881" i="5"/>
  <c r="AJ881" i="5"/>
  <c r="BC882" i="5" s="1"/>
  <c r="AM880" i="5"/>
  <c r="AL880" i="5"/>
  <c r="AJ880" i="5"/>
  <c r="BC881" i="5" s="1"/>
  <c r="AM879" i="5"/>
  <c r="AL879" i="5"/>
  <c r="AJ879" i="5"/>
  <c r="BC880" i="5" s="1"/>
  <c r="AM878" i="5"/>
  <c r="AL878" i="5"/>
  <c r="AJ878" i="5"/>
  <c r="BC879" i="5" s="1"/>
  <c r="AM877" i="5"/>
  <c r="AL877" i="5"/>
  <c r="AJ877" i="5"/>
  <c r="BC878" i="5" s="1"/>
  <c r="AM876" i="5"/>
  <c r="AL876" i="5"/>
  <c r="AJ876" i="5"/>
  <c r="BC877" i="5" s="1"/>
  <c r="AM875" i="5"/>
  <c r="AL875" i="5"/>
  <c r="AJ875" i="5"/>
  <c r="BC876" i="5" s="1"/>
  <c r="AM874" i="5"/>
  <c r="AL874" i="5"/>
  <c r="AJ874" i="5"/>
  <c r="BC875" i="5" s="1"/>
  <c r="AM873" i="5"/>
  <c r="AL873" i="5"/>
  <c r="AJ873" i="5"/>
  <c r="BC874" i="5" s="1"/>
  <c r="BD874" i="5" s="1"/>
  <c r="AS874" i="5" s="1"/>
  <c r="AX874" i="5" s="1"/>
  <c r="AM872" i="5"/>
  <c r="AL872" i="5"/>
  <c r="AJ872" i="5"/>
  <c r="BC873" i="5" s="1"/>
  <c r="AM871" i="5"/>
  <c r="AL871" i="5"/>
  <c r="AJ871" i="5"/>
  <c r="BC872" i="5" s="1"/>
  <c r="AM870" i="5"/>
  <c r="AL870" i="5"/>
  <c r="AJ870" i="5"/>
  <c r="BC871" i="5" s="1"/>
  <c r="AM869" i="5"/>
  <c r="AL869" i="5"/>
  <c r="AJ869" i="5"/>
  <c r="BC870" i="5" s="1"/>
  <c r="AM868" i="5"/>
  <c r="AL868" i="5"/>
  <c r="AJ868" i="5"/>
  <c r="BC869" i="5" s="1"/>
  <c r="AM867" i="5"/>
  <c r="AL867" i="5"/>
  <c r="AJ867" i="5"/>
  <c r="BC868" i="5" s="1"/>
  <c r="AM866" i="5"/>
  <c r="AL866" i="5"/>
  <c r="AJ866" i="5"/>
  <c r="BC867" i="5" s="1"/>
  <c r="AM865" i="5"/>
  <c r="AL865" i="5"/>
  <c r="AJ865" i="5"/>
  <c r="BC866" i="5" s="1"/>
  <c r="AM864" i="5"/>
  <c r="AL864" i="5"/>
  <c r="AJ864" i="5"/>
  <c r="BC865" i="5" s="1"/>
  <c r="BD865" i="5" s="1"/>
  <c r="AS865" i="5" s="1"/>
  <c r="AX865" i="5" s="1"/>
  <c r="AM863" i="5"/>
  <c r="AL863" i="5"/>
  <c r="AJ863" i="5"/>
  <c r="BC864" i="5" s="1"/>
  <c r="AM862" i="5"/>
  <c r="AL862" i="5"/>
  <c r="AJ862" i="5"/>
  <c r="BC863" i="5" s="1"/>
  <c r="AM861" i="5"/>
  <c r="AL861" i="5"/>
  <c r="AJ861" i="5"/>
  <c r="BC862" i="5" s="1"/>
  <c r="AM860" i="5"/>
  <c r="AL860" i="5"/>
  <c r="AJ860" i="5"/>
  <c r="BC861" i="5" s="1"/>
  <c r="AM859" i="5"/>
  <c r="AL859" i="5"/>
  <c r="AJ859" i="5"/>
  <c r="BC860" i="5" s="1"/>
  <c r="AM858" i="5"/>
  <c r="AL858" i="5"/>
  <c r="AJ858" i="5"/>
  <c r="BC859" i="5" s="1"/>
  <c r="AM857" i="5"/>
  <c r="AL857" i="5"/>
  <c r="AJ857" i="5"/>
  <c r="BC858" i="5" s="1"/>
  <c r="AM856" i="5"/>
  <c r="AL856" i="5"/>
  <c r="AJ856" i="5"/>
  <c r="BC857" i="5" s="1"/>
  <c r="AM855" i="5"/>
  <c r="AL855" i="5"/>
  <c r="AJ855" i="5"/>
  <c r="BC856" i="5" s="1"/>
  <c r="BD856" i="5" s="1"/>
  <c r="AS856" i="5" s="1"/>
  <c r="AX856" i="5" s="1"/>
  <c r="AM854" i="5"/>
  <c r="AL854" i="5"/>
  <c r="AJ854" i="5"/>
  <c r="BC855" i="5" s="1"/>
  <c r="AM853" i="5"/>
  <c r="AL853" i="5"/>
  <c r="AJ853" i="5"/>
  <c r="BC854" i="5" s="1"/>
  <c r="AM852" i="5"/>
  <c r="AL852" i="5"/>
  <c r="AJ852" i="5"/>
  <c r="BC853" i="5" s="1"/>
  <c r="AM851" i="5"/>
  <c r="AL851" i="5"/>
  <c r="AJ851" i="5"/>
  <c r="BC852" i="5" s="1"/>
  <c r="AM850" i="5"/>
  <c r="AL850" i="5"/>
  <c r="AJ850" i="5"/>
  <c r="BC851" i="5" s="1"/>
  <c r="AM849" i="5"/>
  <c r="AL849" i="5"/>
  <c r="AJ849" i="5"/>
  <c r="BC850" i="5" s="1"/>
  <c r="AM848" i="5"/>
  <c r="AL848" i="5"/>
  <c r="AJ848" i="5"/>
  <c r="BC849" i="5" s="1"/>
  <c r="AM847" i="5"/>
  <c r="AL847" i="5"/>
  <c r="AJ847" i="5"/>
  <c r="BC848" i="5" s="1"/>
  <c r="AM846" i="5"/>
  <c r="AL846" i="5"/>
  <c r="AJ846" i="5"/>
  <c r="BC847" i="5" s="1"/>
  <c r="BD847" i="5" s="1"/>
  <c r="AS847" i="5" s="1"/>
  <c r="AX847" i="5" s="1"/>
  <c r="AM845" i="5"/>
  <c r="AL845" i="5"/>
  <c r="AJ845" i="5"/>
  <c r="BC846" i="5" s="1"/>
  <c r="AM844" i="5"/>
  <c r="AL844" i="5"/>
  <c r="AJ844" i="5"/>
  <c r="BC845" i="5" s="1"/>
  <c r="AM843" i="5"/>
  <c r="AL843" i="5"/>
  <c r="AJ843" i="5"/>
  <c r="BC844" i="5" s="1"/>
  <c r="AM842" i="5"/>
  <c r="AL842" i="5"/>
  <c r="AJ842" i="5"/>
  <c r="BC843" i="5" s="1"/>
  <c r="AM841" i="5"/>
  <c r="AL841" i="5"/>
  <c r="AJ841" i="5"/>
  <c r="BC842" i="5" s="1"/>
  <c r="BD842" i="5" s="1"/>
  <c r="AS842" i="5" s="1"/>
  <c r="AX842" i="5" s="1"/>
  <c r="AM840" i="5"/>
  <c r="AL840" i="5"/>
  <c r="AJ840" i="5"/>
  <c r="BC841" i="5" s="1"/>
  <c r="AM839" i="5"/>
  <c r="AL839" i="5"/>
  <c r="AJ839" i="5"/>
  <c r="BC840" i="5" s="1"/>
  <c r="AM838" i="5"/>
  <c r="AL838" i="5"/>
  <c r="AJ838" i="5"/>
  <c r="BC839" i="5" s="1"/>
  <c r="AM837" i="5"/>
  <c r="AL837" i="5"/>
  <c r="AJ837" i="5"/>
  <c r="BC838" i="5" s="1"/>
  <c r="AM836" i="5"/>
  <c r="AL836" i="5"/>
  <c r="AJ836" i="5"/>
  <c r="BC837" i="5" s="1"/>
  <c r="BD837" i="5" s="1"/>
  <c r="AS837" i="5" s="1"/>
  <c r="AX837" i="5" s="1"/>
  <c r="AM835" i="5"/>
  <c r="AL835" i="5"/>
  <c r="AJ835" i="5"/>
  <c r="BC836" i="5" s="1"/>
  <c r="BD836" i="5" s="1"/>
  <c r="AS836" i="5" s="1"/>
  <c r="AX836" i="5" s="1"/>
  <c r="AM834" i="5"/>
  <c r="AL834" i="5"/>
  <c r="AJ834" i="5"/>
  <c r="BC835" i="5" s="1"/>
  <c r="AM833" i="5"/>
  <c r="AL833" i="5"/>
  <c r="AJ833" i="5"/>
  <c r="BC834" i="5" s="1"/>
  <c r="AM832" i="5"/>
  <c r="AL832" i="5"/>
  <c r="AJ832" i="5"/>
  <c r="BC833" i="5" s="1"/>
  <c r="AM831" i="5"/>
  <c r="AL831" i="5"/>
  <c r="AJ831" i="5"/>
  <c r="BC832" i="5" s="1"/>
  <c r="BD832" i="5" s="1"/>
  <c r="AS832" i="5" s="1"/>
  <c r="AX832" i="5" s="1"/>
  <c r="AM830" i="5"/>
  <c r="AL830" i="5"/>
  <c r="AJ830" i="5"/>
  <c r="BC831" i="5" s="1"/>
  <c r="AM829" i="5"/>
  <c r="AL829" i="5"/>
  <c r="AJ829" i="5"/>
  <c r="BC830" i="5" s="1"/>
  <c r="AM828" i="5"/>
  <c r="AL828" i="5"/>
  <c r="AJ828" i="5"/>
  <c r="BC829" i="5" s="1"/>
  <c r="BD829" i="5" s="1"/>
  <c r="AS829" i="5" s="1"/>
  <c r="AX829" i="5" s="1"/>
  <c r="AM827" i="5"/>
  <c r="AL827" i="5"/>
  <c r="AJ827" i="5"/>
  <c r="BC828" i="5" s="1"/>
  <c r="AM826" i="5"/>
  <c r="AL826" i="5"/>
  <c r="AJ826" i="5"/>
  <c r="BC827" i="5" s="1"/>
  <c r="AM825" i="5"/>
  <c r="AL825" i="5"/>
  <c r="AJ825" i="5"/>
  <c r="BC826" i="5" s="1"/>
  <c r="BD826" i="5" s="1"/>
  <c r="AS826" i="5" s="1"/>
  <c r="AX826" i="5" s="1"/>
  <c r="AM824" i="5"/>
  <c r="AL824" i="5"/>
  <c r="AJ824" i="5"/>
  <c r="BC825" i="5" s="1"/>
  <c r="AM823" i="5"/>
  <c r="AL823" i="5"/>
  <c r="AJ823" i="5"/>
  <c r="BC824" i="5" s="1"/>
  <c r="AM822" i="5"/>
  <c r="AL822" i="5"/>
  <c r="AJ822" i="5"/>
  <c r="BC823" i="5" s="1"/>
  <c r="BD823" i="5" s="1"/>
  <c r="AS823" i="5" s="1"/>
  <c r="AX823" i="5" s="1"/>
  <c r="AM821" i="5"/>
  <c r="AL821" i="5"/>
  <c r="AJ821" i="5"/>
  <c r="BC822" i="5" s="1"/>
  <c r="AM820" i="5"/>
  <c r="AL820" i="5"/>
  <c r="AJ820" i="5"/>
  <c r="BC821" i="5" s="1"/>
  <c r="AM819" i="5"/>
  <c r="AL819" i="5"/>
  <c r="AJ819" i="5"/>
  <c r="BC820" i="5" s="1"/>
  <c r="BD820" i="5" s="1"/>
  <c r="AS820" i="5" s="1"/>
  <c r="AX820" i="5" s="1"/>
  <c r="AM818" i="5"/>
  <c r="AL818" i="5"/>
  <c r="AJ818" i="5"/>
  <c r="BC819" i="5" s="1"/>
  <c r="AM817" i="5"/>
  <c r="AL817" i="5"/>
  <c r="AJ817" i="5"/>
  <c r="BC818" i="5" s="1"/>
  <c r="BD818" i="5" s="1"/>
  <c r="AS818" i="5" s="1"/>
  <c r="AX818" i="5" s="1"/>
  <c r="AM816" i="5"/>
  <c r="AL816" i="5"/>
  <c r="AJ816" i="5"/>
  <c r="BC817" i="5" s="1"/>
  <c r="AM815" i="5"/>
  <c r="AL815" i="5"/>
  <c r="AJ815" i="5"/>
  <c r="BC816" i="5" s="1"/>
  <c r="BD816" i="5" s="1"/>
  <c r="AS816" i="5" s="1"/>
  <c r="AX816" i="5" s="1"/>
  <c r="AM814" i="5"/>
  <c r="AL814" i="5"/>
  <c r="AJ814" i="5"/>
  <c r="BC815" i="5" s="1"/>
  <c r="AM813" i="5"/>
  <c r="AL813" i="5"/>
  <c r="AJ813" i="5"/>
  <c r="BC814" i="5" s="1"/>
  <c r="BD814" i="5" s="1"/>
  <c r="AS814" i="5" s="1"/>
  <c r="AX814" i="5" s="1"/>
  <c r="AM812" i="5"/>
  <c r="AL812" i="5"/>
  <c r="AJ812" i="5"/>
  <c r="BC813" i="5" s="1"/>
  <c r="AM811" i="5"/>
  <c r="AL811" i="5"/>
  <c r="AJ811" i="5"/>
  <c r="BC812" i="5" s="1"/>
  <c r="BD812" i="5" s="1"/>
  <c r="AS812" i="5" s="1"/>
  <c r="AX812" i="5" s="1"/>
  <c r="AM810" i="5"/>
  <c r="AL810" i="5"/>
  <c r="AJ810" i="5"/>
  <c r="BC811" i="5" s="1"/>
  <c r="AM809" i="5"/>
  <c r="AL809" i="5"/>
  <c r="AJ809" i="5"/>
  <c r="BC810" i="5" s="1"/>
  <c r="BD810" i="5" s="1"/>
  <c r="AS810" i="5" s="1"/>
  <c r="AX810" i="5" s="1"/>
  <c r="AM808" i="5"/>
  <c r="AL808" i="5"/>
  <c r="AJ808" i="5"/>
  <c r="BC809" i="5" s="1"/>
  <c r="AM807" i="5"/>
  <c r="AL807" i="5"/>
  <c r="AJ807" i="5"/>
  <c r="BC808" i="5" s="1"/>
  <c r="BD808" i="5" s="1"/>
  <c r="AS808" i="5" s="1"/>
  <c r="AX808" i="5" s="1"/>
  <c r="AM806" i="5"/>
  <c r="AL806" i="5"/>
  <c r="AJ806" i="5"/>
  <c r="BC807" i="5" s="1"/>
  <c r="AM805" i="5"/>
  <c r="AL805" i="5"/>
  <c r="AJ805" i="5"/>
  <c r="BC806" i="5" s="1"/>
  <c r="BD806" i="5" s="1"/>
  <c r="AS806" i="5" s="1"/>
  <c r="AX806" i="5" s="1"/>
  <c r="AM804" i="5"/>
  <c r="AL804" i="5"/>
  <c r="AJ804" i="5"/>
  <c r="BC805" i="5" s="1"/>
  <c r="AM803" i="5"/>
  <c r="AL803" i="5"/>
  <c r="AJ803" i="5"/>
  <c r="BC804" i="5" s="1"/>
  <c r="AM802" i="5"/>
  <c r="AL802" i="5"/>
  <c r="AJ802" i="5"/>
  <c r="BC803" i="5" s="1"/>
  <c r="BD803" i="5" s="1"/>
  <c r="AS803" i="5" s="1"/>
  <c r="AX803" i="5" s="1"/>
  <c r="AM801" i="5"/>
  <c r="AL801" i="5"/>
  <c r="AJ801" i="5"/>
  <c r="BC802" i="5" s="1"/>
  <c r="AM800" i="5"/>
  <c r="AL800" i="5"/>
  <c r="AJ800" i="5"/>
  <c r="BC801" i="5" s="1"/>
  <c r="AM799" i="5"/>
  <c r="AL799" i="5"/>
  <c r="AJ799" i="5"/>
  <c r="BC800" i="5" s="1"/>
  <c r="BD800" i="5" s="1"/>
  <c r="AS800" i="5" s="1"/>
  <c r="AX800" i="5" s="1"/>
  <c r="AM798" i="5"/>
  <c r="AL798" i="5"/>
  <c r="AJ798" i="5"/>
  <c r="BC799" i="5" s="1"/>
  <c r="AM797" i="5"/>
  <c r="AL797" i="5"/>
  <c r="AJ797" i="5"/>
  <c r="BC798" i="5" s="1"/>
  <c r="AM796" i="5"/>
  <c r="AL796" i="5"/>
  <c r="AJ796" i="5"/>
  <c r="BC797" i="5" s="1"/>
  <c r="BD797" i="5" s="1"/>
  <c r="AS797" i="5" s="1"/>
  <c r="AX797" i="5" s="1"/>
  <c r="AM795" i="5"/>
  <c r="AL795" i="5"/>
  <c r="AJ795" i="5"/>
  <c r="BC796" i="5" s="1"/>
  <c r="AM794" i="5"/>
  <c r="AL794" i="5"/>
  <c r="AJ794" i="5"/>
  <c r="BC795" i="5" s="1"/>
  <c r="AM793" i="5"/>
  <c r="AL793" i="5"/>
  <c r="AJ793" i="5"/>
  <c r="BC794" i="5" s="1"/>
  <c r="AM792" i="5"/>
  <c r="AL792" i="5"/>
  <c r="AJ792" i="5"/>
  <c r="BC793" i="5" s="1"/>
  <c r="AM791" i="5"/>
  <c r="AL791" i="5"/>
  <c r="AJ791" i="5"/>
  <c r="BC792" i="5" s="1"/>
  <c r="BD792" i="5" s="1"/>
  <c r="AS792" i="5" s="1"/>
  <c r="AX792" i="5" s="1"/>
  <c r="AM790" i="5"/>
  <c r="AL790" i="5"/>
  <c r="AJ790" i="5"/>
  <c r="BC791" i="5" s="1"/>
  <c r="AM789" i="5"/>
  <c r="AL789" i="5"/>
  <c r="AJ789" i="5"/>
  <c r="BC790" i="5" s="1"/>
  <c r="BD790" i="5" s="1"/>
  <c r="AS790" i="5" s="1"/>
  <c r="AX790" i="5" s="1"/>
  <c r="AM788" i="5"/>
  <c r="AL788" i="5"/>
  <c r="AJ788" i="5"/>
  <c r="BC789" i="5" s="1"/>
  <c r="BD789" i="5" s="1"/>
  <c r="AS789" i="5" s="1"/>
  <c r="AX789" i="5" s="1"/>
  <c r="AM787" i="5"/>
  <c r="AL787" i="5"/>
  <c r="AJ787" i="5"/>
  <c r="BC788" i="5" s="1"/>
  <c r="BD788" i="5" s="1"/>
  <c r="AS788" i="5" s="1"/>
  <c r="AX788" i="5" s="1"/>
  <c r="AM786" i="5"/>
  <c r="AL786" i="5"/>
  <c r="AJ786" i="5"/>
  <c r="AM784" i="5"/>
  <c r="AL784" i="5"/>
  <c r="AJ784" i="5"/>
  <c r="AM783" i="5"/>
  <c r="AL783" i="5"/>
  <c r="AJ783" i="5"/>
  <c r="BC784" i="5" s="1"/>
  <c r="AM782" i="5"/>
  <c r="AL782" i="5"/>
  <c r="AJ782" i="5"/>
  <c r="BC783" i="5" s="1"/>
  <c r="AM781" i="5"/>
  <c r="AL781" i="5"/>
  <c r="AJ781" i="5"/>
  <c r="BC782" i="5" s="1"/>
  <c r="AM780" i="5"/>
  <c r="AL780" i="5"/>
  <c r="AJ780" i="5"/>
  <c r="BC781" i="5" s="1"/>
  <c r="BD781" i="5" s="1"/>
  <c r="AS781" i="5" s="1"/>
  <c r="AX781" i="5" s="1"/>
  <c r="AM779" i="5"/>
  <c r="AL779" i="5"/>
  <c r="AJ779" i="5"/>
  <c r="BC780" i="5" s="1"/>
  <c r="AM778" i="5"/>
  <c r="AL778" i="5"/>
  <c r="AJ778" i="5"/>
  <c r="BC779" i="5" s="1"/>
  <c r="AM777" i="5"/>
  <c r="AL777" i="5"/>
  <c r="AJ777" i="5"/>
  <c r="BC778" i="5" s="1"/>
  <c r="AM776" i="5"/>
  <c r="AL776" i="5"/>
  <c r="AN776" i="5" s="1"/>
  <c r="AJ776" i="5"/>
  <c r="BC777" i="5" s="1"/>
  <c r="BD777" i="5" s="1"/>
  <c r="AS777" i="5" s="1"/>
  <c r="AX777" i="5" s="1"/>
  <c r="AM775" i="5"/>
  <c r="AL775" i="5"/>
  <c r="AN775" i="5" s="1"/>
  <c r="AJ775" i="5"/>
  <c r="BC776" i="5" s="1"/>
  <c r="BD776" i="5" s="1"/>
  <c r="AS776" i="5" s="1"/>
  <c r="AX776" i="5" s="1"/>
  <c r="AM774" i="5"/>
  <c r="AL774" i="5"/>
  <c r="AN774" i="5" s="1"/>
  <c r="AJ774" i="5"/>
  <c r="BC775" i="5" s="1"/>
  <c r="BD775" i="5" s="1"/>
  <c r="AS775" i="5" s="1"/>
  <c r="AM773" i="5"/>
  <c r="AL773" i="5"/>
  <c r="AN773" i="5" s="1"/>
  <c r="AJ773" i="5"/>
  <c r="AM771" i="5"/>
  <c r="AL771" i="5"/>
  <c r="AN771" i="5" s="1"/>
  <c r="AJ771" i="5"/>
  <c r="AM770" i="5"/>
  <c r="AL770" i="5"/>
  <c r="AN770" i="5" s="1"/>
  <c r="AJ770" i="5"/>
  <c r="BC771" i="5" s="1"/>
  <c r="BD771" i="5" s="1"/>
  <c r="AS771" i="5" s="1"/>
  <c r="AM769" i="5"/>
  <c r="AL769" i="5"/>
  <c r="AN769" i="5" s="1"/>
  <c r="AJ769" i="5"/>
  <c r="BC770" i="5" s="1"/>
  <c r="BD770" i="5" s="1"/>
  <c r="AS770" i="5" s="1"/>
  <c r="AX770" i="5" s="1"/>
  <c r="AM768" i="5"/>
  <c r="AL768" i="5"/>
  <c r="AN768" i="5" s="1"/>
  <c r="AJ768" i="5"/>
  <c r="BC769" i="5" s="1"/>
  <c r="BD769" i="5" s="1"/>
  <c r="AS769" i="5" s="1"/>
  <c r="AM767" i="5"/>
  <c r="AL767" i="5"/>
  <c r="AN767" i="5" s="1"/>
  <c r="AJ767" i="5"/>
  <c r="BC768" i="5" s="1"/>
  <c r="BD768" i="5" s="1"/>
  <c r="AS768" i="5" s="1"/>
  <c r="AM766" i="5"/>
  <c r="AL766" i="5"/>
  <c r="AN766" i="5" s="1"/>
  <c r="AJ766" i="5"/>
  <c r="BC767" i="5" s="1"/>
  <c r="BD767" i="5" s="1"/>
  <c r="AS767" i="5" s="1"/>
  <c r="AM765" i="5"/>
  <c r="AL765" i="5"/>
  <c r="AN765" i="5" s="1"/>
  <c r="AJ765" i="5"/>
  <c r="BC766" i="5" s="1"/>
  <c r="BD766" i="5" s="1"/>
  <c r="AS766" i="5" s="1"/>
  <c r="AM764" i="5"/>
  <c r="AL764" i="5"/>
  <c r="AN764" i="5" s="1"/>
  <c r="AJ764" i="5"/>
  <c r="BC765" i="5" s="1"/>
  <c r="BD765" i="5" s="1"/>
  <c r="AS765" i="5" s="1"/>
  <c r="AX765" i="5" s="1"/>
  <c r="AM763" i="5"/>
  <c r="AL763" i="5"/>
  <c r="AN763" i="5" s="1"/>
  <c r="AJ763" i="5"/>
  <c r="BC764" i="5" s="1"/>
  <c r="BD764" i="5" s="1"/>
  <c r="AS764" i="5" s="1"/>
  <c r="AM762" i="5"/>
  <c r="AL762" i="5"/>
  <c r="AN762" i="5" s="1"/>
  <c r="AJ762" i="5"/>
  <c r="BC763" i="5" s="1"/>
  <c r="BD763" i="5" s="1"/>
  <c r="AS763" i="5" s="1"/>
  <c r="AX763" i="5" s="1"/>
  <c r="AM761" i="5"/>
  <c r="AL761" i="5"/>
  <c r="AN761" i="5" s="1"/>
  <c r="AJ761" i="5"/>
  <c r="BC762" i="5" s="1"/>
  <c r="BD762" i="5" s="1"/>
  <c r="AS762" i="5" s="1"/>
  <c r="AX762" i="5" s="1"/>
  <c r="AM760" i="5"/>
  <c r="AL760" i="5"/>
  <c r="AN760" i="5" s="1"/>
  <c r="AJ760" i="5"/>
  <c r="BC761" i="5" s="1"/>
  <c r="BD761" i="5" s="1"/>
  <c r="AS761" i="5" s="1"/>
  <c r="AM759" i="5"/>
  <c r="AL759" i="5"/>
  <c r="AN759" i="5" s="1"/>
  <c r="AJ759" i="5"/>
  <c r="AM757" i="5"/>
  <c r="AL757" i="5"/>
  <c r="AN757" i="5" s="1"/>
  <c r="AJ757" i="5"/>
  <c r="AM756" i="5"/>
  <c r="AL756" i="5"/>
  <c r="AN756" i="5" s="1"/>
  <c r="AJ756" i="5"/>
  <c r="BC757" i="5" s="1"/>
  <c r="BD757" i="5" s="1"/>
  <c r="AS757" i="5" s="1"/>
  <c r="AX757" i="5" s="1"/>
  <c r="AM755" i="5"/>
  <c r="AL755" i="5"/>
  <c r="AN755" i="5" s="1"/>
  <c r="AJ755" i="5"/>
  <c r="BC756" i="5" s="1"/>
  <c r="BD756" i="5" s="1"/>
  <c r="AS756" i="5" s="1"/>
  <c r="AX756" i="5" s="1"/>
  <c r="AM754" i="5"/>
  <c r="AL754" i="5"/>
  <c r="AN754" i="5" s="1"/>
  <c r="AJ754" i="5"/>
  <c r="BC755" i="5" s="1"/>
  <c r="BD755" i="5" s="1"/>
  <c r="AS755" i="5" s="1"/>
  <c r="AX755" i="5" s="1"/>
  <c r="AM753" i="5"/>
  <c r="AL753" i="5"/>
  <c r="AN753" i="5" s="1"/>
  <c r="AJ753" i="5"/>
  <c r="BC754" i="5" s="1"/>
  <c r="BD754" i="5" s="1"/>
  <c r="AS754" i="5" s="1"/>
  <c r="AM752" i="5"/>
  <c r="AL752" i="5"/>
  <c r="AN752" i="5" s="1"/>
  <c r="AJ752" i="5"/>
  <c r="AM750" i="5"/>
  <c r="AL750" i="5"/>
  <c r="AN750" i="5" s="1"/>
  <c r="AJ750" i="5"/>
  <c r="AM749" i="5"/>
  <c r="AL749" i="5"/>
  <c r="AN749" i="5" s="1"/>
  <c r="AJ749" i="5"/>
  <c r="BC750" i="5" s="1"/>
  <c r="BD750" i="5" s="1"/>
  <c r="AS750" i="5" s="1"/>
  <c r="AX750" i="5" s="1"/>
  <c r="AM748" i="5"/>
  <c r="AL748" i="5"/>
  <c r="AN748" i="5" s="1"/>
  <c r="AJ748" i="5"/>
  <c r="BC749" i="5" s="1"/>
  <c r="BD749" i="5" s="1"/>
  <c r="AS749" i="5" s="1"/>
  <c r="AX749" i="5" s="1"/>
  <c r="AM747" i="5"/>
  <c r="AL747" i="5"/>
  <c r="AN747" i="5" s="1"/>
  <c r="AJ747" i="5"/>
  <c r="BC748" i="5" s="1"/>
  <c r="BD748" i="5" s="1"/>
  <c r="AS748" i="5" s="1"/>
  <c r="AX748" i="5" s="1"/>
  <c r="AM746" i="5"/>
  <c r="AL746" i="5"/>
  <c r="AN746" i="5" s="1"/>
  <c r="AJ746" i="5"/>
  <c r="BC747" i="5" s="1"/>
  <c r="AM745" i="5"/>
  <c r="AL745" i="5"/>
  <c r="AN745" i="5" s="1"/>
  <c r="AJ745" i="5"/>
  <c r="BC746" i="5" s="1"/>
  <c r="AM744" i="5"/>
  <c r="AL744" i="5"/>
  <c r="AN744" i="5" s="1"/>
  <c r="AJ744" i="5"/>
  <c r="BC745" i="5" s="1"/>
  <c r="BD745" i="5" s="1"/>
  <c r="AS745" i="5" s="1"/>
  <c r="AX745" i="5" s="1"/>
  <c r="AM743" i="5"/>
  <c r="AL743" i="5"/>
  <c r="AN743" i="5" s="1"/>
  <c r="AJ743" i="5"/>
  <c r="BC744" i="5" s="1"/>
  <c r="AM742" i="5"/>
  <c r="AL742" i="5"/>
  <c r="AN742" i="5" s="1"/>
  <c r="AJ742" i="5"/>
  <c r="BC743" i="5" s="1"/>
  <c r="AM741" i="5"/>
  <c r="AL741" i="5"/>
  <c r="AN741" i="5" s="1"/>
  <c r="AJ741" i="5"/>
  <c r="BC742" i="5" s="1"/>
  <c r="BD742" i="5" s="1"/>
  <c r="AS742" i="5" s="1"/>
  <c r="AX742" i="5" s="1"/>
  <c r="AM740" i="5"/>
  <c r="AL740" i="5"/>
  <c r="AN740" i="5" s="1"/>
  <c r="AJ740" i="5"/>
  <c r="BC741" i="5" s="1"/>
  <c r="AM739" i="5"/>
  <c r="AL739" i="5"/>
  <c r="AN739" i="5" s="1"/>
  <c r="AJ739" i="5"/>
  <c r="BC740" i="5" s="1"/>
  <c r="AM738" i="5"/>
  <c r="AL738" i="5"/>
  <c r="AN738" i="5" s="1"/>
  <c r="AJ738" i="5"/>
  <c r="BC739" i="5" s="1"/>
  <c r="AM737" i="5"/>
  <c r="AL737" i="5"/>
  <c r="AN737" i="5" s="1"/>
  <c r="AJ737" i="5"/>
  <c r="BC738" i="5" s="1"/>
  <c r="AM736" i="5"/>
  <c r="AL736" i="5"/>
  <c r="AN736" i="5" s="1"/>
  <c r="AJ736" i="5"/>
  <c r="BC737" i="5" s="1"/>
  <c r="BD737" i="5" s="1"/>
  <c r="AS737" i="5" s="1"/>
  <c r="AX737" i="5" s="1"/>
  <c r="AM735" i="5"/>
  <c r="AL735" i="5"/>
  <c r="AN735" i="5" s="1"/>
  <c r="AJ735" i="5"/>
  <c r="BC736" i="5" s="1"/>
  <c r="AM734" i="5"/>
  <c r="AL734" i="5"/>
  <c r="AN734" i="5" s="1"/>
  <c r="AJ734" i="5"/>
  <c r="BC735" i="5" s="1"/>
  <c r="AM733" i="5"/>
  <c r="AL733" i="5"/>
  <c r="AN733" i="5" s="1"/>
  <c r="AJ733" i="5"/>
  <c r="BC734" i="5" s="1"/>
  <c r="BD734" i="5" s="1"/>
  <c r="AS734" i="5" s="1"/>
  <c r="AX734" i="5" s="1"/>
  <c r="AM732" i="5"/>
  <c r="AL732" i="5"/>
  <c r="AN732" i="5" s="1"/>
  <c r="AJ732" i="5"/>
  <c r="AM730" i="5"/>
  <c r="AL730" i="5"/>
  <c r="AN730" i="5" s="1"/>
  <c r="AJ730" i="5"/>
  <c r="AM729" i="5"/>
  <c r="AL729" i="5"/>
  <c r="AN729" i="5" s="1"/>
  <c r="AJ729" i="5"/>
  <c r="BC730" i="5" s="1"/>
  <c r="AM728" i="5"/>
  <c r="AL728" i="5"/>
  <c r="AN728" i="5" s="1"/>
  <c r="AJ728" i="5"/>
  <c r="BC729" i="5" s="1"/>
  <c r="AM727" i="5"/>
  <c r="AL727" i="5"/>
  <c r="AN727" i="5" s="1"/>
  <c r="AJ727" i="5"/>
  <c r="BC728" i="5" s="1"/>
  <c r="AM726" i="5"/>
  <c r="AL726" i="5"/>
  <c r="AJ726" i="5"/>
  <c r="BC727" i="5" s="1"/>
  <c r="BD727" i="5" s="1"/>
  <c r="AS727" i="5" s="1"/>
  <c r="AX727" i="5" s="1"/>
  <c r="AM725" i="5"/>
  <c r="AL725" i="5"/>
  <c r="AJ725" i="5"/>
  <c r="BC726" i="5" s="1"/>
  <c r="AM724" i="5"/>
  <c r="AL724" i="5"/>
  <c r="AJ724" i="5"/>
  <c r="BC725" i="5" s="1"/>
  <c r="BD725" i="5" s="1"/>
  <c r="AS725" i="5" s="1"/>
  <c r="AX725" i="5" s="1"/>
  <c r="AM723" i="5"/>
  <c r="AL723" i="5"/>
  <c r="AJ723" i="5"/>
  <c r="BC724" i="5" s="1"/>
  <c r="AM722" i="5"/>
  <c r="AL722" i="5"/>
  <c r="AJ722" i="5"/>
  <c r="BC723" i="5" s="1"/>
  <c r="AM721" i="5"/>
  <c r="AL721" i="5"/>
  <c r="AJ721" i="5"/>
  <c r="BC722" i="5" s="1"/>
  <c r="BD722" i="5" s="1"/>
  <c r="AS722" i="5" s="1"/>
  <c r="AX722" i="5" s="1"/>
  <c r="AM720" i="5"/>
  <c r="AL720" i="5"/>
  <c r="AJ720" i="5"/>
  <c r="BC721" i="5" s="1"/>
  <c r="BD721" i="5" s="1"/>
  <c r="AS721" i="5" s="1"/>
  <c r="AX721" i="5" s="1"/>
  <c r="AM719" i="5"/>
  <c r="AL719" i="5"/>
  <c r="AJ719" i="5"/>
  <c r="BC720" i="5" s="1"/>
  <c r="AM718" i="5"/>
  <c r="AL718" i="5"/>
  <c r="AJ718" i="5"/>
  <c r="BC719" i="5" s="1"/>
  <c r="AM717" i="5"/>
  <c r="AL717" i="5"/>
  <c r="AJ717" i="5"/>
  <c r="BC718" i="5" s="1"/>
  <c r="BD718" i="5" s="1"/>
  <c r="AS718" i="5" s="1"/>
  <c r="AX718" i="5" s="1"/>
  <c r="AM716" i="5"/>
  <c r="AL716" i="5"/>
  <c r="AJ716" i="5"/>
  <c r="BC717" i="5" s="1"/>
  <c r="AM715" i="5"/>
  <c r="AL715" i="5"/>
  <c r="AJ715" i="5"/>
  <c r="BC716" i="5" s="1"/>
  <c r="AM714" i="5"/>
  <c r="AL714" i="5"/>
  <c r="AJ714" i="5"/>
  <c r="BC715" i="5" s="1"/>
  <c r="AM713" i="5"/>
  <c r="AL713" i="5"/>
  <c r="AJ713" i="5"/>
  <c r="BC714" i="5" s="1"/>
  <c r="AM712" i="5"/>
  <c r="AL712" i="5"/>
  <c r="AJ712" i="5"/>
  <c r="BC713" i="5" s="1"/>
  <c r="AM711" i="5"/>
  <c r="AL711" i="5"/>
  <c r="AJ711" i="5"/>
  <c r="BC712" i="5" s="1"/>
  <c r="AM710" i="5"/>
  <c r="AL710" i="5"/>
  <c r="AJ710" i="5"/>
  <c r="BC711" i="5" s="1"/>
  <c r="AM709" i="5"/>
  <c r="AL709" i="5"/>
  <c r="AJ709" i="5"/>
  <c r="BC710" i="5" s="1"/>
  <c r="BD710" i="5" s="1"/>
  <c r="AS710" i="5" s="1"/>
  <c r="AX710" i="5" s="1"/>
  <c r="AM708" i="5"/>
  <c r="AL708" i="5"/>
  <c r="AJ708" i="5"/>
  <c r="BC709" i="5" s="1"/>
  <c r="BD709" i="5" s="1"/>
  <c r="AS709" i="5" s="1"/>
  <c r="AX709" i="5" s="1"/>
  <c r="AM707" i="5"/>
  <c r="AL707" i="5"/>
  <c r="AJ707" i="5"/>
  <c r="BC708" i="5" s="1"/>
  <c r="AM706" i="5"/>
  <c r="AL706" i="5"/>
  <c r="AJ706" i="5"/>
  <c r="BC707" i="5" s="1"/>
  <c r="AM705" i="5"/>
  <c r="AL705" i="5"/>
  <c r="AJ705" i="5"/>
  <c r="BC706" i="5" s="1"/>
  <c r="AM704" i="5"/>
  <c r="AL704" i="5"/>
  <c r="AJ704" i="5"/>
  <c r="BC705" i="5" s="1"/>
  <c r="AM703" i="5"/>
  <c r="AL703" i="5"/>
  <c r="AJ703" i="5"/>
  <c r="BC704" i="5" s="1"/>
  <c r="AM702" i="5"/>
  <c r="AL702" i="5"/>
  <c r="AJ702" i="5"/>
  <c r="BC703" i="5" s="1"/>
  <c r="AM701" i="5"/>
  <c r="AL701" i="5"/>
  <c r="AJ701" i="5"/>
  <c r="BC702" i="5" s="1"/>
  <c r="AM700" i="5"/>
  <c r="AL700" i="5"/>
  <c r="AN700" i="5" s="1"/>
  <c r="AJ700" i="5"/>
  <c r="BC701" i="5" s="1"/>
  <c r="BD701" i="5" s="1"/>
  <c r="AS701" i="5" s="1"/>
  <c r="AX701" i="5" s="1"/>
  <c r="AM699" i="5"/>
  <c r="AL699" i="5"/>
  <c r="AN699" i="5" s="1"/>
  <c r="AJ699" i="5"/>
  <c r="BC700" i="5" s="1"/>
  <c r="AM698" i="5"/>
  <c r="AL698" i="5"/>
  <c r="AN698" i="5" s="1"/>
  <c r="AJ698" i="5"/>
  <c r="BC699" i="5" s="1"/>
  <c r="AM697" i="5"/>
  <c r="AL697" i="5"/>
  <c r="AJ697" i="5"/>
  <c r="BC698" i="5" s="1"/>
  <c r="BD698" i="5" s="1"/>
  <c r="AS698" i="5" s="1"/>
  <c r="AX698" i="5" s="1"/>
  <c r="AM696" i="5"/>
  <c r="AL696" i="5"/>
  <c r="AJ696" i="5"/>
  <c r="BC697" i="5" s="1"/>
  <c r="BD697" i="5" s="1"/>
  <c r="AS697" i="5" s="1"/>
  <c r="AM695" i="5"/>
  <c r="AL695" i="5"/>
  <c r="AJ695" i="5"/>
  <c r="BC696" i="5" s="1"/>
  <c r="BD696" i="5" s="1"/>
  <c r="AS696" i="5" s="1"/>
  <c r="AM694" i="5"/>
  <c r="AL694" i="5"/>
  <c r="AJ694" i="5"/>
  <c r="BC695" i="5" s="1"/>
  <c r="BD695" i="5" s="1"/>
  <c r="AS695" i="5" s="1"/>
  <c r="AM693" i="5"/>
  <c r="AL693" i="5"/>
  <c r="AJ693" i="5"/>
  <c r="BC694" i="5" s="1"/>
  <c r="BD694" i="5" s="1"/>
  <c r="AS694" i="5" s="1"/>
  <c r="AX694" i="5" s="1"/>
  <c r="AM692" i="5"/>
  <c r="AL692" i="5"/>
  <c r="AJ692" i="5"/>
  <c r="BC693" i="5" s="1"/>
  <c r="BD693" i="5" s="1"/>
  <c r="AS693" i="5" s="1"/>
  <c r="AM691" i="5"/>
  <c r="AL691" i="5"/>
  <c r="AJ691" i="5"/>
  <c r="BC692" i="5" s="1"/>
  <c r="BD692" i="5" s="1"/>
  <c r="AS692" i="5" s="1"/>
  <c r="AM690" i="5"/>
  <c r="AL690" i="5"/>
  <c r="AJ690" i="5"/>
  <c r="BC691" i="5" s="1"/>
  <c r="BD691" i="5" s="1"/>
  <c r="AS691" i="5" s="1"/>
  <c r="AM689" i="5"/>
  <c r="AL689" i="5"/>
  <c r="AJ689" i="5"/>
  <c r="BC690" i="5" s="1"/>
  <c r="BD690" i="5" s="1"/>
  <c r="AS690" i="5" s="1"/>
  <c r="AX690" i="5" s="1"/>
  <c r="AM688" i="5"/>
  <c r="AL688" i="5"/>
  <c r="AJ688" i="5"/>
  <c r="BC689" i="5" s="1"/>
  <c r="BD689" i="5" s="1"/>
  <c r="AS689" i="5" s="1"/>
  <c r="AX689" i="5" s="1"/>
  <c r="AM687" i="5"/>
  <c r="AL687" i="5"/>
  <c r="AJ687" i="5"/>
  <c r="BC688" i="5" s="1"/>
  <c r="BD688" i="5" s="1"/>
  <c r="AS688" i="5" s="1"/>
  <c r="AX688" i="5" s="1"/>
  <c r="AM686" i="5"/>
  <c r="AL686" i="5"/>
  <c r="AJ686" i="5"/>
  <c r="BC687" i="5" s="1"/>
  <c r="BD687" i="5" s="1"/>
  <c r="AS687" i="5" s="1"/>
  <c r="AX687" i="5" s="1"/>
  <c r="AM685" i="5"/>
  <c r="AL685" i="5"/>
  <c r="AJ685" i="5"/>
  <c r="BC686" i="5" s="1"/>
  <c r="BD686" i="5" s="1"/>
  <c r="AS686" i="5" s="1"/>
  <c r="AX686" i="5" s="1"/>
  <c r="AM684" i="5"/>
  <c r="AL684" i="5"/>
  <c r="AJ684" i="5"/>
  <c r="AM682" i="5"/>
  <c r="AL682" i="5"/>
  <c r="AJ682" i="5"/>
  <c r="AM681" i="5"/>
  <c r="AL681" i="5"/>
  <c r="AJ681" i="5"/>
  <c r="BC682" i="5" s="1"/>
  <c r="BD682" i="5" s="1"/>
  <c r="AS682" i="5" s="1"/>
  <c r="AM680" i="5"/>
  <c r="AL680" i="5"/>
  <c r="AJ680" i="5"/>
  <c r="BC681" i="5" s="1"/>
  <c r="BD681" i="5" s="1"/>
  <c r="AS681" i="5" s="1"/>
  <c r="AX681" i="5" s="1"/>
  <c r="AM679" i="5"/>
  <c r="AL679" i="5"/>
  <c r="AN679" i="5" s="1"/>
  <c r="AJ679" i="5"/>
  <c r="BC680" i="5" s="1"/>
  <c r="BD680" i="5" s="1"/>
  <c r="AS680" i="5" s="1"/>
  <c r="AX680" i="5" s="1"/>
  <c r="AM678" i="5"/>
  <c r="AL678" i="5"/>
  <c r="AN678" i="5" s="1"/>
  <c r="AJ678" i="5"/>
  <c r="BC679" i="5" s="1"/>
  <c r="AM677" i="5"/>
  <c r="AL677" i="5"/>
  <c r="AN677" i="5" s="1"/>
  <c r="AJ677" i="5"/>
  <c r="BC678" i="5" s="1"/>
  <c r="BD678" i="5" s="1"/>
  <c r="AS678" i="5" s="1"/>
  <c r="AX678" i="5" s="1"/>
  <c r="AM676" i="5"/>
  <c r="AL676" i="5"/>
  <c r="AN676" i="5" s="1"/>
  <c r="AJ676" i="5"/>
  <c r="BC677" i="5" s="1"/>
  <c r="BD677" i="5" s="1"/>
  <c r="AS677" i="5" s="1"/>
  <c r="AX677" i="5" s="1"/>
  <c r="AM675" i="5"/>
  <c r="AL675" i="5"/>
  <c r="AN675" i="5" s="1"/>
  <c r="AJ675" i="5"/>
  <c r="BC676" i="5" s="1"/>
  <c r="BD676" i="5" s="1"/>
  <c r="AS676" i="5" s="1"/>
  <c r="AX676" i="5" s="1"/>
  <c r="AM674" i="5"/>
  <c r="AL674" i="5"/>
  <c r="AJ674" i="5"/>
  <c r="BC675" i="5" s="1"/>
  <c r="BD675" i="5" s="1"/>
  <c r="AS675" i="5" s="1"/>
  <c r="AX675" i="5" s="1"/>
  <c r="AM673" i="5"/>
  <c r="AL673" i="5"/>
  <c r="AN673" i="5" s="1"/>
  <c r="AJ673" i="5"/>
  <c r="BC674" i="5" s="1"/>
  <c r="BD674" i="5" s="1"/>
  <c r="AS674" i="5" s="1"/>
  <c r="AX674" i="5" s="1"/>
  <c r="AM672" i="5"/>
  <c r="AL672" i="5"/>
  <c r="AJ672" i="5"/>
  <c r="BC673" i="5" s="1"/>
  <c r="BD673" i="5" s="1"/>
  <c r="AS673" i="5" s="1"/>
  <c r="AX673" i="5" s="1"/>
  <c r="AM671" i="5"/>
  <c r="AL671" i="5"/>
  <c r="AJ671" i="5"/>
  <c r="BC672" i="5" s="1"/>
  <c r="BD672" i="5" s="1"/>
  <c r="AS672" i="5" s="1"/>
  <c r="AX672" i="5" s="1"/>
  <c r="AM670" i="5"/>
  <c r="AL670" i="5"/>
  <c r="AJ670" i="5"/>
  <c r="BC671" i="5" s="1"/>
  <c r="BD671" i="5" s="1"/>
  <c r="AS671" i="5" s="1"/>
  <c r="AX671" i="5" s="1"/>
  <c r="AM669" i="5"/>
  <c r="AL669" i="5"/>
  <c r="AJ669" i="5"/>
  <c r="BC670" i="5" s="1"/>
  <c r="BD670" i="5" s="1"/>
  <c r="AS670" i="5" s="1"/>
  <c r="AX670" i="5" s="1"/>
  <c r="AM668" i="5"/>
  <c r="AL668" i="5"/>
  <c r="AJ668" i="5"/>
  <c r="BC669" i="5" s="1"/>
  <c r="BD669" i="5" s="1"/>
  <c r="AS669" i="5" s="1"/>
  <c r="AX669" i="5" s="1"/>
  <c r="AM667" i="5"/>
  <c r="AL667" i="5"/>
  <c r="AJ667" i="5"/>
  <c r="BC668" i="5" s="1"/>
  <c r="BD668" i="5" s="1"/>
  <c r="AS668" i="5" s="1"/>
  <c r="AM666" i="5"/>
  <c r="AL666" i="5"/>
  <c r="AJ666" i="5"/>
  <c r="BC667" i="5" s="1"/>
  <c r="BD667" i="5" s="1"/>
  <c r="AS667" i="5" s="1"/>
  <c r="AX667" i="5" s="1"/>
  <c r="AM665" i="5"/>
  <c r="AL665" i="5"/>
  <c r="AJ665" i="5"/>
  <c r="BC666" i="5" s="1"/>
  <c r="BD666" i="5" s="1"/>
  <c r="AS666" i="5" s="1"/>
  <c r="AX666" i="5" s="1"/>
  <c r="AM664" i="5"/>
  <c r="AL664" i="5"/>
  <c r="AJ664" i="5"/>
  <c r="BC665" i="5" s="1"/>
  <c r="BD665" i="5" s="1"/>
  <c r="AS665" i="5" s="1"/>
  <c r="AX665" i="5" s="1"/>
  <c r="AM663" i="5"/>
  <c r="AL663" i="5"/>
  <c r="AJ663" i="5"/>
  <c r="BC664" i="5" s="1"/>
  <c r="BD664" i="5" s="1"/>
  <c r="AS664" i="5" s="1"/>
  <c r="AX664" i="5" s="1"/>
  <c r="AM662" i="5"/>
  <c r="AL662" i="5"/>
  <c r="AJ662" i="5"/>
  <c r="BC663" i="5" s="1"/>
  <c r="BD663" i="5" s="1"/>
  <c r="AS663" i="5" s="1"/>
  <c r="AX663" i="5" s="1"/>
  <c r="AM661" i="5"/>
  <c r="AL661" i="5"/>
  <c r="AJ661" i="5"/>
  <c r="BC662" i="5" s="1"/>
  <c r="BD662" i="5" s="1"/>
  <c r="AS662" i="5" s="1"/>
  <c r="AX662" i="5" s="1"/>
  <c r="AM660" i="5"/>
  <c r="AL660" i="5"/>
  <c r="AJ660" i="5"/>
  <c r="BC661" i="5" s="1"/>
  <c r="BD661" i="5" s="1"/>
  <c r="AS661" i="5" s="1"/>
  <c r="AX661" i="5" s="1"/>
  <c r="AM659" i="5"/>
  <c r="AL659" i="5"/>
  <c r="AJ659" i="5"/>
  <c r="BC660" i="5" s="1"/>
  <c r="BD660" i="5" s="1"/>
  <c r="AS660" i="5" s="1"/>
  <c r="AM658" i="5"/>
  <c r="AL658" i="5"/>
  <c r="AJ658" i="5"/>
  <c r="BC659" i="5" s="1"/>
  <c r="AM657" i="5"/>
  <c r="AL657" i="5"/>
  <c r="AJ657" i="5"/>
  <c r="AM655" i="5"/>
  <c r="AL655" i="5"/>
  <c r="AJ655" i="5"/>
  <c r="AM654" i="5"/>
  <c r="AL654" i="5"/>
  <c r="AJ654" i="5"/>
  <c r="BC655" i="5" s="1"/>
  <c r="AM653" i="5"/>
  <c r="AL653" i="5"/>
  <c r="AJ653" i="5"/>
  <c r="BC654" i="5" s="1"/>
  <c r="BD654" i="5" s="1"/>
  <c r="AS654" i="5" s="1"/>
  <c r="AX654" i="5" s="1"/>
  <c r="AM652" i="5"/>
  <c r="AL652" i="5"/>
  <c r="AJ652" i="5"/>
  <c r="BC653" i="5" s="1"/>
  <c r="BD653" i="5" s="1"/>
  <c r="AS653" i="5" s="1"/>
  <c r="AX653" i="5" s="1"/>
  <c r="AM651" i="5"/>
  <c r="AL651" i="5"/>
  <c r="AJ651" i="5"/>
  <c r="BC652" i="5" s="1"/>
  <c r="BD652" i="5" s="1"/>
  <c r="AS652" i="5" s="1"/>
  <c r="AX652" i="5" s="1"/>
  <c r="AM650" i="5"/>
  <c r="AL650" i="5"/>
  <c r="AN650" i="5" s="1"/>
  <c r="AJ650" i="5"/>
  <c r="BC651" i="5" s="1"/>
  <c r="BD651" i="5" s="1"/>
  <c r="AS651" i="5" s="1"/>
  <c r="AX651" i="5" s="1"/>
  <c r="AM649" i="5"/>
  <c r="AL649" i="5"/>
  <c r="AJ649" i="5"/>
  <c r="BC650" i="5" s="1"/>
  <c r="BD650" i="5" s="1"/>
  <c r="AS650" i="5" s="1"/>
  <c r="AX650" i="5" s="1"/>
  <c r="AM648" i="5"/>
  <c r="AL648" i="5"/>
  <c r="AJ648" i="5"/>
  <c r="BC649" i="5" s="1"/>
  <c r="AM647" i="5"/>
  <c r="AL647" i="5"/>
  <c r="AJ647" i="5"/>
  <c r="BC648" i="5" s="1"/>
  <c r="AM646" i="5"/>
  <c r="AL646" i="5"/>
  <c r="AJ646" i="5"/>
  <c r="BC647" i="5" s="1"/>
  <c r="BD647" i="5" s="1"/>
  <c r="AS647" i="5" s="1"/>
  <c r="AX647" i="5" s="1"/>
  <c r="AM645" i="5"/>
  <c r="AL645" i="5"/>
  <c r="AJ645" i="5"/>
  <c r="BC646" i="5" s="1"/>
  <c r="BD646" i="5" s="1"/>
  <c r="AS646" i="5" s="1"/>
  <c r="AX646" i="5" s="1"/>
  <c r="AM644" i="5"/>
  <c r="AL644" i="5"/>
  <c r="AJ644" i="5"/>
  <c r="BC645" i="5" s="1"/>
  <c r="BD645" i="5" s="1"/>
  <c r="AS645" i="5" s="1"/>
  <c r="AX645" i="5" s="1"/>
  <c r="AM643" i="5"/>
  <c r="AL643" i="5"/>
  <c r="AJ643" i="5"/>
  <c r="BC644" i="5" s="1"/>
  <c r="BD644" i="5" s="1"/>
  <c r="AS644" i="5" s="1"/>
  <c r="AX644" i="5" s="1"/>
  <c r="AM642" i="5"/>
  <c r="AL642" i="5"/>
  <c r="AJ642" i="5"/>
  <c r="BC643" i="5" s="1"/>
  <c r="BD643" i="5" s="1"/>
  <c r="AS643" i="5" s="1"/>
  <c r="AX643" i="5" s="1"/>
  <c r="AM641" i="5"/>
  <c r="AL641" i="5"/>
  <c r="AJ641" i="5"/>
  <c r="BC642" i="5" s="1"/>
  <c r="BD642" i="5" s="1"/>
  <c r="AS642" i="5" s="1"/>
  <c r="AX642" i="5" s="1"/>
  <c r="AM640" i="5"/>
  <c r="AL640" i="5"/>
  <c r="AJ640" i="5"/>
  <c r="AM638" i="5"/>
  <c r="AL638" i="5"/>
  <c r="AN638" i="5" s="1"/>
  <c r="AJ638" i="5"/>
  <c r="AM637" i="5"/>
  <c r="AL637" i="5"/>
  <c r="AN637" i="5" s="1"/>
  <c r="AJ637" i="5"/>
  <c r="BC638" i="5" s="1"/>
  <c r="AM636" i="5"/>
  <c r="AL636" i="5"/>
  <c r="AN636" i="5" s="1"/>
  <c r="AJ636" i="5"/>
  <c r="BC637" i="5" s="1"/>
  <c r="BD637" i="5" s="1"/>
  <c r="AS637" i="5" s="1"/>
  <c r="AX637" i="5" s="1"/>
  <c r="AM635" i="5"/>
  <c r="AL635" i="5"/>
  <c r="AN635" i="5" s="1"/>
  <c r="AJ635" i="5"/>
  <c r="BC636" i="5" s="1"/>
  <c r="AM634" i="5"/>
  <c r="AL634" i="5"/>
  <c r="AN634" i="5" s="1"/>
  <c r="AJ634" i="5"/>
  <c r="BC635" i="5" s="1"/>
  <c r="BD635" i="5" s="1"/>
  <c r="AS635" i="5" s="1"/>
  <c r="AX635" i="5" s="1"/>
  <c r="AM633" i="5"/>
  <c r="AL633" i="5"/>
  <c r="AN633" i="5" s="1"/>
  <c r="AJ633" i="5"/>
  <c r="BC634" i="5" s="1"/>
  <c r="AM632" i="5"/>
  <c r="AL632" i="5"/>
  <c r="AJ632" i="5"/>
  <c r="BC633" i="5" s="1"/>
  <c r="BD633" i="5" s="1"/>
  <c r="AS633" i="5" s="1"/>
  <c r="AX633" i="5" s="1"/>
  <c r="AM631" i="5"/>
  <c r="AL631" i="5"/>
  <c r="AN631" i="5" s="1"/>
  <c r="AJ631" i="5"/>
  <c r="BC632" i="5" s="1"/>
  <c r="BD632" i="5" s="1"/>
  <c r="AS632" i="5" s="1"/>
  <c r="AX632" i="5" s="1"/>
  <c r="AM630" i="5"/>
  <c r="AL630" i="5"/>
  <c r="AN630" i="5" s="1"/>
  <c r="AJ630" i="5"/>
  <c r="AM628" i="5"/>
  <c r="AL628" i="5"/>
  <c r="AN628" i="5" s="1"/>
  <c r="AJ628" i="5"/>
  <c r="AM627" i="5"/>
  <c r="AL627" i="5"/>
  <c r="AN627" i="5" s="1"/>
  <c r="AJ627" i="5"/>
  <c r="BC628" i="5" s="1"/>
  <c r="BD628" i="5" s="1"/>
  <c r="AS628" i="5" s="1"/>
  <c r="AX628" i="5" s="1"/>
  <c r="AM626" i="5"/>
  <c r="AL626" i="5"/>
  <c r="AN626" i="5" s="1"/>
  <c r="AJ626" i="5"/>
  <c r="BC627" i="5" s="1"/>
  <c r="AM625" i="5"/>
  <c r="AL625" i="5"/>
  <c r="AN625" i="5" s="1"/>
  <c r="AJ625" i="5"/>
  <c r="BC626" i="5" s="1"/>
  <c r="AM624" i="5"/>
  <c r="AL624" i="5"/>
  <c r="AN624" i="5" s="1"/>
  <c r="AJ624" i="5"/>
  <c r="BC625" i="5" s="1"/>
  <c r="AM623" i="5"/>
  <c r="AL623" i="5"/>
  <c r="AN623" i="5" s="1"/>
  <c r="AJ623" i="5"/>
  <c r="BC624" i="5" s="1"/>
  <c r="BD624" i="5" s="1"/>
  <c r="AS624" i="5" s="1"/>
  <c r="AX624" i="5" s="1"/>
  <c r="AM622" i="5"/>
  <c r="AL622" i="5"/>
  <c r="AN622" i="5" s="1"/>
  <c r="AJ622" i="5"/>
  <c r="BC623" i="5" s="1"/>
  <c r="AM621" i="5"/>
  <c r="AL621" i="5"/>
  <c r="AN621" i="5" s="1"/>
  <c r="AJ621" i="5"/>
  <c r="BC622" i="5" s="1"/>
  <c r="AM620" i="5"/>
  <c r="AL620" i="5"/>
  <c r="AN620" i="5" s="1"/>
  <c r="AJ620" i="5"/>
  <c r="BC621" i="5" s="1"/>
  <c r="AM619" i="5"/>
  <c r="AL619" i="5"/>
  <c r="AN619" i="5" s="1"/>
  <c r="AJ619" i="5"/>
  <c r="BC620" i="5" s="1"/>
  <c r="BD620" i="5" s="1"/>
  <c r="AS620" i="5" s="1"/>
  <c r="AM618" i="5"/>
  <c r="AL618" i="5"/>
  <c r="AN618" i="5" s="1"/>
  <c r="AJ618" i="5"/>
  <c r="BC619" i="5" s="1"/>
  <c r="BD619" i="5" s="1"/>
  <c r="AS619" i="5" s="1"/>
  <c r="AM617" i="5"/>
  <c r="AL617" i="5"/>
  <c r="AN617" i="5" s="1"/>
  <c r="AJ617" i="5"/>
  <c r="BC618" i="5" s="1"/>
  <c r="BD618" i="5" s="1"/>
  <c r="AS618" i="5" s="1"/>
  <c r="AX618" i="5" s="1"/>
  <c r="AM616" i="5"/>
  <c r="AL616" i="5"/>
  <c r="AN616" i="5" s="1"/>
  <c r="AJ616" i="5"/>
  <c r="BC617" i="5" s="1"/>
  <c r="BD617" i="5" s="1"/>
  <c r="AS617" i="5" s="1"/>
  <c r="AX617" i="5" s="1"/>
  <c r="AM615" i="5"/>
  <c r="AL615" i="5"/>
  <c r="AN615" i="5" s="1"/>
  <c r="AJ615" i="5"/>
  <c r="BC616" i="5" s="1"/>
  <c r="AM614" i="5"/>
  <c r="AL614" i="5"/>
  <c r="AN614" i="5" s="1"/>
  <c r="AJ614" i="5"/>
  <c r="BC615" i="5" s="1"/>
  <c r="AM613" i="5"/>
  <c r="AL613" i="5"/>
  <c r="AN613" i="5" s="1"/>
  <c r="AJ613" i="5"/>
  <c r="AM611" i="5"/>
  <c r="AL611" i="5"/>
  <c r="AN611" i="5" s="1"/>
  <c r="AJ611" i="5"/>
  <c r="AM610" i="5"/>
  <c r="AL610" i="5"/>
  <c r="AN610" i="5" s="1"/>
  <c r="AJ610" i="5"/>
  <c r="BC611" i="5" s="1"/>
  <c r="AM609" i="5"/>
  <c r="AL609" i="5"/>
  <c r="AN609" i="5" s="1"/>
  <c r="AJ609" i="5"/>
  <c r="BC610" i="5" s="1"/>
  <c r="AM608" i="5"/>
  <c r="AL608" i="5"/>
  <c r="AN608" i="5" s="1"/>
  <c r="AJ608" i="5"/>
  <c r="BC609" i="5" s="1"/>
  <c r="BD609" i="5" s="1"/>
  <c r="AS609" i="5" s="1"/>
  <c r="AX609" i="5" s="1"/>
  <c r="AM607" i="5"/>
  <c r="AL607" i="5"/>
  <c r="AN607" i="5" s="1"/>
  <c r="AJ607" i="5"/>
  <c r="BC608" i="5" s="1"/>
  <c r="AM606" i="5"/>
  <c r="AL606" i="5"/>
  <c r="AN606" i="5" s="1"/>
  <c r="AJ606" i="5"/>
  <c r="BC607" i="5" s="1"/>
  <c r="AM605" i="5"/>
  <c r="AL605" i="5"/>
  <c r="AN605" i="5" s="1"/>
  <c r="AJ605" i="5"/>
  <c r="BC606" i="5" s="1"/>
  <c r="BD606" i="5" s="1"/>
  <c r="AS606" i="5" s="1"/>
  <c r="AX606" i="5" s="1"/>
  <c r="AM604" i="5"/>
  <c r="AL604" i="5"/>
  <c r="AN604" i="5" s="1"/>
  <c r="AJ604" i="5"/>
  <c r="BC605" i="5" s="1"/>
  <c r="AM603" i="5"/>
  <c r="AL603" i="5"/>
  <c r="AN603" i="5" s="1"/>
  <c r="AJ603" i="5"/>
  <c r="AM601" i="5"/>
  <c r="AL601" i="5"/>
  <c r="AN601" i="5" s="1"/>
  <c r="AJ601" i="5"/>
  <c r="AM600" i="5"/>
  <c r="AL600" i="5"/>
  <c r="AN600" i="5" s="1"/>
  <c r="AJ600" i="5"/>
  <c r="BC601" i="5" s="1"/>
  <c r="BD601" i="5" s="1"/>
  <c r="AS601" i="5" s="1"/>
  <c r="AX601" i="5" s="1"/>
  <c r="AM599" i="5"/>
  <c r="AL599" i="5"/>
  <c r="AN599" i="5" s="1"/>
  <c r="AJ599" i="5"/>
  <c r="BC600" i="5" s="1"/>
  <c r="BD600" i="5" s="1"/>
  <c r="AS600" i="5" s="1"/>
  <c r="AX600" i="5" s="1"/>
  <c r="AM598" i="5"/>
  <c r="AL598" i="5"/>
  <c r="AJ598" i="5"/>
  <c r="BC599" i="5" s="1"/>
  <c r="BD599" i="5" s="1"/>
  <c r="AS599" i="5" s="1"/>
  <c r="AX599" i="5" s="1"/>
  <c r="AM597" i="5"/>
  <c r="AL597" i="5"/>
  <c r="AJ597" i="5"/>
  <c r="BC598" i="5" s="1"/>
  <c r="BD598" i="5" s="1"/>
  <c r="AS598" i="5" s="1"/>
  <c r="AX598" i="5" s="1"/>
  <c r="AM596" i="5"/>
  <c r="AL596" i="5"/>
  <c r="AJ596" i="5"/>
  <c r="BC597" i="5" s="1"/>
  <c r="BD597" i="5" s="1"/>
  <c r="AS597" i="5" s="1"/>
  <c r="AX597" i="5" s="1"/>
  <c r="AM595" i="5"/>
  <c r="AL595" i="5"/>
  <c r="AJ595" i="5"/>
  <c r="BC596" i="5" s="1"/>
  <c r="BD596" i="5" s="1"/>
  <c r="AS596" i="5" s="1"/>
  <c r="AX596" i="5" s="1"/>
  <c r="AM594" i="5"/>
  <c r="AL594" i="5"/>
  <c r="AJ594" i="5"/>
  <c r="BC595" i="5" s="1"/>
  <c r="BD595" i="5" s="1"/>
  <c r="AS595" i="5" s="1"/>
  <c r="AX595" i="5" s="1"/>
  <c r="AM593" i="5"/>
  <c r="AL593" i="5"/>
  <c r="AJ593" i="5"/>
  <c r="BC594" i="5" s="1"/>
  <c r="BD594" i="5" s="1"/>
  <c r="AS594" i="5" s="1"/>
  <c r="AX594" i="5" s="1"/>
  <c r="AM592" i="5"/>
  <c r="AL592" i="5"/>
  <c r="AJ592" i="5"/>
  <c r="BC593" i="5" s="1"/>
  <c r="BD593" i="5" s="1"/>
  <c r="AS593" i="5" s="1"/>
  <c r="AX593" i="5" s="1"/>
  <c r="AM591" i="5"/>
  <c r="AL591" i="5"/>
  <c r="AJ591" i="5"/>
  <c r="BC592" i="5" s="1"/>
  <c r="BD592" i="5" s="1"/>
  <c r="AS592" i="5" s="1"/>
  <c r="AX592" i="5" s="1"/>
  <c r="AM590" i="5"/>
  <c r="AL590" i="5"/>
  <c r="AN590" i="5" s="1"/>
  <c r="AJ590" i="5"/>
  <c r="BC591" i="5" s="1"/>
  <c r="BD591" i="5" s="1"/>
  <c r="AS591" i="5" s="1"/>
  <c r="AX591" i="5" s="1"/>
  <c r="AM589" i="5"/>
  <c r="AL589" i="5"/>
  <c r="AN589" i="5" s="1"/>
  <c r="AJ589" i="5"/>
  <c r="BC590" i="5" s="1"/>
  <c r="AM588" i="5"/>
  <c r="AL588" i="5"/>
  <c r="AN588" i="5" s="1"/>
  <c r="AJ588" i="5"/>
  <c r="BC589" i="5" s="1"/>
  <c r="AM587" i="5"/>
  <c r="AL587" i="5"/>
  <c r="AN587" i="5" s="1"/>
  <c r="AJ587" i="5"/>
  <c r="BC588" i="5" s="1"/>
  <c r="AM586" i="5"/>
  <c r="AL586" i="5"/>
  <c r="AJ586" i="5"/>
  <c r="BC587" i="5" s="1"/>
  <c r="BD587" i="5" s="1"/>
  <c r="AS587" i="5" s="1"/>
  <c r="AX587" i="5" s="1"/>
  <c r="AM585" i="5"/>
  <c r="AL585" i="5"/>
  <c r="AN585" i="5" s="1"/>
  <c r="AJ585" i="5"/>
  <c r="BC586" i="5" s="1"/>
  <c r="BD586" i="5" s="1"/>
  <c r="AS586" i="5" s="1"/>
  <c r="AX586" i="5" s="1"/>
  <c r="AM584" i="5"/>
  <c r="AL584" i="5"/>
  <c r="AN584" i="5" s="1"/>
  <c r="AJ584" i="5"/>
  <c r="BC585" i="5" s="1"/>
  <c r="AM583" i="5"/>
  <c r="AL583" i="5"/>
  <c r="AN583" i="5" s="1"/>
  <c r="AJ583" i="5"/>
  <c r="BC584" i="5" s="1"/>
  <c r="BD584" i="5" s="1"/>
  <c r="AS584" i="5" s="1"/>
  <c r="AX584" i="5" s="1"/>
  <c r="AM582" i="5"/>
  <c r="AL582" i="5"/>
  <c r="AN582" i="5" s="1"/>
  <c r="AJ582" i="5"/>
  <c r="BC583" i="5" s="1"/>
  <c r="AM581" i="5"/>
  <c r="AL581" i="5"/>
  <c r="AN581" i="5" s="1"/>
  <c r="AJ581" i="5"/>
  <c r="BC582" i="5" s="1"/>
  <c r="BD582" i="5" s="1"/>
  <c r="AS582" i="5" s="1"/>
  <c r="AX582" i="5" s="1"/>
  <c r="AM580" i="5"/>
  <c r="AL580" i="5"/>
  <c r="AJ580" i="5"/>
  <c r="BC581" i="5" s="1"/>
  <c r="BD581" i="5" s="1"/>
  <c r="AS581" i="5" s="1"/>
  <c r="AX581" i="5" s="1"/>
  <c r="AM579" i="5"/>
  <c r="AL579" i="5"/>
  <c r="AJ579" i="5"/>
  <c r="BC580" i="5" s="1"/>
  <c r="BD580" i="5" s="1"/>
  <c r="AS580" i="5" s="1"/>
  <c r="AX580" i="5" s="1"/>
  <c r="AM578" i="5"/>
  <c r="AL578" i="5"/>
  <c r="AJ578" i="5"/>
  <c r="BC579" i="5" s="1"/>
  <c r="BD579" i="5" s="1"/>
  <c r="AS579" i="5" s="1"/>
  <c r="AM577" i="5"/>
  <c r="AL577" i="5"/>
  <c r="AJ577" i="5"/>
  <c r="BC578" i="5" s="1"/>
  <c r="BD578" i="5" s="1"/>
  <c r="AS578" i="5" s="1"/>
  <c r="AX578" i="5" s="1"/>
  <c r="AM576" i="5"/>
  <c r="AL576" i="5"/>
  <c r="AN576" i="5" s="1"/>
  <c r="AJ576" i="5"/>
  <c r="BC577" i="5" s="1"/>
  <c r="BD577" i="5" s="1"/>
  <c r="AS577" i="5" s="1"/>
  <c r="AX577" i="5" s="1"/>
  <c r="AM575" i="5"/>
  <c r="AL575" i="5"/>
  <c r="AN575" i="5" s="1"/>
  <c r="AJ575" i="5"/>
  <c r="BC576" i="5" s="1"/>
  <c r="BD576" i="5" s="1"/>
  <c r="AS576" i="5" s="1"/>
  <c r="AX576" i="5" s="1"/>
  <c r="AM574" i="5"/>
  <c r="AL574" i="5"/>
  <c r="AN574" i="5" s="1"/>
  <c r="AJ574" i="5"/>
  <c r="BC575" i="5" s="1"/>
  <c r="AM573" i="5"/>
  <c r="AL573" i="5"/>
  <c r="AN573" i="5" s="1"/>
  <c r="AJ573" i="5"/>
  <c r="BC574" i="5" s="1"/>
  <c r="AM572" i="5"/>
  <c r="AL572" i="5"/>
  <c r="AN572" i="5" s="1"/>
  <c r="AJ572" i="5"/>
  <c r="BC573" i="5" s="1"/>
  <c r="AM571" i="5"/>
  <c r="AL571" i="5"/>
  <c r="AN571" i="5" s="1"/>
  <c r="AJ571" i="5"/>
  <c r="BC572" i="5" s="1"/>
  <c r="AM570" i="5"/>
  <c r="AL570" i="5"/>
  <c r="AN570" i="5" s="1"/>
  <c r="AJ570" i="5"/>
  <c r="BC571" i="5" s="1"/>
  <c r="BD571" i="5" s="1"/>
  <c r="AS571" i="5" s="1"/>
  <c r="AX571" i="5" s="1"/>
  <c r="AM569" i="5"/>
  <c r="AL569" i="5"/>
  <c r="AN569" i="5" s="1"/>
  <c r="AJ569" i="5"/>
  <c r="BC570" i="5" s="1"/>
  <c r="BD570" i="5" s="1"/>
  <c r="AS570" i="5" s="1"/>
  <c r="AX570" i="5" s="1"/>
  <c r="AM568" i="5"/>
  <c r="AL568" i="5"/>
  <c r="AN568" i="5" s="1"/>
  <c r="AJ568" i="5"/>
  <c r="BC569" i="5" s="1"/>
  <c r="AM567" i="5"/>
  <c r="AL567" i="5"/>
  <c r="AJ567" i="5"/>
  <c r="BC568" i="5" s="1"/>
  <c r="BD568" i="5" s="1"/>
  <c r="AS568" i="5" s="1"/>
  <c r="AX568" i="5" s="1"/>
  <c r="AM566" i="5"/>
  <c r="AL566" i="5"/>
  <c r="AJ566" i="5"/>
  <c r="BC567" i="5" s="1"/>
  <c r="BD567" i="5" s="1"/>
  <c r="AS567" i="5" s="1"/>
  <c r="AM565" i="5"/>
  <c r="AL565" i="5"/>
  <c r="AJ565" i="5"/>
  <c r="BC566" i="5" s="1"/>
  <c r="BD566" i="5" s="1"/>
  <c r="AS566" i="5" s="1"/>
  <c r="AX566" i="5" s="1"/>
  <c r="AM564" i="5"/>
  <c r="AL564" i="5"/>
  <c r="AN564" i="5" s="1"/>
  <c r="AJ564" i="5"/>
  <c r="BC565" i="5" s="1"/>
  <c r="AM563" i="5"/>
  <c r="AL563" i="5"/>
  <c r="AN563" i="5" s="1"/>
  <c r="AJ563" i="5"/>
  <c r="BC564" i="5" s="1"/>
  <c r="BD564" i="5" s="1"/>
  <c r="AS564" i="5" s="1"/>
  <c r="AX564" i="5" s="1"/>
  <c r="AM562" i="5"/>
  <c r="AL562" i="5"/>
  <c r="AN562" i="5" s="1"/>
  <c r="AJ562" i="5"/>
  <c r="BC563" i="5" s="1"/>
  <c r="BD563" i="5" s="1"/>
  <c r="AS563" i="5" s="1"/>
  <c r="AX563" i="5" s="1"/>
  <c r="AM561" i="5"/>
  <c r="AL561" i="5"/>
  <c r="AN561" i="5" s="1"/>
  <c r="AJ561" i="5"/>
  <c r="BC562" i="5" s="1"/>
  <c r="AM560" i="5"/>
  <c r="AL560" i="5"/>
  <c r="AN560" i="5" s="1"/>
  <c r="AJ560" i="5"/>
  <c r="BC561" i="5" s="1"/>
  <c r="AM559" i="5"/>
  <c r="AL559" i="5"/>
  <c r="AN559" i="5" s="1"/>
  <c r="AJ559" i="5"/>
  <c r="BC560" i="5" s="1"/>
  <c r="AM558" i="5"/>
  <c r="AL558" i="5"/>
  <c r="AN558" i="5" s="1"/>
  <c r="AJ558" i="5"/>
  <c r="BC559" i="5" s="1"/>
  <c r="BD559" i="5" s="1"/>
  <c r="AS559" i="5" s="1"/>
  <c r="AX559" i="5" s="1"/>
  <c r="AM557" i="5"/>
  <c r="AL557" i="5"/>
  <c r="AN557" i="5" s="1"/>
  <c r="AJ557" i="5"/>
  <c r="BC558" i="5" s="1"/>
  <c r="BD558" i="5" s="1"/>
  <c r="AS558" i="5" s="1"/>
  <c r="AM556" i="5"/>
  <c r="AL556" i="5"/>
  <c r="AN556" i="5" s="1"/>
  <c r="AJ556" i="5"/>
  <c r="BC557" i="5" s="1"/>
  <c r="BD557" i="5" s="1"/>
  <c r="AS557" i="5" s="1"/>
  <c r="AX557" i="5" s="1"/>
  <c r="AM555" i="5"/>
  <c r="AL555" i="5"/>
  <c r="AN555" i="5" s="1"/>
  <c r="AJ555" i="5"/>
  <c r="BC556" i="5" s="1"/>
  <c r="BD556" i="5" s="1"/>
  <c r="AS556" i="5" s="1"/>
  <c r="AX556" i="5" s="1"/>
  <c r="AM554" i="5"/>
  <c r="AL554" i="5"/>
  <c r="AJ554" i="5"/>
  <c r="BC555" i="5" s="1"/>
  <c r="BD555" i="5" s="1"/>
  <c r="AS555" i="5" s="1"/>
  <c r="AX555" i="5" s="1"/>
  <c r="AM553" i="5"/>
  <c r="AL553" i="5"/>
  <c r="AN553" i="5" s="1"/>
  <c r="AJ553" i="5"/>
  <c r="BC554" i="5" s="1"/>
  <c r="BD554" i="5" s="1"/>
  <c r="AS554" i="5" s="1"/>
  <c r="AX554" i="5" s="1"/>
  <c r="AM552" i="5"/>
  <c r="AL552" i="5"/>
  <c r="AJ552" i="5"/>
  <c r="BC553" i="5" s="1"/>
  <c r="BD553" i="5" s="1"/>
  <c r="AS553" i="5" s="1"/>
  <c r="AX553" i="5" s="1"/>
  <c r="AM551" i="5"/>
  <c r="AL551" i="5"/>
  <c r="AN551" i="5" s="1"/>
  <c r="AJ551" i="5"/>
  <c r="AM549" i="5"/>
  <c r="AL549" i="5"/>
  <c r="AJ549" i="5"/>
  <c r="AM548" i="5"/>
  <c r="AL548" i="5"/>
  <c r="AJ548" i="5"/>
  <c r="BC549" i="5" s="1"/>
  <c r="AM547" i="5"/>
  <c r="AL547" i="5"/>
  <c r="AJ547" i="5"/>
  <c r="BC548" i="5" s="1"/>
  <c r="AM546" i="5"/>
  <c r="AL546" i="5"/>
  <c r="AJ546" i="5"/>
  <c r="BC547" i="5" s="1"/>
  <c r="AM545" i="5"/>
  <c r="AL545" i="5"/>
  <c r="AJ545" i="5"/>
  <c r="BC546" i="5" s="1"/>
  <c r="AM544" i="5"/>
  <c r="AL544" i="5"/>
  <c r="AJ544" i="5"/>
  <c r="BC545" i="5" s="1"/>
  <c r="AM543" i="5"/>
  <c r="AL543" i="5"/>
  <c r="AJ543" i="5"/>
  <c r="BC544" i="5" s="1"/>
  <c r="AM542" i="5"/>
  <c r="AL542" i="5"/>
  <c r="AJ542" i="5"/>
  <c r="BC543" i="5" s="1"/>
  <c r="BD543" i="5" s="1"/>
  <c r="AS543" i="5" s="1"/>
  <c r="AX543" i="5" s="1"/>
  <c r="AM541" i="5"/>
  <c r="AL541" i="5"/>
  <c r="AJ541" i="5"/>
  <c r="BC542" i="5" s="1"/>
  <c r="AM540" i="5"/>
  <c r="AL540" i="5"/>
  <c r="AJ540" i="5"/>
  <c r="BC541" i="5" s="1"/>
  <c r="AM539" i="5"/>
  <c r="AL539" i="5"/>
  <c r="AJ539" i="5"/>
  <c r="BC540" i="5" s="1"/>
  <c r="AM538" i="5"/>
  <c r="AL538" i="5"/>
  <c r="AJ538" i="5"/>
  <c r="BC539" i="5" s="1"/>
  <c r="BD539" i="5" s="1"/>
  <c r="AS539" i="5" s="1"/>
  <c r="AX539" i="5" s="1"/>
  <c r="AM537" i="5"/>
  <c r="AL537" i="5"/>
  <c r="AJ537" i="5"/>
  <c r="BC538" i="5" s="1"/>
  <c r="AM536" i="5"/>
  <c r="AL536" i="5"/>
  <c r="AJ536" i="5"/>
  <c r="BC537" i="5" s="1"/>
  <c r="BD537" i="5" s="1"/>
  <c r="AS537" i="5" s="1"/>
  <c r="AX537" i="5" s="1"/>
  <c r="AM535" i="5"/>
  <c r="AL535" i="5"/>
  <c r="AJ535" i="5"/>
  <c r="BC536" i="5" s="1"/>
  <c r="AM534" i="5"/>
  <c r="AL534" i="5"/>
  <c r="AJ534" i="5"/>
  <c r="BC535" i="5" s="1"/>
  <c r="AM533" i="5"/>
  <c r="AL533" i="5"/>
  <c r="AJ533" i="5"/>
  <c r="BC534" i="5" s="1"/>
  <c r="AM532" i="5"/>
  <c r="AL532" i="5"/>
  <c r="AJ532" i="5"/>
  <c r="BC533" i="5" s="1"/>
  <c r="AM531" i="5"/>
  <c r="AL531" i="5"/>
  <c r="AJ531" i="5"/>
  <c r="BC532" i="5" s="1"/>
  <c r="AM530" i="5"/>
  <c r="AL530" i="5"/>
  <c r="AJ530" i="5"/>
  <c r="BC531" i="5" s="1"/>
  <c r="BD531" i="5" s="1"/>
  <c r="AS531" i="5" s="1"/>
  <c r="AX531" i="5" s="1"/>
  <c r="AM529" i="5"/>
  <c r="AL529" i="5"/>
  <c r="AJ529" i="5"/>
  <c r="BC530" i="5" s="1"/>
  <c r="AM528" i="5"/>
  <c r="AL528" i="5"/>
  <c r="AJ528" i="5"/>
  <c r="BC529" i="5" s="1"/>
  <c r="BD529" i="5" s="1"/>
  <c r="AS529" i="5" s="1"/>
  <c r="AX529" i="5" s="1"/>
  <c r="AM527" i="5"/>
  <c r="AL527" i="5"/>
  <c r="AJ527" i="5"/>
  <c r="BC528" i="5" s="1"/>
  <c r="AM526" i="5"/>
  <c r="AL526" i="5"/>
  <c r="AJ526" i="5"/>
  <c r="BC527" i="5" s="1"/>
  <c r="AM525" i="5"/>
  <c r="AL525" i="5"/>
  <c r="AJ525" i="5"/>
  <c r="BC526" i="5" s="1"/>
  <c r="BD526" i="5" s="1"/>
  <c r="AS526" i="5" s="1"/>
  <c r="AX526" i="5" s="1"/>
  <c r="AM524" i="5"/>
  <c r="AL524" i="5"/>
  <c r="AJ524" i="5"/>
  <c r="BC525" i="5" s="1"/>
  <c r="AM523" i="5"/>
  <c r="AL523" i="5"/>
  <c r="AJ523" i="5"/>
  <c r="BC524" i="5" s="1"/>
  <c r="AM522" i="5"/>
  <c r="AL522" i="5"/>
  <c r="AJ522" i="5"/>
  <c r="BC523" i="5" s="1"/>
  <c r="BD523" i="5" s="1"/>
  <c r="AS523" i="5" s="1"/>
  <c r="AX523" i="5" s="1"/>
  <c r="AM521" i="5"/>
  <c r="AL521" i="5"/>
  <c r="AJ521" i="5"/>
  <c r="BC522" i="5" s="1"/>
  <c r="AM520" i="5"/>
  <c r="AL520" i="5"/>
  <c r="AJ520" i="5"/>
  <c r="BC521" i="5" s="1"/>
  <c r="BD521" i="5" s="1"/>
  <c r="AS521" i="5" s="1"/>
  <c r="AX521" i="5" s="1"/>
  <c r="AM519" i="5"/>
  <c r="AL519" i="5"/>
  <c r="AJ519" i="5"/>
  <c r="BC520" i="5" s="1"/>
  <c r="BD520" i="5" s="1"/>
  <c r="AS520" i="5" s="1"/>
  <c r="AX520" i="5" s="1"/>
  <c r="AM518" i="5"/>
  <c r="AL518" i="5"/>
  <c r="AJ518" i="5"/>
  <c r="BC519" i="5" s="1"/>
  <c r="BD519" i="5" s="1"/>
  <c r="AS519" i="5" s="1"/>
  <c r="AX519" i="5" s="1"/>
  <c r="AM517" i="5"/>
  <c r="AL517" i="5"/>
  <c r="AJ517" i="5"/>
  <c r="BC518" i="5" s="1"/>
  <c r="BD518" i="5" s="1"/>
  <c r="AS518" i="5" s="1"/>
  <c r="AX518" i="5" s="1"/>
  <c r="AM516" i="5"/>
  <c r="AL516" i="5"/>
  <c r="AJ516" i="5"/>
  <c r="BC517" i="5" s="1"/>
  <c r="BD517" i="5" s="1"/>
  <c r="AS517" i="5" s="1"/>
  <c r="AX517" i="5" s="1"/>
  <c r="AM515" i="5"/>
  <c r="AL515" i="5"/>
  <c r="AJ515" i="5"/>
  <c r="BC516" i="5" s="1"/>
  <c r="BD516" i="5" s="1"/>
  <c r="AS516" i="5" s="1"/>
  <c r="AM514" i="5"/>
  <c r="AL514" i="5"/>
  <c r="AJ514" i="5"/>
  <c r="BC515" i="5" s="1"/>
  <c r="BD515" i="5" s="1"/>
  <c r="AS515" i="5" s="1"/>
  <c r="AX515" i="5" s="1"/>
  <c r="AM513" i="5"/>
  <c r="AL513" i="5"/>
  <c r="AJ513" i="5"/>
  <c r="BC514" i="5" s="1"/>
  <c r="AM512" i="5"/>
  <c r="AL512" i="5"/>
  <c r="AJ512" i="5"/>
  <c r="BC513" i="5" s="1"/>
  <c r="AM511" i="5"/>
  <c r="AL511" i="5"/>
  <c r="AJ511" i="5"/>
  <c r="BC512" i="5" s="1"/>
  <c r="BD512" i="5" s="1"/>
  <c r="AS512" i="5" s="1"/>
  <c r="AX512" i="5" s="1"/>
  <c r="AM510" i="5"/>
  <c r="AL510" i="5"/>
  <c r="AJ510" i="5"/>
  <c r="BC511" i="5" s="1"/>
  <c r="AM509" i="5"/>
  <c r="AL509" i="5"/>
  <c r="AJ509" i="5"/>
  <c r="BC510" i="5" s="1"/>
  <c r="BD510" i="5" s="1"/>
  <c r="AS510" i="5" s="1"/>
  <c r="AX510" i="5" s="1"/>
  <c r="AM508" i="5"/>
  <c r="AL508" i="5"/>
  <c r="AJ508" i="5"/>
  <c r="BC509" i="5" s="1"/>
  <c r="AM507" i="5"/>
  <c r="AL507" i="5"/>
  <c r="AJ507" i="5"/>
  <c r="BC508" i="5" s="1"/>
  <c r="BD508" i="5" s="1"/>
  <c r="AS508" i="5" s="1"/>
  <c r="AX508" i="5" s="1"/>
  <c r="AM506" i="5"/>
  <c r="AL506" i="5"/>
  <c r="AJ506" i="5"/>
  <c r="BC507" i="5" s="1"/>
  <c r="BD507" i="5" s="1"/>
  <c r="AS507" i="5" s="1"/>
  <c r="AM505" i="5"/>
  <c r="AL505" i="5"/>
  <c r="AJ505" i="5"/>
  <c r="BC506" i="5" s="1"/>
  <c r="BD506" i="5" s="1"/>
  <c r="AS506" i="5" s="1"/>
  <c r="AX506" i="5" s="1"/>
  <c r="AM504" i="5"/>
  <c r="AL504" i="5"/>
  <c r="AJ504" i="5"/>
  <c r="BC505" i="5" s="1"/>
  <c r="AM503" i="5"/>
  <c r="AL503" i="5"/>
  <c r="AJ503" i="5"/>
  <c r="BC504" i="5" s="1"/>
  <c r="BD504" i="5" s="1"/>
  <c r="AS504" i="5" s="1"/>
  <c r="AX504" i="5" s="1"/>
  <c r="AM502" i="5"/>
  <c r="AL502" i="5"/>
  <c r="AJ502" i="5"/>
  <c r="BC503" i="5" s="1"/>
  <c r="BD503" i="5" s="1"/>
  <c r="AS503" i="5" s="1"/>
  <c r="AM501" i="5"/>
  <c r="AL501" i="5"/>
  <c r="AJ501" i="5"/>
  <c r="BC502" i="5" s="1"/>
  <c r="BD502" i="5" s="1"/>
  <c r="AS502" i="5" s="1"/>
  <c r="AX502" i="5" s="1"/>
  <c r="AM500" i="5"/>
  <c r="AL500" i="5"/>
  <c r="AJ500" i="5"/>
  <c r="BC501" i="5" s="1"/>
  <c r="AM499" i="5"/>
  <c r="AL499" i="5"/>
  <c r="AJ499" i="5"/>
  <c r="BC500" i="5" s="1"/>
  <c r="AM498" i="5"/>
  <c r="AL498" i="5"/>
  <c r="AJ498" i="5"/>
  <c r="BC499" i="5" s="1"/>
  <c r="BD499" i="5" s="1"/>
  <c r="AS499" i="5" s="1"/>
  <c r="AX499" i="5" s="1"/>
  <c r="AM497" i="5"/>
  <c r="AL497" i="5"/>
  <c r="AJ497" i="5"/>
  <c r="BC498" i="5" s="1"/>
  <c r="AM496" i="5"/>
  <c r="AL496" i="5"/>
  <c r="AJ496" i="5"/>
  <c r="BC497" i="5" s="1"/>
  <c r="AM495" i="5"/>
  <c r="AL495" i="5"/>
  <c r="AJ495" i="5"/>
  <c r="BC496" i="5" s="1"/>
  <c r="BD496" i="5" s="1"/>
  <c r="AS496" i="5" s="1"/>
  <c r="AX496" i="5" s="1"/>
  <c r="AM494" i="5"/>
  <c r="AL494" i="5"/>
  <c r="AJ494" i="5"/>
  <c r="BC495" i="5" s="1"/>
  <c r="BD495" i="5" s="1"/>
  <c r="AS495" i="5" s="1"/>
  <c r="AX495" i="5" s="1"/>
  <c r="AM493" i="5"/>
  <c r="AL493" i="5"/>
  <c r="AJ493" i="5"/>
  <c r="AM491" i="5"/>
  <c r="AL491" i="5"/>
  <c r="AN491" i="5" s="1"/>
  <c r="AJ491" i="5"/>
  <c r="AM490" i="5"/>
  <c r="AL490" i="5"/>
  <c r="AN490" i="5" s="1"/>
  <c r="AJ490" i="5"/>
  <c r="BC491" i="5" s="1"/>
  <c r="BD491" i="5" s="1"/>
  <c r="AS491" i="5" s="1"/>
  <c r="AX491" i="5" s="1"/>
  <c r="AM489" i="5"/>
  <c r="AL489" i="5"/>
  <c r="AN489" i="5" s="1"/>
  <c r="AJ489" i="5"/>
  <c r="BC490" i="5" s="1"/>
  <c r="BD490" i="5" s="1"/>
  <c r="AS490" i="5" s="1"/>
  <c r="AX490" i="5" s="1"/>
  <c r="AM488" i="5"/>
  <c r="AL488" i="5"/>
  <c r="AN488" i="5" s="1"/>
  <c r="AJ488" i="5"/>
  <c r="BC489" i="5" s="1"/>
  <c r="BD489" i="5" s="1"/>
  <c r="AS489" i="5" s="1"/>
  <c r="AX489" i="5" s="1"/>
  <c r="AM487" i="5"/>
  <c r="AL487" i="5"/>
  <c r="AN487" i="5" s="1"/>
  <c r="AJ487" i="5"/>
  <c r="BC488" i="5" s="1"/>
  <c r="BD488" i="5" s="1"/>
  <c r="AS488" i="5" s="1"/>
  <c r="AX488" i="5" s="1"/>
  <c r="AM486" i="5"/>
  <c r="AL486" i="5"/>
  <c r="AN486" i="5" s="1"/>
  <c r="AJ486" i="5"/>
  <c r="BC487" i="5" s="1"/>
  <c r="BD487" i="5" s="1"/>
  <c r="AS487" i="5" s="1"/>
  <c r="AX487" i="5" s="1"/>
  <c r="AM485" i="5"/>
  <c r="AL485" i="5"/>
  <c r="AN485" i="5" s="1"/>
  <c r="AJ485" i="5"/>
  <c r="BC486" i="5" s="1"/>
  <c r="BD486" i="5" s="1"/>
  <c r="AS486" i="5" s="1"/>
  <c r="AX486" i="5" s="1"/>
  <c r="AM484" i="5"/>
  <c r="AL484" i="5"/>
  <c r="AN484" i="5" s="1"/>
  <c r="AJ484" i="5"/>
  <c r="BC485" i="5" s="1"/>
  <c r="BD485" i="5" s="1"/>
  <c r="AS485" i="5" s="1"/>
  <c r="AX485" i="5" s="1"/>
  <c r="AM483" i="5"/>
  <c r="AL483" i="5"/>
  <c r="AJ483" i="5"/>
  <c r="BC484" i="5" s="1"/>
  <c r="BD484" i="5" s="1"/>
  <c r="AS484" i="5" s="1"/>
  <c r="AX484" i="5" s="1"/>
  <c r="AM482" i="5"/>
  <c r="AL482" i="5"/>
  <c r="AN482" i="5" s="1"/>
  <c r="AJ482" i="5"/>
  <c r="BC483" i="5" s="1"/>
  <c r="BD483" i="5" s="1"/>
  <c r="AS483" i="5" s="1"/>
  <c r="AX483" i="5" s="1"/>
  <c r="AM481" i="5"/>
  <c r="AL481" i="5"/>
  <c r="AN481" i="5" s="1"/>
  <c r="AJ481" i="5"/>
  <c r="BC482" i="5" s="1"/>
  <c r="BD482" i="5" s="1"/>
  <c r="AS482" i="5" s="1"/>
  <c r="AX482" i="5" s="1"/>
  <c r="AM480" i="5"/>
  <c r="AL480" i="5"/>
  <c r="AN480" i="5" s="1"/>
  <c r="AJ480" i="5"/>
  <c r="BC481" i="5" s="1"/>
  <c r="BD481" i="5" s="1"/>
  <c r="AS481" i="5" s="1"/>
  <c r="AX481" i="5" s="1"/>
  <c r="AM479" i="5"/>
  <c r="AL479" i="5"/>
  <c r="AN479" i="5" s="1"/>
  <c r="AJ479" i="5"/>
  <c r="BC480" i="5" s="1"/>
  <c r="BD480" i="5" s="1"/>
  <c r="AS480" i="5" s="1"/>
  <c r="AX480" i="5" s="1"/>
  <c r="AM478" i="5"/>
  <c r="AL478" i="5"/>
  <c r="AN478" i="5" s="1"/>
  <c r="AJ478" i="5"/>
  <c r="BC479" i="5" s="1"/>
  <c r="BD479" i="5" s="1"/>
  <c r="AS479" i="5" s="1"/>
  <c r="AX479" i="5" s="1"/>
  <c r="AM477" i="5"/>
  <c r="AL477" i="5"/>
  <c r="AN477" i="5" s="1"/>
  <c r="AJ477" i="5"/>
  <c r="BC478" i="5" s="1"/>
  <c r="BD478" i="5" s="1"/>
  <c r="AS478" i="5" s="1"/>
  <c r="AX478" i="5" s="1"/>
  <c r="AM476" i="5"/>
  <c r="AL476" i="5"/>
  <c r="AN476" i="5" s="1"/>
  <c r="AJ476" i="5"/>
  <c r="BC477" i="5" s="1"/>
  <c r="BD477" i="5" s="1"/>
  <c r="AS477" i="5" s="1"/>
  <c r="AX477" i="5" s="1"/>
  <c r="AM475" i="5"/>
  <c r="AL475" i="5"/>
  <c r="AN475" i="5" s="1"/>
  <c r="AJ475" i="5"/>
  <c r="BC476" i="5" s="1"/>
  <c r="BD476" i="5" s="1"/>
  <c r="AS476" i="5" s="1"/>
  <c r="AX476" i="5" s="1"/>
  <c r="AM474" i="5"/>
  <c r="AL474" i="5"/>
  <c r="AN474" i="5" s="1"/>
  <c r="AJ474" i="5"/>
  <c r="BC475" i="5" s="1"/>
  <c r="BD475" i="5" s="1"/>
  <c r="AS475" i="5" s="1"/>
  <c r="AX475" i="5" s="1"/>
  <c r="AM473" i="5"/>
  <c r="AL473" i="5"/>
  <c r="AN473" i="5" s="1"/>
  <c r="AJ473" i="5"/>
  <c r="BC474" i="5" s="1"/>
  <c r="BD474" i="5" s="1"/>
  <c r="AS474" i="5" s="1"/>
  <c r="AX474" i="5" s="1"/>
  <c r="AM472" i="5"/>
  <c r="AL472" i="5"/>
  <c r="AN472" i="5" s="1"/>
  <c r="AJ472" i="5"/>
  <c r="BC473" i="5" s="1"/>
  <c r="BD473" i="5" s="1"/>
  <c r="AS473" i="5" s="1"/>
  <c r="AX473" i="5" s="1"/>
  <c r="AM471" i="5"/>
  <c r="AL471" i="5"/>
  <c r="AN471" i="5" s="1"/>
  <c r="AJ471" i="5"/>
  <c r="BC472" i="5" s="1"/>
  <c r="BD472" i="5" s="1"/>
  <c r="AS472" i="5" s="1"/>
  <c r="AX472" i="5" s="1"/>
  <c r="AM470" i="5"/>
  <c r="AL470" i="5"/>
  <c r="AN470" i="5" s="1"/>
  <c r="AJ470" i="5"/>
  <c r="BC471" i="5" s="1"/>
  <c r="BD471" i="5" s="1"/>
  <c r="AS471" i="5" s="1"/>
  <c r="AX471" i="5" s="1"/>
  <c r="AM469" i="5"/>
  <c r="AL469" i="5"/>
  <c r="AN469" i="5" s="1"/>
  <c r="AJ469" i="5"/>
  <c r="BC470" i="5" s="1"/>
  <c r="BD470" i="5" s="1"/>
  <c r="AS470" i="5" s="1"/>
  <c r="AX470" i="5" s="1"/>
  <c r="AM468" i="5"/>
  <c r="AL468" i="5"/>
  <c r="AN468" i="5" s="1"/>
  <c r="AJ468" i="5"/>
  <c r="BC469" i="5" s="1"/>
  <c r="BD469" i="5" s="1"/>
  <c r="AS469" i="5" s="1"/>
  <c r="AX469" i="5" s="1"/>
  <c r="AM467" i="5"/>
  <c r="AL467" i="5"/>
  <c r="AN467" i="5" s="1"/>
  <c r="AJ467" i="5"/>
  <c r="BC468" i="5" s="1"/>
  <c r="BD468" i="5" s="1"/>
  <c r="AS468" i="5" s="1"/>
  <c r="AX468" i="5" s="1"/>
  <c r="AM466" i="5"/>
  <c r="AL466" i="5"/>
  <c r="AN466" i="5" s="1"/>
  <c r="AJ466" i="5"/>
  <c r="BC467" i="5" s="1"/>
  <c r="BD467" i="5" s="1"/>
  <c r="AS467" i="5" s="1"/>
  <c r="AX467" i="5" s="1"/>
  <c r="AM465" i="5"/>
  <c r="AL465" i="5"/>
  <c r="AN465" i="5" s="1"/>
  <c r="AJ465" i="5"/>
  <c r="BC466" i="5" s="1"/>
  <c r="BD466" i="5" s="1"/>
  <c r="AS466" i="5" s="1"/>
  <c r="AX466" i="5" s="1"/>
  <c r="AM464" i="5"/>
  <c r="AL464" i="5"/>
  <c r="AN464" i="5" s="1"/>
  <c r="AJ464" i="5"/>
  <c r="BC465" i="5" s="1"/>
  <c r="BD465" i="5" s="1"/>
  <c r="AS465" i="5" s="1"/>
  <c r="AX465" i="5" s="1"/>
  <c r="AM463" i="5"/>
  <c r="AL463" i="5"/>
  <c r="AN463" i="5" s="1"/>
  <c r="AJ463" i="5"/>
  <c r="BC464" i="5" s="1"/>
  <c r="BD464" i="5" s="1"/>
  <c r="AS464" i="5" s="1"/>
  <c r="AX464" i="5" s="1"/>
  <c r="AM462" i="5"/>
  <c r="AL462" i="5"/>
  <c r="AN462" i="5" s="1"/>
  <c r="AJ462" i="5"/>
  <c r="BC463" i="5" s="1"/>
  <c r="BD463" i="5" s="1"/>
  <c r="AS463" i="5" s="1"/>
  <c r="AX463" i="5" s="1"/>
  <c r="AM461" i="5"/>
  <c r="AL461" i="5"/>
  <c r="AN461" i="5" s="1"/>
  <c r="AJ461" i="5"/>
  <c r="BC462" i="5" s="1"/>
  <c r="BD462" i="5" s="1"/>
  <c r="AS462" i="5" s="1"/>
  <c r="AX462" i="5" s="1"/>
  <c r="AM460" i="5"/>
  <c r="AL460" i="5"/>
  <c r="AN460" i="5" s="1"/>
  <c r="AJ460" i="5"/>
  <c r="BC461" i="5" s="1"/>
  <c r="BD461" i="5" s="1"/>
  <c r="AS461" i="5" s="1"/>
  <c r="AX461" i="5" s="1"/>
  <c r="AM459" i="5"/>
  <c r="AL459" i="5"/>
  <c r="AN459" i="5" s="1"/>
  <c r="AJ459" i="5"/>
  <c r="BC460" i="5" s="1"/>
  <c r="BD460" i="5" s="1"/>
  <c r="AS460" i="5" s="1"/>
  <c r="AX460" i="5" s="1"/>
  <c r="AM458" i="5"/>
  <c r="AL458" i="5"/>
  <c r="AN458" i="5" s="1"/>
  <c r="AJ458" i="5"/>
  <c r="BC459" i="5" s="1"/>
  <c r="BD459" i="5" s="1"/>
  <c r="AS459" i="5" s="1"/>
  <c r="AX459" i="5" s="1"/>
  <c r="AM457" i="5"/>
  <c r="AL457" i="5"/>
  <c r="AN457" i="5" s="1"/>
  <c r="AJ457" i="5"/>
  <c r="BC458" i="5" s="1"/>
  <c r="BD458" i="5" s="1"/>
  <c r="AS458" i="5" s="1"/>
  <c r="AX458" i="5" s="1"/>
  <c r="AM456" i="5"/>
  <c r="AL456" i="5"/>
  <c r="AN456" i="5" s="1"/>
  <c r="AJ456" i="5"/>
  <c r="BC457" i="5" s="1"/>
  <c r="BD457" i="5" s="1"/>
  <c r="AS457" i="5" s="1"/>
  <c r="AX457" i="5" s="1"/>
  <c r="AM455" i="5"/>
  <c r="AL455" i="5"/>
  <c r="AN455" i="5" s="1"/>
  <c r="AJ455" i="5"/>
  <c r="BC456" i="5" s="1"/>
  <c r="BD456" i="5" s="1"/>
  <c r="AS456" i="5" s="1"/>
  <c r="AX456" i="5" s="1"/>
  <c r="AM454" i="5"/>
  <c r="AL454" i="5"/>
  <c r="AJ454" i="5"/>
  <c r="BC455" i="5" s="1"/>
  <c r="BD455" i="5" s="1"/>
  <c r="AS455" i="5" s="1"/>
  <c r="AX455" i="5" s="1"/>
  <c r="AM453" i="5"/>
  <c r="AL453" i="5"/>
  <c r="AJ453" i="5"/>
  <c r="BC454" i="5" s="1"/>
  <c r="BD454" i="5" s="1"/>
  <c r="AS454" i="5" s="1"/>
  <c r="AX454" i="5" s="1"/>
  <c r="AM452" i="5"/>
  <c r="AL452" i="5"/>
  <c r="AJ452" i="5"/>
  <c r="BC453" i="5" s="1"/>
  <c r="BD453" i="5" s="1"/>
  <c r="AS453" i="5" s="1"/>
  <c r="AX453" i="5" s="1"/>
  <c r="AM451" i="5"/>
  <c r="AL451" i="5"/>
  <c r="AJ451" i="5"/>
  <c r="BC452" i="5" s="1"/>
  <c r="BD452" i="5" s="1"/>
  <c r="AS452" i="5" s="1"/>
  <c r="AX452" i="5" s="1"/>
  <c r="AM450" i="5"/>
  <c r="AL450" i="5"/>
  <c r="AN450" i="5" s="1"/>
  <c r="AJ450" i="5"/>
  <c r="BC451" i="5" s="1"/>
  <c r="BD451" i="5" s="1"/>
  <c r="AS451" i="5" s="1"/>
  <c r="AX451" i="5" s="1"/>
  <c r="AM449" i="5"/>
  <c r="AL449" i="5"/>
  <c r="AN449" i="5" s="1"/>
  <c r="AJ449" i="5"/>
  <c r="BC450" i="5" s="1"/>
  <c r="BD450" i="5" s="1"/>
  <c r="AS450" i="5" s="1"/>
  <c r="AX450" i="5" s="1"/>
  <c r="AM448" i="5"/>
  <c r="AL448" i="5"/>
  <c r="AN448" i="5" s="1"/>
  <c r="AJ448" i="5"/>
  <c r="BC449" i="5" s="1"/>
  <c r="BD449" i="5" s="1"/>
  <c r="AS449" i="5" s="1"/>
  <c r="AX449" i="5" s="1"/>
  <c r="AM447" i="5"/>
  <c r="AL447" i="5"/>
  <c r="AN447" i="5" s="1"/>
  <c r="AJ447" i="5"/>
  <c r="BC448" i="5" s="1"/>
  <c r="BD448" i="5" s="1"/>
  <c r="AS448" i="5" s="1"/>
  <c r="AX448" i="5" s="1"/>
  <c r="AM446" i="5"/>
  <c r="AL446" i="5"/>
  <c r="AN446" i="5" s="1"/>
  <c r="AJ446" i="5"/>
  <c r="BC447" i="5" s="1"/>
  <c r="BD447" i="5" s="1"/>
  <c r="AS447" i="5" s="1"/>
  <c r="AX447" i="5" s="1"/>
  <c r="AM445" i="5"/>
  <c r="AL445" i="5"/>
  <c r="AN445" i="5" s="1"/>
  <c r="AJ445" i="5"/>
  <c r="BC446" i="5" s="1"/>
  <c r="BD446" i="5" s="1"/>
  <c r="AS446" i="5" s="1"/>
  <c r="AX446" i="5" s="1"/>
  <c r="AM444" i="5"/>
  <c r="AL444" i="5"/>
  <c r="AN444" i="5" s="1"/>
  <c r="AJ444" i="5"/>
  <c r="BC445" i="5" s="1"/>
  <c r="BD445" i="5" s="1"/>
  <c r="AS445" i="5" s="1"/>
  <c r="AX445" i="5" s="1"/>
  <c r="AM443" i="5"/>
  <c r="AL443" i="5"/>
  <c r="AN443" i="5" s="1"/>
  <c r="AJ443" i="5"/>
  <c r="BC444" i="5" s="1"/>
  <c r="BD444" i="5" s="1"/>
  <c r="AS444" i="5" s="1"/>
  <c r="AX444" i="5" s="1"/>
  <c r="AM442" i="5"/>
  <c r="AL442" i="5"/>
  <c r="AN442" i="5" s="1"/>
  <c r="AJ442" i="5"/>
  <c r="BC443" i="5" s="1"/>
  <c r="BD443" i="5" s="1"/>
  <c r="AS443" i="5" s="1"/>
  <c r="AX443" i="5" s="1"/>
  <c r="AM441" i="5"/>
  <c r="AL441" i="5"/>
  <c r="AN441" i="5" s="1"/>
  <c r="AJ441" i="5"/>
  <c r="BC442" i="5" s="1"/>
  <c r="BD442" i="5" s="1"/>
  <c r="AS442" i="5" s="1"/>
  <c r="AX442" i="5" s="1"/>
  <c r="AM440" i="5"/>
  <c r="AL440" i="5"/>
  <c r="AN440" i="5" s="1"/>
  <c r="AJ440" i="5"/>
  <c r="BC441" i="5" s="1"/>
  <c r="BD441" i="5" s="1"/>
  <c r="AS441" i="5" s="1"/>
  <c r="AX441" i="5" s="1"/>
  <c r="AM439" i="5"/>
  <c r="AL439" i="5"/>
  <c r="AN439" i="5" s="1"/>
  <c r="AJ439" i="5"/>
  <c r="BC440" i="5" s="1"/>
  <c r="BD440" i="5" s="1"/>
  <c r="AS440" i="5" s="1"/>
  <c r="AX440" i="5" s="1"/>
  <c r="AM438" i="5"/>
  <c r="AL438" i="5"/>
  <c r="AN438" i="5" s="1"/>
  <c r="AJ438" i="5"/>
  <c r="BC439" i="5" s="1"/>
  <c r="BD439" i="5" s="1"/>
  <c r="AS439" i="5" s="1"/>
  <c r="AX439" i="5" s="1"/>
  <c r="AM437" i="5"/>
  <c r="AL437" i="5"/>
  <c r="AN437" i="5" s="1"/>
  <c r="AJ437" i="5"/>
  <c r="AM435" i="5"/>
  <c r="AL435" i="5"/>
  <c r="AN435" i="5" s="1"/>
  <c r="AJ435" i="5"/>
  <c r="AM434" i="5"/>
  <c r="AL434" i="5"/>
  <c r="AN434" i="5" s="1"/>
  <c r="AJ434" i="5"/>
  <c r="BC435" i="5" s="1"/>
  <c r="BD435" i="5" s="1"/>
  <c r="AS435" i="5" s="1"/>
  <c r="AX435" i="5" s="1"/>
  <c r="AM433" i="5"/>
  <c r="AL433" i="5"/>
  <c r="AN433" i="5" s="1"/>
  <c r="AJ433" i="5"/>
  <c r="BC434" i="5" s="1"/>
  <c r="BD434" i="5" s="1"/>
  <c r="AS434" i="5" s="1"/>
  <c r="AX434" i="5" s="1"/>
  <c r="AM432" i="5"/>
  <c r="AL432" i="5"/>
  <c r="AN432" i="5" s="1"/>
  <c r="AJ432" i="5"/>
  <c r="BC433" i="5" s="1"/>
  <c r="BD433" i="5" s="1"/>
  <c r="AS433" i="5" s="1"/>
  <c r="AX433" i="5" s="1"/>
  <c r="AM431" i="5"/>
  <c r="AL431" i="5"/>
  <c r="AN431" i="5" s="1"/>
  <c r="AJ431" i="5"/>
  <c r="BC432" i="5" s="1"/>
  <c r="BD432" i="5" s="1"/>
  <c r="AS432" i="5" s="1"/>
  <c r="AX432" i="5" s="1"/>
  <c r="AM430" i="5"/>
  <c r="AL430" i="5"/>
  <c r="AN430" i="5" s="1"/>
  <c r="AJ430" i="5"/>
  <c r="BC431" i="5" s="1"/>
  <c r="BD431" i="5" s="1"/>
  <c r="AS431" i="5" s="1"/>
  <c r="AX431" i="5" s="1"/>
  <c r="AM429" i="5"/>
  <c r="AL429" i="5"/>
  <c r="AN429" i="5" s="1"/>
  <c r="AJ429" i="5"/>
  <c r="BC430" i="5" s="1"/>
  <c r="BD430" i="5" s="1"/>
  <c r="AS430" i="5" s="1"/>
  <c r="AX430" i="5" s="1"/>
  <c r="AM428" i="5"/>
  <c r="AL428" i="5"/>
  <c r="AN428" i="5" s="1"/>
  <c r="AJ428" i="5"/>
  <c r="BC429" i="5" s="1"/>
  <c r="BD429" i="5" s="1"/>
  <c r="AS429" i="5" s="1"/>
  <c r="AX429" i="5" s="1"/>
  <c r="AM427" i="5"/>
  <c r="AL427" i="5"/>
  <c r="AN427" i="5" s="1"/>
  <c r="AJ427" i="5"/>
  <c r="BC428" i="5" s="1"/>
  <c r="BD428" i="5" s="1"/>
  <c r="AS428" i="5" s="1"/>
  <c r="AX428" i="5" s="1"/>
  <c r="AM426" i="5"/>
  <c r="AL426" i="5"/>
  <c r="AN426" i="5" s="1"/>
  <c r="AJ426" i="5"/>
  <c r="BC427" i="5" s="1"/>
  <c r="BD427" i="5" s="1"/>
  <c r="AS427" i="5" s="1"/>
  <c r="AX427" i="5" s="1"/>
  <c r="AM425" i="5"/>
  <c r="AL425" i="5"/>
  <c r="AN425" i="5" s="1"/>
  <c r="AJ425" i="5"/>
  <c r="BC426" i="5" s="1"/>
  <c r="BD426" i="5" s="1"/>
  <c r="AS426" i="5" s="1"/>
  <c r="AX426" i="5" s="1"/>
  <c r="AM424" i="5"/>
  <c r="AL424" i="5"/>
  <c r="AN424" i="5" s="1"/>
  <c r="AJ424" i="5"/>
  <c r="BC425" i="5" s="1"/>
  <c r="BD425" i="5" s="1"/>
  <c r="AS425" i="5" s="1"/>
  <c r="AX425" i="5" s="1"/>
  <c r="AM423" i="5"/>
  <c r="AL423" i="5"/>
  <c r="AN423" i="5" s="1"/>
  <c r="AJ423" i="5"/>
  <c r="BC424" i="5" s="1"/>
  <c r="BD424" i="5" s="1"/>
  <c r="AS424" i="5" s="1"/>
  <c r="AX424" i="5" s="1"/>
  <c r="AM422" i="5"/>
  <c r="AL422" i="5"/>
  <c r="AN422" i="5" s="1"/>
  <c r="AJ422" i="5"/>
  <c r="BC423" i="5" s="1"/>
  <c r="BD423" i="5" s="1"/>
  <c r="AS423" i="5" s="1"/>
  <c r="AX423" i="5" s="1"/>
  <c r="AM421" i="5"/>
  <c r="AL421" i="5"/>
  <c r="AN421" i="5" s="1"/>
  <c r="AJ421" i="5"/>
  <c r="BC422" i="5" s="1"/>
  <c r="BD422" i="5" s="1"/>
  <c r="AS422" i="5" s="1"/>
  <c r="AX422" i="5" s="1"/>
  <c r="AM420" i="5"/>
  <c r="AL420" i="5"/>
  <c r="AN420" i="5" s="1"/>
  <c r="AJ420" i="5"/>
  <c r="BC421" i="5" s="1"/>
  <c r="BD421" i="5" s="1"/>
  <c r="AS421" i="5" s="1"/>
  <c r="AX421" i="5" s="1"/>
  <c r="AM419" i="5"/>
  <c r="AL419" i="5"/>
  <c r="AN419" i="5" s="1"/>
  <c r="AJ419" i="5"/>
  <c r="BC420" i="5" s="1"/>
  <c r="BD420" i="5" s="1"/>
  <c r="AS420" i="5" s="1"/>
  <c r="AX420" i="5" s="1"/>
  <c r="AM418" i="5"/>
  <c r="AL418" i="5"/>
  <c r="AN418" i="5" s="1"/>
  <c r="AJ418" i="5"/>
  <c r="BC419" i="5" s="1"/>
  <c r="BD419" i="5" s="1"/>
  <c r="AS419" i="5" s="1"/>
  <c r="AX419" i="5" s="1"/>
  <c r="AM417" i="5"/>
  <c r="AL417" i="5"/>
  <c r="AN417" i="5" s="1"/>
  <c r="AJ417" i="5"/>
  <c r="BC418" i="5" s="1"/>
  <c r="BD418" i="5" s="1"/>
  <c r="AS418" i="5" s="1"/>
  <c r="AX418" i="5" s="1"/>
  <c r="AM416" i="5"/>
  <c r="AL416" i="5"/>
  <c r="AN416" i="5" s="1"/>
  <c r="AJ416" i="5"/>
  <c r="BC417" i="5" s="1"/>
  <c r="BD417" i="5" s="1"/>
  <c r="AS417" i="5" s="1"/>
  <c r="AX417" i="5" s="1"/>
  <c r="AM415" i="5"/>
  <c r="AL415" i="5"/>
  <c r="AN415" i="5" s="1"/>
  <c r="AJ415" i="5"/>
  <c r="BC416" i="5" s="1"/>
  <c r="BD416" i="5" s="1"/>
  <c r="AS416" i="5" s="1"/>
  <c r="AX416" i="5" s="1"/>
  <c r="AM414" i="5"/>
  <c r="AL414" i="5"/>
  <c r="AN414" i="5" s="1"/>
  <c r="AJ414" i="5"/>
  <c r="BC415" i="5" s="1"/>
  <c r="BD415" i="5" s="1"/>
  <c r="AS415" i="5" s="1"/>
  <c r="AX415" i="5" s="1"/>
  <c r="AM413" i="5"/>
  <c r="AL413" i="5"/>
  <c r="AN413" i="5" s="1"/>
  <c r="AJ413" i="5"/>
  <c r="BC414" i="5" s="1"/>
  <c r="BD414" i="5" s="1"/>
  <c r="AS414" i="5" s="1"/>
  <c r="AX414" i="5" s="1"/>
  <c r="AM412" i="5"/>
  <c r="AL412" i="5"/>
  <c r="AN412" i="5" s="1"/>
  <c r="AJ412" i="5"/>
  <c r="BC413" i="5" s="1"/>
  <c r="BD413" i="5" s="1"/>
  <c r="AS413" i="5" s="1"/>
  <c r="AX413" i="5" s="1"/>
  <c r="AM411" i="5"/>
  <c r="AL411" i="5"/>
  <c r="AN411" i="5" s="1"/>
  <c r="AJ411" i="5"/>
  <c r="BC412" i="5" s="1"/>
  <c r="BD412" i="5" s="1"/>
  <c r="AS412" i="5" s="1"/>
  <c r="AX412" i="5" s="1"/>
  <c r="AM410" i="5"/>
  <c r="AL410" i="5"/>
  <c r="AN410" i="5" s="1"/>
  <c r="AJ410" i="5"/>
  <c r="BC411" i="5" s="1"/>
  <c r="BD411" i="5" s="1"/>
  <c r="AS411" i="5" s="1"/>
  <c r="AX411" i="5" s="1"/>
  <c r="AM409" i="5"/>
  <c r="AL409" i="5"/>
  <c r="AJ409" i="5"/>
  <c r="BC410" i="5" s="1"/>
  <c r="BD410" i="5" s="1"/>
  <c r="AS410" i="5" s="1"/>
  <c r="AX410" i="5" s="1"/>
  <c r="AM408" i="5"/>
  <c r="AL408" i="5"/>
  <c r="AJ408" i="5"/>
  <c r="BC409" i="5" s="1"/>
  <c r="BD409" i="5" s="1"/>
  <c r="AS409" i="5" s="1"/>
  <c r="AX409" i="5" s="1"/>
  <c r="AM407" i="5"/>
  <c r="AL407" i="5"/>
  <c r="AJ407" i="5"/>
  <c r="BC408" i="5" s="1"/>
  <c r="BD408" i="5" s="1"/>
  <c r="AS408" i="5" s="1"/>
  <c r="AX408" i="5" s="1"/>
  <c r="AM406" i="5"/>
  <c r="AL406" i="5"/>
  <c r="AJ406" i="5"/>
  <c r="BC407" i="5" s="1"/>
  <c r="BD407" i="5" s="1"/>
  <c r="AS407" i="5" s="1"/>
  <c r="AX407" i="5" s="1"/>
  <c r="AM405" i="5"/>
  <c r="AL405" i="5"/>
  <c r="AJ405" i="5"/>
  <c r="BC406" i="5" s="1"/>
  <c r="BD406" i="5" s="1"/>
  <c r="AS406" i="5" s="1"/>
  <c r="AX406" i="5" s="1"/>
  <c r="AM404" i="5"/>
  <c r="AL404" i="5"/>
  <c r="AJ404" i="5"/>
  <c r="BC405" i="5" s="1"/>
  <c r="BD405" i="5" s="1"/>
  <c r="AS405" i="5" s="1"/>
  <c r="AX405" i="5" s="1"/>
  <c r="AM403" i="5"/>
  <c r="AL403" i="5"/>
  <c r="AJ403" i="5"/>
  <c r="BC404" i="5" s="1"/>
  <c r="BD404" i="5" s="1"/>
  <c r="AS404" i="5" s="1"/>
  <c r="AX404" i="5" s="1"/>
  <c r="AM402" i="5"/>
  <c r="AL402" i="5"/>
  <c r="AJ402" i="5"/>
  <c r="BC403" i="5" s="1"/>
  <c r="BD403" i="5" s="1"/>
  <c r="AS403" i="5" s="1"/>
  <c r="AX403" i="5" s="1"/>
  <c r="AM401" i="5"/>
  <c r="AL401" i="5"/>
  <c r="AJ401" i="5"/>
  <c r="BC402" i="5" s="1"/>
  <c r="BD402" i="5" s="1"/>
  <c r="AS402" i="5" s="1"/>
  <c r="AX402" i="5" s="1"/>
  <c r="AM400" i="5"/>
  <c r="AL400" i="5"/>
  <c r="AN400" i="5" s="1"/>
  <c r="AJ400" i="5"/>
  <c r="AM398" i="5"/>
  <c r="AL398" i="5"/>
  <c r="AJ398" i="5"/>
  <c r="AM397" i="5"/>
  <c r="AL397" i="5"/>
  <c r="AJ397" i="5"/>
  <c r="BC398" i="5" s="1"/>
  <c r="BD398" i="5" s="1"/>
  <c r="AS398" i="5" s="1"/>
  <c r="AM396" i="5"/>
  <c r="AL396" i="5"/>
  <c r="AJ396" i="5"/>
  <c r="BC397" i="5" s="1"/>
  <c r="BD397" i="5" s="1"/>
  <c r="AS397" i="5" s="1"/>
  <c r="AX397" i="5" s="1"/>
  <c r="AM395" i="5"/>
  <c r="AL395" i="5"/>
  <c r="AJ395" i="5"/>
  <c r="BC396" i="5" s="1"/>
  <c r="BD396" i="5" s="1"/>
  <c r="AS396" i="5" s="1"/>
  <c r="AX396" i="5" s="1"/>
  <c r="AM394" i="5"/>
  <c r="AL394" i="5"/>
  <c r="AJ394" i="5"/>
  <c r="BC395" i="5" s="1"/>
  <c r="BD395" i="5" s="1"/>
  <c r="AS395" i="5" s="1"/>
  <c r="AX395" i="5" s="1"/>
  <c r="AM393" i="5"/>
  <c r="AL393" i="5"/>
  <c r="AJ393" i="5"/>
  <c r="BC394" i="5" s="1"/>
  <c r="BD394" i="5" s="1"/>
  <c r="AS394" i="5" s="1"/>
  <c r="AM392" i="5"/>
  <c r="AL392" i="5"/>
  <c r="AJ392" i="5"/>
  <c r="BC393" i="5" s="1"/>
  <c r="BD393" i="5" s="1"/>
  <c r="AS393" i="5" s="1"/>
  <c r="AX393" i="5" s="1"/>
  <c r="AM391" i="5"/>
  <c r="AL391" i="5"/>
  <c r="AJ391" i="5"/>
  <c r="BC392" i="5" s="1"/>
  <c r="BD392" i="5" s="1"/>
  <c r="AS392" i="5" s="1"/>
  <c r="AX392" i="5" s="1"/>
  <c r="AM390" i="5"/>
  <c r="AL390" i="5"/>
  <c r="AJ390" i="5"/>
  <c r="BC391" i="5" s="1"/>
  <c r="BD391" i="5" s="1"/>
  <c r="AS391" i="5" s="1"/>
  <c r="AX391" i="5" s="1"/>
  <c r="AM389" i="5"/>
  <c r="AL389" i="5"/>
  <c r="AJ389" i="5"/>
  <c r="BC390" i="5" s="1"/>
  <c r="BD390" i="5" s="1"/>
  <c r="AS390" i="5" s="1"/>
  <c r="AX390" i="5" s="1"/>
  <c r="AM388" i="5"/>
  <c r="AL388" i="5"/>
  <c r="AJ388" i="5"/>
  <c r="BC389" i="5" s="1"/>
  <c r="BD389" i="5" s="1"/>
  <c r="AS389" i="5" s="1"/>
  <c r="AX389" i="5" s="1"/>
  <c r="AM387" i="5"/>
  <c r="AL387" i="5"/>
  <c r="AJ387" i="5"/>
  <c r="BC388" i="5" s="1"/>
  <c r="BD388" i="5" s="1"/>
  <c r="AS388" i="5" s="1"/>
  <c r="AX388" i="5" s="1"/>
  <c r="AM386" i="5"/>
  <c r="AL386" i="5"/>
  <c r="AJ386" i="5"/>
  <c r="BC387" i="5" s="1"/>
  <c r="BD387" i="5" s="1"/>
  <c r="AS387" i="5" s="1"/>
  <c r="AX387" i="5" s="1"/>
  <c r="AM385" i="5"/>
  <c r="AL385" i="5"/>
  <c r="AJ385" i="5"/>
  <c r="AM383" i="5"/>
  <c r="AL383" i="5"/>
  <c r="AJ383" i="5"/>
  <c r="AM382" i="5"/>
  <c r="AL382" i="5"/>
  <c r="AJ382" i="5"/>
  <c r="BC383" i="5" s="1"/>
  <c r="BD383" i="5" s="1"/>
  <c r="AS383" i="5" s="1"/>
  <c r="AX383" i="5" s="1"/>
  <c r="AM381" i="5"/>
  <c r="AL381" i="5"/>
  <c r="AJ381" i="5"/>
  <c r="BC382" i="5" s="1"/>
  <c r="BD382" i="5" s="1"/>
  <c r="AS382" i="5" s="1"/>
  <c r="AX382" i="5" s="1"/>
  <c r="AM380" i="5"/>
  <c r="AL380" i="5"/>
  <c r="AJ380" i="5"/>
  <c r="BC381" i="5" s="1"/>
  <c r="BD381" i="5" s="1"/>
  <c r="AS381" i="5" s="1"/>
  <c r="AM379" i="5"/>
  <c r="AL379" i="5"/>
  <c r="AJ379" i="5"/>
  <c r="BC380" i="5" s="1"/>
  <c r="BD380" i="5" s="1"/>
  <c r="AS380" i="5" s="1"/>
  <c r="AX380" i="5" s="1"/>
  <c r="AM378" i="5"/>
  <c r="AL378" i="5"/>
  <c r="AJ378" i="5"/>
  <c r="BC379" i="5" s="1"/>
  <c r="BD379" i="5" s="1"/>
  <c r="AS379" i="5" s="1"/>
  <c r="AX379" i="5" s="1"/>
  <c r="AM377" i="5"/>
  <c r="AL377" i="5"/>
  <c r="AN377" i="5" s="1"/>
  <c r="AJ377" i="5"/>
  <c r="BC378" i="5" s="1"/>
  <c r="BD378" i="5" s="1"/>
  <c r="AS378" i="5" s="1"/>
  <c r="AX378" i="5" s="1"/>
  <c r="AM376" i="5"/>
  <c r="AL376" i="5"/>
  <c r="AN376" i="5" s="1"/>
  <c r="AJ376" i="5"/>
  <c r="BC377" i="5" s="1"/>
  <c r="BD377" i="5" s="1"/>
  <c r="AS377" i="5" s="1"/>
  <c r="AX377" i="5" s="1"/>
  <c r="AM375" i="5"/>
  <c r="AL375" i="5"/>
  <c r="AN375" i="5" s="1"/>
  <c r="AJ375" i="5"/>
  <c r="AM373" i="5"/>
  <c r="AL373" i="5"/>
  <c r="AJ373" i="5"/>
  <c r="AM372" i="5"/>
  <c r="AL372" i="5"/>
  <c r="AJ372" i="5"/>
  <c r="BC373" i="5" s="1"/>
  <c r="BD373" i="5" s="1"/>
  <c r="AS373" i="5" s="1"/>
  <c r="AX373" i="5" s="1"/>
  <c r="AM371" i="5"/>
  <c r="AL371" i="5"/>
  <c r="AJ371" i="5"/>
  <c r="BC372" i="5" s="1"/>
  <c r="BD372" i="5" s="1"/>
  <c r="AS372" i="5" s="1"/>
  <c r="AX372" i="5" s="1"/>
  <c r="AM370" i="5"/>
  <c r="AL370" i="5"/>
  <c r="AJ370" i="5"/>
  <c r="BC371" i="5" s="1"/>
  <c r="BD371" i="5" s="1"/>
  <c r="AS371" i="5" s="1"/>
  <c r="AX371" i="5" s="1"/>
  <c r="AM369" i="5"/>
  <c r="AL369" i="5"/>
  <c r="AJ369" i="5"/>
  <c r="BC370" i="5" s="1"/>
  <c r="BD370" i="5" s="1"/>
  <c r="AS370" i="5" s="1"/>
  <c r="AX370" i="5" s="1"/>
  <c r="AM368" i="5"/>
  <c r="AL368" i="5"/>
  <c r="AN368" i="5" s="1"/>
  <c r="AJ368" i="5"/>
  <c r="BC369" i="5" s="1"/>
  <c r="BD369" i="5" s="1"/>
  <c r="AS369" i="5" s="1"/>
  <c r="AX369" i="5" s="1"/>
  <c r="AM367" i="5"/>
  <c r="AL367" i="5"/>
  <c r="AJ367" i="5"/>
  <c r="BC368" i="5" s="1"/>
  <c r="BD368" i="5" s="1"/>
  <c r="AS368" i="5" s="1"/>
  <c r="AX368" i="5" s="1"/>
  <c r="AM366" i="5"/>
  <c r="AL366" i="5"/>
  <c r="AN366" i="5" s="1"/>
  <c r="AJ366" i="5"/>
  <c r="BC367" i="5" s="1"/>
  <c r="BD367" i="5" s="1"/>
  <c r="AS367" i="5" s="1"/>
  <c r="AX367" i="5" s="1"/>
  <c r="AM365" i="5"/>
  <c r="AL365" i="5"/>
  <c r="AJ365" i="5"/>
  <c r="BC366" i="5" s="1"/>
  <c r="BD366" i="5" s="1"/>
  <c r="AS366" i="5" s="1"/>
  <c r="AX366" i="5" s="1"/>
  <c r="AM364" i="5"/>
  <c r="AL364" i="5"/>
  <c r="AJ364" i="5"/>
  <c r="BC365" i="5" s="1"/>
  <c r="BD365" i="5" s="1"/>
  <c r="AS365" i="5" s="1"/>
  <c r="AX365" i="5" s="1"/>
  <c r="AM363" i="5"/>
  <c r="AL363" i="5"/>
  <c r="AJ363" i="5"/>
  <c r="BC364" i="5" s="1"/>
  <c r="BD364" i="5" s="1"/>
  <c r="AS364" i="5" s="1"/>
  <c r="AX364" i="5" s="1"/>
  <c r="AM362" i="5"/>
  <c r="AL362" i="5"/>
  <c r="AJ362" i="5"/>
  <c r="AM360" i="5"/>
  <c r="AL360" i="5"/>
  <c r="AJ360" i="5"/>
  <c r="AM359" i="5"/>
  <c r="AL359" i="5"/>
  <c r="AJ359" i="5"/>
  <c r="BC360" i="5" s="1"/>
  <c r="BD360" i="5" s="1"/>
  <c r="AS360" i="5" s="1"/>
  <c r="AX360" i="5" s="1"/>
  <c r="AM358" i="5"/>
  <c r="AL358" i="5"/>
  <c r="AJ358" i="5"/>
  <c r="BC359" i="5" s="1"/>
  <c r="BD359" i="5" s="1"/>
  <c r="AS359" i="5" s="1"/>
  <c r="AX359" i="5" s="1"/>
  <c r="AM357" i="5"/>
  <c r="AL357" i="5"/>
  <c r="AJ357" i="5"/>
  <c r="BC358" i="5" s="1"/>
  <c r="BD358" i="5" s="1"/>
  <c r="AS358" i="5" s="1"/>
  <c r="AX358" i="5" s="1"/>
  <c r="AM356" i="5"/>
  <c r="AL356" i="5"/>
  <c r="AJ356" i="5"/>
  <c r="BC357" i="5" s="1"/>
  <c r="BD357" i="5" s="1"/>
  <c r="AS357" i="5" s="1"/>
  <c r="AX357" i="5" s="1"/>
  <c r="AM355" i="5"/>
  <c r="AL355" i="5"/>
  <c r="AJ355" i="5"/>
  <c r="BC356" i="5" s="1"/>
  <c r="BD356" i="5" s="1"/>
  <c r="AS356" i="5" s="1"/>
  <c r="AX356" i="5" s="1"/>
  <c r="AM354" i="5"/>
  <c r="AL354" i="5"/>
  <c r="AJ354" i="5"/>
  <c r="BC355" i="5" s="1"/>
  <c r="BD355" i="5" s="1"/>
  <c r="AS355" i="5" s="1"/>
  <c r="AX355" i="5" s="1"/>
  <c r="AM353" i="5"/>
  <c r="AL353" i="5"/>
  <c r="AJ353" i="5"/>
  <c r="BC354" i="5" s="1"/>
  <c r="BD354" i="5" s="1"/>
  <c r="AS354" i="5" s="1"/>
  <c r="AX354" i="5" s="1"/>
  <c r="AM352" i="5"/>
  <c r="AL352" i="5"/>
  <c r="AJ352" i="5"/>
  <c r="BC353" i="5" s="1"/>
  <c r="BD353" i="5" s="1"/>
  <c r="AS353" i="5" s="1"/>
  <c r="AX353" i="5" s="1"/>
  <c r="AM351" i="5"/>
  <c r="AL351" i="5"/>
  <c r="AJ351" i="5"/>
  <c r="BC352" i="5" s="1"/>
  <c r="BD352" i="5" s="1"/>
  <c r="AS352" i="5" s="1"/>
  <c r="AX352" i="5" s="1"/>
  <c r="AM350" i="5"/>
  <c r="AL350" i="5"/>
  <c r="AJ350" i="5"/>
  <c r="BC351" i="5" s="1"/>
  <c r="BD351" i="5" s="1"/>
  <c r="AS351" i="5" s="1"/>
  <c r="AX351" i="5" s="1"/>
  <c r="AM349" i="5"/>
  <c r="AL349" i="5"/>
  <c r="AJ349" i="5"/>
  <c r="BC350" i="5" s="1"/>
  <c r="AM348" i="5"/>
  <c r="AL348" i="5"/>
  <c r="AJ348" i="5"/>
  <c r="BC349" i="5" s="1"/>
  <c r="BD349" i="5" s="1"/>
  <c r="AS349" i="5" s="1"/>
  <c r="AX349" i="5" s="1"/>
  <c r="AM347" i="5"/>
  <c r="AL347" i="5"/>
  <c r="AJ347" i="5"/>
  <c r="BC348" i="5" s="1"/>
  <c r="BD348" i="5" s="1"/>
  <c r="AS348" i="5" s="1"/>
  <c r="AX348" i="5" s="1"/>
  <c r="AM346" i="5"/>
  <c r="AL346" i="5"/>
  <c r="AJ346" i="5"/>
  <c r="BC347" i="5" s="1"/>
  <c r="BD347" i="5" s="1"/>
  <c r="AS347" i="5" s="1"/>
  <c r="AM345" i="5"/>
  <c r="AL345" i="5"/>
  <c r="AJ345" i="5"/>
  <c r="BC346" i="5" s="1"/>
  <c r="BD346" i="5" s="1"/>
  <c r="AS346" i="5" s="1"/>
  <c r="AX346" i="5" s="1"/>
  <c r="AM344" i="5"/>
  <c r="AL344" i="5"/>
  <c r="AJ344" i="5"/>
  <c r="BC345" i="5" s="1"/>
  <c r="BD345" i="5" s="1"/>
  <c r="AS345" i="5" s="1"/>
  <c r="AX345" i="5" s="1"/>
  <c r="AM343" i="5"/>
  <c r="AL343" i="5"/>
  <c r="AJ343" i="5"/>
  <c r="BC344" i="5" s="1"/>
  <c r="BD344" i="5" s="1"/>
  <c r="AS344" i="5" s="1"/>
  <c r="AX344" i="5" s="1"/>
  <c r="AM342" i="5"/>
  <c r="AL342" i="5"/>
  <c r="AJ342" i="5"/>
  <c r="BC343" i="5" s="1"/>
  <c r="BD343" i="5" s="1"/>
  <c r="AS343" i="5" s="1"/>
  <c r="AX343" i="5" s="1"/>
  <c r="AM341" i="5"/>
  <c r="AL341" i="5"/>
  <c r="AJ341" i="5"/>
  <c r="BC342" i="5" s="1"/>
  <c r="BD342" i="5" s="1"/>
  <c r="AS342" i="5" s="1"/>
  <c r="AX342" i="5" s="1"/>
  <c r="AM340" i="5"/>
  <c r="AL340" i="5"/>
  <c r="AJ340" i="5"/>
  <c r="BC341" i="5" s="1"/>
  <c r="BD341" i="5" s="1"/>
  <c r="AS341" i="5" s="1"/>
  <c r="AX341" i="5" s="1"/>
  <c r="AM339" i="5"/>
  <c r="AL339" i="5"/>
  <c r="AJ339" i="5"/>
  <c r="BC340" i="5" s="1"/>
  <c r="BD340" i="5" s="1"/>
  <c r="AS340" i="5" s="1"/>
  <c r="AX340" i="5" s="1"/>
  <c r="AM338" i="5"/>
  <c r="AL338" i="5"/>
  <c r="AJ338" i="5"/>
  <c r="BC339" i="5" s="1"/>
  <c r="BD339" i="5" s="1"/>
  <c r="AS339" i="5" s="1"/>
  <c r="AX339" i="5" s="1"/>
  <c r="AM337" i="5"/>
  <c r="AL337" i="5"/>
  <c r="AJ337" i="5"/>
  <c r="BC338" i="5" s="1"/>
  <c r="BD338" i="5" s="1"/>
  <c r="AS338" i="5" s="1"/>
  <c r="AX338" i="5" s="1"/>
  <c r="AM336" i="5"/>
  <c r="AL336" i="5"/>
  <c r="AJ336" i="5"/>
  <c r="BC337" i="5" s="1"/>
  <c r="BD337" i="5" s="1"/>
  <c r="AS337" i="5" s="1"/>
  <c r="AX337" i="5" s="1"/>
  <c r="AM335" i="5"/>
  <c r="AL335" i="5"/>
  <c r="AJ335" i="5"/>
  <c r="BC336" i="5" s="1"/>
  <c r="BD336" i="5" s="1"/>
  <c r="AS336" i="5" s="1"/>
  <c r="AX336" i="5" s="1"/>
  <c r="AM334" i="5"/>
  <c r="AL334" i="5"/>
  <c r="AJ334" i="5"/>
  <c r="BC335" i="5" s="1"/>
  <c r="BD335" i="5" s="1"/>
  <c r="AS335" i="5" s="1"/>
  <c r="AX335" i="5" s="1"/>
  <c r="AM333" i="5"/>
  <c r="AL333" i="5"/>
  <c r="AJ333" i="5"/>
  <c r="BC334" i="5" s="1"/>
  <c r="BD334" i="5" s="1"/>
  <c r="AS334" i="5" s="1"/>
  <c r="AX334" i="5" s="1"/>
  <c r="AM332" i="5"/>
  <c r="AL332" i="5"/>
  <c r="AJ332" i="5"/>
  <c r="BC333" i="5" s="1"/>
  <c r="BD333" i="5" s="1"/>
  <c r="AS333" i="5" s="1"/>
  <c r="AX333" i="5" s="1"/>
  <c r="AM331" i="5"/>
  <c r="AL331" i="5"/>
  <c r="AJ331" i="5"/>
  <c r="BC332" i="5" s="1"/>
  <c r="BD332" i="5" s="1"/>
  <c r="AS332" i="5" s="1"/>
  <c r="AX332" i="5" s="1"/>
  <c r="AM330" i="5"/>
  <c r="AL330" i="5"/>
  <c r="AJ330" i="5"/>
  <c r="BC331" i="5" s="1"/>
  <c r="BD331" i="5" s="1"/>
  <c r="AS331" i="5" s="1"/>
  <c r="AX331" i="5" s="1"/>
  <c r="AM329" i="5"/>
  <c r="AL329" i="5"/>
  <c r="AJ329" i="5"/>
  <c r="BC330" i="5" s="1"/>
  <c r="BD330" i="5" s="1"/>
  <c r="AS330" i="5" s="1"/>
  <c r="AX330" i="5" s="1"/>
  <c r="AM328" i="5"/>
  <c r="AL328" i="5"/>
  <c r="AJ328" i="5"/>
  <c r="BC329" i="5" s="1"/>
  <c r="BD329" i="5" s="1"/>
  <c r="AS329" i="5" s="1"/>
  <c r="AX329" i="5" s="1"/>
  <c r="AM327" i="5"/>
  <c r="AL327" i="5"/>
  <c r="AJ327" i="5"/>
  <c r="AM325" i="5"/>
  <c r="AL325" i="5"/>
  <c r="AJ325" i="5"/>
  <c r="AM324" i="5"/>
  <c r="AL324" i="5"/>
  <c r="AJ324" i="5"/>
  <c r="BC325" i="5" s="1"/>
  <c r="BD325" i="5" s="1"/>
  <c r="AS325" i="5" s="1"/>
  <c r="AX325" i="5" s="1"/>
  <c r="AM323" i="5"/>
  <c r="AL323" i="5"/>
  <c r="AJ323" i="5"/>
  <c r="BC324" i="5" s="1"/>
  <c r="BD324" i="5" s="1"/>
  <c r="AS324" i="5" s="1"/>
  <c r="AX324" i="5" s="1"/>
  <c r="AM322" i="5"/>
  <c r="AL322" i="5"/>
  <c r="AJ322" i="5"/>
  <c r="BC323" i="5" s="1"/>
  <c r="BD323" i="5" s="1"/>
  <c r="AS323" i="5" s="1"/>
  <c r="AX323" i="5" s="1"/>
  <c r="AM321" i="5"/>
  <c r="AL321" i="5"/>
  <c r="AJ321" i="5"/>
  <c r="BC322" i="5" s="1"/>
  <c r="BD322" i="5" s="1"/>
  <c r="AS322" i="5" s="1"/>
  <c r="AX322" i="5" s="1"/>
  <c r="AM320" i="5"/>
  <c r="AL320" i="5"/>
  <c r="AJ320" i="5"/>
  <c r="BC321" i="5" s="1"/>
  <c r="BD321" i="5" s="1"/>
  <c r="AS321" i="5" s="1"/>
  <c r="AX321" i="5" s="1"/>
  <c r="AM319" i="5"/>
  <c r="AL319" i="5"/>
  <c r="AJ319" i="5"/>
  <c r="BC320" i="5" s="1"/>
  <c r="BD320" i="5" s="1"/>
  <c r="AS320" i="5" s="1"/>
  <c r="AX320" i="5" s="1"/>
  <c r="AM318" i="5"/>
  <c r="AL318" i="5"/>
  <c r="AJ318" i="5"/>
  <c r="BC319" i="5" s="1"/>
  <c r="BD319" i="5" s="1"/>
  <c r="AS319" i="5" s="1"/>
  <c r="AX319" i="5" s="1"/>
  <c r="AM317" i="5"/>
  <c r="AL317" i="5"/>
  <c r="AJ317" i="5"/>
  <c r="BC318" i="5" s="1"/>
  <c r="BD318" i="5" s="1"/>
  <c r="AS318" i="5" s="1"/>
  <c r="AX318" i="5" s="1"/>
  <c r="AM316" i="5"/>
  <c r="AL316" i="5"/>
  <c r="AJ316" i="5"/>
  <c r="BC317" i="5" s="1"/>
  <c r="BD317" i="5" s="1"/>
  <c r="AS317" i="5" s="1"/>
  <c r="AX317" i="5" s="1"/>
  <c r="AM315" i="5"/>
  <c r="AL315" i="5"/>
  <c r="AJ315" i="5"/>
  <c r="BC316" i="5" s="1"/>
  <c r="BD316" i="5" s="1"/>
  <c r="AS316" i="5" s="1"/>
  <c r="AX316" i="5" s="1"/>
  <c r="AM314" i="5"/>
  <c r="AL314" i="5"/>
  <c r="AJ314" i="5"/>
  <c r="AM312" i="5"/>
  <c r="AL312" i="5"/>
  <c r="AN312" i="5" s="1"/>
  <c r="AJ312" i="5"/>
  <c r="AM311" i="5"/>
  <c r="AL311" i="5"/>
  <c r="AN311" i="5" s="1"/>
  <c r="AJ311" i="5"/>
  <c r="BC312" i="5" s="1"/>
  <c r="AM310" i="5"/>
  <c r="AL310" i="5"/>
  <c r="AN310" i="5" s="1"/>
  <c r="AJ310" i="5"/>
  <c r="BC311" i="5" s="1"/>
  <c r="BD311" i="5" s="1"/>
  <c r="AS311" i="5" s="1"/>
  <c r="AX311" i="5" s="1"/>
  <c r="AM309" i="5"/>
  <c r="AL309" i="5"/>
  <c r="AN309" i="5" s="1"/>
  <c r="AJ309" i="5"/>
  <c r="BC310" i="5" s="1"/>
  <c r="AM308" i="5"/>
  <c r="AL308" i="5"/>
  <c r="AN308" i="5" s="1"/>
  <c r="AJ308" i="5"/>
  <c r="BC309" i="5" s="1"/>
  <c r="AM307" i="5"/>
  <c r="AL307" i="5"/>
  <c r="AN307" i="5" s="1"/>
  <c r="AJ307" i="5"/>
  <c r="BC308" i="5" s="1"/>
  <c r="AM306" i="5"/>
  <c r="AL306" i="5"/>
  <c r="AN306" i="5" s="1"/>
  <c r="AJ306" i="5"/>
  <c r="BC307" i="5" s="1"/>
  <c r="AM305" i="5"/>
  <c r="AL305" i="5"/>
  <c r="AN305" i="5" s="1"/>
  <c r="AJ305" i="5"/>
  <c r="BC306" i="5" s="1"/>
  <c r="AM304" i="5"/>
  <c r="AL304" i="5"/>
  <c r="AN304" i="5" s="1"/>
  <c r="AJ304" i="5"/>
  <c r="BC305" i="5" s="1"/>
  <c r="BD305" i="5" s="1"/>
  <c r="AS305" i="5" s="1"/>
  <c r="AX305" i="5" s="1"/>
  <c r="AM303" i="5"/>
  <c r="AL303" i="5"/>
  <c r="AN303" i="5" s="1"/>
  <c r="AJ303" i="5"/>
  <c r="BC304" i="5" s="1"/>
  <c r="AM302" i="5"/>
  <c r="AL302" i="5"/>
  <c r="AN302" i="5" s="1"/>
  <c r="AJ302" i="5"/>
  <c r="BC303" i="5" s="1"/>
  <c r="AM301" i="5"/>
  <c r="AL301" i="5"/>
  <c r="AN301" i="5" s="1"/>
  <c r="AJ301" i="5"/>
  <c r="BC302" i="5" s="1"/>
  <c r="AM300" i="5"/>
  <c r="AL300" i="5"/>
  <c r="AN300" i="5" s="1"/>
  <c r="AJ300" i="5"/>
  <c r="BC301" i="5" s="1"/>
  <c r="BD301" i="5" s="1"/>
  <c r="AS301" i="5" s="1"/>
  <c r="AX301" i="5" s="1"/>
  <c r="AM299" i="5"/>
  <c r="AL299" i="5"/>
  <c r="AN299" i="5" s="1"/>
  <c r="AJ299" i="5"/>
  <c r="BC300" i="5" s="1"/>
  <c r="AM298" i="5"/>
  <c r="AL298" i="5"/>
  <c r="AN298" i="5" s="1"/>
  <c r="AJ298" i="5"/>
  <c r="BC299" i="5" s="1"/>
  <c r="AM297" i="5"/>
  <c r="AL297" i="5"/>
  <c r="AN297" i="5" s="1"/>
  <c r="AJ297" i="5"/>
  <c r="BC298" i="5" s="1"/>
  <c r="AM296" i="5"/>
  <c r="AL296" i="5"/>
  <c r="AN296" i="5" s="1"/>
  <c r="AJ296" i="5"/>
  <c r="BC297" i="5" s="1"/>
  <c r="AM295" i="5"/>
  <c r="AL295" i="5"/>
  <c r="AN295" i="5" s="1"/>
  <c r="AJ295" i="5"/>
  <c r="BC296" i="5" s="1"/>
  <c r="AM294" i="5"/>
  <c r="AL294" i="5"/>
  <c r="AJ294" i="5"/>
  <c r="BC295" i="5" s="1"/>
  <c r="BD295" i="5" s="1"/>
  <c r="AS295" i="5" s="1"/>
  <c r="AX295" i="5" s="1"/>
  <c r="AM293" i="5"/>
  <c r="AL293" i="5"/>
  <c r="AJ293" i="5"/>
  <c r="BC294" i="5" s="1"/>
  <c r="BD294" i="5" s="1"/>
  <c r="AS294" i="5" s="1"/>
  <c r="AX294" i="5" s="1"/>
  <c r="AM292" i="5"/>
  <c r="AL292" i="5"/>
  <c r="AJ292" i="5"/>
  <c r="BC293" i="5" s="1"/>
  <c r="BD293" i="5" s="1"/>
  <c r="AS293" i="5" s="1"/>
  <c r="AX293" i="5" s="1"/>
  <c r="AM291" i="5"/>
  <c r="AL291" i="5"/>
  <c r="AJ291" i="5"/>
  <c r="BC292" i="5" s="1"/>
  <c r="AM290" i="5"/>
  <c r="AL290" i="5"/>
  <c r="AN290" i="5" s="1"/>
  <c r="AJ290" i="5"/>
  <c r="BC291" i="5" s="1"/>
  <c r="BD291" i="5" s="1"/>
  <c r="AS291" i="5" s="1"/>
  <c r="AX291" i="5" s="1"/>
  <c r="AM289" i="5"/>
  <c r="AL289" i="5"/>
  <c r="AN289" i="5" s="1"/>
  <c r="AJ289" i="5"/>
  <c r="BC290" i="5" s="1"/>
  <c r="AM288" i="5"/>
  <c r="AL288" i="5"/>
  <c r="AN288" i="5" s="1"/>
  <c r="AJ288" i="5"/>
  <c r="BC289" i="5" s="1"/>
  <c r="AM287" i="5"/>
  <c r="AL287" i="5"/>
  <c r="AN287" i="5" s="1"/>
  <c r="AJ287" i="5"/>
  <c r="AM285" i="5"/>
  <c r="AL285" i="5"/>
  <c r="AJ285" i="5"/>
  <c r="AM284" i="5"/>
  <c r="AL284" i="5"/>
  <c r="AJ284" i="5"/>
  <c r="BC285" i="5" s="1"/>
  <c r="BD285" i="5" s="1"/>
  <c r="AS285" i="5" s="1"/>
  <c r="AX285" i="5" s="1"/>
  <c r="AM283" i="5"/>
  <c r="AL283" i="5"/>
  <c r="AJ283" i="5"/>
  <c r="BC284" i="5" s="1"/>
  <c r="BD284" i="5" s="1"/>
  <c r="AS284" i="5" s="1"/>
  <c r="AX284" i="5" s="1"/>
  <c r="AM282" i="5"/>
  <c r="AL282" i="5"/>
  <c r="AJ282" i="5"/>
  <c r="BC283" i="5" s="1"/>
  <c r="BD283" i="5" s="1"/>
  <c r="AS283" i="5" s="1"/>
  <c r="AX283" i="5" s="1"/>
  <c r="AM281" i="5"/>
  <c r="AL281" i="5"/>
  <c r="AJ281" i="5"/>
  <c r="BC282" i="5" s="1"/>
  <c r="BD282" i="5" s="1"/>
  <c r="AS282" i="5" s="1"/>
  <c r="AX282" i="5" s="1"/>
  <c r="AM280" i="5"/>
  <c r="AL280" i="5"/>
  <c r="AJ280" i="5"/>
  <c r="BC281" i="5" s="1"/>
  <c r="BD281" i="5" s="1"/>
  <c r="AS281" i="5" s="1"/>
  <c r="AM279" i="5"/>
  <c r="AL279" i="5"/>
  <c r="AJ279" i="5"/>
  <c r="BC280" i="5" s="1"/>
  <c r="BD280" i="5" s="1"/>
  <c r="AS280" i="5" s="1"/>
  <c r="AX280" i="5" s="1"/>
  <c r="AM278" i="5"/>
  <c r="AL278" i="5"/>
  <c r="AJ278" i="5"/>
  <c r="BC279" i="5" s="1"/>
  <c r="BD279" i="5" s="1"/>
  <c r="AS279" i="5" s="1"/>
  <c r="AX279" i="5" s="1"/>
  <c r="AM277" i="5"/>
  <c r="AL277" i="5"/>
  <c r="AJ277" i="5"/>
  <c r="AM275" i="5"/>
  <c r="AL275" i="5"/>
  <c r="AJ275" i="5"/>
  <c r="AM274" i="5"/>
  <c r="AL274" i="5"/>
  <c r="AJ274" i="5"/>
  <c r="BC275" i="5" s="1"/>
  <c r="BD275" i="5" s="1"/>
  <c r="AS275" i="5" s="1"/>
  <c r="AX275" i="5" s="1"/>
  <c r="AM273" i="5"/>
  <c r="AL273" i="5"/>
  <c r="AJ273" i="5"/>
  <c r="BC274" i="5" s="1"/>
  <c r="BD274" i="5" s="1"/>
  <c r="AS274" i="5" s="1"/>
  <c r="AX274" i="5" s="1"/>
  <c r="AM272" i="5"/>
  <c r="AL272" i="5"/>
  <c r="AJ272" i="5"/>
  <c r="BC273" i="5" s="1"/>
  <c r="BD273" i="5" s="1"/>
  <c r="AS273" i="5" s="1"/>
  <c r="AX273" i="5" s="1"/>
  <c r="AM271" i="5"/>
  <c r="AL271" i="5"/>
  <c r="AJ271" i="5"/>
  <c r="BC272" i="5" s="1"/>
  <c r="BD272" i="5" s="1"/>
  <c r="AS272" i="5" s="1"/>
  <c r="AX272" i="5" s="1"/>
  <c r="AM270" i="5"/>
  <c r="AL270" i="5"/>
  <c r="AJ270" i="5"/>
  <c r="BC271" i="5" s="1"/>
  <c r="AM269" i="5"/>
  <c r="AL269" i="5"/>
  <c r="AJ269" i="5"/>
  <c r="BC270" i="5" s="1"/>
  <c r="BD270" i="5" s="1"/>
  <c r="AS270" i="5" s="1"/>
  <c r="AX270" i="5" s="1"/>
  <c r="AM268" i="5"/>
  <c r="AL268" i="5"/>
  <c r="AJ268" i="5"/>
  <c r="BC269" i="5" s="1"/>
  <c r="BD269" i="5" s="1"/>
  <c r="AS269" i="5" s="1"/>
  <c r="AX269" i="5" s="1"/>
  <c r="AM267" i="5"/>
  <c r="AL267" i="5"/>
  <c r="AJ267" i="5"/>
  <c r="BC268" i="5" s="1"/>
  <c r="BD268" i="5" s="1"/>
  <c r="AS268" i="5" s="1"/>
  <c r="AX268" i="5" s="1"/>
  <c r="AM266" i="5"/>
  <c r="AL266" i="5"/>
  <c r="AJ266" i="5"/>
  <c r="BC267" i="5" s="1"/>
  <c r="BD267" i="5" s="1"/>
  <c r="AS267" i="5" s="1"/>
  <c r="AX267" i="5" s="1"/>
  <c r="AM265" i="5"/>
  <c r="AL265" i="5"/>
  <c r="AJ265" i="5"/>
  <c r="BC266" i="5" s="1"/>
  <c r="BD266" i="5" s="1"/>
  <c r="AS266" i="5" s="1"/>
  <c r="AM264" i="5"/>
  <c r="AL264" i="5"/>
  <c r="AJ264" i="5"/>
  <c r="BC265" i="5" s="1"/>
  <c r="BD265" i="5" s="1"/>
  <c r="AS265" i="5" s="1"/>
  <c r="AX265" i="5" s="1"/>
  <c r="AM263" i="5"/>
  <c r="AL263" i="5"/>
  <c r="AJ263" i="5"/>
  <c r="BC264" i="5" s="1"/>
  <c r="BD264" i="5" s="1"/>
  <c r="AS264" i="5" s="1"/>
  <c r="AX264" i="5" s="1"/>
  <c r="AM262" i="5"/>
  <c r="AL262" i="5"/>
  <c r="AJ262" i="5"/>
  <c r="BC263" i="5" s="1"/>
  <c r="BD263" i="5" s="1"/>
  <c r="AS263" i="5" s="1"/>
  <c r="AM261" i="5"/>
  <c r="AL261" i="5"/>
  <c r="AJ261" i="5"/>
  <c r="BC262" i="5" s="1"/>
  <c r="BD262" i="5" s="1"/>
  <c r="AS262" i="5" s="1"/>
  <c r="AX262" i="5" s="1"/>
  <c r="AM260" i="5"/>
  <c r="AL260" i="5"/>
  <c r="AJ260" i="5"/>
  <c r="BC261" i="5" s="1"/>
  <c r="BD261" i="5" s="1"/>
  <c r="AS261" i="5" s="1"/>
  <c r="AX261" i="5" s="1"/>
  <c r="AM259" i="5"/>
  <c r="AL259" i="5"/>
  <c r="AJ259" i="5"/>
  <c r="BC260" i="5" s="1"/>
  <c r="AM258" i="5"/>
  <c r="AL258" i="5"/>
  <c r="AJ258" i="5"/>
  <c r="BC259" i="5" s="1"/>
  <c r="BD259" i="5" s="1"/>
  <c r="AS259" i="5" s="1"/>
  <c r="AX259" i="5" s="1"/>
  <c r="AM257" i="5"/>
  <c r="AL257" i="5"/>
  <c r="AJ257" i="5"/>
  <c r="BC258" i="5" s="1"/>
  <c r="BD258" i="5" s="1"/>
  <c r="AS258" i="5" s="1"/>
  <c r="AX258" i="5" s="1"/>
  <c r="AM256" i="5"/>
  <c r="AL256" i="5"/>
  <c r="AJ256" i="5"/>
  <c r="BC257" i="5" s="1"/>
  <c r="AM255" i="5"/>
  <c r="AL255" i="5"/>
  <c r="AJ255" i="5"/>
  <c r="BC256" i="5" s="1"/>
  <c r="BD256" i="5" s="1"/>
  <c r="AS256" i="5" s="1"/>
  <c r="AX256" i="5" s="1"/>
  <c r="AM254" i="5"/>
  <c r="AL254" i="5"/>
  <c r="AJ254" i="5"/>
  <c r="BC255" i="5" s="1"/>
  <c r="BD255" i="5" s="1"/>
  <c r="AS255" i="5" s="1"/>
  <c r="AX255" i="5" s="1"/>
  <c r="AM253" i="5"/>
  <c r="AL253" i="5"/>
  <c r="AJ253" i="5"/>
  <c r="AM251" i="5"/>
  <c r="AL251" i="5"/>
  <c r="AJ251" i="5"/>
  <c r="AM250" i="5"/>
  <c r="AL250" i="5"/>
  <c r="AJ250" i="5"/>
  <c r="BC251" i="5" s="1"/>
  <c r="BD251" i="5" s="1"/>
  <c r="AS251" i="5" s="1"/>
  <c r="AM249" i="5"/>
  <c r="AL249" i="5"/>
  <c r="AJ249" i="5"/>
  <c r="BC250" i="5" s="1"/>
  <c r="BD250" i="5" s="1"/>
  <c r="AS250" i="5" s="1"/>
  <c r="AX250" i="5" s="1"/>
  <c r="AM248" i="5"/>
  <c r="AL248" i="5"/>
  <c r="AJ248" i="5"/>
  <c r="BC249" i="5" s="1"/>
  <c r="BD249" i="5" s="1"/>
  <c r="AS249" i="5" s="1"/>
  <c r="AX249" i="5" s="1"/>
  <c r="AM247" i="5"/>
  <c r="AL247" i="5"/>
  <c r="AJ247" i="5"/>
  <c r="BC248" i="5" s="1"/>
  <c r="BD248" i="5" s="1"/>
  <c r="AS248" i="5" s="1"/>
  <c r="AX248" i="5" s="1"/>
  <c r="AM246" i="5"/>
  <c r="AL246" i="5"/>
  <c r="AJ246" i="5"/>
  <c r="BC247" i="5" s="1"/>
  <c r="BD247" i="5" s="1"/>
  <c r="AS247" i="5" s="1"/>
  <c r="AX247" i="5" s="1"/>
  <c r="AM245" i="5"/>
  <c r="AL245" i="5"/>
  <c r="AJ245" i="5"/>
  <c r="BC246" i="5" s="1"/>
  <c r="BD246" i="5" s="1"/>
  <c r="AS246" i="5" s="1"/>
  <c r="AX246" i="5" s="1"/>
  <c r="AM244" i="5"/>
  <c r="AL244" i="5"/>
  <c r="AJ244" i="5"/>
  <c r="BC245" i="5" s="1"/>
  <c r="BD245" i="5" s="1"/>
  <c r="AS245" i="5" s="1"/>
  <c r="AX245" i="5" s="1"/>
  <c r="AM243" i="5"/>
  <c r="AL243" i="5"/>
  <c r="AJ243" i="5"/>
  <c r="BC244" i="5" s="1"/>
  <c r="BD244" i="5" s="1"/>
  <c r="AS244" i="5" s="1"/>
  <c r="AX244" i="5" s="1"/>
  <c r="AM242" i="5"/>
  <c r="AL242" i="5"/>
  <c r="AJ242" i="5"/>
  <c r="BC243" i="5" s="1"/>
  <c r="BD243" i="5" s="1"/>
  <c r="AS243" i="5" s="1"/>
  <c r="AX243" i="5" s="1"/>
  <c r="AM241" i="5"/>
  <c r="AL241" i="5"/>
  <c r="AJ241" i="5"/>
  <c r="BC242" i="5" s="1"/>
  <c r="BD242" i="5" s="1"/>
  <c r="AS242" i="5" s="1"/>
  <c r="AX242" i="5" s="1"/>
  <c r="AM240" i="5"/>
  <c r="AL240" i="5"/>
  <c r="AJ240" i="5"/>
  <c r="BC241" i="5" s="1"/>
  <c r="BD241" i="5" s="1"/>
  <c r="AS241" i="5" s="1"/>
  <c r="AX241" i="5" s="1"/>
  <c r="AM239" i="5"/>
  <c r="AL239" i="5"/>
  <c r="AJ239" i="5"/>
  <c r="BC240" i="5" s="1"/>
  <c r="BD240" i="5" s="1"/>
  <c r="AS240" i="5" s="1"/>
  <c r="AX240" i="5" s="1"/>
  <c r="AM238" i="5"/>
  <c r="AL238" i="5"/>
  <c r="AJ238" i="5"/>
  <c r="BC239" i="5" s="1"/>
  <c r="BD239" i="5" s="1"/>
  <c r="AS239" i="5" s="1"/>
  <c r="AX239" i="5" s="1"/>
  <c r="AM237" i="5"/>
  <c r="AL237" i="5"/>
  <c r="AJ237" i="5"/>
  <c r="BC238" i="5" s="1"/>
  <c r="BD238" i="5" s="1"/>
  <c r="AS238" i="5" s="1"/>
  <c r="AX238" i="5" s="1"/>
  <c r="AM236" i="5"/>
  <c r="AL236" i="5"/>
  <c r="AJ236" i="5"/>
  <c r="BC237" i="5" s="1"/>
  <c r="BD237" i="5" s="1"/>
  <c r="AS237" i="5" s="1"/>
  <c r="AX237" i="5" s="1"/>
  <c r="AM235" i="5"/>
  <c r="AL235" i="5"/>
  <c r="AJ235" i="5"/>
  <c r="BC236" i="5" s="1"/>
  <c r="BD236" i="5" s="1"/>
  <c r="AS236" i="5" s="1"/>
  <c r="AX236" i="5" s="1"/>
  <c r="AM234" i="5"/>
  <c r="AL234" i="5"/>
  <c r="AJ234" i="5"/>
  <c r="BC235" i="5" s="1"/>
  <c r="BD235" i="5" s="1"/>
  <c r="AS235" i="5" s="1"/>
  <c r="AX235" i="5" s="1"/>
  <c r="AM233" i="5"/>
  <c r="AL233" i="5"/>
  <c r="AJ233" i="5"/>
  <c r="BC234" i="5" s="1"/>
  <c r="BD234" i="5" s="1"/>
  <c r="AS234" i="5" s="1"/>
  <c r="AX234" i="5" s="1"/>
  <c r="AM232" i="5"/>
  <c r="AL232" i="5"/>
  <c r="AJ232" i="5"/>
  <c r="BC233" i="5" s="1"/>
  <c r="BD233" i="5" s="1"/>
  <c r="AS233" i="5" s="1"/>
  <c r="AX233" i="5" s="1"/>
  <c r="AM231" i="5"/>
  <c r="AL231" i="5"/>
  <c r="AJ231" i="5"/>
  <c r="BC232" i="5" s="1"/>
  <c r="BD232" i="5" s="1"/>
  <c r="AS232" i="5" s="1"/>
  <c r="AX232" i="5" s="1"/>
  <c r="AM230" i="5"/>
  <c r="AL230" i="5"/>
  <c r="AJ230" i="5"/>
  <c r="BC231" i="5" s="1"/>
  <c r="BD231" i="5" s="1"/>
  <c r="AS231" i="5" s="1"/>
  <c r="AX231" i="5" s="1"/>
  <c r="AM229" i="5"/>
  <c r="AL229" i="5"/>
  <c r="AJ229" i="5"/>
  <c r="BC230" i="5" s="1"/>
  <c r="BD230" i="5" s="1"/>
  <c r="AS230" i="5" s="1"/>
  <c r="AX230" i="5" s="1"/>
  <c r="AM228" i="5"/>
  <c r="AL228" i="5"/>
  <c r="AJ228" i="5"/>
  <c r="BC229" i="5" s="1"/>
  <c r="BD229" i="5" s="1"/>
  <c r="AS229" i="5" s="1"/>
  <c r="AX229" i="5" s="1"/>
  <c r="AM227" i="5"/>
  <c r="AL227" i="5"/>
  <c r="AJ227" i="5"/>
  <c r="BC228" i="5" s="1"/>
  <c r="BD228" i="5" s="1"/>
  <c r="AS228" i="5" s="1"/>
  <c r="AX228" i="5" s="1"/>
  <c r="AM226" i="5"/>
  <c r="AL226" i="5"/>
  <c r="AN226" i="5" s="1"/>
  <c r="AJ226" i="5"/>
  <c r="AM224" i="5"/>
  <c r="AL224" i="5"/>
  <c r="AN224" i="5" s="1"/>
  <c r="AJ224" i="5"/>
  <c r="AM223" i="5"/>
  <c r="AL223" i="5"/>
  <c r="AN223" i="5" s="1"/>
  <c r="AJ223" i="5"/>
  <c r="BC224" i="5" s="1"/>
  <c r="BD224" i="5" s="1"/>
  <c r="AS224" i="5" s="1"/>
  <c r="AX224" i="5" s="1"/>
  <c r="AM222" i="5"/>
  <c r="AL222" i="5"/>
  <c r="AN222" i="5" s="1"/>
  <c r="AJ222" i="5"/>
  <c r="BC223" i="5" s="1"/>
  <c r="BD223" i="5" s="1"/>
  <c r="AS223" i="5" s="1"/>
  <c r="AX223" i="5" s="1"/>
  <c r="AM221" i="5"/>
  <c r="AL221" i="5"/>
  <c r="AN221" i="5" s="1"/>
  <c r="AJ221" i="5"/>
  <c r="BC222" i="5" s="1"/>
  <c r="BD222" i="5" s="1"/>
  <c r="AS222" i="5" s="1"/>
  <c r="AX222" i="5" s="1"/>
  <c r="AM220" i="5"/>
  <c r="AL220" i="5"/>
  <c r="AN220" i="5" s="1"/>
  <c r="AJ220" i="5"/>
  <c r="BC221" i="5" s="1"/>
  <c r="BD221" i="5" s="1"/>
  <c r="AS221" i="5" s="1"/>
  <c r="AX221" i="5" s="1"/>
  <c r="AM219" i="5"/>
  <c r="AL219" i="5"/>
  <c r="AN219" i="5" s="1"/>
  <c r="AJ219" i="5"/>
  <c r="BC220" i="5" s="1"/>
  <c r="AM218" i="5"/>
  <c r="AL218" i="5"/>
  <c r="AN218" i="5" s="1"/>
  <c r="AJ218" i="5"/>
  <c r="BC219" i="5" s="1"/>
  <c r="AM217" i="5"/>
  <c r="AL217" i="5"/>
  <c r="AN217" i="5" s="1"/>
  <c r="AJ217" i="5"/>
  <c r="BC218" i="5" s="1"/>
  <c r="BD218" i="5" s="1"/>
  <c r="AS218" i="5" s="1"/>
  <c r="AX218" i="5" s="1"/>
  <c r="AM216" i="5"/>
  <c r="AL216" i="5"/>
  <c r="AN216" i="5" s="1"/>
  <c r="AJ216" i="5"/>
  <c r="BC217" i="5" s="1"/>
  <c r="AM215" i="5"/>
  <c r="AL215" i="5"/>
  <c r="AN215" i="5" s="1"/>
  <c r="AJ215" i="5"/>
  <c r="BC216" i="5" s="1"/>
  <c r="AM214" i="5"/>
  <c r="AL214" i="5"/>
  <c r="AN214" i="5" s="1"/>
  <c r="AJ214" i="5"/>
  <c r="BC215" i="5" s="1"/>
  <c r="BD215" i="5" s="1"/>
  <c r="AS215" i="5" s="1"/>
  <c r="AX215" i="5" s="1"/>
  <c r="AM213" i="5"/>
  <c r="AL213" i="5"/>
  <c r="AN213" i="5" s="1"/>
  <c r="AJ213" i="5"/>
  <c r="BC214" i="5" s="1"/>
  <c r="AM212" i="5"/>
  <c r="AL212" i="5"/>
  <c r="AN212" i="5" s="1"/>
  <c r="AJ212" i="5"/>
  <c r="BC213" i="5" s="1"/>
  <c r="BD213" i="5" s="1"/>
  <c r="AS213" i="5" s="1"/>
  <c r="AX213" i="5" s="1"/>
  <c r="AM211" i="5"/>
  <c r="AL211" i="5"/>
  <c r="AN211" i="5" s="1"/>
  <c r="AJ211" i="5"/>
  <c r="BC212" i="5" s="1"/>
  <c r="AM210" i="5"/>
  <c r="AL210" i="5"/>
  <c r="AN210" i="5" s="1"/>
  <c r="AJ210" i="5"/>
  <c r="BC211" i="5" s="1"/>
  <c r="BD211" i="5" s="1"/>
  <c r="AS211" i="5" s="1"/>
  <c r="AX211" i="5" s="1"/>
  <c r="AM209" i="5"/>
  <c r="AL209" i="5"/>
  <c r="AN209" i="5" s="1"/>
  <c r="AJ209" i="5"/>
  <c r="BC210" i="5" s="1"/>
  <c r="BD210" i="5" s="1"/>
  <c r="AS210" i="5" s="1"/>
  <c r="AX210" i="5" s="1"/>
  <c r="AM208" i="5"/>
  <c r="AL208" i="5"/>
  <c r="AN208" i="5" s="1"/>
  <c r="AJ208" i="5"/>
  <c r="BC209" i="5" s="1"/>
  <c r="BD209" i="5" s="1"/>
  <c r="AS209" i="5" s="1"/>
  <c r="AX209" i="5" s="1"/>
  <c r="AM207" i="5"/>
  <c r="AL207" i="5"/>
  <c r="AN207" i="5" s="1"/>
  <c r="AJ207" i="5"/>
  <c r="BC208" i="5" s="1"/>
  <c r="BD208" i="5" s="1"/>
  <c r="AS208" i="5" s="1"/>
  <c r="AX208" i="5" s="1"/>
  <c r="AM206" i="5"/>
  <c r="AL206" i="5"/>
  <c r="AN206" i="5" s="1"/>
  <c r="AJ206" i="5"/>
  <c r="BC207" i="5" s="1"/>
  <c r="BD207" i="5" s="1"/>
  <c r="AS207" i="5" s="1"/>
  <c r="AX207" i="5" s="1"/>
  <c r="AM205" i="5"/>
  <c r="AL205" i="5"/>
  <c r="AN205" i="5" s="1"/>
  <c r="AJ205" i="5"/>
  <c r="BC206" i="5" s="1"/>
  <c r="BD206" i="5" s="1"/>
  <c r="AS206" i="5" s="1"/>
  <c r="AM204" i="5"/>
  <c r="AL204" i="5"/>
  <c r="AN204" i="5" s="1"/>
  <c r="AJ204" i="5"/>
  <c r="BC205" i="5" s="1"/>
  <c r="BD205" i="5" s="1"/>
  <c r="AS205" i="5" s="1"/>
  <c r="AX205" i="5" s="1"/>
  <c r="AM203" i="5"/>
  <c r="AL203" i="5"/>
  <c r="AN203" i="5" s="1"/>
  <c r="AJ203" i="5"/>
  <c r="BC204" i="5" s="1"/>
  <c r="BD204" i="5" s="1"/>
  <c r="AS204" i="5" s="1"/>
  <c r="AX204" i="5" s="1"/>
  <c r="AM202" i="5"/>
  <c r="AL202" i="5"/>
  <c r="AN202" i="5" s="1"/>
  <c r="AJ202" i="5"/>
  <c r="BC203" i="5" s="1"/>
  <c r="BD203" i="5" s="1"/>
  <c r="AS203" i="5" s="1"/>
  <c r="AX203" i="5" s="1"/>
  <c r="AM201" i="5"/>
  <c r="AL201" i="5"/>
  <c r="AN201" i="5" s="1"/>
  <c r="AJ201" i="5"/>
  <c r="BC202" i="5" s="1"/>
  <c r="BD202" i="5" s="1"/>
  <c r="AS202" i="5" s="1"/>
  <c r="AX202" i="5" s="1"/>
  <c r="AM200" i="5"/>
  <c r="AL200" i="5"/>
  <c r="AN200" i="5" s="1"/>
  <c r="AJ200" i="5"/>
  <c r="BC201" i="5" s="1"/>
  <c r="BD201" i="5" s="1"/>
  <c r="AS201" i="5" s="1"/>
  <c r="AM199" i="5"/>
  <c r="AL199" i="5"/>
  <c r="AN199" i="5" s="1"/>
  <c r="AJ199" i="5"/>
  <c r="AM197" i="5"/>
  <c r="AL197" i="5"/>
  <c r="AJ197" i="5"/>
  <c r="AM196" i="5"/>
  <c r="AL196" i="5"/>
  <c r="AN196" i="5" s="1"/>
  <c r="AJ196" i="5"/>
  <c r="BC197" i="5" s="1"/>
  <c r="BD197" i="5" s="1"/>
  <c r="AS197" i="5" s="1"/>
  <c r="AX197" i="5" s="1"/>
  <c r="AM195" i="5"/>
  <c r="AL195" i="5"/>
  <c r="AN195" i="5" s="1"/>
  <c r="AJ195" i="5"/>
  <c r="BC196" i="5" s="1"/>
  <c r="AM194" i="5"/>
  <c r="AL194" i="5"/>
  <c r="AJ194" i="5"/>
  <c r="BC195" i="5" s="1"/>
  <c r="BD195" i="5" s="1"/>
  <c r="AS195" i="5" s="1"/>
  <c r="AX195" i="5" s="1"/>
  <c r="AM193" i="5"/>
  <c r="AL193" i="5"/>
  <c r="AN193" i="5" s="1"/>
  <c r="AJ193" i="5"/>
  <c r="BC194" i="5" s="1"/>
  <c r="BD194" i="5" s="1"/>
  <c r="AS194" i="5" s="1"/>
  <c r="AX194" i="5" s="1"/>
  <c r="AM192" i="5"/>
  <c r="AL192" i="5"/>
  <c r="AJ192" i="5"/>
  <c r="BC193" i="5" s="1"/>
  <c r="BD193" i="5" s="1"/>
  <c r="AS193" i="5" s="1"/>
  <c r="AX193" i="5" s="1"/>
  <c r="AM191" i="5"/>
  <c r="AL191" i="5"/>
  <c r="AJ191" i="5"/>
  <c r="BC192" i="5" s="1"/>
  <c r="AM190" i="5"/>
  <c r="AL190" i="5"/>
  <c r="AN190" i="5" s="1"/>
  <c r="AJ190" i="5"/>
  <c r="BC191" i="5" s="1"/>
  <c r="BD191" i="5" s="1"/>
  <c r="AS191" i="5" s="1"/>
  <c r="AX191" i="5" s="1"/>
  <c r="AM189" i="5"/>
  <c r="AL189" i="5"/>
  <c r="AN189" i="5" s="1"/>
  <c r="AJ189" i="5"/>
  <c r="BC190" i="5" s="1"/>
  <c r="BD190" i="5" s="1"/>
  <c r="AS190" i="5" s="1"/>
  <c r="AX190" i="5" s="1"/>
  <c r="AM188" i="5"/>
  <c r="AL188" i="5"/>
  <c r="AN188" i="5" s="1"/>
  <c r="AJ188" i="5"/>
  <c r="BC189" i="5" s="1"/>
  <c r="AM187" i="5"/>
  <c r="AL187" i="5"/>
  <c r="AN187" i="5" s="1"/>
  <c r="AJ187" i="5"/>
  <c r="BC188" i="5" s="1"/>
  <c r="BD188" i="5" s="1"/>
  <c r="AS188" i="5" s="1"/>
  <c r="AX188" i="5" s="1"/>
  <c r="AM186" i="5"/>
  <c r="AL186" i="5"/>
  <c r="AN186" i="5" s="1"/>
  <c r="AJ186" i="5"/>
  <c r="BC187" i="5" s="1"/>
  <c r="AM185" i="5"/>
  <c r="AL185" i="5"/>
  <c r="AN185" i="5" s="1"/>
  <c r="AJ185" i="5"/>
  <c r="BC186" i="5" s="1"/>
  <c r="BD186" i="5" s="1"/>
  <c r="AS186" i="5" s="1"/>
  <c r="AX186" i="5" s="1"/>
  <c r="AM184" i="5"/>
  <c r="AL184" i="5"/>
  <c r="AN184" i="5" s="1"/>
  <c r="AJ184" i="5"/>
  <c r="BC185" i="5" s="1"/>
  <c r="AM183" i="5"/>
  <c r="AL183" i="5"/>
  <c r="AN183" i="5" s="1"/>
  <c r="AJ183" i="5"/>
  <c r="BC184" i="5" s="1"/>
  <c r="BD184" i="5" s="1"/>
  <c r="AS184" i="5" s="1"/>
  <c r="AX184" i="5" s="1"/>
  <c r="AM182" i="5"/>
  <c r="AL182" i="5"/>
  <c r="AN182" i="5" s="1"/>
  <c r="AJ182" i="5"/>
  <c r="BC183" i="5" s="1"/>
  <c r="AM181" i="5"/>
  <c r="AL181" i="5"/>
  <c r="AN181" i="5" s="1"/>
  <c r="AJ181" i="5"/>
  <c r="BC182" i="5" s="1"/>
  <c r="BD182" i="5" s="1"/>
  <c r="AS182" i="5" s="1"/>
  <c r="AX182" i="5" s="1"/>
  <c r="AM180" i="5"/>
  <c r="AL180" i="5"/>
  <c r="AN180" i="5" s="1"/>
  <c r="AJ180" i="5"/>
  <c r="BC181" i="5" s="1"/>
  <c r="AM179" i="5"/>
  <c r="AL179" i="5"/>
  <c r="AN179" i="5" s="1"/>
  <c r="AJ179" i="5"/>
  <c r="BC180" i="5" s="1"/>
  <c r="BD180" i="5" s="1"/>
  <c r="AS180" i="5" s="1"/>
  <c r="AX180" i="5" s="1"/>
  <c r="AM178" i="5"/>
  <c r="AL178" i="5"/>
  <c r="AN178" i="5" s="1"/>
  <c r="AJ178" i="5"/>
  <c r="BC179" i="5" s="1"/>
  <c r="AM177" i="5"/>
  <c r="AL177" i="5"/>
  <c r="AN177" i="5" s="1"/>
  <c r="AJ177" i="5"/>
  <c r="BC178" i="5" s="1"/>
  <c r="BD178" i="5" s="1"/>
  <c r="AS178" i="5" s="1"/>
  <c r="AX178" i="5" s="1"/>
  <c r="AM176" i="5"/>
  <c r="AL176" i="5"/>
  <c r="AN176" i="5" s="1"/>
  <c r="AJ176" i="5"/>
  <c r="BC177" i="5" s="1"/>
  <c r="AM175" i="5"/>
  <c r="AL175" i="5"/>
  <c r="AN175" i="5" s="1"/>
  <c r="AJ175" i="5"/>
  <c r="BC176" i="5" s="1"/>
  <c r="BD176" i="5" s="1"/>
  <c r="AS176" i="5" s="1"/>
  <c r="AX176" i="5" s="1"/>
  <c r="AM174" i="5"/>
  <c r="AL174" i="5"/>
  <c r="AN174" i="5" s="1"/>
  <c r="AJ174" i="5"/>
  <c r="BC175" i="5" s="1"/>
  <c r="AM173" i="5"/>
  <c r="AL173" i="5"/>
  <c r="AN173" i="5" s="1"/>
  <c r="AJ173" i="5"/>
  <c r="BC174" i="5" s="1"/>
  <c r="BD174" i="5" s="1"/>
  <c r="AS174" i="5" s="1"/>
  <c r="AX174" i="5" s="1"/>
  <c r="AM172" i="5"/>
  <c r="AL172" i="5"/>
  <c r="AN172" i="5" s="1"/>
  <c r="AJ172" i="5"/>
  <c r="AM170" i="5"/>
  <c r="AL170" i="5"/>
  <c r="AJ170" i="5"/>
  <c r="AM169" i="5"/>
  <c r="AL169" i="5"/>
  <c r="AJ169" i="5"/>
  <c r="BC170" i="5" s="1"/>
  <c r="BD170" i="5" s="1"/>
  <c r="AS170" i="5" s="1"/>
  <c r="AX170" i="5" s="1"/>
  <c r="AM168" i="5"/>
  <c r="AL168" i="5"/>
  <c r="AJ168" i="5"/>
  <c r="BC169" i="5" s="1"/>
  <c r="AM167" i="5"/>
  <c r="AL167" i="5"/>
  <c r="AN167" i="5" s="1"/>
  <c r="AJ167" i="5"/>
  <c r="BC168" i="5" s="1"/>
  <c r="BD168" i="5" s="1"/>
  <c r="AS168" i="5" s="1"/>
  <c r="AX168" i="5" s="1"/>
  <c r="AM166" i="5"/>
  <c r="AL166" i="5"/>
  <c r="AN166" i="5" s="1"/>
  <c r="AJ166" i="5"/>
  <c r="BC167" i="5" s="1"/>
  <c r="AM165" i="5"/>
  <c r="AL165" i="5"/>
  <c r="AJ165" i="5"/>
  <c r="AM164" i="5"/>
  <c r="AL164" i="5"/>
  <c r="AM163" i="5"/>
  <c r="AL163" i="5"/>
  <c r="AJ163" i="5"/>
  <c r="AM162" i="5"/>
  <c r="AL162" i="5"/>
  <c r="AM161" i="5"/>
  <c r="AL161" i="5"/>
  <c r="AJ161" i="5"/>
  <c r="BC162" i="5" s="1"/>
  <c r="BD162" i="5" s="1"/>
  <c r="AS162" i="5" s="1"/>
  <c r="AX162" i="5" s="1"/>
  <c r="AM160" i="5"/>
  <c r="AL160" i="5"/>
  <c r="AJ160" i="5"/>
  <c r="AM158" i="5"/>
  <c r="AL158" i="5"/>
  <c r="AN158" i="5" s="1"/>
  <c r="AJ158" i="5"/>
  <c r="AM157" i="5"/>
  <c r="AL157" i="5"/>
  <c r="AN157" i="5" s="1"/>
  <c r="AM156" i="5"/>
  <c r="AL156" i="5"/>
  <c r="AN156" i="5" s="1"/>
  <c r="AM155" i="5"/>
  <c r="AL155" i="5"/>
  <c r="AN155" i="5" s="1"/>
  <c r="AJ155" i="5"/>
  <c r="BC156" i="5" s="1"/>
  <c r="BD156" i="5" s="1"/>
  <c r="AS156" i="5" s="1"/>
  <c r="AX156" i="5" s="1"/>
  <c r="AM154" i="5"/>
  <c r="AL154" i="5"/>
  <c r="AN154" i="5" s="1"/>
  <c r="AJ154" i="5"/>
  <c r="BC155" i="5" s="1"/>
  <c r="BD155" i="5" s="1"/>
  <c r="AS155" i="5" s="1"/>
  <c r="AX155" i="5" s="1"/>
  <c r="AM153" i="5"/>
  <c r="AL153" i="5"/>
  <c r="AN153" i="5" s="1"/>
  <c r="AJ153" i="5"/>
  <c r="BC154" i="5" s="1"/>
  <c r="BD154" i="5" s="1"/>
  <c r="AS154" i="5" s="1"/>
  <c r="AX154" i="5" s="1"/>
  <c r="AM152" i="5"/>
  <c r="AL152" i="5"/>
  <c r="AN152" i="5" s="1"/>
  <c r="AJ152" i="5"/>
  <c r="BC153" i="5" s="1"/>
  <c r="BD153" i="5" s="1"/>
  <c r="AS153" i="5" s="1"/>
  <c r="AX153" i="5" s="1"/>
  <c r="AM151" i="5"/>
  <c r="AL151" i="5"/>
  <c r="AN151" i="5" s="1"/>
  <c r="AJ151" i="5"/>
  <c r="BC152" i="5" s="1"/>
  <c r="BD152" i="5" s="1"/>
  <c r="AS152" i="5" s="1"/>
  <c r="AX152" i="5" s="1"/>
  <c r="AM150" i="5"/>
  <c r="AL150" i="5"/>
  <c r="AN150" i="5" s="1"/>
  <c r="AJ150" i="5"/>
  <c r="BC151" i="5" s="1"/>
  <c r="BD151" i="5" s="1"/>
  <c r="AS151" i="5" s="1"/>
  <c r="AX151" i="5" s="1"/>
  <c r="AM149" i="5"/>
  <c r="AL149" i="5"/>
  <c r="AN149" i="5" s="1"/>
  <c r="AJ149" i="5"/>
  <c r="BC150" i="5" s="1"/>
  <c r="BD150" i="5" s="1"/>
  <c r="AS150" i="5" s="1"/>
  <c r="AX150" i="5" s="1"/>
  <c r="AM148" i="5"/>
  <c r="AL148" i="5"/>
  <c r="AN148" i="5" s="1"/>
  <c r="AJ148" i="5"/>
  <c r="BC149" i="5" s="1"/>
  <c r="BD149" i="5" s="1"/>
  <c r="AS149" i="5" s="1"/>
  <c r="AX149" i="5" s="1"/>
  <c r="AM147" i="5"/>
  <c r="AL147" i="5"/>
  <c r="AN147" i="5" s="1"/>
  <c r="AJ147" i="5"/>
  <c r="BC148" i="5" s="1"/>
  <c r="BD148" i="5" s="1"/>
  <c r="AS148" i="5" s="1"/>
  <c r="AX148" i="5" s="1"/>
  <c r="AM146" i="5"/>
  <c r="AL146" i="5"/>
  <c r="AN146" i="5" s="1"/>
  <c r="AJ146" i="5"/>
  <c r="BC147" i="5" s="1"/>
  <c r="BD147" i="5" s="1"/>
  <c r="AS147" i="5" s="1"/>
  <c r="AX147" i="5" s="1"/>
  <c r="AM145" i="5"/>
  <c r="AL145" i="5"/>
  <c r="AJ145" i="5"/>
  <c r="BC146" i="5" s="1"/>
  <c r="BD146" i="5" s="1"/>
  <c r="AS146" i="5" s="1"/>
  <c r="AX146" i="5" s="1"/>
  <c r="AM144" i="5"/>
  <c r="AL144" i="5"/>
  <c r="AJ144" i="5"/>
  <c r="AM142" i="5"/>
  <c r="AL142" i="5"/>
  <c r="AN142" i="5" s="1"/>
  <c r="AJ142" i="5"/>
  <c r="AM141" i="5"/>
  <c r="AL141" i="5"/>
  <c r="AN141" i="5" s="1"/>
  <c r="AJ141" i="5"/>
  <c r="BC142" i="5" s="1"/>
  <c r="AM140" i="5"/>
  <c r="AL140" i="5"/>
  <c r="AJ140" i="5"/>
  <c r="BC141" i="5" s="1"/>
  <c r="BD141" i="5" s="1"/>
  <c r="AS141" i="5" s="1"/>
  <c r="AM139" i="5"/>
  <c r="AL139" i="5"/>
  <c r="AJ139" i="5"/>
  <c r="BC140" i="5" s="1"/>
  <c r="BD140" i="5" s="1"/>
  <c r="AS140" i="5" s="1"/>
  <c r="AM138" i="5"/>
  <c r="AL138" i="5"/>
  <c r="AJ138" i="5"/>
  <c r="BC139" i="5" s="1"/>
  <c r="BD139" i="5" s="1"/>
  <c r="AS139" i="5" s="1"/>
  <c r="AM137" i="5"/>
  <c r="AL137" i="5"/>
  <c r="AJ137" i="5"/>
  <c r="BC138" i="5" s="1"/>
  <c r="BD138" i="5" s="1"/>
  <c r="AS138" i="5" s="1"/>
  <c r="AM136" i="5"/>
  <c r="AL136" i="5"/>
  <c r="AJ136" i="5"/>
  <c r="BC137" i="5" s="1"/>
  <c r="AM135" i="5"/>
  <c r="AL135" i="5"/>
  <c r="AJ135" i="5"/>
  <c r="BC136" i="5" s="1"/>
  <c r="BD136" i="5" s="1"/>
  <c r="AS136" i="5" s="1"/>
  <c r="AM134" i="5"/>
  <c r="AL134" i="5"/>
  <c r="AJ134" i="5"/>
  <c r="BC135" i="5" s="1"/>
  <c r="BD135" i="5" s="1"/>
  <c r="AS135" i="5" s="1"/>
  <c r="AM133" i="5"/>
  <c r="AL133" i="5"/>
  <c r="AJ133" i="5"/>
  <c r="BC134" i="5" s="1"/>
  <c r="BD134" i="5" s="1"/>
  <c r="AS134" i="5" s="1"/>
  <c r="AM132" i="5"/>
  <c r="AL132" i="5"/>
  <c r="AN132" i="5" s="1"/>
  <c r="AJ132" i="5"/>
  <c r="BC133" i="5" s="1"/>
  <c r="BD133" i="5" s="1"/>
  <c r="AS133" i="5" s="1"/>
  <c r="AM131" i="5"/>
  <c r="AL131" i="5"/>
  <c r="AN131" i="5" s="1"/>
  <c r="AJ131" i="5"/>
  <c r="BC132" i="5" s="1"/>
  <c r="AM130" i="5"/>
  <c r="AL130" i="5"/>
  <c r="AN130" i="5" s="1"/>
  <c r="AJ130" i="5"/>
  <c r="BC131" i="5" s="1"/>
  <c r="AM129" i="5"/>
  <c r="AL129" i="5"/>
  <c r="AN129" i="5" s="1"/>
  <c r="AJ129" i="5"/>
  <c r="BC130" i="5" s="1"/>
  <c r="AM128" i="5"/>
  <c r="AL128" i="5"/>
  <c r="AN128" i="5" s="1"/>
  <c r="AJ128" i="5"/>
  <c r="BC129" i="5" s="1"/>
  <c r="BD129" i="5" s="1"/>
  <c r="AS129" i="5" s="1"/>
  <c r="AM127" i="5"/>
  <c r="AL127" i="5"/>
  <c r="AN127" i="5" s="1"/>
  <c r="AJ127" i="5"/>
  <c r="BC128" i="5" s="1"/>
  <c r="AM126" i="5"/>
  <c r="AL126" i="5"/>
  <c r="AN126" i="5" s="1"/>
  <c r="AJ126" i="5"/>
  <c r="BC127" i="5" s="1"/>
  <c r="BD127" i="5" s="1"/>
  <c r="AS127" i="5" s="1"/>
  <c r="AM125" i="5"/>
  <c r="AL125" i="5"/>
  <c r="AN125" i="5" s="1"/>
  <c r="AJ125" i="5"/>
  <c r="BC126" i="5" s="1"/>
  <c r="AM124" i="5"/>
  <c r="AL124" i="5"/>
  <c r="AN124" i="5" s="1"/>
  <c r="AJ124" i="5"/>
  <c r="BC125" i="5" s="1"/>
  <c r="BD125" i="5" s="1"/>
  <c r="AS125" i="5" s="1"/>
  <c r="AM123" i="5"/>
  <c r="AL123" i="5"/>
  <c r="AN123" i="5" s="1"/>
  <c r="AJ123" i="5"/>
  <c r="BC124" i="5" s="1"/>
  <c r="AM122" i="5"/>
  <c r="AL122" i="5"/>
  <c r="AN122" i="5" s="1"/>
  <c r="AJ122" i="5"/>
  <c r="BC123" i="5" s="1"/>
  <c r="BD123" i="5" s="1"/>
  <c r="AS123" i="5" s="1"/>
  <c r="AM121" i="5"/>
  <c r="AL121" i="5"/>
  <c r="AN121" i="5" s="1"/>
  <c r="AJ121" i="5"/>
  <c r="BC122" i="5" s="1"/>
  <c r="AM120" i="5"/>
  <c r="AL120" i="5"/>
  <c r="AN120" i="5" s="1"/>
  <c r="AJ120" i="5"/>
  <c r="BC121" i="5" s="1"/>
  <c r="BD121" i="5" s="1"/>
  <c r="AS121" i="5" s="1"/>
  <c r="AM119" i="5"/>
  <c r="AL119" i="5"/>
  <c r="AN119" i="5" s="1"/>
  <c r="AJ119" i="5"/>
  <c r="BC120" i="5" s="1"/>
  <c r="AM118" i="5"/>
  <c r="AL118" i="5"/>
  <c r="AN118" i="5" s="1"/>
  <c r="AJ118" i="5"/>
  <c r="BC119" i="5" s="1"/>
  <c r="BD119" i="5" s="1"/>
  <c r="AS119" i="5" s="1"/>
  <c r="AM117" i="5"/>
  <c r="AL117" i="5"/>
  <c r="AN117" i="5" s="1"/>
  <c r="AJ117" i="5"/>
  <c r="BC118" i="5" s="1"/>
  <c r="AM116" i="5"/>
  <c r="AL116" i="5"/>
  <c r="AN116" i="5" s="1"/>
  <c r="AJ116" i="5"/>
  <c r="BC117" i="5" s="1"/>
  <c r="BD117" i="5" s="1"/>
  <c r="AS117" i="5" s="1"/>
  <c r="AM115" i="5"/>
  <c r="AL115" i="5"/>
  <c r="AN115" i="5" s="1"/>
  <c r="AJ115" i="5"/>
  <c r="BC116" i="5" s="1"/>
  <c r="AM114" i="5"/>
  <c r="AL114" i="5"/>
  <c r="AN114" i="5" s="1"/>
  <c r="AJ114" i="5"/>
  <c r="BC115" i="5" s="1"/>
  <c r="BD115" i="5" s="1"/>
  <c r="AS115" i="5" s="1"/>
  <c r="AM113" i="5"/>
  <c r="AL113" i="5"/>
  <c r="AN113" i="5" s="1"/>
  <c r="AJ113" i="5"/>
  <c r="BC114" i="5" s="1"/>
  <c r="AM112" i="5"/>
  <c r="AL112" i="5"/>
  <c r="AN112" i="5" s="1"/>
  <c r="AJ112" i="5"/>
  <c r="BC113" i="5" s="1"/>
  <c r="BD113" i="5" s="1"/>
  <c r="AS113" i="5" s="1"/>
  <c r="AM111" i="5"/>
  <c r="AL111" i="5"/>
  <c r="AN111" i="5" s="1"/>
  <c r="AJ111" i="5"/>
  <c r="BC112" i="5" s="1"/>
  <c r="AM110" i="5"/>
  <c r="AL110" i="5"/>
  <c r="AN110" i="5" s="1"/>
  <c r="AJ110" i="5"/>
  <c r="BC111" i="5" s="1"/>
  <c r="BD111" i="5" s="1"/>
  <c r="AS111" i="5" s="1"/>
  <c r="AM109" i="5"/>
  <c r="AL109" i="5"/>
  <c r="AN109" i="5" s="1"/>
  <c r="AJ109" i="5"/>
  <c r="BC110" i="5" s="1"/>
  <c r="AM108" i="5"/>
  <c r="AL108" i="5"/>
  <c r="AN108" i="5" s="1"/>
  <c r="AJ108" i="5"/>
  <c r="BC109" i="5" s="1"/>
  <c r="BD109" i="5" s="1"/>
  <c r="AS109" i="5" s="1"/>
  <c r="AM107" i="5"/>
  <c r="AL107" i="5"/>
  <c r="AN107" i="5" s="1"/>
  <c r="AJ107" i="5"/>
  <c r="AM106" i="5"/>
  <c r="AL106" i="5"/>
  <c r="AM105" i="5"/>
  <c r="AL105" i="5"/>
  <c r="AN105" i="5" s="1"/>
  <c r="AJ105" i="5"/>
  <c r="BC106" i="5" s="1"/>
  <c r="BD106" i="5" s="1"/>
  <c r="AS106" i="5" s="1"/>
  <c r="AM104" i="5"/>
  <c r="AL104" i="5"/>
  <c r="AN104" i="5" s="1"/>
  <c r="AJ104" i="5"/>
  <c r="BC105" i="5" s="1"/>
  <c r="AM103" i="5"/>
  <c r="AL103" i="5"/>
  <c r="AN103" i="5" s="1"/>
  <c r="AJ103" i="5"/>
  <c r="BC104" i="5" s="1"/>
  <c r="BD104" i="5" s="1"/>
  <c r="AS104" i="5" s="1"/>
  <c r="AM102" i="5"/>
  <c r="AL102" i="5"/>
  <c r="AN102" i="5" s="1"/>
  <c r="AJ102" i="5"/>
  <c r="BC103" i="5" s="1"/>
  <c r="AM101" i="5"/>
  <c r="AL101" i="5"/>
  <c r="AN101" i="5" s="1"/>
  <c r="AJ101" i="5"/>
  <c r="BC102" i="5" s="1"/>
  <c r="AM100" i="5"/>
  <c r="AL100" i="5"/>
  <c r="AN100" i="5" s="1"/>
  <c r="AJ100" i="5"/>
  <c r="BC101" i="5" s="1"/>
  <c r="AM99" i="5"/>
  <c r="AL99" i="5"/>
  <c r="AN99" i="5" s="1"/>
  <c r="AJ99" i="5"/>
  <c r="BC100" i="5" s="1"/>
  <c r="BD100" i="5" s="1"/>
  <c r="AS100" i="5" s="1"/>
  <c r="AM98" i="5"/>
  <c r="AL98" i="5"/>
  <c r="AN98" i="5" s="1"/>
  <c r="AJ98" i="5"/>
  <c r="BC99" i="5" s="1"/>
  <c r="AM97" i="5"/>
  <c r="AL97" i="5"/>
  <c r="AN97" i="5" s="1"/>
  <c r="AJ97" i="5"/>
  <c r="BC98" i="5" s="1"/>
  <c r="BD98" i="5" s="1"/>
  <c r="AS98" i="5" s="1"/>
  <c r="AM96" i="5"/>
  <c r="AL96" i="5"/>
  <c r="AN96" i="5" s="1"/>
  <c r="AJ96" i="5"/>
  <c r="BC97" i="5" s="1"/>
  <c r="AM95" i="5"/>
  <c r="AL95" i="5"/>
  <c r="AN95" i="5" s="1"/>
  <c r="AJ95" i="5"/>
  <c r="BC96" i="5" s="1"/>
  <c r="AM94" i="5"/>
  <c r="AL94" i="5"/>
  <c r="AN94" i="5" s="1"/>
  <c r="AJ94" i="5"/>
  <c r="BC95" i="5" s="1"/>
  <c r="AM93" i="5"/>
  <c r="AL93" i="5"/>
  <c r="AN93" i="5" s="1"/>
  <c r="AJ93" i="5"/>
  <c r="BC94" i="5" s="1"/>
  <c r="AM92" i="5"/>
  <c r="AL92" i="5"/>
  <c r="AN92" i="5" s="1"/>
  <c r="AJ92" i="5"/>
  <c r="BC93" i="5" s="1"/>
  <c r="AM91" i="5"/>
  <c r="AL91" i="5"/>
  <c r="AN91" i="5" s="1"/>
  <c r="AJ91" i="5"/>
  <c r="BC92" i="5" s="1"/>
  <c r="BD92" i="5" s="1"/>
  <c r="AS92" i="5" s="1"/>
  <c r="AM90" i="5"/>
  <c r="AL90" i="5"/>
  <c r="AN90" i="5" s="1"/>
  <c r="AJ90" i="5"/>
  <c r="BC91" i="5" s="1"/>
  <c r="AM89" i="5"/>
  <c r="AL89" i="5"/>
  <c r="AN89" i="5" s="1"/>
  <c r="AJ89" i="5"/>
  <c r="BC90" i="5" s="1"/>
  <c r="BD90" i="5" s="1"/>
  <c r="AS90" i="5" s="1"/>
  <c r="AM88" i="5"/>
  <c r="AL88" i="5"/>
  <c r="AN88" i="5" s="1"/>
  <c r="AJ88" i="5"/>
  <c r="BC89" i="5" s="1"/>
  <c r="AM87" i="5"/>
  <c r="AL87" i="5"/>
  <c r="AN87" i="5" s="1"/>
  <c r="AJ87" i="5"/>
  <c r="BC88" i="5" s="1"/>
  <c r="BD88" i="5" s="1"/>
  <c r="AS88" i="5" s="1"/>
  <c r="AM86" i="5"/>
  <c r="AL86" i="5"/>
  <c r="AN86" i="5" s="1"/>
  <c r="AJ86" i="5"/>
  <c r="BC87" i="5" s="1"/>
  <c r="AM85" i="5"/>
  <c r="AL85" i="5"/>
  <c r="AN85" i="5" s="1"/>
  <c r="AJ85" i="5"/>
  <c r="BC86" i="5" s="1"/>
  <c r="AM84" i="5"/>
  <c r="AL84" i="5"/>
  <c r="AN84" i="5" s="1"/>
  <c r="AJ84" i="5"/>
  <c r="BC85" i="5" s="1"/>
  <c r="AM83" i="5"/>
  <c r="AL83" i="5"/>
  <c r="AN83" i="5" s="1"/>
  <c r="AJ83" i="5"/>
  <c r="BC84" i="5" s="1"/>
  <c r="AM82" i="5"/>
  <c r="AL82" i="5"/>
  <c r="AN82" i="5" s="1"/>
  <c r="AJ82" i="5"/>
  <c r="BC83" i="5" s="1"/>
  <c r="AM81" i="5"/>
  <c r="AL81" i="5"/>
  <c r="AN81" i="5" s="1"/>
  <c r="AJ81" i="5"/>
  <c r="BC82" i="5" s="1"/>
  <c r="BD82" i="5" s="1"/>
  <c r="AS82" i="5" s="1"/>
  <c r="AM80" i="5"/>
  <c r="AL80" i="5"/>
  <c r="AN80" i="5" s="1"/>
  <c r="AJ80" i="5"/>
  <c r="BC81" i="5" s="1"/>
  <c r="AM79" i="5"/>
  <c r="AL79" i="5"/>
  <c r="AN79" i="5" s="1"/>
  <c r="AJ79" i="5"/>
  <c r="BC80" i="5" s="1"/>
  <c r="AM78" i="5"/>
  <c r="AL78" i="5"/>
  <c r="AN78" i="5" s="1"/>
  <c r="AJ78" i="5"/>
  <c r="BC79" i="5" s="1"/>
  <c r="AM77" i="5"/>
  <c r="AL77" i="5"/>
  <c r="AN77" i="5" s="1"/>
  <c r="AJ77" i="5"/>
  <c r="BC78" i="5" s="1"/>
  <c r="BD78" i="5" s="1"/>
  <c r="AS78" i="5" s="1"/>
  <c r="AM76" i="5"/>
  <c r="AL76" i="5"/>
  <c r="AN76" i="5" s="1"/>
  <c r="AJ76" i="5"/>
  <c r="BC77" i="5" s="1"/>
  <c r="AM75" i="5"/>
  <c r="AL75" i="5"/>
  <c r="AN75" i="5" s="1"/>
  <c r="AJ75" i="5"/>
  <c r="BC76" i="5" s="1"/>
  <c r="AM74" i="5"/>
  <c r="AL74" i="5"/>
  <c r="AN74" i="5" s="1"/>
  <c r="AJ74" i="5"/>
  <c r="BC75" i="5" s="1"/>
  <c r="AM73" i="5"/>
  <c r="AL73" i="5"/>
  <c r="AN73" i="5" s="1"/>
  <c r="AJ73" i="5"/>
  <c r="BC74" i="5" s="1"/>
  <c r="BD74" i="5" s="1"/>
  <c r="AS74" i="5" s="1"/>
  <c r="AM72" i="5"/>
  <c r="AL72" i="5"/>
  <c r="AN72" i="5" s="1"/>
  <c r="AJ72" i="5"/>
  <c r="BC73" i="5" s="1"/>
  <c r="AM71" i="5"/>
  <c r="AL71" i="5"/>
  <c r="AN71" i="5" s="1"/>
  <c r="AJ71" i="5"/>
  <c r="BC72" i="5" s="1"/>
  <c r="BD72" i="5" s="1"/>
  <c r="AS72" i="5" s="1"/>
  <c r="AM70" i="5"/>
  <c r="AL70" i="5"/>
  <c r="AN70" i="5" s="1"/>
  <c r="AJ70" i="5"/>
  <c r="BC71" i="5" s="1"/>
  <c r="AM69" i="5"/>
  <c r="AL69" i="5"/>
  <c r="AN69" i="5" s="1"/>
  <c r="AJ69" i="5"/>
  <c r="BC70" i="5" s="1"/>
  <c r="BD70" i="5" s="1"/>
  <c r="AS70" i="5" s="1"/>
  <c r="AM68" i="5"/>
  <c r="AL68" i="5"/>
  <c r="AN68" i="5" s="1"/>
  <c r="AJ68" i="5"/>
  <c r="BC69" i="5" s="1"/>
  <c r="AM67" i="5"/>
  <c r="AL67" i="5"/>
  <c r="AN67" i="5" s="1"/>
  <c r="AJ67" i="5"/>
  <c r="BC68" i="5" s="1"/>
  <c r="AM66" i="5"/>
  <c r="AL66" i="5"/>
  <c r="AN66" i="5" s="1"/>
  <c r="AJ66" i="5"/>
  <c r="BC67" i="5" s="1"/>
  <c r="AM65" i="5"/>
  <c r="AL65" i="5"/>
  <c r="AN65" i="5" s="1"/>
  <c r="AJ65" i="5"/>
  <c r="BC66" i="5" s="1"/>
  <c r="AM64" i="5"/>
  <c r="AL64" i="5"/>
  <c r="AN64" i="5" s="1"/>
  <c r="AJ64" i="5"/>
  <c r="BC65" i="5" s="1"/>
  <c r="AM63" i="5"/>
  <c r="AL63" i="5"/>
  <c r="AN63" i="5" s="1"/>
  <c r="AJ63" i="5"/>
  <c r="BC64" i="5" s="1"/>
  <c r="AM62" i="5"/>
  <c r="AL62" i="5"/>
  <c r="AN62" i="5" s="1"/>
  <c r="AJ62" i="5"/>
  <c r="BC63" i="5" s="1"/>
  <c r="AM61" i="5"/>
  <c r="AL61" i="5"/>
  <c r="AN61" i="5" s="1"/>
  <c r="AJ61" i="5"/>
  <c r="BC62" i="5" s="1"/>
  <c r="AM60" i="5"/>
  <c r="AL60" i="5"/>
  <c r="AN60" i="5" s="1"/>
  <c r="AJ60" i="5"/>
  <c r="BC61" i="5" s="1"/>
  <c r="AM59" i="5"/>
  <c r="AL59" i="5"/>
  <c r="AN59" i="5" s="1"/>
  <c r="AJ59" i="5"/>
  <c r="BC60" i="5" s="1"/>
  <c r="BD60" i="5" s="1"/>
  <c r="AS60" i="5" s="1"/>
  <c r="AM58" i="5"/>
  <c r="AL58" i="5"/>
  <c r="AN58" i="5" s="1"/>
  <c r="AJ58" i="5"/>
  <c r="BC59" i="5" s="1"/>
  <c r="AM57" i="5"/>
  <c r="AL57" i="5"/>
  <c r="AN57" i="5" s="1"/>
  <c r="AJ57" i="5"/>
  <c r="BC58" i="5" s="1"/>
  <c r="AM56" i="5"/>
  <c r="AL56" i="5"/>
  <c r="AN56" i="5" s="1"/>
  <c r="AJ56" i="5"/>
  <c r="BC57" i="5" s="1"/>
  <c r="AM55" i="5"/>
  <c r="AL55" i="5"/>
  <c r="AN55" i="5" s="1"/>
  <c r="AJ55" i="5"/>
  <c r="BC56" i="5" s="1"/>
  <c r="AM54" i="5"/>
  <c r="AL54" i="5"/>
  <c r="AN54" i="5" s="1"/>
  <c r="AJ54" i="5"/>
  <c r="BC55" i="5" s="1"/>
  <c r="AM53" i="5"/>
  <c r="AL53" i="5"/>
  <c r="AN53" i="5" s="1"/>
  <c r="AJ53" i="5"/>
  <c r="BC54" i="5" s="1"/>
  <c r="AM52" i="5"/>
  <c r="AL52" i="5"/>
  <c r="AN52" i="5" s="1"/>
  <c r="AJ52" i="5"/>
  <c r="BC53" i="5" s="1"/>
  <c r="AM51" i="5"/>
  <c r="AL51" i="5"/>
  <c r="AN51" i="5" s="1"/>
  <c r="AJ51" i="5"/>
  <c r="BC52" i="5" s="1"/>
  <c r="AM50" i="5"/>
  <c r="AL50" i="5"/>
  <c r="AN50" i="5" s="1"/>
  <c r="AJ50" i="5"/>
  <c r="BC51" i="5" s="1"/>
  <c r="AM49" i="5"/>
  <c r="AL49" i="5"/>
  <c r="AN49" i="5" s="1"/>
  <c r="AJ49" i="5"/>
  <c r="BC50" i="5" s="1"/>
  <c r="BD50" i="5" s="1"/>
  <c r="AS50" i="5" s="1"/>
  <c r="AM48" i="5"/>
  <c r="AL48" i="5"/>
  <c r="AN48" i="5" s="1"/>
  <c r="AJ48" i="5"/>
  <c r="BC49" i="5" s="1"/>
  <c r="AM47" i="5"/>
  <c r="AL47" i="5"/>
  <c r="AN47" i="5" s="1"/>
  <c r="AJ47" i="5"/>
  <c r="BC48" i="5" s="1"/>
  <c r="AM46" i="5"/>
  <c r="AL46" i="5"/>
  <c r="AN46" i="5" s="1"/>
  <c r="AJ46" i="5"/>
  <c r="BC47" i="5" s="1"/>
  <c r="AM45" i="5"/>
  <c r="AL45" i="5"/>
  <c r="AN45" i="5" s="1"/>
  <c r="AJ45" i="5"/>
  <c r="BC46" i="5" s="1"/>
  <c r="BD46" i="5" s="1"/>
  <c r="AS46" i="5" s="1"/>
  <c r="AM44" i="5"/>
  <c r="AL44" i="5"/>
  <c r="AN44" i="5" s="1"/>
  <c r="AJ44" i="5"/>
  <c r="BC45" i="5" s="1"/>
  <c r="AM43" i="5"/>
  <c r="AL43" i="5"/>
  <c r="AN43" i="5" s="1"/>
  <c r="AJ43" i="5"/>
  <c r="BC44" i="5" s="1"/>
  <c r="BD44" i="5" s="1"/>
  <c r="AS44" i="5" s="1"/>
  <c r="AM42" i="5"/>
  <c r="AL42" i="5"/>
  <c r="AN42" i="5" s="1"/>
  <c r="AJ42" i="5"/>
  <c r="BC43" i="5" s="1"/>
  <c r="AM41" i="5"/>
  <c r="AL41" i="5"/>
  <c r="AN41" i="5" s="1"/>
  <c r="AJ41" i="5"/>
  <c r="BC42" i="5" s="1"/>
  <c r="AM40" i="5"/>
  <c r="AL40" i="5"/>
  <c r="AN40" i="5" s="1"/>
  <c r="AJ40" i="5"/>
  <c r="BC41" i="5" s="1"/>
  <c r="AM39" i="5"/>
  <c r="AL39" i="5"/>
  <c r="AN39" i="5" s="1"/>
  <c r="AJ39" i="5"/>
  <c r="BC40" i="5" s="1"/>
  <c r="BD40" i="5" s="1"/>
  <c r="AS40" i="5" s="1"/>
  <c r="AM38" i="5"/>
  <c r="AL38" i="5"/>
  <c r="AN38" i="5" s="1"/>
  <c r="AM37" i="5"/>
  <c r="AL37" i="5"/>
  <c r="AN37" i="5" s="1"/>
  <c r="AM36" i="5"/>
  <c r="AL36" i="5"/>
  <c r="AN36" i="5" s="1"/>
  <c r="AM35" i="5"/>
  <c r="AL35" i="5"/>
  <c r="AN35" i="5" s="1"/>
  <c r="AM34" i="5"/>
  <c r="AL34" i="5"/>
  <c r="AN34" i="5" s="1"/>
  <c r="AM33" i="5"/>
  <c r="AL33" i="5"/>
  <c r="AN33" i="5" s="1"/>
  <c r="AM32" i="5"/>
  <c r="AL32" i="5"/>
  <c r="AN32" i="5" s="1"/>
  <c r="AM31" i="5"/>
  <c r="AL31" i="5"/>
  <c r="AN31" i="5" s="1"/>
  <c r="AM30" i="5"/>
  <c r="AL30" i="5"/>
  <c r="AN30" i="5" s="1"/>
  <c r="AM29" i="5"/>
  <c r="AL29" i="5"/>
  <c r="AN29" i="5" s="1"/>
  <c r="AM28" i="5"/>
  <c r="AL28" i="5"/>
  <c r="AN28" i="5" s="1"/>
  <c r="AM27" i="5"/>
  <c r="AL27" i="5"/>
  <c r="AN27" i="5" s="1"/>
  <c r="AM26" i="5"/>
  <c r="AL26" i="5"/>
  <c r="AN26" i="5" s="1"/>
  <c r="AM25" i="5"/>
  <c r="AL25" i="5"/>
  <c r="AN25" i="5" s="1"/>
  <c r="AM24" i="5"/>
  <c r="AL24" i="5"/>
  <c r="AN24" i="5" s="1"/>
  <c r="AM23" i="5"/>
  <c r="AL23" i="5"/>
  <c r="AN23" i="5" s="1"/>
  <c r="AM22" i="5"/>
  <c r="AL22" i="5"/>
  <c r="AN22" i="5" s="1"/>
  <c r="AM21" i="5"/>
  <c r="AL21" i="5"/>
  <c r="AN21" i="5" s="1"/>
  <c r="AM20" i="5"/>
  <c r="AL20" i="5"/>
  <c r="AN20" i="5" s="1"/>
  <c r="AM19" i="5"/>
  <c r="AL19" i="5"/>
  <c r="AN19" i="5" s="1"/>
  <c r="AM18" i="5"/>
  <c r="AL18" i="5"/>
  <c r="AN18" i="5" s="1"/>
  <c r="AM17" i="5"/>
  <c r="AL17" i="5"/>
  <c r="AN17" i="5" s="1"/>
  <c r="AM16" i="5"/>
  <c r="AL16" i="5"/>
  <c r="AN16" i="5" s="1"/>
  <c r="AM15" i="5"/>
  <c r="AL15" i="5"/>
  <c r="AN15" i="5" s="1"/>
  <c r="AM14" i="5"/>
  <c r="AL14" i="5"/>
  <c r="AN14" i="5" s="1"/>
  <c r="AM13" i="5"/>
  <c r="AL13" i="5"/>
  <c r="AN13" i="5" s="1"/>
  <c r="AM12" i="5"/>
  <c r="AL12" i="5"/>
  <c r="AN12" i="5" s="1"/>
  <c r="AM11" i="5"/>
  <c r="AL11" i="5"/>
  <c r="AN11" i="5" s="1"/>
  <c r="AM10" i="5"/>
  <c r="AL10" i="5"/>
  <c r="AN10" i="5" s="1"/>
  <c r="AM9" i="5"/>
  <c r="AL9" i="5"/>
  <c r="AN9" i="5" s="1"/>
  <c r="AM8" i="5"/>
  <c r="AL8" i="5"/>
  <c r="AN8" i="5" s="1"/>
  <c r="AM7" i="5"/>
  <c r="AL7" i="5"/>
  <c r="AN7" i="5" s="1"/>
  <c r="AM6" i="5"/>
  <c r="AL6" i="5"/>
  <c r="AN6" i="5" s="1"/>
  <c r="AM5" i="5"/>
  <c r="AR1152" i="5"/>
  <c r="AH1152" i="5"/>
  <c r="AR1151" i="5"/>
  <c r="AH1151" i="5"/>
  <c r="AR1150" i="5"/>
  <c r="AH1150" i="5"/>
  <c r="AR1149" i="5"/>
  <c r="AH1149" i="5"/>
  <c r="AR1148" i="5"/>
  <c r="AH1148" i="5"/>
  <c r="AR1147" i="5"/>
  <c r="AH1147" i="5"/>
  <c r="AR1146" i="5"/>
  <c r="AH1146" i="5"/>
  <c r="AR1145" i="5"/>
  <c r="AH1145" i="5"/>
  <c r="AR1144" i="5"/>
  <c r="AH1144" i="5"/>
  <c r="AR1143" i="5"/>
  <c r="AH1143" i="5"/>
  <c r="AR1142" i="5"/>
  <c r="AH1142" i="5"/>
  <c r="AR1141" i="5"/>
  <c r="AH1141" i="5"/>
  <c r="AR1140" i="5"/>
  <c r="AH1140" i="5"/>
  <c r="AR1139" i="5"/>
  <c r="AH1139" i="5"/>
  <c r="AR1138" i="5"/>
  <c r="AH1138" i="5"/>
  <c r="AR1137" i="5"/>
  <c r="AH1137" i="5"/>
  <c r="AR1136" i="5"/>
  <c r="AH1136" i="5"/>
  <c r="AR1135" i="5"/>
  <c r="AH1135" i="5"/>
  <c r="AR1134" i="5"/>
  <c r="AH1134" i="5"/>
  <c r="AR1133" i="5"/>
  <c r="AH1133" i="5"/>
  <c r="AR1132" i="5"/>
  <c r="AH1132" i="5"/>
  <c r="AR1131" i="5"/>
  <c r="AH1131" i="5"/>
  <c r="AR1130" i="5"/>
  <c r="AH1130" i="5"/>
  <c r="AR1129" i="5"/>
  <c r="AH1129" i="5"/>
  <c r="AR1127" i="5"/>
  <c r="AR1126" i="5"/>
  <c r="AR1125" i="5"/>
  <c r="AR1124" i="5"/>
  <c r="AR1123" i="5"/>
  <c r="AR1122" i="5"/>
  <c r="AR1121" i="5"/>
  <c r="AR1120" i="5"/>
  <c r="AR1119" i="5"/>
  <c r="AR1118" i="5"/>
  <c r="AR1117" i="5"/>
  <c r="AR1116" i="5"/>
  <c r="AR1115" i="5"/>
  <c r="AR1114" i="5"/>
  <c r="AR1113" i="5"/>
  <c r="AR1112" i="5"/>
  <c r="AR1111" i="5"/>
  <c r="AR1110" i="5"/>
  <c r="AR1109" i="5"/>
  <c r="AR1108" i="5"/>
  <c r="AR1107" i="5"/>
  <c r="AR1106" i="5"/>
  <c r="AR1105" i="5"/>
  <c r="AR1104" i="5"/>
  <c r="AR1103" i="5"/>
  <c r="AR1102" i="5"/>
  <c r="AR1101" i="5"/>
  <c r="AR1100" i="5"/>
  <c r="AR1099" i="5"/>
  <c r="AR1098" i="5"/>
  <c r="AR1097" i="5"/>
  <c r="AR1096" i="5"/>
  <c r="AR1095" i="5"/>
  <c r="AR1094" i="5"/>
  <c r="AR1093" i="5"/>
  <c r="AR1092" i="5"/>
  <c r="AR1091" i="5"/>
  <c r="AR1090" i="5"/>
  <c r="AR1089" i="5"/>
  <c r="AR1088" i="5"/>
  <c r="AR1087" i="5"/>
  <c r="AR1086" i="5"/>
  <c r="AR1085" i="5"/>
  <c r="AR1084" i="5"/>
  <c r="AR1083" i="5"/>
  <c r="AR1082" i="5"/>
  <c r="AR1081" i="5"/>
  <c r="AR1080" i="5"/>
  <c r="AR1079" i="5"/>
  <c r="AR1078" i="5"/>
  <c r="AR1077" i="5"/>
  <c r="AR1076" i="5"/>
  <c r="AR1075" i="5"/>
  <c r="AR1074" i="5"/>
  <c r="AR1073" i="5"/>
  <c r="AR1072" i="5"/>
  <c r="AR1071" i="5"/>
  <c r="AR1070" i="5"/>
  <c r="AR1069" i="5"/>
  <c r="AR1068" i="5"/>
  <c r="AR1067" i="5"/>
  <c r="AR1066" i="5"/>
  <c r="AR1065" i="5"/>
  <c r="AR1064" i="5"/>
  <c r="AR1063" i="5"/>
  <c r="AR1062" i="5"/>
  <c r="AR1061" i="5"/>
  <c r="AR1060" i="5"/>
  <c r="AR1059" i="5"/>
  <c r="AR1058" i="5"/>
  <c r="AR1057" i="5"/>
  <c r="AR1056" i="5"/>
  <c r="AR1055" i="5"/>
  <c r="AR1054" i="5"/>
  <c r="AR1053" i="5"/>
  <c r="AR1052" i="5"/>
  <c r="AR1051" i="5"/>
  <c r="AR1050" i="5"/>
  <c r="AR1049" i="5"/>
  <c r="AR1048" i="5"/>
  <c r="AR1047" i="5"/>
  <c r="AR1046" i="5"/>
  <c r="AR1045" i="5"/>
  <c r="AR1044" i="5"/>
  <c r="AR1043" i="5"/>
  <c r="AR1042" i="5"/>
  <c r="AR1041" i="5"/>
  <c r="AR1040" i="5"/>
  <c r="AR1039" i="5"/>
  <c r="AR1038" i="5"/>
  <c r="AR1037" i="5"/>
  <c r="AR1036" i="5"/>
  <c r="AR1035" i="5"/>
  <c r="AR1034" i="5"/>
  <c r="AR1033" i="5"/>
  <c r="AR1032" i="5"/>
  <c r="AR1031" i="5"/>
  <c r="AR1030" i="5"/>
  <c r="AR1029" i="5"/>
  <c r="AR1028" i="5"/>
  <c r="AR1027" i="5"/>
  <c r="AR1026" i="5"/>
  <c r="AR1025" i="5"/>
  <c r="AR1024" i="5"/>
  <c r="AR1023" i="5"/>
  <c r="AR1022" i="5"/>
  <c r="AR1021" i="5"/>
  <c r="AR1020" i="5"/>
  <c r="AR1019" i="5"/>
  <c r="AR1018" i="5"/>
  <c r="AR1017" i="5"/>
  <c r="AR1016" i="5"/>
  <c r="AR1015" i="5"/>
  <c r="AR1014" i="5"/>
  <c r="AR1013" i="5"/>
  <c r="AR1012" i="5"/>
  <c r="AR1011" i="5"/>
  <c r="AR1010" i="5"/>
  <c r="AR1009" i="5"/>
  <c r="AR1008" i="5"/>
  <c r="AR1007" i="5"/>
  <c r="AR1006" i="5"/>
  <c r="AR1005" i="5"/>
  <c r="AR1004" i="5"/>
  <c r="AR1003" i="5"/>
  <c r="AR1002" i="5"/>
  <c r="AR1001" i="5"/>
  <c r="AR1000" i="5"/>
  <c r="AR999" i="5"/>
  <c r="AR998" i="5"/>
  <c r="AR997" i="5"/>
  <c r="AR996" i="5"/>
  <c r="AR995" i="5"/>
  <c r="AR994" i="5"/>
  <c r="AR993" i="5"/>
  <c r="AR992" i="5"/>
  <c r="AR991" i="5"/>
  <c r="AR990" i="5"/>
  <c r="AR989" i="5"/>
  <c r="AR988" i="5"/>
  <c r="AR987" i="5"/>
  <c r="AR986" i="5"/>
  <c r="AR985" i="5"/>
  <c r="AR984" i="5"/>
  <c r="AR983" i="5"/>
  <c r="AR982" i="5"/>
  <c r="AR981" i="5"/>
  <c r="AR980" i="5"/>
  <c r="AR979" i="5"/>
  <c r="AR978" i="5"/>
  <c r="AR977" i="5"/>
  <c r="AR976" i="5"/>
  <c r="AR975" i="5"/>
  <c r="AR974" i="5"/>
  <c r="AR973" i="5"/>
  <c r="AR972" i="5"/>
  <c r="AR971" i="5"/>
  <c r="AR970" i="5"/>
  <c r="AR969" i="5"/>
  <c r="AR968" i="5"/>
  <c r="AR967" i="5"/>
  <c r="AR966" i="5"/>
  <c r="AR965" i="5"/>
  <c r="AR964" i="5"/>
  <c r="AR963" i="5"/>
  <c r="AR962" i="5"/>
  <c r="AR961" i="5"/>
  <c r="AR960" i="5"/>
  <c r="AR959" i="5"/>
  <c r="AR958" i="5"/>
  <c r="AR957" i="5"/>
  <c r="AR956" i="5"/>
  <c r="AR955" i="5"/>
  <c r="AR954" i="5"/>
  <c r="AH954" i="5"/>
  <c r="AR952" i="5"/>
  <c r="AR951" i="5"/>
  <c r="AR950" i="5"/>
  <c r="AR949" i="5"/>
  <c r="AR948" i="5"/>
  <c r="AR947" i="5"/>
  <c r="AR946" i="5"/>
  <c r="AR945" i="5"/>
  <c r="AR944" i="5"/>
  <c r="AR943" i="5"/>
  <c r="AR942" i="5"/>
  <c r="AR941" i="5"/>
  <c r="AR940" i="5"/>
  <c r="AR939" i="5"/>
  <c r="AR938" i="5"/>
  <c r="AR937" i="5"/>
  <c r="AR936" i="5"/>
  <c r="AR935" i="5"/>
  <c r="AR934" i="5"/>
  <c r="AR933" i="5"/>
  <c r="AR932" i="5"/>
  <c r="AR931" i="5"/>
  <c r="AR930" i="5"/>
  <c r="AR929" i="5"/>
  <c r="AR928" i="5"/>
  <c r="AR927" i="5"/>
  <c r="AH927" i="5"/>
  <c r="AR925" i="5"/>
  <c r="AH925" i="5"/>
  <c r="AR924" i="5"/>
  <c r="AH924" i="5"/>
  <c r="AR923" i="5"/>
  <c r="AH923" i="5"/>
  <c r="AR922" i="5"/>
  <c r="AH922" i="5"/>
  <c r="AR921" i="5"/>
  <c r="AH921" i="5"/>
  <c r="AR920" i="5"/>
  <c r="AH920" i="5"/>
  <c r="AR919" i="5"/>
  <c r="AH919" i="5"/>
  <c r="AR918" i="5"/>
  <c r="AH918" i="5"/>
  <c r="AR917" i="5"/>
  <c r="AH917" i="5"/>
  <c r="AR916" i="5"/>
  <c r="AH916" i="5"/>
  <c r="AR915" i="5"/>
  <c r="AH915" i="5"/>
  <c r="AR914" i="5"/>
  <c r="AH914" i="5"/>
  <c r="AR913" i="5"/>
  <c r="AH913" i="5"/>
  <c r="AR912" i="5"/>
  <c r="AH912" i="5"/>
  <c r="AR911" i="5"/>
  <c r="AH911" i="5"/>
  <c r="AR910" i="5"/>
  <c r="AH910" i="5"/>
  <c r="AR909" i="5"/>
  <c r="AH909" i="5"/>
  <c r="AR908" i="5"/>
  <c r="AH908" i="5"/>
  <c r="AR907" i="5"/>
  <c r="AH907" i="5"/>
  <c r="AR906" i="5"/>
  <c r="AH906" i="5"/>
  <c r="AR905" i="5"/>
  <c r="AH905" i="5"/>
  <c r="AR904" i="5"/>
  <c r="AH904" i="5"/>
  <c r="AR903" i="5"/>
  <c r="AH903" i="5"/>
  <c r="AR902" i="5"/>
  <c r="AH902" i="5"/>
  <c r="AR901" i="5"/>
  <c r="AH901" i="5"/>
  <c r="AR900" i="5"/>
  <c r="AH900" i="5"/>
  <c r="AR899" i="5"/>
  <c r="AH899" i="5"/>
  <c r="AR898" i="5"/>
  <c r="AH898" i="5"/>
  <c r="AR897" i="5"/>
  <c r="AH897" i="5"/>
  <c r="AR896" i="5"/>
  <c r="AH896" i="5"/>
  <c r="AR895" i="5"/>
  <c r="AH895" i="5"/>
  <c r="AR894" i="5"/>
  <c r="AH894" i="5"/>
  <c r="AR893" i="5"/>
  <c r="AH893" i="5"/>
  <c r="AR892" i="5"/>
  <c r="AH892" i="5"/>
  <c r="AR891" i="5"/>
  <c r="AH891" i="5"/>
  <c r="AR890" i="5"/>
  <c r="AH890" i="5"/>
  <c r="AR889" i="5"/>
  <c r="AH889" i="5"/>
  <c r="AR888" i="5"/>
  <c r="AH888" i="5"/>
  <c r="AR887" i="5"/>
  <c r="AH887" i="5"/>
  <c r="AR886" i="5"/>
  <c r="AH886" i="5"/>
  <c r="AR885" i="5"/>
  <c r="AH885" i="5"/>
  <c r="AR884" i="5"/>
  <c r="AH884" i="5"/>
  <c r="AR883" i="5"/>
  <c r="AH883" i="5"/>
  <c r="AR882" i="5"/>
  <c r="AH882" i="5"/>
  <c r="AR881" i="5"/>
  <c r="AH881" i="5"/>
  <c r="AR880" i="5"/>
  <c r="AH880" i="5"/>
  <c r="AR879" i="5"/>
  <c r="AH879" i="5"/>
  <c r="AR878" i="5"/>
  <c r="AH878" i="5"/>
  <c r="AR877" i="5"/>
  <c r="AH877" i="5"/>
  <c r="AR876" i="5"/>
  <c r="AH876" i="5"/>
  <c r="AR875" i="5"/>
  <c r="AH875" i="5"/>
  <c r="AR874" i="5"/>
  <c r="AH874" i="5"/>
  <c r="AR873" i="5"/>
  <c r="AH873" i="5"/>
  <c r="AR872" i="5"/>
  <c r="AH872" i="5"/>
  <c r="AR871" i="5"/>
  <c r="AH871" i="5"/>
  <c r="AR870" i="5"/>
  <c r="AH870" i="5"/>
  <c r="AR869" i="5"/>
  <c r="AH869" i="5"/>
  <c r="AR868" i="5"/>
  <c r="AH868" i="5"/>
  <c r="AR867" i="5"/>
  <c r="AH867" i="5"/>
  <c r="AR866" i="5"/>
  <c r="AH866" i="5"/>
  <c r="AR865" i="5"/>
  <c r="AH865" i="5"/>
  <c r="AR864" i="5"/>
  <c r="AH864" i="5"/>
  <c r="AR863" i="5"/>
  <c r="AH863" i="5"/>
  <c r="AR862" i="5"/>
  <c r="AH862" i="5"/>
  <c r="AR861" i="5"/>
  <c r="AH861" i="5"/>
  <c r="AR860" i="5"/>
  <c r="AH860" i="5"/>
  <c r="AR859" i="5"/>
  <c r="AH859" i="5"/>
  <c r="AR858" i="5"/>
  <c r="AH858" i="5"/>
  <c r="AR857" i="5"/>
  <c r="AH857" i="5"/>
  <c r="AR856" i="5"/>
  <c r="AH856" i="5"/>
  <c r="AR855" i="5"/>
  <c r="AH855" i="5"/>
  <c r="AR854" i="5"/>
  <c r="AH854" i="5"/>
  <c r="AR853" i="5"/>
  <c r="AH853" i="5"/>
  <c r="AR852" i="5"/>
  <c r="AH852" i="5"/>
  <c r="AR851" i="5"/>
  <c r="AH851" i="5"/>
  <c r="AR850" i="5"/>
  <c r="AH850" i="5"/>
  <c r="AR849" i="5"/>
  <c r="AH849" i="5"/>
  <c r="AR848" i="5"/>
  <c r="AH848" i="5"/>
  <c r="AR847" i="5"/>
  <c r="AH847" i="5"/>
  <c r="AR846" i="5"/>
  <c r="AH846" i="5"/>
  <c r="AR845" i="5"/>
  <c r="AH845" i="5"/>
  <c r="AR844" i="5"/>
  <c r="AH844" i="5"/>
  <c r="AR843" i="5"/>
  <c r="AH843" i="5"/>
  <c r="AR842" i="5"/>
  <c r="AH842" i="5"/>
  <c r="AR841" i="5"/>
  <c r="AH841" i="5"/>
  <c r="AR840" i="5"/>
  <c r="AH840" i="5"/>
  <c r="AR839" i="5"/>
  <c r="AH839" i="5"/>
  <c r="AR838" i="5"/>
  <c r="AH838" i="5"/>
  <c r="AR837" i="5"/>
  <c r="AH837" i="5"/>
  <c r="AR836" i="5"/>
  <c r="AH836" i="5"/>
  <c r="AR835" i="5"/>
  <c r="AH835" i="5"/>
  <c r="AR834" i="5"/>
  <c r="AH834" i="5"/>
  <c r="AR833" i="5"/>
  <c r="AH833" i="5"/>
  <c r="AR832" i="5"/>
  <c r="AH832" i="5"/>
  <c r="AR831" i="5"/>
  <c r="AH831" i="5"/>
  <c r="AR830" i="5"/>
  <c r="AH830" i="5"/>
  <c r="AR829" i="5"/>
  <c r="AH829" i="5"/>
  <c r="AR828" i="5"/>
  <c r="AH828" i="5"/>
  <c r="AR827" i="5"/>
  <c r="AH827" i="5"/>
  <c r="AR826" i="5"/>
  <c r="AH826" i="5"/>
  <c r="AR825" i="5"/>
  <c r="AH825" i="5"/>
  <c r="AR824" i="5"/>
  <c r="AH824" i="5"/>
  <c r="AR823" i="5"/>
  <c r="AH823" i="5"/>
  <c r="AR822" i="5"/>
  <c r="AH822" i="5"/>
  <c r="AR821" i="5"/>
  <c r="AH821" i="5"/>
  <c r="AR820" i="5"/>
  <c r="AH820" i="5"/>
  <c r="AR819" i="5"/>
  <c r="AH819" i="5"/>
  <c r="AR818" i="5"/>
  <c r="AH818" i="5"/>
  <c r="AR817" i="5"/>
  <c r="AH817" i="5"/>
  <c r="AR816" i="5"/>
  <c r="AH816" i="5"/>
  <c r="AR815" i="5"/>
  <c r="AH815" i="5"/>
  <c r="AR814" i="5"/>
  <c r="AH814" i="5"/>
  <c r="AR813" i="5"/>
  <c r="AH813" i="5"/>
  <c r="AR812" i="5"/>
  <c r="AH812" i="5"/>
  <c r="AR811" i="5"/>
  <c r="AH811" i="5"/>
  <c r="AR810" i="5"/>
  <c r="AH810" i="5"/>
  <c r="AR809" i="5"/>
  <c r="AH809" i="5"/>
  <c r="AR808" i="5"/>
  <c r="AH808" i="5"/>
  <c r="AR807" i="5"/>
  <c r="AH807" i="5"/>
  <c r="AR806" i="5"/>
  <c r="AH806" i="5"/>
  <c r="AR805" i="5"/>
  <c r="AH805" i="5"/>
  <c r="AR804" i="5"/>
  <c r="AH804" i="5"/>
  <c r="AR803" i="5"/>
  <c r="AH803" i="5"/>
  <c r="AR802" i="5"/>
  <c r="AH802" i="5"/>
  <c r="AR801" i="5"/>
  <c r="AH801" i="5"/>
  <c r="AR800" i="5"/>
  <c r="AH800" i="5"/>
  <c r="AR799" i="5"/>
  <c r="AH799" i="5"/>
  <c r="AR798" i="5"/>
  <c r="AH798" i="5"/>
  <c r="AR797" i="5"/>
  <c r="AH797" i="5"/>
  <c r="AR796" i="5"/>
  <c r="AH796" i="5"/>
  <c r="AR795" i="5"/>
  <c r="AH795" i="5"/>
  <c r="AR794" i="5"/>
  <c r="AH794" i="5"/>
  <c r="AR793" i="5"/>
  <c r="AH793" i="5"/>
  <c r="AR792" i="5"/>
  <c r="AH792" i="5"/>
  <c r="AR791" i="5"/>
  <c r="AH791" i="5"/>
  <c r="AR790" i="5"/>
  <c r="AH790" i="5"/>
  <c r="AR789" i="5"/>
  <c r="AH789" i="5"/>
  <c r="AR788" i="5"/>
  <c r="AH788" i="5"/>
  <c r="AR787" i="5"/>
  <c r="AH787" i="5"/>
  <c r="AR786" i="5"/>
  <c r="AH786" i="5"/>
  <c r="AR784" i="5"/>
  <c r="AR783" i="5"/>
  <c r="AR782" i="5"/>
  <c r="AR781" i="5"/>
  <c r="AR780" i="5"/>
  <c r="AR779" i="5"/>
  <c r="AR778" i="5"/>
  <c r="AR777" i="5"/>
  <c r="AR776" i="5"/>
  <c r="AR775" i="5"/>
  <c r="AR774" i="5"/>
  <c r="AR773" i="5"/>
  <c r="AR771" i="5"/>
  <c r="AR770" i="5"/>
  <c r="AR769" i="5"/>
  <c r="AR768" i="5"/>
  <c r="AR767" i="5"/>
  <c r="AR766" i="5"/>
  <c r="AR765" i="5"/>
  <c r="AR764" i="5"/>
  <c r="AR763" i="5"/>
  <c r="AR762" i="5"/>
  <c r="AR761" i="5"/>
  <c r="AR760" i="5"/>
  <c r="AR759" i="5"/>
  <c r="AI757" i="5"/>
  <c r="AR757" i="5" s="1"/>
  <c r="AH757" i="5"/>
  <c r="AI756" i="5"/>
  <c r="AR756" i="5" s="1"/>
  <c r="AH756" i="5"/>
  <c r="AI755" i="5"/>
  <c r="AR755" i="5" s="1"/>
  <c r="AH755" i="5"/>
  <c r="AI754" i="5"/>
  <c r="AR754" i="5" s="1"/>
  <c r="AH754" i="5"/>
  <c r="AI753" i="5"/>
  <c r="AR753" i="5" s="1"/>
  <c r="AH753" i="5"/>
  <c r="AR752" i="5"/>
  <c r="AH752" i="5"/>
  <c r="AR750" i="5"/>
  <c r="AR749" i="5"/>
  <c r="AR748" i="5"/>
  <c r="AR747" i="5"/>
  <c r="AR746" i="5"/>
  <c r="AR745" i="5"/>
  <c r="AR744" i="5"/>
  <c r="AR743" i="5"/>
  <c r="AR742" i="5"/>
  <c r="AR741" i="5"/>
  <c r="AR740" i="5"/>
  <c r="AR739" i="5"/>
  <c r="AR738" i="5"/>
  <c r="AR737" i="5"/>
  <c r="AR736" i="5"/>
  <c r="AR735" i="5"/>
  <c r="AR734" i="5"/>
  <c r="AR733" i="5"/>
  <c r="AR732" i="5"/>
  <c r="AH732" i="5"/>
  <c r="AR730" i="5"/>
  <c r="AR729" i="5"/>
  <c r="AR728" i="5"/>
  <c r="AR727" i="5"/>
  <c r="AR726" i="5"/>
  <c r="AR725" i="5"/>
  <c r="AR724" i="5"/>
  <c r="AR723" i="5"/>
  <c r="AR722" i="5"/>
  <c r="AR721" i="5"/>
  <c r="AR720" i="5"/>
  <c r="AR719" i="5"/>
  <c r="AR718" i="5"/>
  <c r="AR717" i="5"/>
  <c r="AR716" i="5"/>
  <c r="AR715" i="5"/>
  <c r="AR714" i="5"/>
  <c r="AR713" i="5"/>
  <c r="AR712" i="5"/>
  <c r="AR711" i="5"/>
  <c r="AR710" i="5"/>
  <c r="AR709" i="5"/>
  <c r="AR708" i="5"/>
  <c r="AR707" i="5"/>
  <c r="AR706" i="5"/>
  <c r="AR705" i="5"/>
  <c r="AR704" i="5"/>
  <c r="AR703" i="5"/>
  <c r="AR702" i="5"/>
  <c r="AR701" i="5"/>
  <c r="AR700" i="5"/>
  <c r="AR699" i="5"/>
  <c r="AR698" i="5"/>
  <c r="AR697" i="5"/>
  <c r="AR696" i="5"/>
  <c r="AR695" i="5"/>
  <c r="AR694" i="5"/>
  <c r="AR693" i="5"/>
  <c r="AR692" i="5"/>
  <c r="AR691" i="5"/>
  <c r="AR690" i="5"/>
  <c r="AR689" i="5"/>
  <c r="AR688" i="5"/>
  <c r="AR687" i="5"/>
  <c r="AR686" i="5"/>
  <c r="AR685" i="5"/>
  <c r="AR684" i="5"/>
  <c r="AH684" i="5"/>
  <c r="AR682" i="5"/>
  <c r="AR681" i="5"/>
  <c r="AR680" i="5"/>
  <c r="AR679" i="5"/>
  <c r="AR678" i="5"/>
  <c r="AR677" i="5"/>
  <c r="AR676" i="5"/>
  <c r="AR675" i="5"/>
  <c r="AR674" i="5"/>
  <c r="AR673" i="5"/>
  <c r="AR672" i="5"/>
  <c r="AR671" i="5"/>
  <c r="AR670" i="5"/>
  <c r="AR669" i="5"/>
  <c r="AR668" i="5"/>
  <c r="AR667" i="5"/>
  <c r="AR666" i="5"/>
  <c r="AR665" i="5"/>
  <c r="AR664" i="5"/>
  <c r="AR663" i="5"/>
  <c r="AR662" i="5"/>
  <c r="AR661" i="5"/>
  <c r="AR660" i="5"/>
  <c r="AR659" i="5"/>
  <c r="AR658" i="5"/>
  <c r="AR657" i="5"/>
  <c r="AH657" i="5"/>
  <c r="AR655" i="5"/>
  <c r="AR654" i="5"/>
  <c r="AR653" i="5"/>
  <c r="AR652" i="5"/>
  <c r="AR651" i="5"/>
  <c r="AR650" i="5"/>
  <c r="AR649" i="5"/>
  <c r="AR648" i="5"/>
  <c r="AR647" i="5"/>
  <c r="AR646" i="5"/>
  <c r="AR645" i="5"/>
  <c r="AR644" i="5"/>
  <c r="AR643" i="5"/>
  <c r="AR642" i="5"/>
  <c r="AR641" i="5"/>
  <c r="AR640" i="5"/>
  <c r="AH640" i="5"/>
  <c r="AR638" i="5"/>
  <c r="AH638" i="5"/>
  <c r="AR637" i="5"/>
  <c r="AH637" i="5"/>
  <c r="AR636" i="5"/>
  <c r="AH636" i="5"/>
  <c r="AR635" i="5"/>
  <c r="AH635" i="5"/>
  <c r="AR634" i="5"/>
  <c r="AH634" i="5"/>
  <c r="AR633" i="5"/>
  <c r="AH633" i="5"/>
  <c r="AR632" i="5"/>
  <c r="AH632" i="5"/>
  <c r="AR631" i="5"/>
  <c r="AH631" i="5"/>
  <c r="AR630" i="5"/>
  <c r="AH630" i="5"/>
  <c r="AR628" i="5"/>
  <c r="AH628" i="5"/>
  <c r="AR627" i="5"/>
  <c r="AH627" i="5"/>
  <c r="AR626" i="5"/>
  <c r="AH626" i="5"/>
  <c r="AR625" i="5"/>
  <c r="AH625" i="5"/>
  <c r="AR624" i="5"/>
  <c r="AH624" i="5"/>
  <c r="AR623" i="5"/>
  <c r="AH623" i="5"/>
  <c r="AR622" i="5"/>
  <c r="AH622" i="5"/>
  <c r="AR621" i="5"/>
  <c r="AH621" i="5"/>
  <c r="AR620" i="5"/>
  <c r="AH620" i="5"/>
  <c r="AR619" i="5"/>
  <c r="AH619" i="5"/>
  <c r="AR618" i="5"/>
  <c r="AH618" i="5"/>
  <c r="AR617" i="5"/>
  <c r="AH617" i="5"/>
  <c r="AR616" i="5"/>
  <c r="AH616" i="5"/>
  <c r="AR615" i="5"/>
  <c r="AH615" i="5"/>
  <c r="AR614" i="5"/>
  <c r="AH614" i="5"/>
  <c r="AI613" i="5"/>
  <c r="AR613" i="5" s="1"/>
  <c r="AH613" i="5"/>
  <c r="AR611" i="5"/>
  <c r="AH611" i="5"/>
  <c r="AR610" i="5"/>
  <c r="AH610" i="5"/>
  <c r="AR609" i="5"/>
  <c r="AH609" i="5"/>
  <c r="AR608" i="5"/>
  <c r="AH608" i="5"/>
  <c r="AR607" i="5"/>
  <c r="AH607" i="5"/>
  <c r="AR606" i="5"/>
  <c r="AH606" i="5"/>
  <c r="AR605" i="5"/>
  <c r="AH605" i="5"/>
  <c r="AR604" i="5"/>
  <c r="AH604" i="5"/>
  <c r="AR603" i="5"/>
  <c r="AH603" i="5"/>
  <c r="AR601" i="5"/>
  <c r="AH601" i="5"/>
  <c r="AR600" i="5"/>
  <c r="AH600" i="5"/>
  <c r="AR599" i="5"/>
  <c r="AH599" i="5"/>
  <c r="AR598" i="5"/>
  <c r="AH598" i="5"/>
  <c r="AR597" i="5"/>
  <c r="AH597" i="5"/>
  <c r="AR596" i="5"/>
  <c r="AH596" i="5"/>
  <c r="AR595" i="5"/>
  <c r="AH595" i="5"/>
  <c r="AR594" i="5"/>
  <c r="AH594" i="5"/>
  <c r="AR593" i="5"/>
  <c r="AH593" i="5"/>
  <c r="AR592" i="5"/>
  <c r="AH592" i="5"/>
  <c r="AR591" i="5"/>
  <c r="AH591" i="5"/>
  <c r="AR590" i="5"/>
  <c r="AH590" i="5"/>
  <c r="AR589" i="5"/>
  <c r="AH589" i="5"/>
  <c r="AR588" i="5"/>
  <c r="AH588" i="5"/>
  <c r="AR587" i="5"/>
  <c r="AH587" i="5"/>
  <c r="AR586" i="5"/>
  <c r="AH586" i="5"/>
  <c r="AR585" i="5"/>
  <c r="AH585" i="5"/>
  <c r="AR584" i="5"/>
  <c r="AH584" i="5"/>
  <c r="AR583" i="5"/>
  <c r="AH583" i="5"/>
  <c r="AR582" i="5"/>
  <c r="AH582" i="5"/>
  <c r="AR581" i="5"/>
  <c r="AH581" i="5"/>
  <c r="AR580" i="5"/>
  <c r="AH580" i="5"/>
  <c r="AR579" i="5"/>
  <c r="AH579" i="5"/>
  <c r="AR578" i="5"/>
  <c r="AH578" i="5"/>
  <c r="AR577" i="5"/>
  <c r="AH577" i="5"/>
  <c r="AR576" i="5"/>
  <c r="AH576" i="5"/>
  <c r="AR575" i="5"/>
  <c r="AH575" i="5"/>
  <c r="AR574" i="5"/>
  <c r="AH574" i="5"/>
  <c r="AR573" i="5"/>
  <c r="AH573" i="5"/>
  <c r="AR572" i="5"/>
  <c r="AH572" i="5"/>
  <c r="AR571" i="5"/>
  <c r="AH571" i="5"/>
  <c r="AR570" i="5"/>
  <c r="AH570" i="5"/>
  <c r="AR569" i="5"/>
  <c r="AH569" i="5"/>
  <c r="AR568" i="5"/>
  <c r="AH568" i="5"/>
  <c r="AR567" i="5"/>
  <c r="AH567" i="5"/>
  <c r="AR566" i="5"/>
  <c r="AH566" i="5"/>
  <c r="AR565" i="5"/>
  <c r="AH565" i="5"/>
  <c r="AR564" i="5"/>
  <c r="AH564" i="5"/>
  <c r="AR563" i="5"/>
  <c r="AH563" i="5"/>
  <c r="AR562" i="5"/>
  <c r="AH562" i="5"/>
  <c r="AR561" i="5"/>
  <c r="AH561" i="5"/>
  <c r="AR560" i="5"/>
  <c r="AH560" i="5"/>
  <c r="AR559" i="5"/>
  <c r="AH559" i="5"/>
  <c r="AR558" i="5"/>
  <c r="AH558" i="5"/>
  <c r="AR557" i="5"/>
  <c r="AH557" i="5"/>
  <c r="AR556" i="5"/>
  <c r="AH556" i="5"/>
  <c r="AR555" i="5"/>
  <c r="AH555" i="5"/>
  <c r="AR554" i="5"/>
  <c r="AH554" i="5"/>
  <c r="AR553" i="5"/>
  <c r="AH553" i="5"/>
  <c r="AR552" i="5"/>
  <c r="AH552" i="5"/>
  <c r="AR551" i="5"/>
  <c r="AH551" i="5"/>
  <c r="AR549" i="5"/>
  <c r="AH549" i="5"/>
  <c r="AR548" i="5"/>
  <c r="AH548" i="5"/>
  <c r="AR547" i="5"/>
  <c r="AH547" i="5"/>
  <c r="AR546" i="5"/>
  <c r="AH546" i="5"/>
  <c r="AR545" i="5"/>
  <c r="AH545" i="5"/>
  <c r="AR544" i="5"/>
  <c r="AH544" i="5"/>
  <c r="AR543" i="5"/>
  <c r="AH543" i="5"/>
  <c r="AR542" i="5"/>
  <c r="AH542" i="5"/>
  <c r="AR541" i="5"/>
  <c r="AH541" i="5"/>
  <c r="AR540" i="5"/>
  <c r="AH540" i="5"/>
  <c r="AR539" i="5"/>
  <c r="AH539" i="5"/>
  <c r="AR538" i="5"/>
  <c r="AH538" i="5"/>
  <c r="AR537" i="5"/>
  <c r="AH537" i="5"/>
  <c r="AR536" i="5"/>
  <c r="AH536" i="5"/>
  <c r="AR535" i="5"/>
  <c r="AH535" i="5"/>
  <c r="AR534" i="5"/>
  <c r="AH534" i="5"/>
  <c r="AR533" i="5"/>
  <c r="AH533" i="5"/>
  <c r="AR532" i="5"/>
  <c r="AH532" i="5"/>
  <c r="AR531" i="5"/>
  <c r="AH531" i="5"/>
  <c r="AR530" i="5"/>
  <c r="AH530" i="5"/>
  <c r="AR529" i="5"/>
  <c r="AH529" i="5"/>
  <c r="AR528" i="5"/>
  <c r="AH528" i="5"/>
  <c r="AR527" i="5"/>
  <c r="AH527" i="5"/>
  <c r="AR526" i="5"/>
  <c r="AH526" i="5"/>
  <c r="AR525" i="5"/>
  <c r="AH525" i="5"/>
  <c r="AR524" i="5"/>
  <c r="AH524" i="5"/>
  <c r="AR523" i="5"/>
  <c r="AH523" i="5"/>
  <c r="AR522" i="5"/>
  <c r="AH522" i="5"/>
  <c r="AR521" i="5"/>
  <c r="AH521" i="5"/>
  <c r="AR520" i="5"/>
  <c r="AH520" i="5"/>
  <c r="AR519" i="5"/>
  <c r="AH519" i="5"/>
  <c r="AR518" i="5"/>
  <c r="AH518" i="5"/>
  <c r="AR517" i="5"/>
  <c r="AH517" i="5"/>
  <c r="AR516" i="5"/>
  <c r="AH516" i="5"/>
  <c r="AR515" i="5"/>
  <c r="AH515" i="5"/>
  <c r="AR514" i="5"/>
  <c r="AH514" i="5"/>
  <c r="AR513" i="5"/>
  <c r="AH513" i="5"/>
  <c r="AR512" i="5"/>
  <c r="AH512" i="5"/>
  <c r="AR511" i="5"/>
  <c r="AH511" i="5"/>
  <c r="AR510" i="5"/>
  <c r="AH510" i="5"/>
  <c r="AR509" i="5"/>
  <c r="AH509" i="5"/>
  <c r="AR508" i="5"/>
  <c r="AH508" i="5"/>
  <c r="AR507" i="5"/>
  <c r="AH507" i="5"/>
  <c r="AR506" i="5"/>
  <c r="AH506" i="5"/>
  <c r="AR505" i="5"/>
  <c r="AH505" i="5"/>
  <c r="AR504" i="5"/>
  <c r="AH504" i="5"/>
  <c r="AR503" i="5"/>
  <c r="AH503" i="5"/>
  <c r="AR502" i="5"/>
  <c r="AH502" i="5"/>
  <c r="AR501" i="5"/>
  <c r="AH501" i="5"/>
  <c r="AR500" i="5"/>
  <c r="AH500" i="5"/>
  <c r="AR499" i="5"/>
  <c r="AH499" i="5"/>
  <c r="AR498" i="5"/>
  <c r="AH498" i="5"/>
  <c r="AR497" i="5"/>
  <c r="AH497" i="5"/>
  <c r="AR496" i="5"/>
  <c r="AH496" i="5"/>
  <c r="AR495" i="5"/>
  <c r="AH495" i="5"/>
  <c r="AR494" i="5"/>
  <c r="AH494" i="5"/>
  <c r="AR493" i="5"/>
  <c r="AH493" i="5"/>
  <c r="AR491" i="5"/>
  <c r="AH491" i="5"/>
  <c r="AR490" i="5"/>
  <c r="AH490" i="5"/>
  <c r="AR489" i="5"/>
  <c r="AH489" i="5"/>
  <c r="AR488" i="5"/>
  <c r="AH488" i="5"/>
  <c r="AR487" i="5"/>
  <c r="AH487" i="5"/>
  <c r="AR486" i="5"/>
  <c r="AH486" i="5"/>
  <c r="AR485" i="5"/>
  <c r="AH485" i="5"/>
  <c r="AR484" i="5"/>
  <c r="AH484" i="5"/>
  <c r="AR483" i="5"/>
  <c r="AH483" i="5"/>
  <c r="AR482" i="5"/>
  <c r="AH482" i="5"/>
  <c r="AR481" i="5"/>
  <c r="AH481" i="5"/>
  <c r="AR480" i="5"/>
  <c r="AH480" i="5"/>
  <c r="AR479" i="5"/>
  <c r="AH479" i="5"/>
  <c r="AR478" i="5"/>
  <c r="AH478" i="5"/>
  <c r="AR477" i="5"/>
  <c r="AH477" i="5"/>
  <c r="AR476" i="5"/>
  <c r="AH476" i="5"/>
  <c r="AR475" i="5"/>
  <c r="AH475" i="5"/>
  <c r="AR474" i="5"/>
  <c r="AH474" i="5"/>
  <c r="AR473" i="5"/>
  <c r="AH473" i="5"/>
  <c r="AR472" i="5"/>
  <c r="AH472" i="5"/>
  <c r="AR471" i="5"/>
  <c r="AH471" i="5"/>
  <c r="AR470" i="5"/>
  <c r="AH470" i="5"/>
  <c r="AR469" i="5"/>
  <c r="AH469" i="5"/>
  <c r="AR468" i="5"/>
  <c r="AH468" i="5"/>
  <c r="AR467" i="5"/>
  <c r="AH467" i="5"/>
  <c r="AR466" i="5"/>
  <c r="AH466" i="5"/>
  <c r="AR465" i="5"/>
  <c r="AH465" i="5"/>
  <c r="AR464" i="5"/>
  <c r="AH464" i="5"/>
  <c r="AR463" i="5"/>
  <c r="AH463" i="5"/>
  <c r="AR462" i="5"/>
  <c r="AH462" i="5"/>
  <c r="AR461" i="5"/>
  <c r="AH461" i="5"/>
  <c r="AR460" i="5"/>
  <c r="AH460" i="5"/>
  <c r="AR459" i="5"/>
  <c r="AH459" i="5"/>
  <c r="AR458" i="5"/>
  <c r="AH458" i="5"/>
  <c r="AR457" i="5"/>
  <c r="AH457" i="5"/>
  <c r="AR456" i="5"/>
  <c r="AH456" i="5"/>
  <c r="AR455" i="5"/>
  <c r="AH455" i="5"/>
  <c r="AR454" i="5"/>
  <c r="AH454" i="5"/>
  <c r="AR453" i="5"/>
  <c r="AH453" i="5"/>
  <c r="AR452" i="5"/>
  <c r="AH452" i="5"/>
  <c r="AR451" i="5"/>
  <c r="AH451" i="5"/>
  <c r="AR450" i="5"/>
  <c r="AH450" i="5"/>
  <c r="AR449" i="5"/>
  <c r="AH449" i="5"/>
  <c r="AR448" i="5"/>
  <c r="AH448" i="5"/>
  <c r="AR447" i="5"/>
  <c r="AH447" i="5"/>
  <c r="AR446" i="5"/>
  <c r="AH446" i="5"/>
  <c r="AR445" i="5"/>
  <c r="AH445" i="5"/>
  <c r="AR444" i="5"/>
  <c r="AH444" i="5"/>
  <c r="AR443" i="5"/>
  <c r="AH443" i="5"/>
  <c r="AR442" i="5"/>
  <c r="AH442" i="5"/>
  <c r="AR441" i="5"/>
  <c r="AH441" i="5"/>
  <c r="AR440" i="5"/>
  <c r="AH440" i="5"/>
  <c r="AR439" i="5"/>
  <c r="AH439" i="5"/>
  <c r="AR438" i="5"/>
  <c r="AH438" i="5"/>
  <c r="AR437" i="5"/>
  <c r="AH437" i="5"/>
  <c r="AR435" i="5"/>
  <c r="AH435" i="5"/>
  <c r="AR434" i="5"/>
  <c r="AH434" i="5"/>
  <c r="AR433" i="5"/>
  <c r="AH433" i="5"/>
  <c r="AR432" i="5"/>
  <c r="AH432" i="5"/>
  <c r="AR431" i="5"/>
  <c r="AH431" i="5"/>
  <c r="AR430" i="5"/>
  <c r="AH430" i="5"/>
  <c r="AR429" i="5"/>
  <c r="AH429" i="5"/>
  <c r="AR428" i="5"/>
  <c r="AH428" i="5"/>
  <c r="AR427" i="5"/>
  <c r="AH427" i="5"/>
  <c r="AR426" i="5"/>
  <c r="AH426" i="5"/>
  <c r="AR425" i="5"/>
  <c r="AH425" i="5"/>
  <c r="AR424" i="5"/>
  <c r="AH424" i="5"/>
  <c r="AR423" i="5"/>
  <c r="AH423" i="5"/>
  <c r="AR422" i="5"/>
  <c r="AH422" i="5"/>
  <c r="AR421" i="5"/>
  <c r="AH421" i="5"/>
  <c r="AR420" i="5"/>
  <c r="AH420" i="5"/>
  <c r="AR419" i="5"/>
  <c r="AH419" i="5"/>
  <c r="AR418" i="5"/>
  <c r="AH418" i="5"/>
  <c r="AR417" i="5"/>
  <c r="AH417" i="5"/>
  <c r="AR416" i="5"/>
  <c r="AH416" i="5"/>
  <c r="AR415" i="5"/>
  <c r="AH415" i="5"/>
  <c r="AR414" i="5"/>
  <c r="AH414" i="5"/>
  <c r="AR413" i="5"/>
  <c r="AH413" i="5"/>
  <c r="AR412" i="5"/>
  <c r="AH412" i="5"/>
  <c r="AR411" i="5"/>
  <c r="AH411" i="5"/>
  <c r="AR410" i="5"/>
  <c r="AH410" i="5"/>
  <c r="AI409" i="5"/>
  <c r="AR409" i="5" s="1"/>
  <c r="AH409" i="5"/>
  <c r="AI408" i="5"/>
  <c r="AR408" i="5" s="1"/>
  <c r="AH408" i="5"/>
  <c r="AI407" i="5"/>
  <c r="AR407" i="5" s="1"/>
  <c r="AH407" i="5"/>
  <c r="AI406" i="5"/>
  <c r="AR406" i="5" s="1"/>
  <c r="AH406" i="5"/>
  <c r="AI405" i="5"/>
  <c r="AR405" i="5" s="1"/>
  <c r="AH405" i="5"/>
  <c r="AI404" i="5"/>
  <c r="AR404" i="5" s="1"/>
  <c r="AH404" i="5"/>
  <c r="AI403" i="5"/>
  <c r="AR403" i="5" s="1"/>
  <c r="AH403" i="5"/>
  <c r="AI402" i="5"/>
  <c r="AR402" i="5" s="1"/>
  <c r="AH402" i="5"/>
  <c r="AR401" i="5"/>
  <c r="AH401" i="5"/>
  <c r="AR400" i="5"/>
  <c r="AH400" i="5"/>
  <c r="AR398" i="5"/>
  <c r="AH398" i="5"/>
  <c r="AR397" i="5"/>
  <c r="AH397" i="5"/>
  <c r="AR396" i="5"/>
  <c r="AH396" i="5"/>
  <c r="AR395" i="5"/>
  <c r="AH395" i="5"/>
  <c r="AR394" i="5"/>
  <c r="AH394" i="5"/>
  <c r="AR393" i="5"/>
  <c r="AH393" i="5"/>
  <c r="AR392" i="5"/>
  <c r="AH392" i="5"/>
  <c r="AR391" i="5"/>
  <c r="AH391" i="5"/>
  <c r="AR390" i="5"/>
  <c r="AH390" i="5"/>
  <c r="AR389" i="5"/>
  <c r="AH389" i="5"/>
  <c r="AR388" i="5"/>
  <c r="AH388" i="5"/>
  <c r="AR387" i="5"/>
  <c r="AH387" i="5"/>
  <c r="AR386" i="5"/>
  <c r="AH386" i="5"/>
  <c r="AR385" i="5"/>
  <c r="AH385" i="5"/>
  <c r="AR383" i="5"/>
  <c r="AH383" i="5"/>
  <c r="AR382" i="5"/>
  <c r="AH382" i="5"/>
  <c r="AR381" i="5"/>
  <c r="AH381" i="5"/>
  <c r="AR380" i="5"/>
  <c r="AH380" i="5"/>
  <c r="AR379" i="5"/>
  <c r="AH379" i="5"/>
  <c r="AR378" i="5"/>
  <c r="AH378" i="5"/>
  <c r="AR377" i="5"/>
  <c r="AH377" i="5"/>
  <c r="AR376" i="5"/>
  <c r="AH376" i="5"/>
  <c r="AR375" i="5"/>
  <c r="AH375" i="5"/>
  <c r="AI373" i="5"/>
  <c r="AR373" i="5" s="1"/>
  <c r="AH373" i="5"/>
  <c r="AI372" i="5"/>
  <c r="AR372" i="5" s="1"/>
  <c r="AH372" i="5"/>
  <c r="AI371" i="5"/>
  <c r="AR371" i="5" s="1"/>
  <c r="AH371" i="5"/>
  <c r="AI370" i="5"/>
  <c r="AR370" i="5" s="1"/>
  <c r="AH370" i="5"/>
  <c r="AI369" i="5"/>
  <c r="AR369" i="5" s="1"/>
  <c r="AH369" i="5"/>
  <c r="AI368" i="5"/>
  <c r="AR368" i="5" s="1"/>
  <c r="AH368" i="5"/>
  <c r="AI367" i="5"/>
  <c r="AR367" i="5" s="1"/>
  <c r="AH367" i="5"/>
  <c r="AI366" i="5"/>
  <c r="AR366" i="5" s="1"/>
  <c r="AH366" i="5"/>
  <c r="AI365" i="5"/>
  <c r="AR365" i="5" s="1"/>
  <c r="AH365" i="5"/>
  <c r="AI364" i="5"/>
  <c r="AR364" i="5" s="1"/>
  <c r="AH364" i="5"/>
  <c r="AI363" i="5"/>
  <c r="AR363" i="5" s="1"/>
  <c r="AH363" i="5"/>
  <c r="AI362" i="5"/>
  <c r="AR362" i="5" s="1"/>
  <c r="AH362" i="5"/>
  <c r="AR360" i="5"/>
  <c r="AH360" i="5"/>
  <c r="AR359" i="5"/>
  <c r="AH359" i="5"/>
  <c r="AR358" i="5"/>
  <c r="AH358" i="5"/>
  <c r="AR357" i="5"/>
  <c r="AH357" i="5"/>
  <c r="AR356" i="5"/>
  <c r="AH356" i="5"/>
  <c r="AR355" i="5"/>
  <c r="AH355" i="5"/>
  <c r="AR354" i="5"/>
  <c r="AH354" i="5"/>
  <c r="AR353" i="5"/>
  <c r="AH353" i="5"/>
  <c r="AR352" i="5"/>
  <c r="AH352" i="5"/>
  <c r="AR351" i="5"/>
  <c r="AH351" i="5"/>
  <c r="AR350" i="5"/>
  <c r="AH350" i="5"/>
  <c r="AR349" i="5"/>
  <c r="AH349" i="5"/>
  <c r="AR348" i="5"/>
  <c r="AH348" i="5"/>
  <c r="AR347" i="5"/>
  <c r="AH347" i="5"/>
  <c r="AR346" i="5"/>
  <c r="AH346" i="5"/>
  <c r="AR345" i="5"/>
  <c r="AH345" i="5"/>
  <c r="AR344" i="5"/>
  <c r="AH344" i="5"/>
  <c r="AR343" i="5"/>
  <c r="AH343" i="5"/>
  <c r="AR342" i="5"/>
  <c r="AH342" i="5"/>
  <c r="AR341" i="5"/>
  <c r="AH341" i="5"/>
  <c r="AR340" i="5"/>
  <c r="AH340" i="5"/>
  <c r="AR339" i="5"/>
  <c r="AH339" i="5"/>
  <c r="AR338" i="5"/>
  <c r="AH338" i="5"/>
  <c r="AR337" i="5"/>
  <c r="AH337" i="5"/>
  <c r="AR336" i="5"/>
  <c r="AH336" i="5"/>
  <c r="AR335" i="5"/>
  <c r="AH335" i="5"/>
  <c r="AR334" i="5"/>
  <c r="AH334" i="5"/>
  <c r="AR333" i="5"/>
  <c r="AH333" i="5"/>
  <c r="AR332" i="5"/>
  <c r="AH332" i="5"/>
  <c r="AR331" i="5"/>
  <c r="AH331" i="5"/>
  <c r="AR330" i="5"/>
  <c r="AH330" i="5"/>
  <c r="AR329" i="5"/>
  <c r="AH329" i="5"/>
  <c r="AR328" i="5"/>
  <c r="AH328" i="5"/>
  <c r="AR327" i="5"/>
  <c r="AH327" i="5"/>
  <c r="AR325" i="5"/>
  <c r="AH325" i="5"/>
  <c r="AR324" i="5"/>
  <c r="AH324" i="5"/>
  <c r="AR323" i="5"/>
  <c r="AH323" i="5"/>
  <c r="AR322" i="5"/>
  <c r="AH322" i="5"/>
  <c r="AR321" i="5"/>
  <c r="AH321" i="5"/>
  <c r="AR320" i="5"/>
  <c r="AH320" i="5"/>
  <c r="AR319" i="5"/>
  <c r="AH319" i="5"/>
  <c r="AR318" i="5"/>
  <c r="AH318" i="5"/>
  <c r="AR317" i="5"/>
  <c r="AH317" i="5"/>
  <c r="AR316" i="5"/>
  <c r="AH316" i="5"/>
  <c r="AR315" i="5"/>
  <c r="AH315" i="5"/>
  <c r="AR314" i="5"/>
  <c r="AH314" i="5"/>
  <c r="AR312" i="5"/>
  <c r="AH312" i="5"/>
  <c r="AR311" i="5"/>
  <c r="AH311" i="5"/>
  <c r="AR310" i="5"/>
  <c r="AH310" i="5"/>
  <c r="AR309" i="5"/>
  <c r="AH309" i="5"/>
  <c r="AR308" i="5"/>
  <c r="AH308" i="5"/>
  <c r="AR307" i="5"/>
  <c r="AH307" i="5"/>
  <c r="AR306" i="5"/>
  <c r="AH306" i="5"/>
  <c r="AR305" i="5"/>
  <c r="AH305" i="5"/>
  <c r="AR304" i="5"/>
  <c r="AH304" i="5"/>
  <c r="AR303" i="5"/>
  <c r="AH303" i="5"/>
  <c r="AR302" i="5"/>
  <c r="AH302" i="5"/>
  <c r="AR301" i="5"/>
  <c r="AH301" i="5"/>
  <c r="AR300" i="5"/>
  <c r="AH300" i="5"/>
  <c r="AR299" i="5"/>
  <c r="AH299" i="5"/>
  <c r="AR298" i="5"/>
  <c r="AH298" i="5"/>
  <c r="AR297" i="5"/>
  <c r="AH297" i="5"/>
  <c r="AR296" i="5"/>
  <c r="AH296" i="5"/>
  <c r="AR295" i="5"/>
  <c r="AH295" i="5"/>
  <c r="AR294" i="5"/>
  <c r="AH294" i="5"/>
  <c r="AR293" i="5"/>
  <c r="AH293" i="5"/>
  <c r="AR292" i="5"/>
  <c r="AH292" i="5"/>
  <c r="AR291" i="5"/>
  <c r="AH291" i="5"/>
  <c r="AR290" i="5"/>
  <c r="AH290" i="5"/>
  <c r="AR289" i="5"/>
  <c r="AH289" i="5"/>
  <c r="AR288" i="5"/>
  <c r="AH288" i="5"/>
  <c r="AR287" i="5"/>
  <c r="AH287" i="5"/>
  <c r="AR285" i="5"/>
  <c r="AH285" i="5"/>
  <c r="AR284" i="5"/>
  <c r="AH284" i="5"/>
  <c r="AR283" i="5"/>
  <c r="AH283" i="5"/>
  <c r="AR282" i="5"/>
  <c r="AH282" i="5"/>
  <c r="AR281" i="5"/>
  <c r="AH281" i="5"/>
  <c r="AR280" i="5"/>
  <c r="AH280" i="5"/>
  <c r="AR279" i="5"/>
  <c r="AH279" i="5"/>
  <c r="AR278" i="5"/>
  <c r="AH278" i="5"/>
  <c r="AR277" i="5"/>
  <c r="AH277" i="5"/>
  <c r="AR275" i="5"/>
  <c r="AH275" i="5"/>
  <c r="AR274" i="5"/>
  <c r="AH274" i="5"/>
  <c r="AR273" i="5"/>
  <c r="AH273" i="5"/>
  <c r="AR272" i="5"/>
  <c r="AH272" i="5"/>
  <c r="AR271" i="5"/>
  <c r="AH271" i="5"/>
  <c r="AR270" i="5"/>
  <c r="AH270" i="5"/>
  <c r="AR269" i="5"/>
  <c r="AH269" i="5"/>
  <c r="AR268" i="5"/>
  <c r="AH268" i="5"/>
  <c r="AR267" i="5"/>
  <c r="AH267" i="5"/>
  <c r="AR266" i="5"/>
  <c r="AH266" i="5"/>
  <c r="AR265" i="5"/>
  <c r="AH265" i="5"/>
  <c r="AR264" i="5"/>
  <c r="AH264" i="5"/>
  <c r="AR263" i="5"/>
  <c r="AH263" i="5"/>
  <c r="AR262" i="5"/>
  <c r="AH262" i="5"/>
  <c r="AR261" i="5"/>
  <c r="AH261" i="5"/>
  <c r="AR260" i="5"/>
  <c r="AH260" i="5"/>
  <c r="AR259" i="5"/>
  <c r="AH259" i="5"/>
  <c r="AR258" i="5"/>
  <c r="AH258" i="5"/>
  <c r="AR257" i="5"/>
  <c r="AH257" i="5"/>
  <c r="AR256" i="5"/>
  <c r="AH256" i="5"/>
  <c r="AR255" i="5"/>
  <c r="AH255" i="5"/>
  <c r="AR254" i="5"/>
  <c r="AH254" i="5"/>
  <c r="AR253" i="5"/>
  <c r="AH253" i="5"/>
  <c r="AR251" i="5"/>
  <c r="AH251" i="5"/>
  <c r="AR250" i="5"/>
  <c r="AH250" i="5"/>
  <c r="AR249" i="5"/>
  <c r="AH249" i="5"/>
  <c r="AR248" i="5"/>
  <c r="AH248" i="5"/>
  <c r="AR247" i="5"/>
  <c r="AH247" i="5"/>
  <c r="AR246" i="5"/>
  <c r="AH246" i="5"/>
  <c r="AR245" i="5"/>
  <c r="AH245" i="5"/>
  <c r="AR244" i="5"/>
  <c r="AH244" i="5"/>
  <c r="AR243" i="5"/>
  <c r="AH243" i="5"/>
  <c r="AR242" i="5"/>
  <c r="AH242" i="5"/>
  <c r="AR241" i="5"/>
  <c r="AH241" i="5"/>
  <c r="AR240" i="5"/>
  <c r="AH240" i="5"/>
  <c r="AR239" i="5"/>
  <c r="AH239" i="5"/>
  <c r="AR238" i="5"/>
  <c r="AH238" i="5"/>
  <c r="AR237" i="5"/>
  <c r="AH237" i="5"/>
  <c r="AR236" i="5"/>
  <c r="AH236" i="5"/>
  <c r="AR235" i="5"/>
  <c r="AH235" i="5"/>
  <c r="AR234" i="5"/>
  <c r="AH234" i="5"/>
  <c r="AR233" i="5"/>
  <c r="AH233" i="5"/>
  <c r="AR232" i="5"/>
  <c r="AH232" i="5"/>
  <c r="AR231" i="5"/>
  <c r="AH231" i="5"/>
  <c r="AR230" i="5"/>
  <c r="AH230" i="5"/>
  <c r="AR229" i="5"/>
  <c r="AH229" i="5"/>
  <c r="AR228" i="5"/>
  <c r="AH228" i="5"/>
  <c r="AR227" i="5"/>
  <c r="AH227" i="5"/>
  <c r="AR226" i="5"/>
  <c r="AH226" i="5"/>
  <c r="AR224" i="5"/>
  <c r="AH224" i="5"/>
  <c r="AR223" i="5"/>
  <c r="AH223" i="5"/>
  <c r="AR222" i="5"/>
  <c r="AH222" i="5"/>
  <c r="AR221" i="5"/>
  <c r="AH221" i="5"/>
  <c r="AR220" i="5"/>
  <c r="AH220" i="5"/>
  <c r="AR219" i="5"/>
  <c r="AH219" i="5"/>
  <c r="AR218" i="5"/>
  <c r="AH218" i="5"/>
  <c r="AR217" i="5"/>
  <c r="AH217" i="5"/>
  <c r="AR216" i="5"/>
  <c r="AH216" i="5"/>
  <c r="AR215" i="5"/>
  <c r="AH215" i="5"/>
  <c r="AR214" i="5"/>
  <c r="AH214" i="5"/>
  <c r="AR213" i="5"/>
  <c r="AH213" i="5"/>
  <c r="AR212" i="5"/>
  <c r="AH212" i="5"/>
  <c r="AR211" i="5"/>
  <c r="AH211" i="5"/>
  <c r="AR210" i="5"/>
  <c r="AH210" i="5"/>
  <c r="AR209" i="5"/>
  <c r="AH209" i="5"/>
  <c r="AR208" i="5"/>
  <c r="AH208" i="5"/>
  <c r="AR207" i="5"/>
  <c r="AH207" i="5"/>
  <c r="AR206" i="5"/>
  <c r="AH206" i="5"/>
  <c r="AR205" i="5"/>
  <c r="AH205" i="5"/>
  <c r="AR204" i="5"/>
  <c r="AH204" i="5"/>
  <c r="AR203" i="5"/>
  <c r="AH203" i="5"/>
  <c r="AR202" i="5"/>
  <c r="AH202" i="5"/>
  <c r="AR201" i="5"/>
  <c r="AH201" i="5"/>
  <c r="AR200" i="5"/>
  <c r="AH200" i="5"/>
  <c r="AR199" i="5"/>
  <c r="AH199" i="5"/>
  <c r="AR197" i="5"/>
  <c r="AH197" i="5"/>
  <c r="AR196" i="5"/>
  <c r="AH196" i="5"/>
  <c r="AR195" i="5"/>
  <c r="AH195" i="5"/>
  <c r="AR194" i="5"/>
  <c r="AH194" i="5"/>
  <c r="AR193" i="5"/>
  <c r="AH193" i="5"/>
  <c r="AR192" i="5"/>
  <c r="AH192" i="5"/>
  <c r="AR191" i="5"/>
  <c r="AH191" i="5"/>
  <c r="AR190" i="5"/>
  <c r="AH190" i="5"/>
  <c r="AR189" i="5"/>
  <c r="AH189" i="5"/>
  <c r="AR188" i="5"/>
  <c r="AH188" i="5"/>
  <c r="AR187" i="5"/>
  <c r="AH187" i="5"/>
  <c r="AR186" i="5"/>
  <c r="AH186" i="5"/>
  <c r="AR185" i="5"/>
  <c r="AH185" i="5"/>
  <c r="AR184" i="5"/>
  <c r="AH184" i="5"/>
  <c r="AR183" i="5"/>
  <c r="AH183" i="5"/>
  <c r="AR182" i="5"/>
  <c r="AH182" i="5"/>
  <c r="AR181" i="5"/>
  <c r="AH181" i="5"/>
  <c r="AR180" i="5"/>
  <c r="AH180" i="5"/>
  <c r="AR179" i="5"/>
  <c r="AH179" i="5"/>
  <c r="AR178" i="5"/>
  <c r="AH178" i="5"/>
  <c r="AR177" i="5"/>
  <c r="AH177" i="5"/>
  <c r="AR176" i="5"/>
  <c r="AH176" i="5"/>
  <c r="AR175" i="5"/>
  <c r="AH175" i="5"/>
  <c r="AR174" i="5"/>
  <c r="AH174" i="5"/>
  <c r="AR173" i="5"/>
  <c r="AH173" i="5"/>
  <c r="AH172" i="5"/>
  <c r="AH170" i="5"/>
  <c r="AH169" i="5"/>
  <c r="AH168" i="5"/>
  <c r="AH167" i="5"/>
  <c r="AH166" i="5"/>
  <c r="AH165" i="5"/>
  <c r="AH164" i="5"/>
  <c r="AH163" i="5"/>
  <c r="AH162" i="5"/>
  <c r="AH161" i="5"/>
  <c r="AH160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H44" i="5"/>
  <c r="AH43" i="5"/>
  <c r="AH42" i="5"/>
  <c r="AH41" i="5"/>
  <c r="AH40" i="5"/>
  <c r="AH39" i="5"/>
  <c r="AH38" i="5"/>
  <c r="AH37" i="5"/>
  <c r="AH36" i="5"/>
  <c r="AH35" i="5"/>
  <c r="AH34" i="5"/>
  <c r="AH33" i="5"/>
  <c r="AH32" i="5"/>
  <c r="AH31" i="5"/>
  <c r="AH30" i="5"/>
  <c r="AH29" i="5"/>
  <c r="AH28" i="5"/>
  <c r="AH27" i="5"/>
  <c r="AH26" i="5"/>
  <c r="AH25" i="5"/>
  <c r="AH24" i="5"/>
  <c r="AH23" i="5"/>
  <c r="AH22" i="5"/>
  <c r="AH21" i="5"/>
  <c r="AH20" i="5"/>
  <c r="AH19" i="5"/>
  <c r="AH18" i="5"/>
  <c r="AH17" i="5"/>
  <c r="AH16" i="5"/>
  <c r="AH15" i="5"/>
  <c r="AH14" i="5"/>
  <c r="AH13" i="5"/>
  <c r="AH12" i="5"/>
  <c r="AH11" i="5"/>
  <c r="AH10" i="5"/>
  <c r="AH9" i="5"/>
  <c r="AH8" i="5"/>
  <c r="AH7" i="5"/>
  <c r="AH6" i="5"/>
  <c r="AH5" i="5"/>
  <c r="AH4" i="5"/>
  <c r="AM4" i="5"/>
  <c r="AL4" i="5"/>
  <c r="AN4" i="5" s="1"/>
  <c r="T1152" i="5"/>
  <c r="U1152" i="5" s="1"/>
  <c r="X1152" i="5" s="1"/>
  <c r="Y1152" i="5" s="1"/>
  <c r="P1152" i="5"/>
  <c r="R1152" i="5" s="1"/>
  <c r="S1152" i="5" s="1"/>
  <c r="O1152" i="5"/>
  <c r="N1152" i="5"/>
  <c r="D1152" i="5"/>
  <c r="T1151" i="5"/>
  <c r="U1151" i="5" s="1"/>
  <c r="V1151" i="5" s="1"/>
  <c r="P1151" i="5"/>
  <c r="R1151" i="5" s="1"/>
  <c r="S1151" i="5" s="1"/>
  <c r="W1151" i="5" s="1"/>
  <c r="X1151" i="5" s="1"/>
  <c r="Y1151" i="5" s="1"/>
  <c r="O1151" i="5"/>
  <c r="N1151" i="5"/>
  <c r="D1151" i="5"/>
  <c r="T1150" i="5"/>
  <c r="U1150" i="5" s="1"/>
  <c r="R1150" i="5"/>
  <c r="S1150" i="5" s="1"/>
  <c r="O1150" i="5"/>
  <c r="N1150" i="5"/>
  <c r="D1150" i="5"/>
  <c r="T1149" i="5"/>
  <c r="U1149" i="5" s="1"/>
  <c r="R1149" i="5"/>
  <c r="S1149" i="5" s="1"/>
  <c r="O1149" i="5"/>
  <c r="N1149" i="5"/>
  <c r="D1149" i="5"/>
  <c r="T1148" i="5"/>
  <c r="U1148" i="5" s="1"/>
  <c r="R1148" i="5"/>
  <c r="S1148" i="5" s="1"/>
  <c r="O1148" i="5"/>
  <c r="N1148" i="5"/>
  <c r="D1148" i="5"/>
  <c r="T1147" i="5"/>
  <c r="U1147" i="5" s="1"/>
  <c r="R1147" i="5"/>
  <c r="S1147" i="5" s="1"/>
  <c r="O1147" i="5"/>
  <c r="N1147" i="5"/>
  <c r="D1147" i="5"/>
  <c r="T1146" i="5"/>
  <c r="U1146" i="5" s="1"/>
  <c r="P1146" i="5"/>
  <c r="R1146" i="5" s="1"/>
  <c r="S1146" i="5" s="1"/>
  <c r="O1146" i="5"/>
  <c r="N1146" i="5"/>
  <c r="D1146" i="5"/>
  <c r="T1145" i="5"/>
  <c r="U1145" i="5" s="1"/>
  <c r="P1145" i="5"/>
  <c r="R1145" i="5" s="1"/>
  <c r="S1145" i="5" s="1"/>
  <c r="O1145" i="5"/>
  <c r="N1145" i="5"/>
  <c r="D1145" i="5"/>
  <c r="T1144" i="5"/>
  <c r="U1144" i="5" s="1"/>
  <c r="X1144" i="5" s="1"/>
  <c r="Y1144" i="5" s="1"/>
  <c r="R1144" i="5"/>
  <c r="S1144" i="5" s="1"/>
  <c r="O1144" i="5"/>
  <c r="N1144" i="5"/>
  <c r="D1144" i="5"/>
  <c r="T1143" i="5"/>
  <c r="U1143" i="5" s="1"/>
  <c r="R1143" i="5"/>
  <c r="S1143" i="5" s="1"/>
  <c r="O1143" i="5"/>
  <c r="N1143" i="5"/>
  <c r="D1143" i="5"/>
  <c r="T1142" i="5"/>
  <c r="U1142" i="5" s="1"/>
  <c r="R1142" i="5"/>
  <c r="S1142" i="5" s="1"/>
  <c r="Z1142" i="5" s="1"/>
  <c r="O1142" i="5"/>
  <c r="N1142" i="5"/>
  <c r="D1142" i="5"/>
  <c r="T1141" i="5"/>
  <c r="U1141" i="5" s="1"/>
  <c r="R1141" i="5"/>
  <c r="S1141" i="5" s="1"/>
  <c r="Z1141" i="5" s="1"/>
  <c r="O1141" i="5"/>
  <c r="N1141" i="5"/>
  <c r="D1141" i="5"/>
  <c r="T1140" i="5"/>
  <c r="U1140" i="5" s="1"/>
  <c r="R1140" i="5"/>
  <c r="S1140" i="5" s="1"/>
  <c r="O1140" i="5"/>
  <c r="N1140" i="5"/>
  <c r="D1140" i="5"/>
  <c r="T1139" i="5"/>
  <c r="U1139" i="5" s="1"/>
  <c r="R1139" i="5"/>
  <c r="S1139" i="5" s="1"/>
  <c r="O1139" i="5"/>
  <c r="N1139" i="5"/>
  <c r="D1139" i="5"/>
  <c r="T1138" i="5"/>
  <c r="U1138" i="5" s="1"/>
  <c r="R1138" i="5"/>
  <c r="S1138" i="5" s="1"/>
  <c r="O1138" i="5"/>
  <c r="N1138" i="5"/>
  <c r="D1138" i="5"/>
  <c r="T1137" i="5"/>
  <c r="U1137" i="5" s="1"/>
  <c r="R1137" i="5"/>
  <c r="S1137" i="5" s="1"/>
  <c r="O1137" i="5"/>
  <c r="N1137" i="5"/>
  <c r="D1137" i="5"/>
  <c r="T1136" i="5"/>
  <c r="U1136" i="5" s="1"/>
  <c r="V1136" i="5" s="1"/>
  <c r="P1136" i="5"/>
  <c r="R1136" i="5" s="1"/>
  <c r="S1136" i="5" s="1"/>
  <c r="W1136" i="5" s="1"/>
  <c r="X1136" i="5" s="1"/>
  <c r="Y1136" i="5" s="1"/>
  <c r="O1136" i="5"/>
  <c r="N1136" i="5"/>
  <c r="D1136" i="5"/>
  <c r="T1135" i="5"/>
  <c r="U1135" i="5" s="1"/>
  <c r="R1135" i="5"/>
  <c r="S1135" i="5" s="1"/>
  <c r="O1135" i="5"/>
  <c r="N1135" i="5"/>
  <c r="D1135" i="5"/>
  <c r="T1134" i="5"/>
  <c r="U1134" i="5" s="1"/>
  <c r="P1134" i="5"/>
  <c r="R1134" i="5" s="1"/>
  <c r="S1134" i="5" s="1"/>
  <c r="O1134" i="5"/>
  <c r="N1134" i="5"/>
  <c r="D1134" i="5"/>
  <c r="T1133" i="5"/>
  <c r="U1133" i="5" s="1"/>
  <c r="P1133" i="5"/>
  <c r="R1133" i="5" s="1"/>
  <c r="S1133" i="5" s="1"/>
  <c r="O1133" i="5"/>
  <c r="N1133" i="5"/>
  <c r="D1133" i="5"/>
  <c r="T1132" i="5"/>
  <c r="U1132" i="5" s="1"/>
  <c r="V1132" i="5" s="1"/>
  <c r="P1132" i="5"/>
  <c r="R1132" i="5" s="1"/>
  <c r="S1132" i="5" s="1"/>
  <c r="W1132" i="5" s="1"/>
  <c r="X1132" i="5" s="1"/>
  <c r="Y1132" i="5" s="1"/>
  <c r="O1132" i="5"/>
  <c r="N1132" i="5"/>
  <c r="D1132" i="5"/>
  <c r="T1131" i="5"/>
  <c r="U1131" i="5" s="1"/>
  <c r="V1131" i="5" s="1"/>
  <c r="P1131" i="5"/>
  <c r="R1131" i="5" s="1"/>
  <c r="S1131" i="5" s="1"/>
  <c r="W1131" i="5" s="1"/>
  <c r="X1131" i="5" s="1"/>
  <c r="Y1131" i="5" s="1"/>
  <c r="O1131" i="5"/>
  <c r="N1131" i="5"/>
  <c r="D1131" i="5"/>
  <c r="T1130" i="5"/>
  <c r="U1130" i="5" s="1"/>
  <c r="R1130" i="5"/>
  <c r="S1130" i="5" s="1"/>
  <c r="O1130" i="5"/>
  <c r="N1130" i="5"/>
  <c r="D1130" i="5"/>
  <c r="T1129" i="5"/>
  <c r="U1129" i="5" s="1"/>
  <c r="R1129" i="5"/>
  <c r="S1129" i="5" s="1"/>
  <c r="Z1129" i="5" s="1"/>
  <c r="O1129" i="5"/>
  <c r="N1129" i="5"/>
  <c r="D1129" i="5"/>
  <c r="T1127" i="5"/>
  <c r="U1127" i="5" s="1"/>
  <c r="V1127" i="5" s="1"/>
  <c r="R1127" i="5"/>
  <c r="S1127" i="5" s="1"/>
  <c r="O1127" i="5"/>
  <c r="N1127" i="5"/>
  <c r="D1127" i="5"/>
  <c r="T1126" i="5"/>
  <c r="U1126" i="5" s="1"/>
  <c r="R1126" i="5"/>
  <c r="S1126" i="5" s="1"/>
  <c r="O1126" i="5"/>
  <c r="N1126" i="5"/>
  <c r="D1126" i="5"/>
  <c r="T1125" i="5"/>
  <c r="U1125" i="5" s="1"/>
  <c r="R1125" i="5"/>
  <c r="S1125" i="5" s="1"/>
  <c r="O1125" i="5"/>
  <c r="N1125" i="5"/>
  <c r="D1125" i="5"/>
  <c r="T1124" i="5"/>
  <c r="U1124" i="5" s="1"/>
  <c r="R1124" i="5"/>
  <c r="S1124" i="5" s="1"/>
  <c r="O1124" i="5"/>
  <c r="N1124" i="5"/>
  <c r="D1124" i="5"/>
  <c r="T1123" i="5"/>
  <c r="U1123" i="5" s="1"/>
  <c r="R1123" i="5"/>
  <c r="S1123" i="5" s="1"/>
  <c r="O1123" i="5"/>
  <c r="N1123" i="5"/>
  <c r="D1123" i="5"/>
  <c r="T1122" i="5"/>
  <c r="U1122" i="5" s="1"/>
  <c r="R1122" i="5"/>
  <c r="S1122" i="5" s="1"/>
  <c r="O1122" i="5"/>
  <c r="N1122" i="5"/>
  <c r="D1122" i="5"/>
  <c r="T1121" i="5"/>
  <c r="U1121" i="5" s="1"/>
  <c r="V1121" i="5" s="1"/>
  <c r="R1121" i="5"/>
  <c r="S1121" i="5" s="1"/>
  <c r="O1121" i="5"/>
  <c r="N1121" i="5"/>
  <c r="D1121" i="5"/>
  <c r="T1120" i="5"/>
  <c r="U1120" i="5" s="1"/>
  <c r="R1120" i="5"/>
  <c r="S1120" i="5" s="1"/>
  <c r="O1120" i="5"/>
  <c r="N1120" i="5"/>
  <c r="D1120" i="5"/>
  <c r="T1119" i="5"/>
  <c r="U1119" i="5" s="1"/>
  <c r="R1119" i="5"/>
  <c r="S1119" i="5" s="1"/>
  <c r="O1119" i="5"/>
  <c r="N1119" i="5"/>
  <c r="D1119" i="5"/>
  <c r="T1118" i="5"/>
  <c r="U1118" i="5" s="1"/>
  <c r="R1118" i="5"/>
  <c r="S1118" i="5" s="1"/>
  <c r="O1118" i="5"/>
  <c r="N1118" i="5"/>
  <c r="D1118" i="5"/>
  <c r="T1117" i="5"/>
  <c r="U1117" i="5" s="1"/>
  <c r="R1117" i="5"/>
  <c r="S1117" i="5" s="1"/>
  <c r="Z1117" i="5" s="1"/>
  <c r="O1117" i="5"/>
  <c r="N1117" i="5"/>
  <c r="D1117" i="5"/>
  <c r="T1116" i="5"/>
  <c r="U1116" i="5" s="1"/>
  <c r="R1116" i="5"/>
  <c r="S1116" i="5" s="1"/>
  <c r="Z1116" i="5" s="1"/>
  <c r="O1116" i="5"/>
  <c r="N1116" i="5"/>
  <c r="D1116" i="5"/>
  <c r="T1115" i="5"/>
  <c r="U1115" i="5" s="1"/>
  <c r="V1115" i="5" s="1"/>
  <c r="R1115" i="5"/>
  <c r="S1115" i="5" s="1"/>
  <c r="O1115" i="5"/>
  <c r="N1115" i="5"/>
  <c r="D1115" i="5"/>
  <c r="T1114" i="5"/>
  <c r="U1114" i="5" s="1"/>
  <c r="R1114" i="5"/>
  <c r="S1114" i="5" s="1"/>
  <c r="O1114" i="5"/>
  <c r="N1114" i="5"/>
  <c r="D1114" i="5"/>
  <c r="T1113" i="5"/>
  <c r="U1113" i="5" s="1"/>
  <c r="R1113" i="5"/>
  <c r="S1113" i="5" s="1"/>
  <c r="O1113" i="5"/>
  <c r="N1113" i="5"/>
  <c r="D1113" i="5"/>
  <c r="T1112" i="5"/>
  <c r="U1112" i="5" s="1"/>
  <c r="V1112" i="5" s="1"/>
  <c r="R1112" i="5"/>
  <c r="S1112" i="5" s="1"/>
  <c r="O1112" i="5"/>
  <c r="N1112" i="5"/>
  <c r="D1112" i="5"/>
  <c r="T1111" i="5"/>
  <c r="U1111" i="5" s="1"/>
  <c r="R1111" i="5"/>
  <c r="S1111" i="5" s="1"/>
  <c r="O1111" i="5"/>
  <c r="N1111" i="5"/>
  <c r="D1111" i="5"/>
  <c r="T1110" i="5"/>
  <c r="U1110" i="5" s="1"/>
  <c r="R1110" i="5"/>
  <c r="S1110" i="5" s="1"/>
  <c r="O1110" i="5"/>
  <c r="N1110" i="5"/>
  <c r="D1110" i="5"/>
  <c r="T1109" i="5"/>
  <c r="U1109" i="5" s="1"/>
  <c r="X1109" i="5" s="1"/>
  <c r="Y1109" i="5" s="1"/>
  <c r="R1109" i="5"/>
  <c r="S1109" i="5" s="1"/>
  <c r="O1109" i="5"/>
  <c r="N1109" i="5"/>
  <c r="D1109" i="5"/>
  <c r="T1108" i="5"/>
  <c r="U1108" i="5" s="1"/>
  <c r="R1108" i="5"/>
  <c r="S1108" i="5" s="1"/>
  <c r="O1108" i="5"/>
  <c r="N1108" i="5"/>
  <c r="D1108" i="5"/>
  <c r="T1107" i="5"/>
  <c r="U1107" i="5" s="1"/>
  <c r="R1107" i="5"/>
  <c r="S1107" i="5" s="1"/>
  <c r="O1107" i="5"/>
  <c r="N1107" i="5"/>
  <c r="D1107" i="5"/>
  <c r="T1106" i="5"/>
  <c r="U1106" i="5" s="1"/>
  <c r="R1106" i="5"/>
  <c r="S1106" i="5" s="1"/>
  <c r="O1106" i="5"/>
  <c r="N1106" i="5"/>
  <c r="D1106" i="5"/>
  <c r="T1105" i="5"/>
  <c r="U1105" i="5" s="1"/>
  <c r="R1105" i="5"/>
  <c r="S1105" i="5" s="1"/>
  <c r="O1105" i="5"/>
  <c r="N1105" i="5"/>
  <c r="D1105" i="5"/>
  <c r="T1104" i="5"/>
  <c r="U1104" i="5" s="1"/>
  <c r="R1104" i="5"/>
  <c r="S1104" i="5" s="1"/>
  <c r="O1104" i="5"/>
  <c r="N1104" i="5"/>
  <c r="D1104" i="5"/>
  <c r="T1103" i="5"/>
  <c r="U1103" i="5" s="1"/>
  <c r="R1103" i="5"/>
  <c r="S1103" i="5" s="1"/>
  <c r="O1103" i="5"/>
  <c r="N1103" i="5"/>
  <c r="D1103" i="5"/>
  <c r="T1102" i="5"/>
  <c r="U1102" i="5" s="1"/>
  <c r="R1102" i="5"/>
  <c r="S1102" i="5" s="1"/>
  <c r="O1102" i="5"/>
  <c r="N1102" i="5"/>
  <c r="D1102" i="5"/>
  <c r="T1101" i="5"/>
  <c r="U1101" i="5" s="1"/>
  <c r="R1101" i="5"/>
  <c r="S1101" i="5" s="1"/>
  <c r="O1101" i="5"/>
  <c r="N1101" i="5"/>
  <c r="D1101" i="5"/>
  <c r="T1100" i="5"/>
  <c r="U1100" i="5" s="1"/>
  <c r="R1100" i="5"/>
  <c r="S1100" i="5" s="1"/>
  <c r="O1100" i="5"/>
  <c r="N1100" i="5"/>
  <c r="D1100" i="5"/>
  <c r="T1099" i="5"/>
  <c r="U1099" i="5" s="1"/>
  <c r="V1099" i="5" s="1"/>
  <c r="R1099" i="5"/>
  <c r="S1099" i="5" s="1"/>
  <c r="O1099" i="5"/>
  <c r="N1099" i="5"/>
  <c r="D1099" i="5"/>
  <c r="T1098" i="5"/>
  <c r="U1098" i="5" s="1"/>
  <c r="R1098" i="5"/>
  <c r="S1098" i="5" s="1"/>
  <c r="O1098" i="5"/>
  <c r="N1098" i="5"/>
  <c r="D1098" i="5"/>
  <c r="T1097" i="5"/>
  <c r="U1097" i="5" s="1"/>
  <c r="R1097" i="5"/>
  <c r="S1097" i="5" s="1"/>
  <c r="O1097" i="5"/>
  <c r="N1097" i="5"/>
  <c r="D1097" i="5"/>
  <c r="T1096" i="5"/>
  <c r="U1096" i="5" s="1"/>
  <c r="R1096" i="5"/>
  <c r="S1096" i="5" s="1"/>
  <c r="O1096" i="5"/>
  <c r="N1096" i="5"/>
  <c r="D1096" i="5"/>
  <c r="T1095" i="5"/>
  <c r="U1095" i="5" s="1"/>
  <c r="R1095" i="5"/>
  <c r="S1095" i="5" s="1"/>
  <c r="O1095" i="5"/>
  <c r="N1095" i="5"/>
  <c r="D1095" i="5"/>
  <c r="T1094" i="5"/>
  <c r="U1094" i="5" s="1"/>
  <c r="R1094" i="5"/>
  <c r="S1094" i="5" s="1"/>
  <c r="O1094" i="5"/>
  <c r="N1094" i="5"/>
  <c r="D1094" i="5"/>
  <c r="T1093" i="5"/>
  <c r="U1093" i="5" s="1"/>
  <c r="X1093" i="5" s="1"/>
  <c r="Y1093" i="5" s="1"/>
  <c r="R1093" i="5"/>
  <c r="S1093" i="5" s="1"/>
  <c r="O1093" i="5"/>
  <c r="N1093" i="5"/>
  <c r="D1093" i="5"/>
  <c r="T1092" i="5"/>
  <c r="U1092" i="5" s="1"/>
  <c r="X1092" i="5" s="1"/>
  <c r="Y1092" i="5" s="1"/>
  <c r="R1092" i="5"/>
  <c r="S1092" i="5" s="1"/>
  <c r="O1092" i="5"/>
  <c r="N1092" i="5"/>
  <c r="D1092" i="5"/>
  <c r="T1091" i="5"/>
  <c r="U1091" i="5" s="1"/>
  <c r="X1091" i="5" s="1"/>
  <c r="Y1091" i="5" s="1"/>
  <c r="R1091" i="5"/>
  <c r="S1091" i="5" s="1"/>
  <c r="O1091" i="5"/>
  <c r="N1091" i="5"/>
  <c r="D1091" i="5"/>
  <c r="T1090" i="5"/>
  <c r="U1090" i="5" s="1"/>
  <c r="R1090" i="5"/>
  <c r="S1090" i="5" s="1"/>
  <c r="O1090" i="5"/>
  <c r="N1090" i="5"/>
  <c r="D1090" i="5"/>
  <c r="T1089" i="5"/>
  <c r="U1089" i="5" s="1"/>
  <c r="R1089" i="5"/>
  <c r="S1089" i="5" s="1"/>
  <c r="O1089" i="5"/>
  <c r="N1089" i="5"/>
  <c r="D1089" i="5"/>
  <c r="T1088" i="5"/>
  <c r="U1088" i="5" s="1"/>
  <c r="R1088" i="5"/>
  <c r="S1088" i="5" s="1"/>
  <c r="Z1088" i="5" s="1"/>
  <c r="O1088" i="5"/>
  <c r="N1088" i="5"/>
  <c r="D1088" i="5"/>
  <c r="T1087" i="5"/>
  <c r="U1087" i="5" s="1"/>
  <c r="R1087" i="5"/>
  <c r="S1087" i="5" s="1"/>
  <c r="Z1087" i="5" s="1"/>
  <c r="O1087" i="5"/>
  <c r="N1087" i="5"/>
  <c r="D1087" i="5"/>
  <c r="T1086" i="5"/>
  <c r="U1086" i="5" s="1"/>
  <c r="R1086" i="5"/>
  <c r="S1086" i="5" s="1"/>
  <c r="O1086" i="5"/>
  <c r="N1086" i="5"/>
  <c r="D1086" i="5"/>
  <c r="T1085" i="5"/>
  <c r="U1085" i="5" s="1"/>
  <c r="X1085" i="5" s="1"/>
  <c r="Y1085" i="5" s="1"/>
  <c r="R1085" i="5"/>
  <c r="S1085" i="5" s="1"/>
  <c r="O1085" i="5"/>
  <c r="N1085" i="5"/>
  <c r="D1085" i="5"/>
  <c r="T1084" i="5"/>
  <c r="U1084" i="5" s="1"/>
  <c r="R1084" i="5"/>
  <c r="S1084" i="5" s="1"/>
  <c r="O1084" i="5"/>
  <c r="N1084" i="5"/>
  <c r="D1084" i="5"/>
  <c r="T1083" i="5"/>
  <c r="U1083" i="5" s="1"/>
  <c r="R1083" i="5"/>
  <c r="S1083" i="5" s="1"/>
  <c r="O1083" i="5"/>
  <c r="N1083" i="5"/>
  <c r="D1083" i="5"/>
  <c r="T1082" i="5"/>
  <c r="U1082" i="5" s="1"/>
  <c r="R1082" i="5"/>
  <c r="S1082" i="5" s="1"/>
  <c r="O1082" i="5"/>
  <c r="N1082" i="5"/>
  <c r="D1082" i="5"/>
  <c r="T1081" i="5"/>
  <c r="U1081" i="5" s="1"/>
  <c r="R1081" i="5"/>
  <c r="S1081" i="5" s="1"/>
  <c r="O1081" i="5"/>
  <c r="N1081" i="5"/>
  <c r="D1081" i="5"/>
  <c r="T1080" i="5"/>
  <c r="U1080" i="5" s="1"/>
  <c r="R1080" i="5"/>
  <c r="S1080" i="5" s="1"/>
  <c r="O1080" i="5"/>
  <c r="N1080" i="5"/>
  <c r="D1080" i="5"/>
  <c r="T1079" i="5"/>
  <c r="U1079" i="5" s="1"/>
  <c r="R1079" i="5"/>
  <c r="S1079" i="5" s="1"/>
  <c r="O1079" i="5"/>
  <c r="N1079" i="5"/>
  <c r="D1079" i="5"/>
  <c r="T1078" i="5"/>
  <c r="U1078" i="5" s="1"/>
  <c r="R1078" i="5"/>
  <c r="S1078" i="5" s="1"/>
  <c r="O1078" i="5"/>
  <c r="N1078" i="5"/>
  <c r="D1078" i="5"/>
  <c r="T1077" i="5"/>
  <c r="U1077" i="5" s="1"/>
  <c r="R1077" i="5"/>
  <c r="S1077" i="5" s="1"/>
  <c r="O1077" i="5"/>
  <c r="N1077" i="5"/>
  <c r="D1077" i="5"/>
  <c r="T1076" i="5"/>
  <c r="U1076" i="5" s="1"/>
  <c r="R1076" i="5"/>
  <c r="S1076" i="5" s="1"/>
  <c r="O1076" i="5"/>
  <c r="N1076" i="5"/>
  <c r="D1076" i="5"/>
  <c r="T1075" i="5"/>
  <c r="U1075" i="5" s="1"/>
  <c r="R1075" i="5"/>
  <c r="S1075" i="5" s="1"/>
  <c r="O1075" i="5"/>
  <c r="N1075" i="5"/>
  <c r="D1075" i="5"/>
  <c r="T1074" i="5"/>
  <c r="U1074" i="5" s="1"/>
  <c r="V1074" i="5" s="1"/>
  <c r="P1074" i="5"/>
  <c r="R1074" i="5" s="1"/>
  <c r="S1074" i="5" s="1"/>
  <c r="W1074" i="5" s="1"/>
  <c r="X1074" i="5" s="1"/>
  <c r="Y1074" i="5" s="1"/>
  <c r="O1074" i="5"/>
  <c r="N1074" i="5"/>
  <c r="D1074" i="5"/>
  <c r="T1073" i="5"/>
  <c r="U1073" i="5" s="1"/>
  <c r="V1073" i="5" s="1"/>
  <c r="P1073" i="5"/>
  <c r="R1073" i="5" s="1"/>
  <c r="S1073" i="5" s="1"/>
  <c r="W1073" i="5" s="1"/>
  <c r="X1073" i="5" s="1"/>
  <c r="Y1073" i="5" s="1"/>
  <c r="O1073" i="5"/>
  <c r="N1073" i="5"/>
  <c r="D1073" i="5"/>
  <c r="T1072" i="5"/>
  <c r="U1072" i="5" s="1"/>
  <c r="V1072" i="5" s="1"/>
  <c r="P1072" i="5"/>
  <c r="R1072" i="5" s="1"/>
  <c r="S1072" i="5" s="1"/>
  <c r="W1072" i="5" s="1"/>
  <c r="X1072" i="5" s="1"/>
  <c r="Y1072" i="5" s="1"/>
  <c r="O1072" i="5"/>
  <c r="N1072" i="5"/>
  <c r="D1072" i="5"/>
  <c r="T1071" i="5"/>
  <c r="U1071" i="5" s="1"/>
  <c r="V1071" i="5" s="1"/>
  <c r="P1071" i="5"/>
  <c r="R1071" i="5" s="1"/>
  <c r="S1071" i="5" s="1"/>
  <c r="W1071" i="5" s="1"/>
  <c r="X1071" i="5" s="1"/>
  <c r="Y1071" i="5" s="1"/>
  <c r="O1071" i="5"/>
  <c r="N1071" i="5"/>
  <c r="D1071" i="5"/>
  <c r="T1070" i="5"/>
  <c r="U1070" i="5" s="1"/>
  <c r="V1070" i="5" s="1"/>
  <c r="P1070" i="5"/>
  <c r="R1070" i="5" s="1"/>
  <c r="S1070" i="5" s="1"/>
  <c r="W1070" i="5" s="1"/>
  <c r="X1070" i="5" s="1"/>
  <c r="Y1070" i="5" s="1"/>
  <c r="O1070" i="5"/>
  <c r="N1070" i="5"/>
  <c r="D1070" i="5"/>
  <c r="T1069" i="5"/>
  <c r="U1069" i="5" s="1"/>
  <c r="V1069" i="5" s="1"/>
  <c r="P1069" i="5"/>
  <c r="R1069" i="5" s="1"/>
  <c r="S1069" i="5" s="1"/>
  <c r="W1069" i="5" s="1"/>
  <c r="X1069" i="5" s="1"/>
  <c r="Y1069" i="5" s="1"/>
  <c r="O1069" i="5"/>
  <c r="N1069" i="5"/>
  <c r="D1069" i="5"/>
  <c r="T1068" i="5"/>
  <c r="U1068" i="5" s="1"/>
  <c r="V1068" i="5" s="1"/>
  <c r="P1068" i="5"/>
  <c r="R1068" i="5" s="1"/>
  <c r="S1068" i="5" s="1"/>
  <c r="W1068" i="5" s="1"/>
  <c r="X1068" i="5" s="1"/>
  <c r="Y1068" i="5" s="1"/>
  <c r="O1068" i="5"/>
  <c r="N1068" i="5"/>
  <c r="D1068" i="5"/>
  <c r="T1067" i="5"/>
  <c r="U1067" i="5" s="1"/>
  <c r="V1067" i="5" s="1"/>
  <c r="P1067" i="5"/>
  <c r="R1067" i="5" s="1"/>
  <c r="S1067" i="5" s="1"/>
  <c r="W1067" i="5" s="1"/>
  <c r="X1067" i="5" s="1"/>
  <c r="Y1067" i="5" s="1"/>
  <c r="O1067" i="5"/>
  <c r="N1067" i="5"/>
  <c r="D1067" i="5"/>
  <c r="T1066" i="5"/>
  <c r="U1066" i="5" s="1"/>
  <c r="V1066" i="5" s="1"/>
  <c r="P1066" i="5"/>
  <c r="R1066" i="5" s="1"/>
  <c r="S1066" i="5" s="1"/>
  <c r="W1066" i="5" s="1"/>
  <c r="X1066" i="5" s="1"/>
  <c r="Y1066" i="5" s="1"/>
  <c r="O1066" i="5"/>
  <c r="N1066" i="5"/>
  <c r="D1066" i="5"/>
  <c r="T1065" i="5"/>
  <c r="U1065" i="5" s="1"/>
  <c r="V1065" i="5" s="1"/>
  <c r="P1065" i="5"/>
  <c r="R1065" i="5" s="1"/>
  <c r="S1065" i="5" s="1"/>
  <c r="W1065" i="5" s="1"/>
  <c r="X1065" i="5" s="1"/>
  <c r="Y1065" i="5" s="1"/>
  <c r="O1065" i="5"/>
  <c r="N1065" i="5"/>
  <c r="D1065" i="5"/>
  <c r="T1064" i="5"/>
  <c r="U1064" i="5" s="1"/>
  <c r="V1064" i="5" s="1"/>
  <c r="P1064" i="5"/>
  <c r="R1064" i="5" s="1"/>
  <c r="S1064" i="5" s="1"/>
  <c r="W1064" i="5" s="1"/>
  <c r="X1064" i="5" s="1"/>
  <c r="Y1064" i="5" s="1"/>
  <c r="O1064" i="5"/>
  <c r="N1064" i="5"/>
  <c r="D1064" i="5"/>
  <c r="T1063" i="5"/>
  <c r="U1063" i="5" s="1"/>
  <c r="V1063" i="5" s="1"/>
  <c r="P1063" i="5"/>
  <c r="R1063" i="5" s="1"/>
  <c r="S1063" i="5" s="1"/>
  <c r="W1063" i="5" s="1"/>
  <c r="X1063" i="5" s="1"/>
  <c r="Y1063" i="5" s="1"/>
  <c r="O1063" i="5"/>
  <c r="N1063" i="5"/>
  <c r="D1063" i="5"/>
  <c r="T1062" i="5"/>
  <c r="U1062" i="5" s="1"/>
  <c r="V1062" i="5" s="1"/>
  <c r="P1062" i="5"/>
  <c r="R1062" i="5" s="1"/>
  <c r="S1062" i="5" s="1"/>
  <c r="W1062" i="5" s="1"/>
  <c r="X1062" i="5" s="1"/>
  <c r="Y1062" i="5" s="1"/>
  <c r="O1062" i="5"/>
  <c r="N1062" i="5"/>
  <c r="D1062" i="5"/>
  <c r="T1061" i="5"/>
  <c r="U1061" i="5" s="1"/>
  <c r="V1061" i="5" s="1"/>
  <c r="P1061" i="5"/>
  <c r="R1061" i="5" s="1"/>
  <c r="S1061" i="5" s="1"/>
  <c r="W1061" i="5" s="1"/>
  <c r="X1061" i="5" s="1"/>
  <c r="Y1061" i="5" s="1"/>
  <c r="O1061" i="5"/>
  <c r="N1061" i="5"/>
  <c r="D1061" i="5"/>
  <c r="T1060" i="5"/>
  <c r="U1060" i="5" s="1"/>
  <c r="V1060" i="5" s="1"/>
  <c r="P1060" i="5"/>
  <c r="R1060" i="5" s="1"/>
  <c r="S1060" i="5" s="1"/>
  <c r="W1060" i="5" s="1"/>
  <c r="X1060" i="5" s="1"/>
  <c r="Y1060" i="5" s="1"/>
  <c r="O1060" i="5"/>
  <c r="N1060" i="5"/>
  <c r="D1060" i="5"/>
  <c r="T1059" i="5"/>
  <c r="U1059" i="5" s="1"/>
  <c r="V1059" i="5" s="1"/>
  <c r="P1059" i="5"/>
  <c r="R1059" i="5" s="1"/>
  <c r="S1059" i="5" s="1"/>
  <c r="W1059" i="5" s="1"/>
  <c r="X1059" i="5" s="1"/>
  <c r="Y1059" i="5" s="1"/>
  <c r="O1059" i="5"/>
  <c r="N1059" i="5"/>
  <c r="D1059" i="5"/>
  <c r="T1058" i="5"/>
  <c r="U1058" i="5" s="1"/>
  <c r="R1058" i="5"/>
  <c r="S1058" i="5" s="1"/>
  <c r="O1058" i="5"/>
  <c r="N1058" i="5"/>
  <c r="D1058" i="5"/>
  <c r="T1057" i="5"/>
  <c r="U1057" i="5" s="1"/>
  <c r="R1057" i="5"/>
  <c r="S1057" i="5" s="1"/>
  <c r="O1057" i="5"/>
  <c r="N1057" i="5"/>
  <c r="D1057" i="5"/>
  <c r="T1056" i="5"/>
  <c r="U1056" i="5" s="1"/>
  <c r="R1056" i="5"/>
  <c r="S1056" i="5" s="1"/>
  <c r="O1056" i="5"/>
  <c r="N1056" i="5"/>
  <c r="D1056" i="5"/>
  <c r="T1055" i="5"/>
  <c r="U1055" i="5" s="1"/>
  <c r="R1055" i="5"/>
  <c r="S1055" i="5" s="1"/>
  <c r="O1055" i="5"/>
  <c r="N1055" i="5"/>
  <c r="D1055" i="5"/>
  <c r="T1054" i="5"/>
  <c r="U1054" i="5" s="1"/>
  <c r="R1054" i="5"/>
  <c r="S1054" i="5" s="1"/>
  <c r="Z1054" i="5" s="1"/>
  <c r="O1054" i="5"/>
  <c r="N1054" i="5"/>
  <c r="D1054" i="5"/>
  <c r="T1053" i="5"/>
  <c r="U1053" i="5" s="1"/>
  <c r="V1053" i="5" s="1"/>
  <c r="P1053" i="5"/>
  <c r="R1053" i="5" s="1"/>
  <c r="S1053" i="5" s="1"/>
  <c r="W1053" i="5" s="1"/>
  <c r="X1053" i="5" s="1"/>
  <c r="Y1053" i="5" s="1"/>
  <c r="O1053" i="5"/>
  <c r="N1053" i="5"/>
  <c r="D1053" i="5"/>
  <c r="T1052" i="5"/>
  <c r="U1052" i="5" s="1"/>
  <c r="V1052" i="5" s="1"/>
  <c r="P1052" i="5"/>
  <c r="R1052" i="5" s="1"/>
  <c r="S1052" i="5" s="1"/>
  <c r="W1052" i="5" s="1"/>
  <c r="X1052" i="5" s="1"/>
  <c r="Y1052" i="5" s="1"/>
  <c r="O1052" i="5"/>
  <c r="N1052" i="5"/>
  <c r="D1052" i="5"/>
  <c r="T1051" i="5"/>
  <c r="U1051" i="5" s="1"/>
  <c r="V1051" i="5" s="1"/>
  <c r="P1051" i="5"/>
  <c r="R1051" i="5" s="1"/>
  <c r="S1051" i="5" s="1"/>
  <c r="W1051" i="5" s="1"/>
  <c r="X1051" i="5" s="1"/>
  <c r="Y1051" i="5" s="1"/>
  <c r="O1051" i="5"/>
  <c r="N1051" i="5"/>
  <c r="D1051" i="5"/>
  <c r="T1050" i="5"/>
  <c r="U1050" i="5" s="1"/>
  <c r="V1050" i="5" s="1"/>
  <c r="P1050" i="5"/>
  <c r="R1050" i="5" s="1"/>
  <c r="S1050" i="5" s="1"/>
  <c r="W1050" i="5" s="1"/>
  <c r="X1050" i="5" s="1"/>
  <c r="Y1050" i="5" s="1"/>
  <c r="O1050" i="5"/>
  <c r="N1050" i="5"/>
  <c r="D1050" i="5"/>
  <c r="T1049" i="5"/>
  <c r="U1049" i="5" s="1"/>
  <c r="V1049" i="5" s="1"/>
  <c r="P1049" i="5"/>
  <c r="R1049" i="5" s="1"/>
  <c r="S1049" i="5" s="1"/>
  <c r="W1049" i="5" s="1"/>
  <c r="X1049" i="5" s="1"/>
  <c r="Y1049" i="5" s="1"/>
  <c r="O1049" i="5"/>
  <c r="N1049" i="5"/>
  <c r="D1049" i="5"/>
  <c r="T1048" i="5"/>
  <c r="U1048" i="5" s="1"/>
  <c r="V1048" i="5" s="1"/>
  <c r="P1048" i="5"/>
  <c r="R1048" i="5" s="1"/>
  <c r="S1048" i="5" s="1"/>
  <c r="W1048" i="5" s="1"/>
  <c r="X1048" i="5" s="1"/>
  <c r="Y1048" i="5" s="1"/>
  <c r="O1048" i="5"/>
  <c r="N1048" i="5"/>
  <c r="D1048" i="5"/>
  <c r="T1047" i="5"/>
  <c r="U1047" i="5" s="1"/>
  <c r="V1047" i="5" s="1"/>
  <c r="P1047" i="5"/>
  <c r="R1047" i="5" s="1"/>
  <c r="S1047" i="5" s="1"/>
  <c r="W1047" i="5" s="1"/>
  <c r="X1047" i="5" s="1"/>
  <c r="Y1047" i="5" s="1"/>
  <c r="O1047" i="5"/>
  <c r="N1047" i="5"/>
  <c r="D1047" i="5"/>
  <c r="T1046" i="5"/>
  <c r="U1046" i="5" s="1"/>
  <c r="V1046" i="5" s="1"/>
  <c r="P1046" i="5"/>
  <c r="R1046" i="5" s="1"/>
  <c r="S1046" i="5" s="1"/>
  <c r="W1046" i="5" s="1"/>
  <c r="X1046" i="5" s="1"/>
  <c r="Y1046" i="5" s="1"/>
  <c r="O1046" i="5"/>
  <c r="N1046" i="5"/>
  <c r="D1046" i="5"/>
  <c r="T1045" i="5"/>
  <c r="U1045" i="5" s="1"/>
  <c r="V1045" i="5" s="1"/>
  <c r="P1045" i="5"/>
  <c r="R1045" i="5" s="1"/>
  <c r="S1045" i="5" s="1"/>
  <c r="W1045" i="5" s="1"/>
  <c r="X1045" i="5" s="1"/>
  <c r="Y1045" i="5" s="1"/>
  <c r="O1045" i="5"/>
  <c r="N1045" i="5"/>
  <c r="D1045" i="5"/>
  <c r="T1044" i="5"/>
  <c r="U1044" i="5" s="1"/>
  <c r="V1044" i="5" s="1"/>
  <c r="P1044" i="5"/>
  <c r="R1044" i="5" s="1"/>
  <c r="S1044" i="5" s="1"/>
  <c r="W1044" i="5" s="1"/>
  <c r="X1044" i="5" s="1"/>
  <c r="Y1044" i="5" s="1"/>
  <c r="O1044" i="5"/>
  <c r="N1044" i="5"/>
  <c r="D1044" i="5"/>
  <c r="T1043" i="5"/>
  <c r="U1043" i="5" s="1"/>
  <c r="V1043" i="5" s="1"/>
  <c r="P1043" i="5"/>
  <c r="R1043" i="5" s="1"/>
  <c r="S1043" i="5" s="1"/>
  <c r="W1043" i="5" s="1"/>
  <c r="X1043" i="5" s="1"/>
  <c r="Y1043" i="5" s="1"/>
  <c r="O1043" i="5"/>
  <c r="N1043" i="5"/>
  <c r="D1043" i="5"/>
  <c r="T1042" i="5"/>
  <c r="U1042" i="5" s="1"/>
  <c r="V1042" i="5" s="1"/>
  <c r="P1042" i="5"/>
  <c r="R1042" i="5" s="1"/>
  <c r="S1042" i="5" s="1"/>
  <c r="W1042" i="5" s="1"/>
  <c r="X1042" i="5" s="1"/>
  <c r="Y1042" i="5" s="1"/>
  <c r="O1042" i="5"/>
  <c r="N1042" i="5"/>
  <c r="D1042" i="5"/>
  <c r="T1041" i="5"/>
  <c r="U1041" i="5" s="1"/>
  <c r="V1041" i="5" s="1"/>
  <c r="P1041" i="5"/>
  <c r="R1041" i="5" s="1"/>
  <c r="S1041" i="5" s="1"/>
  <c r="W1041" i="5" s="1"/>
  <c r="X1041" i="5" s="1"/>
  <c r="Y1041" i="5" s="1"/>
  <c r="O1041" i="5"/>
  <c r="N1041" i="5"/>
  <c r="D1041" i="5"/>
  <c r="T1040" i="5"/>
  <c r="U1040" i="5" s="1"/>
  <c r="V1040" i="5" s="1"/>
  <c r="P1040" i="5"/>
  <c r="R1040" i="5" s="1"/>
  <c r="S1040" i="5" s="1"/>
  <c r="W1040" i="5" s="1"/>
  <c r="X1040" i="5" s="1"/>
  <c r="Y1040" i="5" s="1"/>
  <c r="O1040" i="5"/>
  <c r="N1040" i="5"/>
  <c r="D1040" i="5"/>
  <c r="T1039" i="5"/>
  <c r="U1039" i="5" s="1"/>
  <c r="V1039" i="5" s="1"/>
  <c r="P1039" i="5"/>
  <c r="R1039" i="5" s="1"/>
  <c r="S1039" i="5" s="1"/>
  <c r="W1039" i="5" s="1"/>
  <c r="X1039" i="5" s="1"/>
  <c r="Y1039" i="5" s="1"/>
  <c r="O1039" i="5"/>
  <c r="N1039" i="5"/>
  <c r="D1039" i="5"/>
  <c r="T1038" i="5"/>
  <c r="U1038" i="5" s="1"/>
  <c r="V1038" i="5" s="1"/>
  <c r="P1038" i="5"/>
  <c r="R1038" i="5" s="1"/>
  <c r="S1038" i="5" s="1"/>
  <c r="W1038" i="5" s="1"/>
  <c r="X1038" i="5" s="1"/>
  <c r="Y1038" i="5" s="1"/>
  <c r="O1038" i="5"/>
  <c r="N1038" i="5"/>
  <c r="D1038" i="5"/>
  <c r="T1037" i="5"/>
  <c r="U1037" i="5" s="1"/>
  <c r="V1037" i="5" s="1"/>
  <c r="P1037" i="5"/>
  <c r="R1037" i="5" s="1"/>
  <c r="S1037" i="5" s="1"/>
  <c r="W1037" i="5" s="1"/>
  <c r="X1037" i="5" s="1"/>
  <c r="Y1037" i="5" s="1"/>
  <c r="O1037" i="5"/>
  <c r="N1037" i="5"/>
  <c r="D1037" i="5"/>
  <c r="T1036" i="5"/>
  <c r="U1036" i="5" s="1"/>
  <c r="V1036" i="5" s="1"/>
  <c r="P1036" i="5"/>
  <c r="R1036" i="5" s="1"/>
  <c r="S1036" i="5" s="1"/>
  <c r="W1036" i="5" s="1"/>
  <c r="X1036" i="5" s="1"/>
  <c r="Y1036" i="5" s="1"/>
  <c r="O1036" i="5"/>
  <c r="N1036" i="5"/>
  <c r="D1036" i="5"/>
  <c r="T1035" i="5"/>
  <c r="U1035" i="5" s="1"/>
  <c r="V1035" i="5" s="1"/>
  <c r="P1035" i="5"/>
  <c r="R1035" i="5" s="1"/>
  <c r="S1035" i="5" s="1"/>
  <c r="W1035" i="5" s="1"/>
  <c r="X1035" i="5" s="1"/>
  <c r="Y1035" i="5" s="1"/>
  <c r="O1035" i="5"/>
  <c r="N1035" i="5"/>
  <c r="D1035" i="5"/>
  <c r="T1034" i="5"/>
  <c r="U1034" i="5" s="1"/>
  <c r="V1034" i="5" s="1"/>
  <c r="P1034" i="5"/>
  <c r="R1034" i="5" s="1"/>
  <c r="S1034" i="5" s="1"/>
  <c r="W1034" i="5" s="1"/>
  <c r="X1034" i="5" s="1"/>
  <c r="Y1034" i="5" s="1"/>
  <c r="O1034" i="5"/>
  <c r="N1034" i="5"/>
  <c r="D1034" i="5"/>
  <c r="T1033" i="5"/>
  <c r="U1033" i="5" s="1"/>
  <c r="V1033" i="5" s="1"/>
  <c r="P1033" i="5"/>
  <c r="R1033" i="5" s="1"/>
  <c r="S1033" i="5" s="1"/>
  <c r="W1033" i="5" s="1"/>
  <c r="X1033" i="5" s="1"/>
  <c r="Y1033" i="5" s="1"/>
  <c r="O1033" i="5"/>
  <c r="N1033" i="5"/>
  <c r="D1033" i="5"/>
  <c r="T1032" i="5"/>
  <c r="U1032" i="5" s="1"/>
  <c r="V1032" i="5" s="1"/>
  <c r="P1032" i="5"/>
  <c r="R1032" i="5" s="1"/>
  <c r="S1032" i="5" s="1"/>
  <c r="W1032" i="5" s="1"/>
  <c r="X1032" i="5" s="1"/>
  <c r="Y1032" i="5" s="1"/>
  <c r="O1032" i="5"/>
  <c r="N1032" i="5"/>
  <c r="D1032" i="5"/>
  <c r="T1031" i="5"/>
  <c r="U1031" i="5" s="1"/>
  <c r="V1031" i="5" s="1"/>
  <c r="P1031" i="5"/>
  <c r="R1031" i="5" s="1"/>
  <c r="S1031" i="5" s="1"/>
  <c r="W1031" i="5" s="1"/>
  <c r="X1031" i="5" s="1"/>
  <c r="Y1031" i="5" s="1"/>
  <c r="O1031" i="5"/>
  <c r="N1031" i="5"/>
  <c r="D1031" i="5"/>
  <c r="T1030" i="5"/>
  <c r="U1030" i="5" s="1"/>
  <c r="V1030" i="5" s="1"/>
  <c r="P1030" i="5"/>
  <c r="R1030" i="5" s="1"/>
  <c r="S1030" i="5" s="1"/>
  <c r="W1030" i="5" s="1"/>
  <c r="X1030" i="5" s="1"/>
  <c r="Y1030" i="5" s="1"/>
  <c r="O1030" i="5"/>
  <c r="N1030" i="5"/>
  <c r="D1030" i="5"/>
  <c r="T1029" i="5"/>
  <c r="U1029" i="5" s="1"/>
  <c r="V1029" i="5" s="1"/>
  <c r="P1029" i="5"/>
  <c r="R1029" i="5" s="1"/>
  <c r="S1029" i="5" s="1"/>
  <c r="W1029" i="5" s="1"/>
  <c r="X1029" i="5" s="1"/>
  <c r="Y1029" i="5" s="1"/>
  <c r="O1029" i="5"/>
  <c r="N1029" i="5"/>
  <c r="D1029" i="5"/>
  <c r="T1028" i="5"/>
  <c r="U1028" i="5" s="1"/>
  <c r="V1028" i="5" s="1"/>
  <c r="P1028" i="5"/>
  <c r="R1028" i="5" s="1"/>
  <c r="S1028" i="5" s="1"/>
  <c r="W1028" i="5" s="1"/>
  <c r="X1028" i="5" s="1"/>
  <c r="Y1028" i="5" s="1"/>
  <c r="O1028" i="5"/>
  <c r="N1028" i="5"/>
  <c r="D1028" i="5"/>
  <c r="T1027" i="5"/>
  <c r="U1027" i="5" s="1"/>
  <c r="V1027" i="5" s="1"/>
  <c r="P1027" i="5"/>
  <c r="R1027" i="5" s="1"/>
  <c r="S1027" i="5" s="1"/>
  <c r="W1027" i="5" s="1"/>
  <c r="X1027" i="5" s="1"/>
  <c r="Y1027" i="5" s="1"/>
  <c r="O1027" i="5"/>
  <c r="N1027" i="5"/>
  <c r="D1027" i="5"/>
  <c r="T1026" i="5"/>
  <c r="U1026" i="5" s="1"/>
  <c r="V1026" i="5" s="1"/>
  <c r="P1026" i="5"/>
  <c r="R1026" i="5" s="1"/>
  <c r="S1026" i="5" s="1"/>
  <c r="W1026" i="5" s="1"/>
  <c r="X1026" i="5" s="1"/>
  <c r="Y1026" i="5" s="1"/>
  <c r="O1026" i="5"/>
  <c r="N1026" i="5"/>
  <c r="D1026" i="5"/>
  <c r="T1025" i="5"/>
  <c r="U1025" i="5" s="1"/>
  <c r="V1025" i="5" s="1"/>
  <c r="P1025" i="5"/>
  <c r="R1025" i="5" s="1"/>
  <c r="S1025" i="5" s="1"/>
  <c r="W1025" i="5" s="1"/>
  <c r="X1025" i="5" s="1"/>
  <c r="Y1025" i="5" s="1"/>
  <c r="O1025" i="5"/>
  <c r="N1025" i="5"/>
  <c r="D1025" i="5"/>
  <c r="T1024" i="5"/>
  <c r="U1024" i="5" s="1"/>
  <c r="V1024" i="5" s="1"/>
  <c r="P1024" i="5"/>
  <c r="R1024" i="5" s="1"/>
  <c r="S1024" i="5" s="1"/>
  <c r="W1024" i="5" s="1"/>
  <c r="X1024" i="5" s="1"/>
  <c r="Y1024" i="5" s="1"/>
  <c r="O1024" i="5"/>
  <c r="N1024" i="5"/>
  <c r="D1024" i="5"/>
  <c r="T1023" i="5"/>
  <c r="U1023" i="5" s="1"/>
  <c r="V1023" i="5" s="1"/>
  <c r="P1023" i="5"/>
  <c r="R1023" i="5" s="1"/>
  <c r="S1023" i="5" s="1"/>
  <c r="W1023" i="5" s="1"/>
  <c r="X1023" i="5" s="1"/>
  <c r="Y1023" i="5" s="1"/>
  <c r="O1023" i="5"/>
  <c r="N1023" i="5"/>
  <c r="D1023" i="5"/>
  <c r="T1022" i="5"/>
  <c r="U1022" i="5" s="1"/>
  <c r="V1022" i="5" s="1"/>
  <c r="P1022" i="5"/>
  <c r="R1022" i="5" s="1"/>
  <c r="S1022" i="5" s="1"/>
  <c r="W1022" i="5" s="1"/>
  <c r="X1022" i="5" s="1"/>
  <c r="Y1022" i="5" s="1"/>
  <c r="O1022" i="5"/>
  <c r="N1022" i="5"/>
  <c r="D1022" i="5"/>
  <c r="T1021" i="5"/>
  <c r="U1021" i="5" s="1"/>
  <c r="V1021" i="5" s="1"/>
  <c r="P1021" i="5"/>
  <c r="R1021" i="5" s="1"/>
  <c r="S1021" i="5" s="1"/>
  <c r="W1021" i="5" s="1"/>
  <c r="X1021" i="5" s="1"/>
  <c r="Y1021" i="5" s="1"/>
  <c r="O1021" i="5"/>
  <c r="N1021" i="5"/>
  <c r="D1021" i="5"/>
  <c r="T1020" i="5"/>
  <c r="U1020" i="5" s="1"/>
  <c r="V1020" i="5" s="1"/>
  <c r="P1020" i="5"/>
  <c r="R1020" i="5" s="1"/>
  <c r="S1020" i="5" s="1"/>
  <c r="W1020" i="5" s="1"/>
  <c r="X1020" i="5" s="1"/>
  <c r="Y1020" i="5" s="1"/>
  <c r="O1020" i="5"/>
  <c r="N1020" i="5"/>
  <c r="D1020" i="5"/>
  <c r="T1019" i="5"/>
  <c r="U1019" i="5" s="1"/>
  <c r="V1019" i="5" s="1"/>
  <c r="P1019" i="5"/>
  <c r="R1019" i="5" s="1"/>
  <c r="S1019" i="5" s="1"/>
  <c r="W1019" i="5" s="1"/>
  <c r="X1019" i="5" s="1"/>
  <c r="Y1019" i="5" s="1"/>
  <c r="O1019" i="5"/>
  <c r="N1019" i="5"/>
  <c r="D1019" i="5"/>
  <c r="T1018" i="5"/>
  <c r="U1018" i="5" s="1"/>
  <c r="V1018" i="5" s="1"/>
  <c r="P1018" i="5"/>
  <c r="R1018" i="5" s="1"/>
  <c r="S1018" i="5" s="1"/>
  <c r="W1018" i="5" s="1"/>
  <c r="X1018" i="5" s="1"/>
  <c r="Y1018" i="5" s="1"/>
  <c r="O1018" i="5"/>
  <c r="N1018" i="5"/>
  <c r="D1018" i="5"/>
  <c r="T1017" i="5"/>
  <c r="U1017" i="5" s="1"/>
  <c r="V1017" i="5" s="1"/>
  <c r="P1017" i="5"/>
  <c r="R1017" i="5" s="1"/>
  <c r="S1017" i="5" s="1"/>
  <c r="W1017" i="5" s="1"/>
  <c r="X1017" i="5" s="1"/>
  <c r="Y1017" i="5" s="1"/>
  <c r="O1017" i="5"/>
  <c r="N1017" i="5"/>
  <c r="D1017" i="5"/>
  <c r="T1016" i="5"/>
  <c r="U1016" i="5" s="1"/>
  <c r="V1016" i="5" s="1"/>
  <c r="P1016" i="5"/>
  <c r="R1016" i="5" s="1"/>
  <c r="S1016" i="5" s="1"/>
  <c r="W1016" i="5" s="1"/>
  <c r="X1016" i="5" s="1"/>
  <c r="Y1016" i="5" s="1"/>
  <c r="O1016" i="5"/>
  <c r="N1016" i="5"/>
  <c r="D1016" i="5"/>
  <c r="T1015" i="5"/>
  <c r="U1015" i="5" s="1"/>
  <c r="V1015" i="5" s="1"/>
  <c r="P1015" i="5"/>
  <c r="R1015" i="5" s="1"/>
  <c r="S1015" i="5" s="1"/>
  <c r="W1015" i="5" s="1"/>
  <c r="X1015" i="5" s="1"/>
  <c r="Y1015" i="5" s="1"/>
  <c r="O1015" i="5"/>
  <c r="N1015" i="5"/>
  <c r="D1015" i="5"/>
  <c r="T1014" i="5"/>
  <c r="U1014" i="5" s="1"/>
  <c r="V1014" i="5" s="1"/>
  <c r="P1014" i="5"/>
  <c r="R1014" i="5" s="1"/>
  <c r="S1014" i="5" s="1"/>
  <c r="W1014" i="5" s="1"/>
  <c r="X1014" i="5" s="1"/>
  <c r="Y1014" i="5" s="1"/>
  <c r="O1014" i="5"/>
  <c r="N1014" i="5"/>
  <c r="D1014" i="5"/>
  <c r="T1013" i="5"/>
  <c r="U1013" i="5" s="1"/>
  <c r="V1013" i="5" s="1"/>
  <c r="P1013" i="5"/>
  <c r="R1013" i="5" s="1"/>
  <c r="S1013" i="5" s="1"/>
  <c r="W1013" i="5" s="1"/>
  <c r="X1013" i="5" s="1"/>
  <c r="Y1013" i="5" s="1"/>
  <c r="O1013" i="5"/>
  <c r="N1013" i="5"/>
  <c r="D1013" i="5"/>
  <c r="T1012" i="5"/>
  <c r="U1012" i="5" s="1"/>
  <c r="V1012" i="5" s="1"/>
  <c r="P1012" i="5"/>
  <c r="R1012" i="5" s="1"/>
  <c r="S1012" i="5" s="1"/>
  <c r="W1012" i="5" s="1"/>
  <c r="X1012" i="5" s="1"/>
  <c r="Y1012" i="5" s="1"/>
  <c r="O1012" i="5"/>
  <c r="N1012" i="5"/>
  <c r="D1012" i="5"/>
  <c r="T1011" i="5"/>
  <c r="U1011" i="5" s="1"/>
  <c r="X1011" i="5" s="1"/>
  <c r="Y1011" i="5" s="1"/>
  <c r="R1011" i="5"/>
  <c r="S1011" i="5" s="1"/>
  <c r="O1011" i="5"/>
  <c r="N1011" i="5"/>
  <c r="D1011" i="5"/>
  <c r="T1010" i="5"/>
  <c r="U1010" i="5" s="1"/>
  <c r="R1010" i="5"/>
  <c r="S1010" i="5" s="1"/>
  <c r="O1010" i="5"/>
  <c r="N1010" i="5"/>
  <c r="D1010" i="5"/>
  <c r="T1009" i="5"/>
  <c r="U1009" i="5" s="1"/>
  <c r="P1009" i="5"/>
  <c r="R1009" i="5" s="1"/>
  <c r="S1009" i="5" s="1"/>
  <c r="O1009" i="5"/>
  <c r="N1009" i="5"/>
  <c r="D1009" i="5"/>
  <c r="T1008" i="5"/>
  <c r="U1008" i="5" s="1"/>
  <c r="P1008" i="5"/>
  <c r="R1008" i="5" s="1"/>
  <c r="S1008" i="5" s="1"/>
  <c r="O1008" i="5"/>
  <c r="N1008" i="5"/>
  <c r="D1008" i="5"/>
  <c r="T1007" i="5"/>
  <c r="U1007" i="5" s="1"/>
  <c r="R1007" i="5"/>
  <c r="S1007" i="5" s="1"/>
  <c r="O1007" i="5"/>
  <c r="N1007" i="5"/>
  <c r="D1007" i="5"/>
  <c r="T1006" i="5"/>
  <c r="U1006" i="5" s="1"/>
  <c r="R1006" i="5"/>
  <c r="S1006" i="5" s="1"/>
  <c r="Z1006" i="5" s="1"/>
  <c r="O1006" i="5"/>
  <c r="N1006" i="5"/>
  <c r="D1006" i="5"/>
  <c r="T1005" i="5"/>
  <c r="U1005" i="5" s="1"/>
  <c r="R1005" i="5"/>
  <c r="S1005" i="5" s="1"/>
  <c r="O1005" i="5"/>
  <c r="N1005" i="5"/>
  <c r="D1005" i="5"/>
  <c r="T1004" i="5"/>
  <c r="U1004" i="5" s="1"/>
  <c r="R1004" i="5"/>
  <c r="S1004" i="5" s="1"/>
  <c r="O1004" i="5"/>
  <c r="N1004" i="5"/>
  <c r="D1004" i="5"/>
  <c r="T1003" i="5"/>
  <c r="U1003" i="5" s="1"/>
  <c r="R1003" i="5"/>
  <c r="S1003" i="5" s="1"/>
  <c r="O1003" i="5"/>
  <c r="N1003" i="5"/>
  <c r="D1003" i="5"/>
  <c r="T1002" i="5"/>
  <c r="U1002" i="5" s="1"/>
  <c r="X1002" i="5" s="1"/>
  <c r="Y1002" i="5" s="1"/>
  <c r="R1002" i="5"/>
  <c r="S1002" i="5" s="1"/>
  <c r="O1002" i="5"/>
  <c r="N1002" i="5"/>
  <c r="D1002" i="5"/>
  <c r="T1001" i="5"/>
  <c r="U1001" i="5" s="1"/>
  <c r="R1001" i="5"/>
  <c r="S1001" i="5" s="1"/>
  <c r="O1001" i="5"/>
  <c r="N1001" i="5"/>
  <c r="D1001" i="5"/>
  <c r="T1000" i="5"/>
  <c r="U1000" i="5" s="1"/>
  <c r="V1000" i="5" s="1"/>
  <c r="R1000" i="5"/>
  <c r="S1000" i="5" s="1"/>
  <c r="O1000" i="5"/>
  <c r="N1000" i="5"/>
  <c r="D1000" i="5"/>
  <c r="T999" i="5"/>
  <c r="U999" i="5" s="1"/>
  <c r="R999" i="5"/>
  <c r="S999" i="5" s="1"/>
  <c r="O999" i="5"/>
  <c r="N999" i="5"/>
  <c r="D999" i="5"/>
  <c r="T998" i="5"/>
  <c r="U998" i="5" s="1"/>
  <c r="R998" i="5"/>
  <c r="S998" i="5" s="1"/>
  <c r="O998" i="5"/>
  <c r="N998" i="5"/>
  <c r="D998" i="5"/>
  <c r="T997" i="5"/>
  <c r="U997" i="5" s="1"/>
  <c r="R997" i="5"/>
  <c r="S997" i="5" s="1"/>
  <c r="O997" i="5"/>
  <c r="N997" i="5"/>
  <c r="D997" i="5"/>
  <c r="T996" i="5"/>
  <c r="U996" i="5" s="1"/>
  <c r="R996" i="5"/>
  <c r="S996" i="5" s="1"/>
  <c r="Z996" i="5" s="1"/>
  <c r="O996" i="5"/>
  <c r="N996" i="5"/>
  <c r="D996" i="5"/>
  <c r="T995" i="5"/>
  <c r="U995" i="5" s="1"/>
  <c r="R995" i="5"/>
  <c r="S995" i="5" s="1"/>
  <c r="O995" i="5"/>
  <c r="N995" i="5"/>
  <c r="D995" i="5"/>
  <c r="T994" i="5"/>
  <c r="U994" i="5" s="1"/>
  <c r="X994" i="5" s="1"/>
  <c r="Y994" i="5" s="1"/>
  <c r="R994" i="5"/>
  <c r="S994" i="5" s="1"/>
  <c r="O994" i="5"/>
  <c r="N994" i="5"/>
  <c r="D994" i="5"/>
  <c r="T993" i="5"/>
  <c r="U993" i="5" s="1"/>
  <c r="R993" i="5"/>
  <c r="S993" i="5" s="1"/>
  <c r="O993" i="5"/>
  <c r="N993" i="5"/>
  <c r="D993" i="5"/>
  <c r="T992" i="5"/>
  <c r="U992" i="5" s="1"/>
  <c r="R992" i="5"/>
  <c r="S992" i="5" s="1"/>
  <c r="O992" i="5"/>
  <c r="N992" i="5"/>
  <c r="D992" i="5"/>
  <c r="T991" i="5"/>
  <c r="U991" i="5" s="1"/>
  <c r="R991" i="5"/>
  <c r="S991" i="5" s="1"/>
  <c r="O991" i="5"/>
  <c r="N991" i="5"/>
  <c r="D991" i="5"/>
  <c r="T990" i="5"/>
  <c r="U990" i="5" s="1"/>
  <c r="R990" i="5"/>
  <c r="S990" i="5" s="1"/>
  <c r="O990" i="5"/>
  <c r="N990" i="5"/>
  <c r="D990" i="5"/>
  <c r="T989" i="5"/>
  <c r="U989" i="5" s="1"/>
  <c r="V989" i="5" s="1"/>
  <c r="R989" i="5"/>
  <c r="S989" i="5" s="1"/>
  <c r="O989" i="5"/>
  <c r="N989" i="5"/>
  <c r="D989" i="5"/>
  <c r="T988" i="5"/>
  <c r="U988" i="5" s="1"/>
  <c r="R988" i="5"/>
  <c r="S988" i="5" s="1"/>
  <c r="O988" i="5"/>
  <c r="N988" i="5"/>
  <c r="D988" i="5"/>
  <c r="T987" i="5"/>
  <c r="U987" i="5" s="1"/>
  <c r="V987" i="5" s="1"/>
  <c r="R987" i="5"/>
  <c r="S987" i="5" s="1"/>
  <c r="O987" i="5"/>
  <c r="N987" i="5"/>
  <c r="D987" i="5"/>
  <c r="T986" i="5"/>
  <c r="U986" i="5" s="1"/>
  <c r="R986" i="5"/>
  <c r="S986" i="5" s="1"/>
  <c r="O986" i="5"/>
  <c r="N986" i="5"/>
  <c r="D986" i="5"/>
  <c r="T985" i="5"/>
  <c r="U985" i="5" s="1"/>
  <c r="R985" i="5"/>
  <c r="S985" i="5" s="1"/>
  <c r="O985" i="5"/>
  <c r="N985" i="5"/>
  <c r="D985" i="5"/>
  <c r="T984" i="5"/>
  <c r="U984" i="5" s="1"/>
  <c r="P984" i="5"/>
  <c r="R984" i="5" s="1"/>
  <c r="S984" i="5" s="1"/>
  <c r="O984" i="5"/>
  <c r="N984" i="5"/>
  <c r="D984" i="5"/>
  <c r="T983" i="5"/>
  <c r="U983" i="5" s="1"/>
  <c r="X983" i="5" s="1"/>
  <c r="Y983" i="5" s="1"/>
  <c r="P983" i="5"/>
  <c r="R983" i="5" s="1"/>
  <c r="S983" i="5" s="1"/>
  <c r="O983" i="5"/>
  <c r="N983" i="5"/>
  <c r="D983" i="5"/>
  <c r="T982" i="5"/>
  <c r="U982" i="5" s="1"/>
  <c r="P982" i="5"/>
  <c r="R982" i="5" s="1"/>
  <c r="S982" i="5" s="1"/>
  <c r="O982" i="5"/>
  <c r="N982" i="5"/>
  <c r="D982" i="5"/>
  <c r="T981" i="5"/>
  <c r="U981" i="5" s="1"/>
  <c r="P981" i="5"/>
  <c r="R981" i="5" s="1"/>
  <c r="S981" i="5" s="1"/>
  <c r="O981" i="5"/>
  <c r="N981" i="5"/>
  <c r="D981" i="5"/>
  <c r="T980" i="5"/>
  <c r="U980" i="5" s="1"/>
  <c r="V980" i="5" s="1"/>
  <c r="P980" i="5"/>
  <c r="R980" i="5" s="1"/>
  <c r="S980" i="5" s="1"/>
  <c r="W980" i="5" s="1"/>
  <c r="X980" i="5" s="1"/>
  <c r="Y980" i="5" s="1"/>
  <c r="O980" i="5"/>
  <c r="N980" i="5"/>
  <c r="D980" i="5"/>
  <c r="T979" i="5"/>
  <c r="U979" i="5" s="1"/>
  <c r="X979" i="5" s="1"/>
  <c r="Y979" i="5" s="1"/>
  <c r="P979" i="5"/>
  <c r="R979" i="5" s="1"/>
  <c r="S979" i="5" s="1"/>
  <c r="O979" i="5"/>
  <c r="N979" i="5"/>
  <c r="D979" i="5"/>
  <c r="T978" i="5"/>
  <c r="U978" i="5" s="1"/>
  <c r="P978" i="5"/>
  <c r="R978" i="5" s="1"/>
  <c r="S978" i="5" s="1"/>
  <c r="O978" i="5"/>
  <c r="N978" i="5"/>
  <c r="D978" i="5"/>
  <c r="T977" i="5"/>
  <c r="U977" i="5" s="1"/>
  <c r="R977" i="5"/>
  <c r="S977" i="5" s="1"/>
  <c r="O977" i="5"/>
  <c r="N977" i="5"/>
  <c r="D977" i="5"/>
  <c r="T976" i="5"/>
  <c r="U976" i="5" s="1"/>
  <c r="R976" i="5"/>
  <c r="S976" i="5" s="1"/>
  <c r="O976" i="5"/>
  <c r="N976" i="5"/>
  <c r="D976" i="5"/>
  <c r="T975" i="5"/>
  <c r="U975" i="5" s="1"/>
  <c r="R975" i="5"/>
  <c r="S975" i="5" s="1"/>
  <c r="O975" i="5"/>
  <c r="N975" i="5"/>
  <c r="D975" i="5"/>
  <c r="T974" i="5"/>
  <c r="U974" i="5" s="1"/>
  <c r="R974" i="5"/>
  <c r="S974" i="5" s="1"/>
  <c r="O974" i="5"/>
  <c r="N974" i="5"/>
  <c r="D974" i="5"/>
  <c r="T973" i="5"/>
  <c r="U973" i="5" s="1"/>
  <c r="V973" i="5" s="1"/>
  <c r="R973" i="5"/>
  <c r="S973" i="5" s="1"/>
  <c r="Z973" i="5" s="1"/>
  <c r="O973" i="5"/>
  <c r="N973" i="5"/>
  <c r="D973" i="5"/>
  <c r="T972" i="5"/>
  <c r="U972" i="5" s="1"/>
  <c r="R972" i="5"/>
  <c r="S972" i="5" s="1"/>
  <c r="Z972" i="5" s="1"/>
  <c r="O972" i="5"/>
  <c r="N972" i="5"/>
  <c r="D972" i="5"/>
  <c r="T971" i="5"/>
  <c r="U971" i="5" s="1"/>
  <c r="P971" i="5"/>
  <c r="R971" i="5" s="1"/>
  <c r="S971" i="5" s="1"/>
  <c r="O971" i="5"/>
  <c r="N971" i="5"/>
  <c r="D971" i="5"/>
  <c r="T970" i="5"/>
  <c r="U970" i="5" s="1"/>
  <c r="P970" i="5"/>
  <c r="R970" i="5" s="1"/>
  <c r="S970" i="5" s="1"/>
  <c r="O970" i="5"/>
  <c r="N970" i="5"/>
  <c r="D970" i="5"/>
  <c r="T969" i="5"/>
  <c r="U969" i="5" s="1"/>
  <c r="R969" i="5"/>
  <c r="S969" i="5" s="1"/>
  <c r="Z969" i="5" s="1"/>
  <c r="O969" i="5"/>
  <c r="N969" i="5"/>
  <c r="D969" i="5"/>
  <c r="T968" i="5"/>
  <c r="U968" i="5" s="1"/>
  <c r="P968" i="5"/>
  <c r="R968" i="5" s="1"/>
  <c r="S968" i="5" s="1"/>
  <c r="O968" i="5"/>
  <c r="N968" i="5"/>
  <c r="D968" i="5"/>
  <c r="T967" i="5"/>
  <c r="U967" i="5" s="1"/>
  <c r="P967" i="5"/>
  <c r="R967" i="5" s="1"/>
  <c r="S967" i="5" s="1"/>
  <c r="O967" i="5"/>
  <c r="N967" i="5"/>
  <c r="D967" i="5"/>
  <c r="T966" i="5"/>
  <c r="U966" i="5" s="1"/>
  <c r="P966" i="5"/>
  <c r="R966" i="5" s="1"/>
  <c r="S966" i="5" s="1"/>
  <c r="O966" i="5"/>
  <c r="N966" i="5"/>
  <c r="D966" i="5"/>
  <c r="T965" i="5"/>
  <c r="U965" i="5" s="1"/>
  <c r="P965" i="5"/>
  <c r="R965" i="5" s="1"/>
  <c r="S965" i="5" s="1"/>
  <c r="O965" i="5"/>
  <c r="N965" i="5"/>
  <c r="D965" i="5"/>
  <c r="T964" i="5"/>
  <c r="U964" i="5" s="1"/>
  <c r="P964" i="5"/>
  <c r="R964" i="5" s="1"/>
  <c r="S964" i="5" s="1"/>
  <c r="O964" i="5"/>
  <c r="N964" i="5"/>
  <c r="D964" i="5"/>
  <c r="T963" i="5"/>
  <c r="U963" i="5" s="1"/>
  <c r="P963" i="5"/>
  <c r="R963" i="5" s="1"/>
  <c r="S963" i="5" s="1"/>
  <c r="O963" i="5"/>
  <c r="N963" i="5"/>
  <c r="D963" i="5"/>
  <c r="T962" i="5"/>
  <c r="U962" i="5" s="1"/>
  <c r="P962" i="5"/>
  <c r="R962" i="5" s="1"/>
  <c r="S962" i="5" s="1"/>
  <c r="O962" i="5"/>
  <c r="N962" i="5"/>
  <c r="D962" i="5"/>
  <c r="T961" i="5"/>
  <c r="U961" i="5" s="1"/>
  <c r="X961" i="5" s="1"/>
  <c r="Y961" i="5" s="1"/>
  <c r="P961" i="5"/>
  <c r="R961" i="5" s="1"/>
  <c r="S961" i="5" s="1"/>
  <c r="O961" i="5"/>
  <c r="N961" i="5"/>
  <c r="D961" i="5"/>
  <c r="T960" i="5"/>
  <c r="U960" i="5" s="1"/>
  <c r="P960" i="5"/>
  <c r="R960" i="5" s="1"/>
  <c r="S960" i="5" s="1"/>
  <c r="O960" i="5"/>
  <c r="N960" i="5"/>
  <c r="D960" i="5"/>
  <c r="T959" i="5"/>
  <c r="U959" i="5" s="1"/>
  <c r="P959" i="5"/>
  <c r="R959" i="5" s="1"/>
  <c r="S959" i="5" s="1"/>
  <c r="O959" i="5"/>
  <c r="N959" i="5"/>
  <c r="D959" i="5"/>
  <c r="T958" i="5"/>
  <c r="U958" i="5" s="1"/>
  <c r="P958" i="5"/>
  <c r="R958" i="5" s="1"/>
  <c r="S958" i="5" s="1"/>
  <c r="O958" i="5"/>
  <c r="N958" i="5"/>
  <c r="D958" i="5"/>
  <c r="T957" i="5"/>
  <c r="U957" i="5" s="1"/>
  <c r="X957" i="5" s="1"/>
  <c r="Y957" i="5" s="1"/>
  <c r="P957" i="5"/>
  <c r="R957" i="5" s="1"/>
  <c r="S957" i="5" s="1"/>
  <c r="O957" i="5"/>
  <c r="N957" i="5"/>
  <c r="D957" i="5"/>
  <c r="T956" i="5"/>
  <c r="U956" i="5" s="1"/>
  <c r="P956" i="5"/>
  <c r="R956" i="5" s="1"/>
  <c r="S956" i="5" s="1"/>
  <c r="O956" i="5"/>
  <c r="N956" i="5"/>
  <c r="D956" i="5"/>
  <c r="T955" i="5"/>
  <c r="U955" i="5" s="1"/>
  <c r="R955" i="5"/>
  <c r="S955" i="5" s="1"/>
  <c r="O955" i="5"/>
  <c r="N955" i="5"/>
  <c r="D955" i="5"/>
  <c r="T954" i="5"/>
  <c r="U954" i="5" s="1"/>
  <c r="R954" i="5"/>
  <c r="S954" i="5" s="1"/>
  <c r="O954" i="5"/>
  <c r="N954" i="5"/>
  <c r="D954" i="5"/>
  <c r="T952" i="5"/>
  <c r="U952" i="5" s="1"/>
  <c r="R952" i="5"/>
  <c r="S952" i="5" s="1"/>
  <c r="O952" i="5"/>
  <c r="N952" i="5"/>
  <c r="D952" i="5"/>
  <c r="T951" i="5"/>
  <c r="U951" i="5" s="1"/>
  <c r="R951" i="5"/>
  <c r="S951" i="5" s="1"/>
  <c r="O951" i="5"/>
  <c r="N951" i="5"/>
  <c r="D951" i="5"/>
  <c r="T950" i="5"/>
  <c r="U950" i="5" s="1"/>
  <c r="R950" i="5"/>
  <c r="S950" i="5" s="1"/>
  <c r="O950" i="5"/>
  <c r="N950" i="5"/>
  <c r="D950" i="5"/>
  <c r="T949" i="5"/>
  <c r="U949" i="5" s="1"/>
  <c r="R949" i="5"/>
  <c r="S949" i="5" s="1"/>
  <c r="O949" i="5"/>
  <c r="N949" i="5"/>
  <c r="D949" i="5"/>
  <c r="T948" i="5"/>
  <c r="U948" i="5" s="1"/>
  <c r="R948" i="5"/>
  <c r="S948" i="5" s="1"/>
  <c r="O948" i="5"/>
  <c r="N948" i="5"/>
  <c r="D948" i="5"/>
  <c r="T947" i="5"/>
  <c r="U947" i="5" s="1"/>
  <c r="R947" i="5"/>
  <c r="S947" i="5" s="1"/>
  <c r="O947" i="5"/>
  <c r="N947" i="5"/>
  <c r="D947" i="5"/>
  <c r="T946" i="5"/>
  <c r="U946" i="5" s="1"/>
  <c r="V946" i="5" s="1"/>
  <c r="R946" i="5"/>
  <c r="S946" i="5" s="1"/>
  <c r="O946" i="5"/>
  <c r="N946" i="5"/>
  <c r="D946" i="5"/>
  <c r="T945" i="5"/>
  <c r="U945" i="5" s="1"/>
  <c r="R945" i="5"/>
  <c r="S945" i="5" s="1"/>
  <c r="O945" i="5"/>
  <c r="N945" i="5"/>
  <c r="D945" i="5"/>
  <c r="T944" i="5"/>
  <c r="U944" i="5" s="1"/>
  <c r="V944" i="5" s="1"/>
  <c r="R944" i="5"/>
  <c r="S944" i="5" s="1"/>
  <c r="O944" i="5"/>
  <c r="N944" i="5"/>
  <c r="D944" i="5"/>
  <c r="T943" i="5"/>
  <c r="U943" i="5" s="1"/>
  <c r="R943" i="5"/>
  <c r="S943" i="5" s="1"/>
  <c r="O943" i="5"/>
  <c r="N943" i="5"/>
  <c r="D943" i="5"/>
  <c r="T942" i="5"/>
  <c r="U942" i="5" s="1"/>
  <c r="R942" i="5"/>
  <c r="S942" i="5" s="1"/>
  <c r="O942" i="5"/>
  <c r="N942" i="5"/>
  <c r="D942" i="5"/>
  <c r="T941" i="5"/>
  <c r="U941" i="5" s="1"/>
  <c r="R941" i="5"/>
  <c r="S941" i="5" s="1"/>
  <c r="O941" i="5"/>
  <c r="N941" i="5"/>
  <c r="D941" i="5"/>
  <c r="T940" i="5"/>
  <c r="U940" i="5" s="1"/>
  <c r="V940" i="5" s="1"/>
  <c r="R940" i="5"/>
  <c r="S940" i="5" s="1"/>
  <c r="Z940" i="5" s="1"/>
  <c r="O940" i="5"/>
  <c r="N940" i="5"/>
  <c r="D940" i="5"/>
  <c r="T939" i="5"/>
  <c r="U939" i="5" s="1"/>
  <c r="R939" i="5"/>
  <c r="S939" i="5" s="1"/>
  <c r="O939" i="5"/>
  <c r="N939" i="5"/>
  <c r="D939" i="5"/>
  <c r="T938" i="5"/>
  <c r="U938" i="5" s="1"/>
  <c r="R938" i="5"/>
  <c r="S938" i="5" s="1"/>
  <c r="O938" i="5"/>
  <c r="N938" i="5"/>
  <c r="D938" i="5"/>
  <c r="T937" i="5"/>
  <c r="U937" i="5" s="1"/>
  <c r="V937" i="5" s="1"/>
  <c r="R937" i="5"/>
  <c r="S937" i="5" s="1"/>
  <c r="O937" i="5"/>
  <c r="N937" i="5"/>
  <c r="D937" i="5"/>
  <c r="T936" i="5"/>
  <c r="U936" i="5" s="1"/>
  <c r="R936" i="5"/>
  <c r="S936" i="5" s="1"/>
  <c r="O936" i="5"/>
  <c r="N936" i="5"/>
  <c r="D936" i="5"/>
  <c r="T935" i="5"/>
  <c r="U935" i="5" s="1"/>
  <c r="R935" i="5"/>
  <c r="S935" i="5" s="1"/>
  <c r="O935" i="5"/>
  <c r="N935" i="5"/>
  <c r="D935" i="5"/>
  <c r="T934" i="5"/>
  <c r="U934" i="5" s="1"/>
  <c r="R934" i="5"/>
  <c r="S934" i="5" s="1"/>
  <c r="O934" i="5"/>
  <c r="N934" i="5"/>
  <c r="D934" i="5"/>
  <c r="T933" i="5"/>
  <c r="U933" i="5" s="1"/>
  <c r="R933" i="5"/>
  <c r="S933" i="5" s="1"/>
  <c r="O933" i="5"/>
  <c r="N933" i="5"/>
  <c r="D933" i="5"/>
  <c r="T932" i="5"/>
  <c r="U932" i="5" s="1"/>
  <c r="R932" i="5"/>
  <c r="S932" i="5" s="1"/>
  <c r="O932" i="5"/>
  <c r="N932" i="5"/>
  <c r="D932" i="5"/>
  <c r="T931" i="5"/>
  <c r="U931" i="5" s="1"/>
  <c r="R931" i="5"/>
  <c r="S931" i="5" s="1"/>
  <c r="O931" i="5"/>
  <c r="N931" i="5"/>
  <c r="D931" i="5"/>
  <c r="T930" i="5"/>
  <c r="U930" i="5" s="1"/>
  <c r="R930" i="5"/>
  <c r="S930" i="5" s="1"/>
  <c r="Z930" i="5" s="1"/>
  <c r="O930" i="5"/>
  <c r="N930" i="5"/>
  <c r="D930" i="5"/>
  <c r="T929" i="5"/>
  <c r="U929" i="5" s="1"/>
  <c r="R929" i="5"/>
  <c r="S929" i="5" s="1"/>
  <c r="O929" i="5"/>
  <c r="N929" i="5"/>
  <c r="D929" i="5"/>
  <c r="T928" i="5"/>
  <c r="U928" i="5" s="1"/>
  <c r="R928" i="5"/>
  <c r="S928" i="5" s="1"/>
  <c r="O928" i="5"/>
  <c r="N928" i="5"/>
  <c r="D928" i="5"/>
  <c r="T927" i="5"/>
  <c r="U927" i="5" s="1"/>
  <c r="R927" i="5"/>
  <c r="S927" i="5" s="1"/>
  <c r="Z927" i="5" s="1"/>
  <c r="O927" i="5"/>
  <c r="N927" i="5"/>
  <c r="D927" i="5"/>
  <c r="T925" i="5"/>
  <c r="U925" i="5" s="1"/>
  <c r="V925" i="5" s="1"/>
  <c r="R925" i="5"/>
  <c r="S925" i="5" s="1"/>
  <c r="O925" i="5"/>
  <c r="N925" i="5"/>
  <c r="D925" i="5"/>
  <c r="T924" i="5"/>
  <c r="U924" i="5" s="1"/>
  <c r="R924" i="5"/>
  <c r="S924" i="5" s="1"/>
  <c r="O924" i="5"/>
  <c r="N924" i="5"/>
  <c r="D924" i="5"/>
  <c r="T923" i="5"/>
  <c r="U923" i="5" s="1"/>
  <c r="R923" i="5"/>
  <c r="S923" i="5" s="1"/>
  <c r="O923" i="5"/>
  <c r="N923" i="5"/>
  <c r="D923" i="5"/>
  <c r="T922" i="5"/>
  <c r="U922" i="5" s="1"/>
  <c r="R922" i="5"/>
  <c r="S922" i="5" s="1"/>
  <c r="O922" i="5"/>
  <c r="N922" i="5"/>
  <c r="D922" i="5"/>
  <c r="T921" i="5"/>
  <c r="U921" i="5" s="1"/>
  <c r="R921" i="5"/>
  <c r="S921" i="5" s="1"/>
  <c r="Z921" i="5" s="1"/>
  <c r="O921" i="5"/>
  <c r="N921" i="5"/>
  <c r="D921" i="5"/>
  <c r="T920" i="5"/>
  <c r="U920" i="5" s="1"/>
  <c r="X920" i="5" s="1"/>
  <c r="Y920" i="5" s="1"/>
  <c r="R920" i="5"/>
  <c r="S920" i="5" s="1"/>
  <c r="O920" i="5"/>
  <c r="N920" i="5"/>
  <c r="D920" i="5"/>
  <c r="T919" i="5"/>
  <c r="U919" i="5" s="1"/>
  <c r="R919" i="5"/>
  <c r="S919" i="5" s="1"/>
  <c r="O919" i="5"/>
  <c r="N919" i="5"/>
  <c r="D919" i="5"/>
  <c r="T918" i="5"/>
  <c r="U918" i="5" s="1"/>
  <c r="V918" i="5" s="1"/>
  <c r="P918" i="5"/>
  <c r="R918" i="5" s="1"/>
  <c r="S918" i="5" s="1"/>
  <c r="W918" i="5" s="1"/>
  <c r="X918" i="5" s="1"/>
  <c r="Y918" i="5" s="1"/>
  <c r="O918" i="5"/>
  <c r="N918" i="5"/>
  <c r="D918" i="5"/>
  <c r="T917" i="5"/>
  <c r="U917" i="5" s="1"/>
  <c r="V917" i="5" s="1"/>
  <c r="P917" i="5"/>
  <c r="R917" i="5" s="1"/>
  <c r="S917" i="5" s="1"/>
  <c r="W917" i="5" s="1"/>
  <c r="X917" i="5" s="1"/>
  <c r="Y917" i="5" s="1"/>
  <c r="O917" i="5"/>
  <c r="N917" i="5"/>
  <c r="D917" i="5"/>
  <c r="T916" i="5"/>
  <c r="U916" i="5" s="1"/>
  <c r="V916" i="5" s="1"/>
  <c r="P916" i="5"/>
  <c r="R916" i="5" s="1"/>
  <c r="S916" i="5" s="1"/>
  <c r="W916" i="5" s="1"/>
  <c r="X916" i="5" s="1"/>
  <c r="Y916" i="5" s="1"/>
  <c r="O916" i="5"/>
  <c r="N916" i="5"/>
  <c r="D916" i="5"/>
  <c r="T915" i="5"/>
  <c r="U915" i="5" s="1"/>
  <c r="V915" i="5" s="1"/>
  <c r="P915" i="5"/>
  <c r="R915" i="5" s="1"/>
  <c r="S915" i="5" s="1"/>
  <c r="W915" i="5" s="1"/>
  <c r="X915" i="5" s="1"/>
  <c r="Y915" i="5" s="1"/>
  <c r="O915" i="5"/>
  <c r="N915" i="5"/>
  <c r="D915" i="5"/>
  <c r="T914" i="5"/>
  <c r="U914" i="5" s="1"/>
  <c r="V914" i="5" s="1"/>
  <c r="P914" i="5"/>
  <c r="R914" i="5" s="1"/>
  <c r="S914" i="5" s="1"/>
  <c r="W914" i="5" s="1"/>
  <c r="X914" i="5" s="1"/>
  <c r="Y914" i="5" s="1"/>
  <c r="O914" i="5"/>
  <c r="N914" i="5"/>
  <c r="D914" i="5"/>
  <c r="T913" i="5"/>
  <c r="U913" i="5" s="1"/>
  <c r="V913" i="5" s="1"/>
  <c r="P913" i="5"/>
  <c r="R913" i="5" s="1"/>
  <c r="S913" i="5" s="1"/>
  <c r="W913" i="5" s="1"/>
  <c r="X913" i="5" s="1"/>
  <c r="Y913" i="5" s="1"/>
  <c r="O913" i="5"/>
  <c r="N913" i="5"/>
  <c r="D913" i="5"/>
  <c r="T912" i="5"/>
  <c r="U912" i="5" s="1"/>
  <c r="V912" i="5" s="1"/>
  <c r="P912" i="5"/>
  <c r="R912" i="5" s="1"/>
  <c r="S912" i="5" s="1"/>
  <c r="W912" i="5" s="1"/>
  <c r="X912" i="5" s="1"/>
  <c r="Y912" i="5" s="1"/>
  <c r="O912" i="5"/>
  <c r="N912" i="5"/>
  <c r="D912" i="5"/>
  <c r="T911" i="5"/>
  <c r="U911" i="5" s="1"/>
  <c r="V911" i="5" s="1"/>
  <c r="P911" i="5"/>
  <c r="R911" i="5" s="1"/>
  <c r="S911" i="5" s="1"/>
  <c r="W911" i="5" s="1"/>
  <c r="X911" i="5" s="1"/>
  <c r="Y911" i="5" s="1"/>
  <c r="O911" i="5"/>
  <c r="N911" i="5"/>
  <c r="D911" i="5"/>
  <c r="T910" i="5"/>
  <c r="U910" i="5" s="1"/>
  <c r="X910" i="5" s="1"/>
  <c r="Y910" i="5" s="1"/>
  <c r="R910" i="5"/>
  <c r="S910" i="5" s="1"/>
  <c r="O910" i="5"/>
  <c r="N910" i="5"/>
  <c r="D910" i="5"/>
  <c r="T909" i="5"/>
  <c r="U909" i="5" s="1"/>
  <c r="V909" i="5" s="1"/>
  <c r="R909" i="5"/>
  <c r="S909" i="5" s="1"/>
  <c r="O909" i="5"/>
  <c r="N909" i="5"/>
  <c r="D909" i="5"/>
  <c r="T908" i="5"/>
  <c r="U908" i="5" s="1"/>
  <c r="R908" i="5"/>
  <c r="S908" i="5" s="1"/>
  <c r="O908" i="5"/>
  <c r="N908" i="5"/>
  <c r="D908" i="5"/>
  <c r="T907" i="5"/>
  <c r="U907" i="5" s="1"/>
  <c r="R907" i="5"/>
  <c r="S907" i="5" s="1"/>
  <c r="O907" i="5"/>
  <c r="N907" i="5"/>
  <c r="D907" i="5"/>
  <c r="T906" i="5"/>
  <c r="U906" i="5" s="1"/>
  <c r="R906" i="5"/>
  <c r="S906" i="5" s="1"/>
  <c r="O906" i="5"/>
  <c r="N906" i="5"/>
  <c r="D906" i="5"/>
  <c r="T905" i="5"/>
  <c r="U905" i="5" s="1"/>
  <c r="R905" i="5"/>
  <c r="S905" i="5" s="1"/>
  <c r="O905" i="5"/>
  <c r="N905" i="5"/>
  <c r="D905" i="5"/>
  <c r="T904" i="5"/>
  <c r="U904" i="5" s="1"/>
  <c r="R904" i="5"/>
  <c r="S904" i="5" s="1"/>
  <c r="O904" i="5"/>
  <c r="N904" i="5"/>
  <c r="D904" i="5"/>
  <c r="T903" i="5"/>
  <c r="U903" i="5" s="1"/>
  <c r="R903" i="5"/>
  <c r="S903" i="5" s="1"/>
  <c r="O903" i="5"/>
  <c r="N903" i="5"/>
  <c r="D903" i="5"/>
  <c r="T902" i="5"/>
  <c r="U902" i="5" s="1"/>
  <c r="R902" i="5"/>
  <c r="S902" i="5" s="1"/>
  <c r="O902" i="5"/>
  <c r="N902" i="5"/>
  <c r="D902" i="5"/>
  <c r="T901" i="5"/>
  <c r="U901" i="5" s="1"/>
  <c r="R901" i="5"/>
  <c r="S901" i="5" s="1"/>
  <c r="O901" i="5"/>
  <c r="N901" i="5"/>
  <c r="D901" i="5"/>
  <c r="T900" i="5"/>
  <c r="U900" i="5" s="1"/>
  <c r="X900" i="5" s="1"/>
  <c r="Y900" i="5" s="1"/>
  <c r="R900" i="5"/>
  <c r="S900" i="5" s="1"/>
  <c r="O900" i="5"/>
  <c r="N900" i="5"/>
  <c r="D900" i="5"/>
  <c r="T899" i="5"/>
  <c r="U899" i="5" s="1"/>
  <c r="R899" i="5"/>
  <c r="S899" i="5" s="1"/>
  <c r="O899" i="5"/>
  <c r="N899" i="5"/>
  <c r="D899" i="5"/>
  <c r="T898" i="5"/>
  <c r="U898" i="5" s="1"/>
  <c r="R898" i="5"/>
  <c r="S898" i="5" s="1"/>
  <c r="O898" i="5"/>
  <c r="N898" i="5"/>
  <c r="D898" i="5"/>
  <c r="T897" i="5"/>
  <c r="U897" i="5" s="1"/>
  <c r="R897" i="5"/>
  <c r="S897" i="5" s="1"/>
  <c r="O897" i="5"/>
  <c r="N897" i="5"/>
  <c r="D897" i="5"/>
  <c r="T896" i="5"/>
  <c r="U896" i="5" s="1"/>
  <c r="R896" i="5"/>
  <c r="S896" i="5" s="1"/>
  <c r="O896" i="5"/>
  <c r="N896" i="5"/>
  <c r="D896" i="5"/>
  <c r="T895" i="5"/>
  <c r="U895" i="5" s="1"/>
  <c r="R895" i="5"/>
  <c r="S895" i="5" s="1"/>
  <c r="O895" i="5"/>
  <c r="N895" i="5"/>
  <c r="D895" i="5"/>
  <c r="T894" i="5"/>
  <c r="U894" i="5" s="1"/>
  <c r="R894" i="5"/>
  <c r="S894" i="5" s="1"/>
  <c r="O894" i="5"/>
  <c r="N894" i="5"/>
  <c r="D894" i="5"/>
  <c r="T893" i="5"/>
  <c r="U893" i="5" s="1"/>
  <c r="R893" i="5"/>
  <c r="S893" i="5" s="1"/>
  <c r="O893" i="5"/>
  <c r="N893" i="5"/>
  <c r="D893" i="5"/>
  <c r="T892" i="5"/>
  <c r="U892" i="5" s="1"/>
  <c r="R892" i="5"/>
  <c r="S892" i="5" s="1"/>
  <c r="O892" i="5"/>
  <c r="N892" i="5"/>
  <c r="D892" i="5"/>
  <c r="T891" i="5"/>
  <c r="U891" i="5" s="1"/>
  <c r="R891" i="5"/>
  <c r="S891" i="5" s="1"/>
  <c r="O891" i="5"/>
  <c r="N891" i="5"/>
  <c r="D891" i="5"/>
  <c r="T890" i="5"/>
  <c r="U890" i="5" s="1"/>
  <c r="R890" i="5"/>
  <c r="S890" i="5" s="1"/>
  <c r="O890" i="5"/>
  <c r="N890" i="5"/>
  <c r="D890" i="5"/>
  <c r="T889" i="5"/>
  <c r="U889" i="5" s="1"/>
  <c r="R889" i="5"/>
  <c r="S889" i="5" s="1"/>
  <c r="Z889" i="5" s="1"/>
  <c r="O889" i="5"/>
  <c r="N889" i="5"/>
  <c r="D889" i="5"/>
  <c r="T888" i="5"/>
  <c r="U888" i="5" s="1"/>
  <c r="R888" i="5"/>
  <c r="S888" i="5" s="1"/>
  <c r="O888" i="5"/>
  <c r="N888" i="5"/>
  <c r="D888" i="5"/>
  <c r="T887" i="5"/>
  <c r="U887" i="5" s="1"/>
  <c r="R887" i="5"/>
  <c r="S887" i="5" s="1"/>
  <c r="O887" i="5"/>
  <c r="N887" i="5"/>
  <c r="D887" i="5"/>
  <c r="T886" i="5"/>
  <c r="U886" i="5" s="1"/>
  <c r="R886" i="5"/>
  <c r="S886" i="5" s="1"/>
  <c r="O886" i="5"/>
  <c r="N886" i="5"/>
  <c r="D886" i="5"/>
  <c r="T885" i="5"/>
  <c r="U885" i="5" s="1"/>
  <c r="R885" i="5"/>
  <c r="S885" i="5" s="1"/>
  <c r="O885" i="5"/>
  <c r="N885" i="5"/>
  <c r="D885" i="5"/>
  <c r="T884" i="5"/>
  <c r="U884" i="5" s="1"/>
  <c r="R884" i="5"/>
  <c r="S884" i="5" s="1"/>
  <c r="Z884" i="5" s="1"/>
  <c r="O884" i="5"/>
  <c r="N884" i="5"/>
  <c r="D884" i="5"/>
  <c r="T883" i="5"/>
  <c r="U883" i="5" s="1"/>
  <c r="R883" i="5"/>
  <c r="S883" i="5" s="1"/>
  <c r="Z883" i="5" s="1"/>
  <c r="O883" i="5"/>
  <c r="N883" i="5"/>
  <c r="D883" i="5"/>
  <c r="T882" i="5"/>
  <c r="U882" i="5" s="1"/>
  <c r="V882" i="5" s="1"/>
  <c r="R882" i="5"/>
  <c r="S882" i="5" s="1"/>
  <c r="O882" i="5"/>
  <c r="N882" i="5"/>
  <c r="D882" i="5"/>
  <c r="T881" i="5"/>
  <c r="U881" i="5" s="1"/>
  <c r="R881" i="5"/>
  <c r="S881" i="5" s="1"/>
  <c r="O881" i="5"/>
  <c r="N881" i="5"/>
  <c r="D881" i="5"/>
  <c r="T880" i="5"/>
  <c r="U880" i="5" s="1"/>
  <c r="R880" i="5"/>
  <c r="S880" i="5" s="1"/>
  <c r="O880" i="5"/>
  <c r="N880" i="5"/>
  <c r="D880" i="5"/>
  <c r="T879" i="5"/>
  <c r="U879" i="5" s="1"/>
  <c r="R879" i="5"/>
  <c r="S879" i="5" s="1"/>
  <c r="O879" i="5"/>
  <c r="N879" i="5"/>
  <c r="D879" i="5"/>
  <c r="T878" i="5"/>
  <c r="U878" i="5" s="1"/>
  <c r="R878" i="5"/>
  <c r="S878" i="5" s="1"/>
  <c r="Z878" i="5" s="1"/>
  <c r="O878" i="5"/>
  <c r="N878" i="5"/>
  <c r="D878" i="5"/>
  <c r="T877" i="5"/>
  <c r="U877" i="5" s="1"/>
  <c r="R877" i="5"/>
  <c r="S877" i="5" s="1"/>
  <c r="Z877" i="5" s="1"/>
  <c r="O877" i="5"/>
  <c r="N877" i="5"/>
  <c r="D877" i="5"/>
  <c r="T876" i="5"/>
  <c r="U876" i="5" s="1"/>
  <c r="R876" i="5"/>
  <c r="S876" i="5" s="1"/>
  <c r="O876" i="5"/>
  <c r="N876" i="5"/>
  <c r="D876" i="5"/>
  <c r="T875" i="5"/>
  <c r="U875" i="5" s="1"/>
  <c r="R875" i="5"/>
  <c r="S875" i="5" s="1"/>
  <c r="O875" i="5"/>
  <c r="N875" i="5"/>
  <c r="D875" i="5"/>
  <c r="T874" i="5"/>
  <c r="U874" i="5" s="1"/>
  <c r="R874" i="5"/>
  <c r="S874" i="5" s="1"/>
  <c r="Z874" i="5" s="1"/>
  <c r="O874" i="5"/>
  <c r="N874" i="5"/>
  <c r="D874" i="5"/>
  <c r="T873" i="5"/>
  <c r="U873" i="5" s="1"/>
  <c r="R873" i="5"/>
  <c r="S873" i="5" s="1"/>
  <c r="O873" i="5"/>
  <c r="N873" i="5"/>
  <c r="D873" i="5"/>
  <c r="T872" i="5"/>
  <c r="U872" i="5" s="1"/>
  <c r="R872" i="5"/>
  <c r="S872" i="5" s="1"/>
  <c r="O872" i="5"/>
  <c r="N872" i="5"/>
  <c r="D872" i="5"/>
  <c r="T871" i="5"/>
  <c r="U871" i="5" s="1"/>
  <c r="R871" i="5"/>
  <c r="S871" i="5" s="1"/>
  <c r="O871" i="5"/>
  <c r="N871" i="5"/>
  <c r="D871" i="5"/>
  <c r="T870" i="5"/>
  <c r="U870" i="5" s="1"/>
  <c r="R870" i="5"/>
  <c r="S870" i="5" s="1"/>
  <c r="O870" i="5"/>
  <c r="N870" i="5"/>
  <c r="D870" i="5"/>
  <c r="T869" i="5"/>
  <c r="U869" i="5" s="1"/>
  <c r="R869" i="5"/>
  <c r="S869" i="5" s="1"/>
  <c r="O869" i="5"/>
  <c r="N869" i="5"/>
  <c r="D869" i="5"/>
  <c r="T868" i="5"/>
  <c r="U868" i="5" s="1"/>
  <c r="R868" i="5"/>
  <c r="S868" i="5" s="1"/>
  <c r="O868" i="5"/>
  <c r="N868" i="5"/>
  <c r="D868" i="5"/>
  <c r="T867" i="5"/>
  <c r="U867" i="5" s="1"/>
  <c r="R867" i="5"/>
  <c r="S867" i="5" s="1"/>
  <c r="O867" i="5"/>
  <c r="N867" i="5"/>
  <c r="D867" i="5"/>
  <c r="T866" i="5"/>
  <c r="U866" i="5" s="1"/>
  <c r="X866" i="5" s="1"/>
  <c r="Y866" i="5" s="1"/>
  <c r="R866" i="5"/>
  <c r="S866" i="5" s="1"/>
  <c r="O866" i="5"/>
  <c r="N866" i="5"/>
  <c r="D866" i="5"/>
  <c r="T865" i="5"/>
  <c r="U865" i="5" s="1"/>
  <c r="R865" i="5"/>
  <c r="S865" i="5" s="1"/>
  <c r="Z865" i="5" s="1"/>
  <c r="O865" i="5"/>
  <c r="N865" i="5"/>
  <c r="D865" i="5"/>
  <c r="T864" i="5"/>
  <c r="U864" i="5" s="1"/>
  <c r="R864" i="5"/>
  <c r="S864" i="5" s="1"/>
  <c r="Z864" i="5" s="1"/>
  <c r="O864" i="5"/>
  <c r="N864" i="5"/>
  <c r="D864" i="5"/>
  <c r="T863" i="5"/>
  <c r="U863" i="5" s="1"/>
  <c r="R863" i="5"/>
  <c r="S863" i="5" s="1"/>
  <c r="O863" i="5"/>
  <c r="N863" i="5"/>
  <c r="D863" i="5"/>
  <c r="T862" i="5"/>
  <c r="U862" i="5" s="1"/>
  <c r="R862" i="5"/>
  <c r="S862" i="5" s="1"/>
  <c r="O862" i="5"/>
  <c r="N862" i="5"/>
  <c r="D862" i="5"/>
  <c r="T861" i="5"/>
  <c r="U861" i="5" s="1"/>
  <c r="R861" i="5"/>
  <c r="S861" i="5" s="1"/>
  <c r="O861" i="5"/>
  <c r="N861" i="5"/>
  <c r="D861" i="5"/>
  <c r="T860" i="5"/>
  <c r="U860" i="5" s="1"/>
  <c r="R860" i="5"/>
  <c r="S860" i="5" s="1"/>
  <c r="O860" i="5"/>
  <c r="N860" i="5"/>
  <c r="D860" i="5"/>
  <c r="T859" i="5"/>
  <c r="U859" i="5" s="1"/>
  <c r="R859" i="5"/>
  <c r="S859" i="5" s="1"/>
  <c r="O859" i="5"/>
  <c r="N859" i="5"/>
  <c r="D859" i="5"/>
  <c r="T858" i="5"/>
  <c r="U858" i="5" s="1"/>
  <c r="R858" i="5"/>
  <c r="S858" i="5" s="1"/>
  <c r="O858" i="5"/>
  <c r="N858" i="5"/>
  <c r="D858" i="5"/>
  <c r="T857" i="5"/>
  <c r="U857" i="5" s="1"/>
  <c r="X857" i="5" s="1"/>
  <c r="Y857" i="5" s="1"/>
  <c r="R857" i="5"/>
  <c r="S857" i="5" s="1"/>
  <c r="O857" i="5"/>
  <c r="N857" i="5"/>
  <c r="D857" i="5"/>
  <c r="T856" i="5"/>
  <c r="U856" i="5" s="1"/>
  <c r="V856" i="5" s="1"/>
  <c r="R856" i="5"/>
  <c r="S856" i="5" s="1"/>
  <c r="O856" i="5"/>
  <c r="N856" i="5"/>
  <c r="D856" i="5"/>
  <c r="T855" i="5"/>
  <c r="U855" i="5" s="1"/>
  <c r="R855" i="5"/>
  <c r="S855" i="5" s="1"/>
  <c r="O855" i="5"/>
  <c r="N855" i="5"/>
  <c r="D855" i="5"/>
  <c r="T854" i="5"/>
  <c r="U854" i="5" s="1"/>
  <c r="R854" i="5"/>
  <c r="S854" i="5" s="1"/>
  <c r="O854" i="5"/>
  <c r="N854" i="5"/>
  <c r="D854" i="5"/>
  <c r="T853" i="5"/>
  <c r="U853" i="5" s="1"/>
  <c r="R853" i="5"/>
  <c r="S853" i="5" s="1"/>
  <c r="Z853" i="5" s="1"/>
  <c r="O853" i="5"/>
  <c r="N853" i="5"/>
  <c r="D853" i="5"/>
  <c r="T852" i="5"/>
  <c r="U852" i="5" s="1"/>
  <c r="R852" i="5"/>
  <c r="S852" i="5" s="1"/>
  <c r="Z852" i="5" s="1"/>
  <c r="O852" i="5"/>
  <c r="N852" i="5"/>
  <c r="D852" i="5"/>
  <c r="T851" i="5"/>
  <c r="U851" i="5" s="1"/>
  <c r="R851" i="5"/>
  <c r="S851" i="5" s="1"/>
  <c r="O851" i="5"/>
  <c r="N851" i="5"/>
  <c r="D851" i="5"/>
  <c r="T850" i="5"/>
  <c r="U850" i="5" s="1"/>
  <c r="R850" i="5"/>
  <c r="S850" i="5" s="1"/>
  <c r="O850" i="5"/>
  <c r="N850" i="5"/>
  <c r="D850" i="5"/>
  <c r="T849" i="5"/>
  <c r="U849" i="5" s="1"/>
  <c r="R849" i="5"/>
  <c r="S849" i="5" s="1"/>
  <c r="O849" i="5"/>
  <c r="N849" i="5"/>
  <c r="D849" i="5"/>
  <c r="T848" i="5"/>
  <c r="U848" i="5" s="1"/>
  <c r="R848" i="5"/>
  <c r="S848" i="5" s="1"/>
  <c r="O848" i="5"/>
  <c r="N848" i="5"/>
  <c r="D848" i="5"/>
  <c r="T847" i="5"/>
  <c r="U847" i="5" s="1"/>
  <c r="R847" i="5"/>
  <c r="S847" i="5" s="1"/>
  <c r="O847" i="5"/>
  <c r="N847" i="5"/>
  <c r="D847" i="5"/>
  <c r="T846" i="5"/>
  <c r="U846" i="5" s="1"/>
  <c r="X846" i="5" s="1"/>
  <c r="Y846" i="5" s="1"/>
  <c r="R846" i="5"/>
  <c r="S846" i="5" s="1"/>
  <c r="O846" i="5"/>
  <c r="N846" i="5"/>
  <c r="D846" i="5"/>
  <c r="T845" i="5"/>
  <c r="U845" i="5" s="1"/>
  <c r="R845" i="5"/>
  <c r="S845" i="5" s="1"/>
  <c r="O845" i="5"/>
  <c r="N845" i="5"/>
  <c r="D845" i="5"/>
  <c r="T844" i="5"/>
  <c r="U844" i="5" s="1"/>
  <c r="R844" i="5"/>
  <c r="S844" i="5" s="1"/>
  <c r="Z844" i="5" s="1"/>
  <c r="O844" i="5"/>
  <c r="N844" i="5"/>
  <c r="D844" i="5"/>
  <c r="T843" i="5"/>
  <c r="U843" i="5" s="1"/>
  <c r="R843" i="5"/>
  <c r="S843" i="5" s="1"/>
  <c r="O843" i="5"/>
  <c r="N843" i="5"/>
  <c r="D843" i="5"/>
  <c r="T842" i="5"/>
  <c r="U842" i="5" s="1"/>
  <c r="V842" i="5" s="1"/>
  <c r="R842" i="5"/>
  <c r="S842" i="5" s="1"/>
  <c r="Z842" i="5" s="1"/>
  <c r="O842" i="5"/>
  <c r="N842" i="5"/>
  <c r="D842" i="5"/>
  <c r="T841" i="5"/>
  <c r="U841" i="5" s="1"/>
  <c r="R841" i="5"/>
  <c r="S841" i="5" s="1"/>
  <c r="Z841" i="5" s="1"/>
  <c r="O841" i="5"/>
  <c r="N841" i="5"/>
  <c r="D841" i="5"/>
  <c r="T840" i="5"/>
  <c r="U840" i="5" s="1"/>
  <c r="R840" i="5"/>
  <c r="S840" i="5" s="1"/>
  <c r="O840" i="5"/>
  <c r="N840" i="5"/>
  <c r="D840" i="5"/>
  <c r="T839" i="5"/>
  <c r="U839" i="5" s="1"/>
  <c r="R839" i="5"/>
  <c r="S839" i="5" s="1"/>
  <c r="O839" i="5"/>
  <c r="N839" i="5"/>
  <c r="D839" i="5"/>
  <c r="T838" i="5"/>
  <c r="U838" i="5" s="1"/>
  <c r="V838" i="5" s="1"/>
  <c r="R838" i="5"/>
  <c r="S838" i="5" s="1"/>
  <c r="Z838" i="5" s="1"/>
  <c r="O838" i="5"/>
  <c r="N838" i="5"/>
  <c r="D838" i="5"/>
  <c r="T837" i="5"/>
  <c r="U837" i="5" s="1"/>
  <c r="R837" i="5"/>
  <c r="S837" i="5" s="1"/>
  <c r="Z837" i="5" s="1"/>
  <c r="O837" i="5"/>
  <c r="N837" i="5"/>
  <c r="D837" i="5"/>
  <c r="T836" i="5"/>
  <c r="U836" i="5" s="1"/>
  <c r="R836" i="5"/>
  <c r="S836" i="5" s="1"/>
  <c r="O836" i="5"/>
  <c r="N836" i="5"/>
  <c r="D836" i="5"/>
  <c r="T835" i="5"/>
  <c r="U835" i="5" s="1"/>
  <c r="R835" i="5"/>
  <c r="S835" i="5" s="1"/>
  <c r="O835" i="5"/>
  <c r="N835" i="5"/>
  <c r="D835" i="5"/>
  <c r="T834" i="5"/>
  <c r="U834" i="5" s="1"/>
  <c r="R834" i="5"/>
  <c r="S834" i="5" s="1"/>
  <c r="O834" i="5"/>
  <c r="N834" i="5"/>
  <c r="D834" i="5"/>
  <c r="T833" i="5"/>
  <c r="U833" i="5" s="1"/>
  <c r="R833" i="5"/>
  <c r="S833" i="5" s="1"/>
  <c r="O833" i="5"/>
  <c r="N833" i="5"/>
  <c r="D833" i="5"/>
  <c r="T832" i="5"/>
  <c r="U832" i="5" s="1"/>
  <c r="R832" i="5"/>
  <c r="S832" i="5" s="1"/>
  <c r="O832" i="5"/>
  <c r="N832" i="5"/>
  <c r="D832" i="5"/>
  <c r="T831" i="5"/>
  <c r="U831" i="5" s="1"/>
  <c r="R831" i="5"/>
  <c r="S831" i="5" s="1"/>
  <c r="O831" i="5"/>
  <c r="N831" i="5"/>
  <c r="D831" i="5"/>
  <c r="T830" i="5"/>
  <c r="U830" i="5" s="1"/>
  <c r="R830" i="5"/>
  <c r="S830" i="5" s="1"/>
  <c r="Z830" i="5" s="1"/>
  <c r="O830" i="5"/>
  <c r="N830" i="5"/>
  <c r="D830" i="5"/>
  <c r="T829" i="5"/>
  <c r="U829" i="5" s="1"/>
  <c r="R829" i="5"/>
  <c r="S829" i="5" s="1"/>
  <c r="Z829" i="5" s="1"/>
  <c r="O829" i="5"/>
  <c r="N829" i="5"/>
  <c r="D829" i="5"/>
  <c r="T828" i="5"/>
  <c r="U828" i="5" s="1"/>
  <c r="R828" i="5"/>
  <c r="S828" i="5" s="1"/>
  <c r="O828" i="5"/>
  <c r="N828" i="5"/>
  <c r="D828" i="5"/>
  <c r="T827" i="5"/>
  <c r="U827" i="5" s="1"/>
  <c r="X827" i="5" s="1"/>
  <c r="Y827" i="5" s="1"/>
  <c r="R827" i="5"/>
  <c r="S827" i="5" s="1"/>
  <c r="O827" i="5"/>
  <c r="N827" i="5"/>
  <c r="D827" i="5"/>
  <c r="T826" i="5"/>
  <c r="U826" i="5" s="1"/>
  <c r="V826" i="5" s="1"/>
  <c r="R826" i="5"/>
  <c r="S826" i="5" s="1"/>
  <c r="O826" i="5"/>
  <c r="N826" i="5"/>
  <c r="D826" i="5"/>
  <c r="T825" i="5"/>
  <c r="U825" i="5" s="1"/>
  <c r="R825" i="5"/>
  <c r="S825" i="5" s="1"/>
  <c r="O825" i="5"/>
  <c r="N825" i="5"/>
  <c r="D825" i="5"/>
  <c r="T824" i="5"/>
  <c r="U824" i="5" s="1"/>
  <c r="V824" i="5" s="1"/>
  <c r="R824" i="5"/>
  <c r="S824" i="5" s="1"/>
  <c r="Z824" i="5" s="1"/>
  <c r="O824" i="5"/>
  <c r="N824" i="5"/>
  <c r="D824" i="5"/>
  <c r="T823" i="5"/>
  <c r="U823" i="5" s="1"/>
  <c r="R823" i="5"/>
  <c r="S823" i="5" s="1"/>
  <c r="Z823" i="5" s="1"/>
  <c r="O823" i="5"/>
  <c r="N823" i="5"/>
  <c r="D823" i="5"/>
  <c r="T822" i="5"/>
  <c r="U822" i="5" s="1"/>
  <c r="X822" i="5" s="1"/>
  <c r="Y822" i="5" s="1"/>
  <c r="R822" i="5"/>
  <c r="S822" i="5" s="1"/>
  <c r="O822" i="5"/>
  <c r="N822" i="5"/>
  <c r="D822" i="5"/>
  <c r="T821" i="5"/>
  <c r="U821" i="5" s="1"/>
  <c r="R821" i="5"/>
  <c r="S821" i="5" s="1"/>
  <c r="O821" i="5"/>
  <c r="N821" i="5"/>
  <c r="D821" i="5"/>
  <c r="T820" i="5"/>
  <c r="U820" i="5" s="1"/>
  <c r="R820" i="5"/>
  <c r="S820" i="5" s="1"/>
  <c r="O820" i="5"/>
  <c r="N820" i="5"/>
  <c r="D820" i="5"/>
  <c r="T819" i="5"/>
  <c r="U819" i="5" s="1"/>
  <c r="R819" i="5"/>
  <c r="S819" i="5" s="1"/>
  <c r="O819" i="5"/>
  <c r="N819" i="5"/>
  <c r="D819" i="5"/>
  <c r="T818" i="5"/>
  <c r="U818" i="5" s="1"/>
  <c r="R818" i="5"/>
  <c r="S818" i="5" s="1"/>
  <c r="O818" i="5"/>
  <c r="N818" i="5"/>
  <c r="D818" i="5"/>
  <c r="T817" i="5"/>
  <c r="U817" i="5" s="1"/>
  <c r="R817" i="5"/>
  <c r="S817" i="5" s="1"/>
  <c r="O817" i="5"/>
  <c r="N817" i="5"/>
  <c r="D817" i="5"/>
  <c r="T816" i="5"/>
  <c r="U816" i="5" s="1"/>
  <c r="R816" i="5"/>
  <c r="S816" i="5" s="1"/>
  <c r="O816" i="5"/>
  <c r="N816" i="5"/>
  <c r="D816" i="5"/>
  <c r="T815" i="5"/>
  <c r="U815" i="5" s="1"/>
  <c r="R815" i="5"/>
  <c r="S815" i="5" s="1"/>
  <c r="O815" i="5"/>
  <c r="N815" i="5"/>
  <c r="D815" i="5"/>
  <c r="T814" i="5"/>
  <c r="U814" i="5" s="1"/>
  <c r="V814" i="5" s="1"/>
  <c r="R814" i="5"/>
  <c r="S814" i="5" s="1"/>
  <c r="O814" i="5"/>
  <c r="N814" i="5"/>
  <c r="D814" i="5"/>
  <c r="T813" i="5"/>
  <c r="U813" i="5" s="1"/>
  <c r="R813" i="5"/>
  <c r="S813" i="5" s="1"/>
  <c r="O813" i="5"/>
  <c r="N813" i="5"/>
  <c r="D813" i="5"/>
  <c r="T812" i="5"/>
  <c r="U812" i="5" s="1"/>
  <c r="R812" i="5"/>
  <c r="S812" i="5" s="1"/>
  <c r="O812" i="5"/>
  <c r="N812" i="5"/>
  <c r="D812" i="5"/>
  <c r="T811" i="5"/>
  <c r="U811" i="5" s="1"/>
  <c r="R811" i="5"/>
  <c r="S811" i="5" s="1"/>
  <c r="O811" i="5"/>
  <c r="N811" i="5"/>
  <c r="D811" i="5"/>
  <c r="T810" i="5"/>
  <c r="U810" i="5" s="1"/>
  <c r="R810" i="5"/>
  <c r="S810" i="5" s="1"/>
  <c r="O810" i="5"/>
  <c r="N810" i="5"/>
  <c r="D810" i="5"/>
  <c r="T809" i="5"/>
  <c r="U809" i="5" s="1"/>
  <c r="R809" i="5"/>
  <c r="S809" i="5" s="1"/>
  <c r="O809" i="5"/>
  <c r="N809" i="5"/>
  <c r="D809" i="5"/>
  <c r="T808" i="5"/>
  <c r="U808" i="5" s="1"/>
  <c r="R808" i="5"/>
  <c r="S808" i="5" s="1"/>
  <c r="O808" i="5"/>
  <c r="N808" i="5"/>
  <c r="D808" i="5"/>
  <c r="T807" i="5"/>
  <c r="U807" i="5" s="1"/>
  <c r="R807" i="5"/>
  <c r="S807" i="5" s="1"/>
  <c r="O807" i="5"/>
  <c r="N807" i="5"/>
  <c r="D807" i="5"/>
  <c r="T806" i="5"/>
  <c r="U806" i="5" s="1"/>
  <c r="R806" i="5"/>
  <c r="S806" i="5" s="1"/>
  <c r="O806" i="5"/>
  <c r="N806" i="5"/>
  <c r="D806" i="5"/>
  <c r="T805" i="5"/>
  <c r="U805" i="5" s="1"/>
  <c r="R805" i="5"/>
  <c r="S805" i="5" s="1"/>
  <c r="Z805" i="5" s="1"/>
  <c r="O805" i="5"/>
  <c r="N805" i="5"/>
  <c r="D805" i="5"/>
  <c r="T804" i="5"/>
  <c r="U804" i="5" s="1"/>
  <c r="R804" i="5"/>
  <c r="S804" i="5" s="1"/>
  <c r="O804" i="5"/>
  <c r="N804" i="5"/>
  <c r="D804" i="5"/>
  <c r="T803" i="5"/>
  <c r="U803" i="5" s="1"/>
  <c r="R803" i="5"/>
  <c r="S803" i="5" s="1"/>
  <c r="O803" i="5"/>
  <c r="N803" i="5"/>
  <c r="D803" i="5"/>
  <c r="T802" i="5"/>
  <c r="U802" i="5" s="1"/>
  <c r="R802" i="5"/>
  <c r="S802" i="5" s="1"/>
  <c r="O802" i="5"/>
  <c r="N802" i="5"/>
  <c r="D802" i="5"/>
  <c r="T801" i="5"/>
  <c r="U801" i="5" s="1"/>
  <c r="R801" i="5"/>
  <c r="S801" i="5" s="1"/>
  <c r="O801" i="5"/>
  <c r="N801" i="5"/>
  <c r="D801" i="5"/>
  <c r="T800" i="5"/>
  <c r="U800" i="5" s="1"/>
  <c r="R800" i="5"/>
  <c r="S800" i="5" s="1"/>
  <c r="O800" i="5"/>
  <c r="N800" i="5"/>
  <c r="D800" i="5"/>
  <c r="T799" i="5"/>
  <c r="U799" i="5" s="1"/>
  <c r="X799" i="5" s="1"/>
  <c r="Y799" i="5" s="1"/>
  <c r="R799" i="5"/>
  <c r="S799" i="5" s="1"/>
  <c r="O799" i="5"/>
  <c r="N799" i="5"/>
  <c r="D799" i="5"/>
  <c r="T798" i="5"/>
  <c r="U798" i="5" s="1"/>
  <c r="R798" i="5"/>
  <c r="S798" i="5" s="1"/>
  <c r="O798" i="5"/>
  <c r="N798" i="5"/>
  <c r="D798" i="5"/>
  <c r="T797" i="5"/>
  <c r="U797" i="5" s="1"/>
  <c r="V797" i="5" s="1"/>
  <c r="R797" i="5"/>
  <c r="S797" i="5" s="1"/>
  <c r="O797" i="5"/>
  <c r="N797" i="5"/>
  <c r="D797" i="5"/>
  <c r="T796" i="5"/>
  <c r="U796" i="5" s="1"/>
  <c r="R796" i="5"/>
  <c r="S796" i="5" s="1"/>
  <c r="O796" i="5"/>
  <c r="N796" i="5"/>
  <c r="D796" i="5"/>
  <c r="T795" i="5"/>
  <c r="U795" i="5" s="1"/>
  <c r="R795" i="5"/>
  <c r="S795" i="5" s="1"/>
  <c r="O795" i="5"/>
  <c r="N795" i="5"/>
  <c r="D795" i="5"/>
  <c r="T794" i="5"/>
  <c r="U794" i="5" s="1"/>
  <c r="R794" i="5"/>
  <c r="S794" i="5" s="1"/>
  <c r="O794" i="5"/>
  <c r="N794" i="5"/>
  <c r="D794" i="5"/>
  <c r="T793" i="5"/>
  <c r="U793" i="5" s="1"/>
  <c r="R793" i="5"/>
  <c r="S793" i="5" s="1"/>
  <c r="O793" i="5"/>
  <c r="N793" i="5"/>
  <c r="D793" i="5"/>
  <c r="T792" i="5"/>
  <c r="U792" i="5" s="1"/>
  <c r="R792" i="5"/>
  <c r="S792" i="5" s="1"/>
  <c r="O792" i="5"/>
  <c r="N792" i="5"/>
  <c r="D792" i="5"/>
  <c r="T791" i="5"/>
  <c r="U791" i="5" s="1"/>
  <c r="R791" i="5"/>
  <c r="S791" i="5" s="1"/>
  <c r="O791" i="5"/>
  <c r="N791" i="5"/>
  <c r="D791" i="5"/>
  <c r="T790" i="5"/>
  <c r="U790" i="5" s="1"/>
  <c r="R790" i="5"/>
  <c r="S790" i="5" s="1"/>
  <c r="O790" i="5"/>
  <c r="N790" i="5"/>
  <c r="D790" i="5"/>
  <c r="T789" i="5"/>
  <c r="U789" i="5" s="1"/>
  <c r="R789" i="5"/>
  <c r="S789" i="5" s="1"/>
  <c r="O789" i="5"/>
  <c r="N789" i="5"/>
  <c r="D789" i="5"/>
  <c r="T788" i="5"/>
  <c r="U788" i="5" s="1"/>
  <c r="R788" i="5"/>
  <c r="S788" i="5" s="1"/>
  <c r="O788" i="5"/>
  <c r="N788" i="5"/>
  <c r="D788" i="5"/>
  <c r="T787" i="5"/>
  <c r="U787" i="5" s="1"/>
  <c r="R787" i="5"/>
  <c r="S787" i="5" s="1"/>
  <c r="O787" i="5"/>
  <c r="N787" i="5"/>
  <c r="D787" i="5"/>
  <c r="T786" i="5"/>
  <c r="U786" i="5" s="1"/>
  <c r="R786" i="5"/>
  <c r="S786" i="5" s="1"/>
  <c r="O786" i="5"/>
  <c r="N786" i="5"/>
  <c r="D786" i="5"/>
  <c r="T784" i="5"/>
  <c r="U784" i="5" s="1"/>
  <c r="P784" i="5"/>
  <c r="R784" i="5" s="1"/>
  <c r="S784" i="5" s="1"/>
  <c r="O784" i="5"/>
  <c r="N784" i="5"/>
  <c r="D784" i="5"/>
  <c r="T783" i="5"/>
  <c r="U783" i="5" s="1"/>
  <c r="P783" i="5"/>
  <c r="R783" i="5" s="1"/>
  <c r="S783" i="5" s="1"/>
  <c r="O783" i="5"/>
  <c r="N783" i="5"/>
  <c r="D783" i="5"/>
  <c r="T782" i="5"/>
  <c r="U782" i="5" s="1"/>
  <c r="X782" i="5" s="1"/>
  <c r="Y782" i="5" s="1"/>
  <c r="P782" i="5"/>
  <c r="R782" i="5" s="1"/>
  <c r="S782" i="5" s="1"/>
  <c r="O782" i="5"/>
  <c r="N782" i="5"/>
  <c r="D782" i="5"/>
  <c r="T781" i="5"/>
  <c r="U781" i="5" s="1"/>
  <c r="P781" i="5"/>
  <c r="R781" i="5" s="1"/>
  <c r="S781" i="5" s="1"/>
  <c r="O781" i="5"/>
  <c r="N781" i="5"/>
  <c r="D781" i="5"/>
  <c r="T780" i="5"/>
  <c r="U780" i="5" s="1"/>
  <c r="V780" i="5" s="1"/>
  <c r="P780" i="5"/>
  <c r="R780" i="5" s="1"/>
  <c r="S780" i="5" s="1"/>
  <c r="W780" i="5" s="1"/>
  <c r="X780" i="5" s="1"/>
  <c r="Y780" i="5" s="1"/>
  <c r="O780" i="5"/>
  <c r="N780" i="5"/>
  <c r="D780" i="5"/>
  <c r="T779" i="5"/>
  <c r="U779" i="5" s="1"/>
  <c r="V779" i="5" s="1"/>
  <c r="P779" i="5"/>
  <c r="R779" i="5" s="1"/>
  <c r="S779" i="5" s="1"/>
  <c r="W779" i="5" s="1"/>
  <c r="X779" i="5" s="1"/>
  <c r="Y779" i="5" s="1"/>
  <c r="O779" i="5"/>
  <c r="N779" i="5"/>
  <c r="D779" i="5"/>
  <c r="T778" i="5"/>
  <c r="U778" i="5" s="1"/>
  <c r="P778" i="5"/>
  <c r="R778" i="5" s="1"/>
  <c r="S778" i="5" s="1"/>
  <c r="O778" i="5"/>
  <c r="N778" i="5"/>
  <c r="D778" i="5"/>
  <c r="T777" i="5"/>
  <c r="U777" i="5" s="1"/>
  <c r="P777" i="5"/>
  <c r="R777" i="5" s="1"/>
  <c r="S777" i="5" s="1"/>
  <c r="O777" i="5"/>
  <c r="N777" i="5"/>
  <c r="D777" i="5"/>
  <c r="X776" i="5"/>
  <c r="Y776" i="5" s="1"/>
  <c r="T776" i="5"/>
  <c r="U776" i="5" s="1"/>
  <c r="V776" i="5" s="1"/>
  <c r="P776" i="5"/>
  <c r="R776" i="5" s="1"/>
  <c r="S776" i="5" s="1"/>
  <c r="O776" i="5"/>
  <c r="N776" i="5"/>
  <c r="D776" i="5"/>
  <c r="T775" i="5"/>
  <c r="U775" i="5" s="1"/>
  <c r="R775" i="5"/>
  <c r="S775" i="5" s="1"/>
  <c r="O775" i="5"/>
  <c r="N775" i="5"/>
  <c r="D775" i="5"/>
  <c r="T774" i="5"/>
  <c r="U774" i="5" s="1"/>
  <c r="R774" i="5"/>
  <c r="S774" i="5" s="1"/>
  <c r="O774" i="5"/>
  <c r="N774" i="5"/>
  <c r="D774" i="5"/>
  <c r="T773" i="5"/>
  <c r="U773" i="5" s="1"/>
  <c r="R773" i="5"/>
  <c r="S773" i="5" s="1"/>
  <c r="Z773" i="5" s="1"/>
  <c r="O773" i="5"/>
  <c r="N773" i="5"/>
  <c r="D773" i="5"/>
  <c r="T771" i="5"/>
  <c r="U771" i="5" s="1"/>
  <c r="R771" i="5"/>
  <c r="S771" i="5" s="1"/>
  <c r="O771" i="5"/>
  <c r="N771" i="5"/>
  <c r="D771" i="5"/>
  <c r="T770" i="5"/>
  <c r="U770" i="5" s="1"/>
  <c r="R770" i="5"/>
  <c r="S770" i="5" s="1"/>
  <c r="Z770" i="5" s="1"/>
  <c r="O770" i="5"/>
  <c r="N770" i="5"/>
  <c r="D770" i="5"/>
  <c r="T769" i="5"/>
  <c r="U769" i="5" s="1"/>
  <c r="R769" i="5"/>
  <c r="S769" i="5" s="1"/>
  <c r="O769" i="5"/>
  <c r="N769" i="5"/>
  <c r="D769" i="5"/>
  <c r="T768" i="5"/>
  <c r="U768" i="5" s="1"/>
  <c r="R768" i="5"/>
  <c r="S768" i="5" s="1"/>
  <c r="O768" i="5"/>
  <c r="N768" i="5"/>
  <c r="D768" i="5"/>
  <c r="T767" i="5"/>
  <c r="U767" i="5" s="1"/>
  <c r="V767" i="5" s="1"/>
  <c r="R767" i="5"/>
  <c r="S767" i="5" s="1"/>
  <c r="O767" i="5"/>
  <c r="N767" i="5"/>
  <c r="D767" i="5"/>
  <c r="T766" i="5"/>
  <c r="U766" i="5" s="1"/>
  <c r="R766" i="5"/>
  <c r="S766" i="5" s="1"/>
  <c r="O766" i="5"/>
  <c r="N766" i="5"/>
  <c r="D766" i="5"/>
  <c r="T765" i="5"/>
  <c r="U765" i="5" s="1"/>
  <c r="R765" i="5"/>
  <c r="S765" i="5" s="1"/>
  <c r="Z765" i="5" s="1"/>
  <c r="O765" i="5"/>
  <c r="N765" i="5"/>
  <c r="D765" i="5"/>
  <c r="T764" i="5"/>
  <c r="U764" i="5" s="1"/>
  <c r="X764" i="5" s="1"/>
  <c r="Y764" i="5" s="1"/>
  <c r="R764" i="5"/>
  <c r="S764" i="5" s="1"/>
  <c r="O764" i="5"/>
  <c r="N764" i="5"/>
  <c r="D764" i="5"/>
  <c r="T763" i="5"/>
  <c r="U763" i="5" s="1"/>
  <c r="R763" i="5"/>
  <c r="S763" i="5" s="1"/>
  <c r="O763" i="5"/>
  <c r="N763" i="5"/>
  <c r="D763" i="5"/>
  <c r="T762" i="5"/>
  <c r="U762" i="5" s="1"/>
  <c r="R762" i="5"/>
  <c r="S762" i="5" s="1"/>
  <c r="Z762" i="5" s="1"/>
  <c r="O762" i="5"/>
  <c r="N762" i="5"/>
  <c r="D762" i="5"/>
  <c r="T761" i="5"/>
  <c r="U761" i="5" s="1"/>
  <c r="R761" i="5"/>
  <c r="S761" i="5" s="1"/>
  <c r="O761" i="5"/>
  <c r="N761" i="5"/>
  <c r="D761" i="5"/>
  <c r="T760" i="5"/>
  <c r="U760" i="5" s="1"/>
  <c r="X760" i="5" s="1"/>
  <c r="Y760" i="5" s="1"/>
  <c r="R760" i="5"/>
  <c r="S760" i="5" s="1"/>
  <c r="O760" i="5"/>
  <c r="N760" i="5"/>
  <c r="D760" i="5"/>
  <c r="T759" i="5"/>
  <c r="U759" i="5" s="1"/>
  <c r="R759" i="5"/>
  <c r="S759" i="5" s="1"/>
  <c r="O759" i="5"/>
  <c r="N759" i="5"/>
  <c r="D759" i="5"/>
  <c r="T757" i="5"/>
  <c r="U757" i="5" s="1"/>
  <c r="R757" i="5"/>
  <c r="S757" i="5" s="1"/>
  <c r="Z757" i="5" s="1"/>
  <c r="O757" i="5"/>
  <c r="N757" i="5"/>
  <c r="D757" i="5"/>
  <c r="T756" i="5"/>
  <c r="U756" i="5" s="1"/>
  <c r="R756" i="5"/>
  <c r="S756" i="5" s="1"/>
  <c r="O756" i="5"/>
  <c r="N756" i="5"/>
  <c r="D756" i="5"/>
  <c r="T755" i="5"/>
  <c r="U755" i="5" s="1"/>
  <c r="R755" i="5"/>
  <c r="S755" i="5" s="1"/>
  <c r="O755" i="5"/>
  <c r="N755" i="5"/>
  <c r="D755" i="5"/>
  <c r="T754" i="5"/>
  <c r="U754" i="5" s="1"/>
  <c r="R754" i="5"/>
  <c r="S754" i="5" s="1"/>
  <c r="O754" i="5"/>
  <c r="N754" i="5"/>
  <c r="D754" i="5"/>
  <c r="T753" i="5"/>
  <c r="U753" i="5" s="1"/>
  <c r="R753" i="5"/>
  <c r="S753" i="5" s="1"/>
  <c r="O753" i="5"/>
  <c r="N753" i="5"/>
  <c r="D753" i="5"/>
  <c r="T752" i="5"/>
  <c r="U752" i="5" s="1"/>
  <c r="R752" i="5"/>
  <c r="S752" i="5" s="1"/>
  <c r="O752" i="5"/>
  <c r="N752" i="5"/>
  <c r="D752" i="5"/>
  <c r="T750" i="5"/>
  <c r="U750" i="5" s="1"/>
  <c r="R750" i="5"/>
  <c r="S750" i="5" s="1"/>
  <c r="O750" i="5"/>
  <c r="N750" i="5"/>
  <c r="D750" i="5"/>
  <c r="T749" i="5"/>
  <c r="U749" i="5" s="1"/>
  <c r="R749" i="5"/>
  <c r="S749" i="5" s="1"/>
  <c r="O749" i="5"/>
  <c r="N749" i="5"/>
  <c r="D749" i="5"/>
  <c r="T748" i="5"/>
  <c r="U748" i="5" s="1"/>
  <c r="R748" i="5"/>
  <c r="S748" i="5" s="1"/>
  <c r="Z748" i="5" s="1"/>
  <c r="O748" i="5"/>
  <c r="N748" i="5"/>
  <c r="D748" i="5"/>
  <c r="T747" i="5"/>
  <c r="U747" i="5" s="1"/>
  <c r="R747" i="5"/>
  <c r="S747" i="5" s="1"/>
  <c r="O747" i="5"/>
  <c r="N747" i="5"/>
  <c r="D747" i="5"/>
  <c r="T746" i="5"/>
  <c r="U746" i="5" s="1"/>
  <c r="R746" i="5"/>
  <c r="S746" i="5" s="1"/>
  <c r="Z746" i="5" s="1"/>
  <c r="O746" i="5"/>
  <c r="N746" i="5"/>
  <c r="D746" i="5"/>
  <c r="T745" i="5"/>
  <c r="U745" i="5" s="1"/>
  <c r="V745" i="5" s="1"/>
  <c r="R745" i="5"/>
  <c r="S745" i="5" s="1"/>
  <c r="O745" i="5"/>
  <c r="N745" i="5"/>
  <c r="D745" i="5"/>
  <c r="T744" i="5"/>
  <c r="U744" i="5" s="1"/>
  <c r="R744" i="5"/>
  <c r="S744" i="5" s="1"/>
  <c r="O744" i="5"/>
  <c r="N744" i="5"/>
  <c r="D744" i="5"/>
  <c r="T743" i="5"/>
  <c r="U743" i="5" s="1"/>
  <c r="R743" i="5"/>
  <c r="S743" i="5" s="1"/>
  <c r="O743" i="5"/>
  <c r="N743" i="5"/>
  <c r="D743" i="5"/>
  <c r="T742" i="5"/>
  <c r="U742" i="5" s="1"/>
  <c r="R742" i="5"/>
  <c r="S742" i="5" s="1"/>
  <c r="O742" i="5"/>
  <c r="N742" i="5"/>
  <c r="D742" i="5"/>
  <c r="T741" i="5"/>
  <c r="U741" i="5" s="1"/>
  <c r="R741" i="5"/>
  <c r="S741" i="5" s="1"/>
  <c r="O741" i="5"/>
  <c r="N741" i="5"/>
  <c r="D741" i="5"/>
  <c r="T740" i="5"/>
  <c r="U740" i="5" s="1"/>
  <c r="R740" i="5"/>
  <c r="S740" i="5" s="1"/>
  <c r="O740" i="5"/>
  <c r="N740" i="5"/>
  <c r="D740" i="5"/>
  <c r="T739" i="5"/>
  <c r="U739" i="5" s="1"/>
  <c r="R739" i="5"/>
  <c r="S739" i="5" s="1"/>
  <c r="O739" i="5"/>
  <c r="N739" i="5"/>
  <c r="D739" i="5"/>
  <c r="T738" i="5"/>
  <c r="U738" i="5" s="1"/>
  <c r="R738" i="5"/>
  <c r="S738" i="5" s="1"/>
  <c r="O738" i="5"/>
  <c r="N738" i="5"/>
  <c r="D738" i="5"/>
  <c r="T737" i="5"/>
  <c r="U737" i="5" s="1"/>
  <c r="R737" i="5"/>
  <c r="S737" i="5" s="1"/>
  <c r="O737" i="5"/>
  <c r="N737" i="5"/>
  <c r="D737" i="5"/>
  <c r="T736" i="5"/>
  <c r="U736" i="5" s="1"/>
  <c r="R736" i="5"/>
  <c r="S736" i="5" s="1"/>
  <c r="O736" i="5"/>
  <c r="N736" i="5"/>
  <c r="D736" i="5"/>
  <c r="T735" i="5"/>
  <c r="U735" i="5" s="1"/>
  <c r="R735" i="5"/>
  <c r="S735" i="5" s="1"/>
  <c r="O735" i="5"/>
  <c r="N735" i="5"/>
  <c r="D735" i="5"/>
  <c r="T734" i="5"/>
  <c r="U734" i="5" s="1"/>
  <c r="R734" i="5"/>
  <c r="S734" i="5" s="1"/>
  <c r="Z734" i="5" s="1"/>
  <c r="O734" i="5"/>
  <c r="N734" i="5"/>
  <c r="D734" i="5"/>
  <c r="T733" i="5"/>
  <c r="U733" i="5" s="1"/>
  <c r="R733" i="5"/>
  <c r="S733" i="5" s="1"/>
  <c r="O733" i="5"/>
  <c r="N733" i="5"/>
  <c r="D733" i="5"/>
  <c r="T732" i="5"/>
  <c r="U732" i="5" s="1"/>
  <c r="V732" i="5" s="1"/>
  <c r="P732" i="5"/>
  <c r="R732" i="5" s="1"/>
  <c r="S732" i="5" s="1"/>
  <c r="W732" i="5" s="1"/>
  <c r="X732" i="5" s="1"/>
  <c r="Y732" i="5" s="1"/>
  <c r="O732" i="5"/>
  <c r="N732" i="5"/>
  <c r="D732" i="5"/>
  <c r="T730" i="5"/>
  <c r="U730" i="5" s="1"/>
  <c r="R730" i="5"/>
  <c r="S730" i="5" s="1"/>
  <c r="O730" i="5"/>
  <c r="N730" i="5"/>
  <c r="D730" i="5"/>
  <c r="T729" i="5"/>
  <c r="U729" i="5" s="1"/>
  <c r="R729" i="5"/>
  <c r="S729" i="5" s="1"/>
  <c r="O729" i="5"/>
  <c r="N729" i="5"/>
  <c r="D729" i="5"/>
  <c r="T728" i="5"/>
  <c r="U728" i="5" s="1"/>
  <c r="R728" i="5"/>
  <c r="S728" i="5" s="1"/>
  <c r="O728" i="5"/>
  <c r="N728" i="5"/>
  <c r="D728" i="5"/>
  <c r="T727" i="5"/>
  <c r="U727" i="5" s="1"/>
  <c r="R727" i="5"/>
  <c r="S727" i="5" s="1"/>
  <c r="O727" i="5"/>
  <c r="N727" i="5"/>
  <c r="D727" i="5"/>
  <c r="T726" i="5"/>
  <c r="U726" i="5" s="1"/>
  <c r="R726" i="5"/>
  <c r="S726" i="5" s="1"/>
  <c r="O726" i="5"/>
  <c r="N726" i="5"/>
  <c r="D726" i="5"/>
  <c r="T725" i="5"/>
  <c r="U725" i="5" s="1"/>
  <c r="R725" i="5"/>
  <c r="S725" i="5" s="1"/>
  <c r="O725" i="5"/>
  <c r="N725" i="5"/>
  <c r="D725" i="5"/>
  <c r="T724" i="5"/>
  <c r="U724" i="5" s="1"/>
  <c r="R724" i="5"/>
  <c r="S724" i="5" s="1"/>
  <c r="O724" i="5"/>
  <c r="N724" i="5"/>
  <c r="D724" i="5"/>
  <c r="T723" i="5"/>
  <c r="U723" i="5" s="1"/>
  <c r="R723" i="5"/>
  <c r="S723" i="5" s="1"/>
  <c r="O723" i="5"/>
  <c r="N723" i="5"/>
  <c r="D723" i="5"/>
  <c r="T722" i="5"/>
  <c r="U722" i="5" s="1"/>
  <c r="R722" i="5"/>
  <c r="S722" i="5" s="1"/>
  <c r="O722" i="5"/>
  <c r="N722" i="5"/>
  <c r="D722" i="5"/>
  <c r="T721" i="5"/>
  <c r="U721" i="5" s="1"/>
  <c r="P721" i="5"/>
  <c r="R721" i="5" s="1"/>
  <c r="S721" i="5" s="1"/>
  <c r="O721" i="5"/>
  <c r="N721" i="5"/>
  <c r="D721" i="5"/>
  <c r="T720" i="5"/>
  <c r="U720" i="5" s="1"/>
  <c r="R720" i="5"/>
  <c r="S720" i="5" s="1"/>
  <c r="O720" i="5"/>
  <c r="N720" i="5"/>
  <c r="D720" i="5"/>
  <c r="T719" i="5"/>
  <c r="U719" i="5" s="1"/>
  <c r="V719" i="5" s="1"/>
  <c r="R719" i="5"/>
  <c r="S719" i="5" s="1"/>
  <c r="O719" i="5"/>
  <c r="N719" i="5"/>
  <c r="D719" i="5"/>
  <c r="T718" i="5"/>
  <c r="U718" i="5" s="1"/>
  <c r="R718" i="5"/>
  <c r="S718" i="5" s="1"/>
  <c r="O718" i="5"/>
  <c r="N718" i="5"/>
  <c r="D718" i="5"/>
  <c r="T717" i="5"/>
  <c r="U717" i="5" s="1"/>
  <c r="R717" i="5"/>
  <c r="S717" i="5" s="1"/>
  <c r="O717" i="5"/>
  <c r="N717" i="5"/>
  <c r="D717" i="5"/>
  <c r="T716" i="5"/>
  <c r="U716" i="5" s="1"/>
  <c r="R716" i="5"/>
  <c r="S716" i="5" s="1"/>
  <c r="O716" i="5"/>
  <c r="N716" i="5"/>
  <c r="D716" i="5"/>
  <c r="T715" i="5"/>
  <c r="U715" i="5" s="1"/>
  <c r="R715" i="5"/>
  <c r="S715" i="5" s="1"/>
  <c r="O715" i="5"/>
  <c r="N715" i="5"/>
  <c r="D715" i="5"/>
  <c r="T714" i="5"/>
  <c r="U714" i="5" s="1"/>
  <c r="X714" i="5" s="1"/>
  <c r="Y714" i="5" s="1"/>
  <c r="R714" i="5"/>
  <c r="S714" i="5" s="1"/>
  <c r="O714" i="5"/>
  <c r="N714" i="5"/>
  <c r="D714" i="5"/>
  <c r="T713" i="5"/>
  <c r="U713" i="5" s="1"/>
  <c r="R713" i="5"/>
  <c r="S713" i="5" s="1"/>
  <c r="O713" i="5"/>
  <c r="N713" i="5"/>
  <c r="D713" i="5"/>
  <c r="T712" i="5"/>
  <c r="U712" i="5" s="1"/>
  <c r="R712" i="5"/>
  <c r="S712" i="5" s="1"/>
  <c r="O712" i="5"/>
  <c r="N712" i="5"/>
  <c r="D712" i="5"/>
  <c r="T711" i="5"/>
  <c r="U711" i="5" s="1"/>
  <c r="R711" i="5"/>
  <c r="S711" i="5" s="1"/>
  <c r="O711" i="5"/>
  <c r="N711" i="5"/>
  <c r="D711" i="5"/>
  <c r="T710" i="5"/>
  <c r="U710" i="5" s="1"/>
  <c r="R710" i="5"/>
  <c r="S710" i="5" s="1"/>
  <c r="O710" i="5"/>
  <c r="N710" i="5"/>
  <c r="D710" i="5"/>
  <c r="T709" i="5"/>
  <c r="U709" i="5" s="1"/>
  <c r="R709" i="5"/>
  <c r="S709" i="5" s="1"/>
  <c r="O709" i="5"/>
  <c r="N709" i="5"/>
  <c r="D709" i="5"/>
  <c r="T708" i="5"/>
  <c r="U708" i="5" s="1"/>
  <c r="R708" i="5"/>
  <c r="S708" i="5" s="1"/>
  <c r="O708" i="5"/>
  <c r="N708" i="5"/>
  <c r="D708" i="5"/>
  <c r="T707" i="5"/>
  <c r="U707" i="5" s="1"/>
  <c r="R707" i="5"/>
  <c r="S707" i="5" s="1"/>
  <c r="O707" i="5"/>
  <c r="N707" i="5"/>
  <c r="D707" i="5"/>
  <c r="T706" i="5"/>
  <c r="U706" i="5" s="1"/>
  <c r="R706" i="5"/>
  <c r="S706" i="5" s="1"/>
  <c r="O706" i="5"/>
  <c r="N706" i="5"/>
  <c r="D706" i="5"/>
  <c r="T705" i="5"/>
  <c r="U705" i="5" s="1"/>
  <c r="R705" i="5"/>
  <c r="S705" i="5" s="1"/>
  <c r="O705" i="5"/>
  <c r="N705" i="5"/>
  <c r="D705" i="5"/>
  <c r="T704" i="5"/>
  <c r="U704" i="5" s="1"/>
  <c r="R704" i="5"/>
  <c r="S704" i="5" s="1"/>
  <c r="Z704" i="5" s="1"/>
  <c r="O704" i="5"/>
  <c r="N704" i="5"/>
  <c r="D704" i="5"/>
  <c r="T703" i="5"/>
  <c r="U703" i="5" s="1"/>
  <c r="R703" i="5"/>
  <c r="S703" i="5" s="1"/>
  <c r="O703" i="5"/>
  <c r="N703" i="5"/>
  <c r="D703" i="5"/>
  <c r="T702" i="5"/>
  <c r="U702" i="5" s="1"/>
  <c r="R702" i="5"/>
  <c r="S702" i="5" s="1"/>
  <c r="O702" i="5"/>
  <c r="N702" i="5"/>
  <c r="D702" i="5"/>
  <c r="T701" i="5"/>
  <c r="U701" i="5" s="1"/>
  <c r="R701" i="5"/>
  <c r="S701" i="5" s="1"/>
  <c r="O701" i="5"/>
  <c r="N701" i="5"/>
  <c r="D701" i="5"/>
  <c r="T700" i="5"/>
  <c r="U700" i="5" s="1"/>
  <c r="R700" i="5"/>
  <c r="S700" i="5" s="1"/>
  <c r="O700" i="5"/>
  <c r="N700" i="5"/>
  <c r="D700" i="5"/>
  <c r="T699" i="5"/>
  <c r="U699" i="5" s="1"/>
  <c r="R699" i="5"/>
  <c r="S699" i="5" s="1"/>
  <c r="O699" i="5"/>
  <c r="N699" i="5"/>
  <c r="D699" i="5"/>
  <c r="T698" i="5"/>
  <c r="U698" i="5" s="1"/>
  <c r="R698" i="5"/>
  <c r="S698" i="5" s="1"/>
  <c r="O698" i="5"/>
  <c r="N698" i="5"/>
  <c r="D698" i="5"/>
  <c r="T697" i="5"/>
  <c r="U697" i="5" s="1"/>
  <c r="R697" i="5"/>
  <c r="S697" i="5" s="1"/>
  <c r="O697" i="5"/>
  <c r="N697" i="5"/>
  <c r="D697" i="5"/>
  <c r="T696" i="5"/>
  <c r="U696" i="5" s="1"/>
  <c r="R696" i="5"/>
  <c r="S696" i="5" s="1"/>
  <c r="O696" i="5"/>
  <c r="N696" i="5"/>
  <c r="D696" i="5"/>
  <c r="T695" i="5"/>
  <c r="U695" i="5" s="1"/>
  <c r="R695" i="5"/>
  <c r="S695" i="5" s="1"/>
  <c r="O695" i="5"/>
  <c r="N695" i="5"/>
  <c r="D695" i="5"/>
  <c r="T694" i="5"/>
  <c r="U694" i="5" s="1"/>
  <c r="R694" i="5"/>
  <c r="S694" i="5" s="1"/>
  <c r="O694" i="5"/>
  <c r="N694" i="5"/>
  <c r="D694" i="5"/>
  <c r="T693" i="5"/>
  <c r="U693" i="5" s="1"/>
  <c r="R693" i="5"/>
  <c r="S693" i="5" s="1"/>
  <c r="O693" i="5"/>
  <c r="N693" i="5"/>
  <c r="D693" i="5"/>
  <c r="T692" i="5"/>
  <c r="U692" i="5" s="1"/>
  <c r="R692" i="5"/>
  <c r="S692" i="5" s="1"/>
  <c r="O692" i="5"/>
  <c r="N692" i="5"/>
  <c r="D692" i="5"/>
  <c r="T691" i="5"/>
  <c r="U691" i="5" s="1"/>
  <c r="R691" i="5"/>
  <c r="S691" i="5" s="1"/>
  <c r="O691" i="5"/>
  <c r="N691" i="5"/>
  <c r="D691" i="5"/>
  <c r="T690" i="5"/>
  <c r="U690" i="5" s="1"/>
  <c r="R690" i="5"/>
  <c r="S690" i="5" s="1"/>
  <c r="O690" i="5"/>
  <c r="N690" i="5"/>
  <c r="D690" i="5"/>
  <c r="T689" i="5"/>
  <c r="U689" i="5" s="1"/>
  <c r="R689" i="5"/>
  <c r="S689" i="5" s="1"/>
  <c r="O689" i="5"/>
  <c r="N689" i="5"/>
  <c r="D689" i="5"/>
  <c r="T688" i="5"/>
  <c r="U688" i="5" s="1"/>
  <c r="R688" i="5"/>
  <c r="S688" i="5" s="1"/>
  <c r="Z688" i="5" s="1"/>
  <c r="O688" i="5"/>
  <c r="N688" i="5"/>
  <c r="D688" i="5"/>
  <c r="T687" i="5"/>
  <c r="U687" i="5" s="1"/>
  <c r="R687" i="5"/>
  <c r="S687" i="5" s="1"/>
  <c r="O687" i="5"/>
  <c r="N687" i="5"/>
  <c r="D687" i="5"/>
  <c r="T686" i="5"/>
  <c r="U686" i="5" s="1"/>
  <c r="R686" i="5"/>
  <c r="S686" i="5" s="1"/>
  <c r="O686" i="5"/>
  <c r="N686" i="5"/>
  <c r="D686" i="5"/>
  <c r="T685" i="5"/>
  <c r="U685" i="5" s="1"/>
  <c r="R685" i="5"/>
  <c r="S685" i="5" s="1"/>
  <c r="O685" i="5"/>
  <c r="N685" i="5"/>
  <c r="D685" i="5"/>
  <c r="T684" i="5"/>
  <c r="U684" i="5" s="1"/>
  <c r="V684" i="5" s="1"/>
  <c r="R684" i="5"/>
  <c r="S684" i="5" s="1"/>
  <c r="O684" i="5"/>
  <c r="N684" i="5"/>
  <c r="D684" i="5"/>
  <c r="T682" i="5"/>
  <c r="U682" i="5" s="1"/>
  <c r="V682" i="5" s="1"/>
  <c r="R682" i="5"/>
  <c r="S682" i="5" s="1"/>
  <c r="O682" i="5"/>
  <c r="N682" i="5"/>
  <c r="D682" i="5"/>
  <c r="T681" i="5"/>
  <c r="U681" i="5" s="1"/>
  <c r="R681" i="5"/>
  <c r="S681" i="5" s="1"/>
  <c r="O681" i="5"/>
  <c r="N681" i="5"/>
  <c r="D681" i="5"/>
  <c r="T680" i="5"/>
  <c r="U680" i="5" s="1"/>
  <c r="R680" i="5"/>
  <c r="S680" i="5" s="1"/>
  <c r="O680" i="5"/>
  <c r="N680" i="5"/>
  <c r="D680" i="5"/>
  <c r="T679" i="5"/>
  <c r="U679" i="5" s="1"/>
  <c r="R679" i="5"/>
  <c r="S679" i="5" s="1"/>
  <c r="O679" i="5"/>
  <c r="N679" i="5"/>
  <c r="D679" i="5"/>
  <c r="T678" i="5"/>
  <c r="U678" i="5" s="1"/>
  <c r="V678" i="5" s="1"/>
  <c r="P678" i="5"/>
  <c r="R678" i="5" s="1"/>
  <c r="S678" i="5" s="1"/>
  <c r="W678" i="5" s="1"/>
  <c r="X678" i="5" s="1"/>
  <c r="Y678" i="5" s="1"/>
  <c r="O678" i="5"/>
  <c r="N678" i="5"/>
  <c r="D678" i="5"/>
  <c r="T677" i="5"/>
  <c r="U677" i="5" s="1"/>
  <c r="P677" i="5"/>
  <c r="R677" i="5" s="1"/>
  <c r="S677" i="5" s="1"/>
  <c r="O677" i="5"/>
  <c r="N677" i="5"/>
  <c r="D677" i="5"/>
  <c r="T676" i="5"/>
  <c r="U676" i="5" s="1"/>
  <c r="V676" i="5" s="1"/>
  <c r="P676" i="5"/>
  <c r="R676" i="5" s="1"/>
  <c r="S676" i="5" s="1"/>
  <c r="O676" i="5"/>
  <c r="N676" i="5"/>
  <c r="D676" i="5"/>
  <c r="T675" i="5"/>
  <c r="U675" i="5" s="1"/>
  <c r="V675" i="5" s="1"/>
  <c r="P675" i="5"/>
  <c r="R675" i="5" s="1"/>
  <c r="S675" i="5" s="1"/>
  <c r="W675" i="5" s="1"/>
  <c r="X675" i="5" s="1"/>
  <c r="Y675" i="5" s="1"/>
  <c r="O675" i="5"/>
  <c r="N675" i="5"/>
  <c r="D675" i="5"/>
  <c r="T674" i="5"/>
  <c r="U674" i="5" s="1"/>
  <c r="R674" i="5"/>
  <c r="S674" i="5" s="1"/>
  <c r="O674" i="5"/>
  <c r="N674" i="5"/>
  <c r="D674" i="5"/>
  <c r="T673" i="5"/>
  <c r="U673" i="5" s="1"/>
  <c r="R673" i="5"/>
  <c r="S673" i="5" s="1"/>
  <c r="O673" i="5"/>
  <c r="N673" i="5"/>
  <c r="D673" i="5"/>
  <c r="T672" i="5"/>
  <c r="U672" i="5" s="1"/>
  <c r="R672" i="5"/>
  <c r="S672" i="5" s="1"/>
  <c r="Z672" i="5" s="1"/>
  <c r="O672" i="5"/>
  <c r="N672" i="5"/>
  <c r="D672" i="5"/>
  <c r="T671" i="5"/>
  <c r="U671" i="5" s="1"/>
  <c r="R671" i="5"/>
  <c r="S671" i="5" s="1"/>
  <c r="Z671" i="5" s="1"/>
  <c r="O671" i="5"/>
  <c r="N671" i="5"/>
  <c r="D671" i="5"/>
  <c r="T670" i="5"/>
  <c r="U670" i="5" s="1"/>
  <c r="R670" i="5"/>
  <c r="S670" i="5" s="1"/>
  <c r="Z670" i="5" s="1"/>
  <c r="O670" i="5"/>
  <c r="N670" i="5"/>
  <c r="D670" i="5"/>
  <c r="T669" i="5"/>
  <c r="U669" i="5" s="1"/>
  <c r="R669" i="5"/>
  <c r="S669" i="5" s="1"/>
  <c r="O669" i="5"/>
  <c r="N669" i="5"/>
  <c r="D669" i="5"/>
  <c r="T668" i="5"/>
  <c r="U668" i="5" s="1"/>
  <c r="P668" i="5"/>
  <c r="R668" i="5" s="1"/>
  <c r="S668" i="5" s="1"/>
  <c r="O668" i="5"/>
  <c r="N668" i="5"/>
  <c r="D668" i="5"/>
  <c r="T667" i="5"/>
  <c r="U667" i="5" s="1"/>
  <c r="R667" i="5"/>
  <c r="S667" i="5" s="1"/>
  <c r="O667" i="5"/>
  <c r="N667" i="5"/>
  <c r="D667" i="5"/>
  <c r="T666" i="5"/>
  <c r="U666" i="5" s="1"/>
  <c r="R666" i="5"/>
  <c r="S666" i="5" s="1"/>
  <c r="O666" i="5"/>
  <c r="N666" i="5"/>
  <c r="D666" i="5"/>
  <c r="T665" i="5"/>
  <c r="U665" i="5" s="1"/>
  <c r="R665" i="5"/>
  <c r="S665" i="5" s="1"/>
  <c r="O665" i="5"/>
  <c r="N665" i="5"/>
  <c r="D665" i="5"/>
  <c r="T664" i="5"/>
  <c r="U664" i="5" s="1"/>
  <c r="R664" i="5"/>
  <c r="S664" i="5" s="1"/>
  <c r="O664" i="5"/>
  <c r="N664" i="5"/>
  <c r="D664" i="5"/>
  <c r="T663" i="5"/>
  <c r="U663" i="5" s="1"/>
  <c r="V663" i="5" s="1"/>
  <c r="R663" i="5"/>
  <c r="S663" i="5" s="1"/>
  <c r="O663" i="5"/>
  <c r="N663" i="5"/>
  <c r="D663" i="5"/>
  <c r="T662" i="5"/>
  <c r="U662" i="5" s="1"/>
  <c r="R662" i="5"/>
  <c r="S662" i="5" s="1"/>
  <c r="O662" i="5"/>
  <c r="N662" i="5"/>
  <c r="D662" i="5"/>
  <c r="T661" i="5"/>
  <c r="U661" i="5" s="1"/>
  <c r="R661" i="5"/>
  <c r="S661" i="5" s="1"/>
  <c r="O661" i="5"/>
  <c r="N661" i="5"/>
  <c r="D661" i="5"/>
  <c r="T660" i="5"/>
  <c r="U660" i="5" s="1"/>
  <c r="R660" i="5"/>
  <c r="S660" i="5" s="1"/>
  <c r="O660" i="5"/>
  <c r="N660" i="5"/>
  <c r="D660" i="5"/>
  <c r="T659" i="5"/>
  <c r="U659" i="5" s="1"/>
  <c r="P659" i="5"/>
  <c r="R659" i="5" s="1"/>
  <c r="S659" i="5" s="1"/>
  <c r="O659" i="5"/>
  <c r="N659" i="5"/>
  <c r="D659" i="5"/>
  <c r="T658" i="5"/>
  <c r="U658" i="5" s="1"/>
  <c r="R658" i="5"/>
  <c r="S658" i="5" s="1"/>
  <c r="Z658" i="5" s="1"/>
  <c r="O658" i="5"/>
  <c r="N658" i="5"/>
  <c r="D658" i="5"/>
  <c r="T657" i="5"/>
  <c r="U657" i="5" s="1"/>
  <c r="R657" i="5"/>
  <c r="S657" i="5" s="1"/>
  <c r="Z657" i="5" s="1"/>
  <c r="O657" i="5"/>
  <c r="N657" i="5"/>
  <c r="D657" i="5"/>
  <c r="T655" i="5"/>
  <c r="U655" i="5" s="1"/>
  <c r="V655" i="5" s="1"/>
  <c r="S655" i="5"/>
  <c r="W655" i="5" s="1"/>
  <c r="X655" i="5" s="1"/>
  <c r="Y655" i="5" s="1"/>
  <c r="P655" i="5"/>
  <c r="O655" i="5"/>
  <c r="N655" i="5"/>
  <c r="D655" i="5"/>
  <c r="T654" i="5"/>
  <c r="U654" i="5" s="1"/>
  <c r="V654" i="5" s="1"/>
  <c r="R654" i="5"/>
  <c r="S654" i="5" s="1"/>
  <c r="O654" i="5"/>
  <c r="N654" i="5"/>
  <c r="D654" i="5"/>
  <c r="T653" i="5"/>
  <c r="U653" i="5" s="1"/>
  <c r="R653" i="5"/>
  <c r="S653" i="5" s="1"/>
  <c r="Z653" i="5" s="1"/>
  <c r="O653" i="5"/>
  <c r="N653" i="5"/>
  <c r="D653" i="5"/>
  <c r="T652" i="5"/>
  <c r="U652" i="5" s="1"/>
  <c r="R652" i="5"/>
  <c r="S652" i="5" s="1"/>
  <c r="O652" i="5"/>
  <c r="N652" i="5"/>
  <c r="D652" i="5"/>
  <c r="T651" i="5"/>
  <c r="U651" i="5" s="1"/>
  <c r="R651" i="5"/>
  <c r="S651" i="5" s="1"/>
  <c r="Z651" i="5" s="1"/>
  <c r="O651" i="5"/>
  <c r="N651" i="5"/>
  <c r="D651" i="5"/>
  <c r="T650" i="5"/>
  <c r="U650" i="5" s="1"/>
  <c r="V650" i="5" s="1"/>
  <c r="P650" i="5"/>
  <c r="R650" i="5" s="1"/>
  <c r="S650" i="5" s="1"/>
  <c r="W650" i="5" s="1"/>
  <c r="X650" i="5" s="1"/>
  <c r="Y650" i="5" s="1"/>
  <c r="O650" i="5"/>
  <c r="N650" i="5"/>
  <c r="D650" i="5"/>
  <c r="T649" i="5"/>
  <c r="U649" i="5" s="1"/>
  <c r="P649" i="5"/>
  <c r="R649" i="5" s="1"/>
  <c r="S649" i="5" s="1"/>
  <c r="O649" i="5"/>
  <c r="N649" i="5"/>
  <c r="D649" i="5"/>
  <c r="T648" i="5"/>
  <c r="U648" i="5" s="1"/>
  <c r="V648" i="5" s="1"/>
  <c r="R648" i="5"/>
  <c r="S648" i="5" s="1"/>
  <c r="W648" i="5" s="1"/>
  <c r="X648" i="5" s="1"/>
  <c r="Y648" i="5" s="1"/>
  <c r="O648" i="5"/>
  <c r="N648" i="5"/>
  <c r="D648" i="5"/>
  <c r="T647" i="5"/>
  <c r="U647" i="5" s="1"/>
  <c r="V647" i="5" s="1"/>
  <c r="P647" i="5"/>
  <c r="R647" i="5" s="1"/>
  <c r="S647" i="5" s="1"/>
  <c r="W647" i="5" s="1"/>
  <c r="X647" i="5" s="1"/>
  <c r="Y647" i="5" s="1"/>
  <c r="O647" i="5"/>
  <c r="N647" i="5"/>
  <c r="D647" i="5"/>
  <c r="T646" i="5"/>
  <c r="U646" i="5" s="1"/>
  <c r="R646" i="5"/>
  <c r="S646" i="5" s="1"/>
  <c r="O646" i="5"/>
  <c r="N646" i="5"/>
  <c r="D646" i="5"/>
  <c r="T645" i="5"/>
  <c r="U645" i="5" s="1"/>
  <c r="V645" i="5" s="1"/>
  <c r="R645" i="5"/>
  <c r="S645" i="5" s="1"/>
  <c r="W645" i="5" s="1"/>
  <c r="X645" i="5" s="1"/>
  <c r="Y645" i="5" s="1"/>
  <c r="O645" i="5"/>
  <c r="N645" i="5"/>
  <c r="D645" i="5"/>
  <c r="T644" i="5"/>
  <c r="U644" i="5" s="1"/>
  <c r="V644" i="5" s="1"/>
  <c r="P644" i="5"/>
  <c r="R644" i="5" s="1"/>
  <c r="S644" i="5" s="1"/>
  <c r="W644" i="5" s="1"/>
  <c r="X644" i="5" s="1"/>
  <c r="Y644" i="5" s="1"/>
  <c r="O644" i="5"/>
  <c r="N644" i="5"/>
  <c r="D644" i="5"/>
  <c r="T643" i="5"/>
  <c r="U643" i="5" s="1"/>
  <c r="R643" i="5"/>
  <c r="S643" i="5" s="1"/>
  <c r="O643" i="5"/>
  <c r="N643" i="5"/>
  <c r="D643" i="5"/>
  <c r="T642" i="5"/>
  <c r="U642" i="5" s="1"/>
  <c r="R642" i="5"/>
  <c r="S642" i="5" s="1"/>
  <c r="O642" i="5"/>
  <c r="N642" i="5"/>
  <c r="D642" i="5"/>
  <c r="T641" i="5"/>
  <c r="U641" i="5" s="1"/>
  <c r="R641" i="5"/>
  <c r="S641" i="5" s="1"/>
  <c r="O641" i="5"/>
  <c r="N641" i="5"/>
  <c r="D641" i="5"/>
  <c r="T640" i="5"/>
  <c r="U640" i="5" s="1"/>
  <c r="V640" i="5" s="1"/>
  <c r="P640" i="5"/>
  <c r="R640" i="5" s="1"/>
  <c r="S640" i="5" s="1"/>
  <c r="W640" i="5" s="1"/>
  <c r="X640" i="5" s="1"/>
  <c r="Y640" i="5" s="1"/>
  <c r="O640" i="5"/>
  <c r="N640" i="5"/>
  <c r="D640" i="5"/>
  <c r="T638" i="5"/>
  <c r="U638" i="5" s="1"/>
  <c r="R638" i="5"/>
  <c r="S638" i="5" s="1"/>
  <c r="O638" i="5"/>
  <c r="N638" i="5"/>
  <c r="D638" i="5"/>
  <c r="T637" i="5"/>
  <c r="U637" i="5" s="1"/>
  <c r="R637" i="5"/>
  <c r="S637" i="5" s="1"/>
  <c r="O637" i="5"/>
  <c r="N637" i="5"/>
  <c r="D637" i="5"/>
  <c r="T636" i="5"/>
  <c r="U636" i="5" s="1"/>
  <c r="R636" i="5"/>
  <c r="S636" i="5" s="1"/>
  <c r="O636" i="5"/>
  <c r="N636" i="5"/>
  <c r="D636" i="5"/>
  <c r="T635" i="5"/>
  <c r="U635" i="5" s="1"/>
  <c r="V635" i="5" s="1"/>
  <c r="R635" i="5"/>
  <c r="S635" i="5" s="1"/>
  <c r="O635" i="5"/>
  <c r="N635" i="5"/>
  <c r="D635" i="5"/>
  <c r="T634" i="5"/>
  <c r="U634" i="5" s="1"/>
  <c r="R634" i="5"/>
  <c r="S634" i="5" s="1"/>
  <c r="O634" i="5"/>
  <c r="N634" i="5"/>
  <c r="D634" i="5"/>
  <c r="T633" i="5"/>
  <c r="U633" i="5" s="1"/>
  <c r="R633" i="5"/>
  <c r="S633" i="5" s="1"/>
  <c r="O633" i="5"/>
  <c r="N633" i="5"/>
  <c r="D633" i="5"/>
  <c r="T632" i="5"/>
  <c r="U632" i="5" s="1"/>
  <c r="P632" i="5"/>
  <c r="R632" i="5" s="1"/>
  <c r="S632" i="5" s="1"/>
  <c r="O632" i="5"/>
  <c r="N632" i="5"/>
  <c r="D632" i="5"/>
  <c r="T631" i="5"/>
  <c r="U631" i="5" s="1"/>
  <c r="V631" i="5" s="1"/>
  <c r="P631" i="5"/>
  <c r="R631" i="5" s="1"/>
  <c r="S631" i="5" s="1"/>
  <c r="O631" i="5"/>
  <c r="N631" i="5"/>
  <c r="D631" i="5"/>
  <c r="T630" i="5"/>
  <c r="U630" i="5" s="1"/>
  <c r="P630" i="5"/>
  <c r="R630" i="5" s="1"/>
  <c r="S630" i="5" s="1"/>
  <c r="O630" i="5"/>
  <c r="N630" i="5"/>
  <c r="D630" i="5"/>
  <c r="T628" i="5"/>
  <c r="U628" i="5" s="1"/>
  <c r="R628" i="5"/>
  <c r="S628" i="5" s="1"/>
  <c r="O628" i="5"/>
  <c r="N628" i="5"/>
  <c r="D628" i="5"/>
  <c r="T627" i="5"/>
  <c r="U627" i="5" s="1"/>
  <c r="R627" i="5"/>
  <c r="S627" i="5" s="1"/>
  <c r="O627" i="5"/>
  <c r="N627" i="5"/>
  <c r="D627" i="5"/>
  <c r="T626" i="5"/>
  <c r="U626" i="5" s="1"/>
  <c r="R626" i="5"/>
  <c r="S626" i="5" s="1"/>
  <c r="O626" i="5"/>
  <c r="N626" i="5"/>
  <c r="D626" i="5"/>
  <c r="T625" i="5"/>
  <c r="U625" i="5" s="1"/>
  <c r="R625" i="5"/>
  <c r="S625" i="5" s="1"/>
  <c r="O625" i="5"/>
  <c r="N625" i="5"/>
  <c r="D625" i="5"/>
  <c r="T624" i="5"/>
  <c r="U624" i="5" s="1"/>
  <c r="R624" i="5"/>
  <c r="S624" i="5" s="1"/>
  <c r="O624" i="5"/>
  <c r="N624" i="5"/>
  <c r="D624" i="5"/>
  <c r="T623" i="5"/>
  <c r="U623" i="5" s="1"/>
  <c r="R623" i="5"/>
  <c r="S623" i="5" s="1"/>
  <c r="O623" i="5"/>
  <c r="N623" i="5"/>
  <c r="D623" i="5"/>
  <c r="T622" i="5"/>
  <c r="U622" i="5" s="1"/>
  <c r="R622" i="5"/>
  <c r="S622" i="5" s="1"/>
  <c r="Z622" i="5" s="1"/>
  <c r="O622" i="5"/>
  <c r="N622" i="5"/>
  <c r="D622" i="5"/>
  <c r="T621" i="5"/>
  <c r="U621" i="5" s="1"/>
  <c r="V621" i="5" s="1"/>
  <c r="R621" i="5"/>
  <c r="S621" i="5" s="1"/>
  <c r="Z621" i="5" s="1"/>
  <c r="O621" i="5"/>
  <c r="N621" i="5"/>
  <c r="D621" i="5"/>
  <c r="T620" i="5"/>
  <c r="U620" i="5" s="1"/>
  <c r="V620" i="5" s="1"/>
  <c r="R620" i="5"/>
  <c r="S620" i="5" s="1"/>
  <c r="O620" i="5"/>
  <c r="N620" i="5"/>
  <c r="D620" i="5"/>
  <c r="T619" i="5"/>
  <c r="U619" i="5" s="1"/>
  <c r="R619" i="5"/>
  <c r="S619" i="5" s="1"/>
  <c r="O619" i="5"/>
  <c r="N619" i="5"/>
  <c r="D619" i="5"/>
  <c r="T618" i="5"/>
  <c r="U618" i="5" s="1"/>
  <c r="R618" i="5"/>
  <c r="S618" i="5" s="1"/>
  <c r="O618" i="5"/>
  <c r="N618" i="5"/>
  <c r="D618" i="5"/>
  <c r="T617" i="5"/>
  <c r="U617" i="5" s="1"/>
  <c r="R617" i="5"/>
  <c r="S617" i="5" s="1"/>
  <c r="Z617" i="5" s="1"/>
  <c r="O617" i="5"/>
  <c r="N617" i="5"/>
  <c r="D617" i="5"/>
  <c r="T616" i="5"/>
  <c r="U616" i="5" s="1"/>
  <c r="R616" i="5"/>
  <c r="S616" i="5" s="1"/>
  <c r="O616" i="5"/>
  <c r="N616" i="5"/>
  <c r="D616" i="5"/>
  <c r="T615" i="5"/>
  <c r="U615" i="5" s="1"/>
  <c r="R615" i="5"/>
  <c r="S615" i="5" s="1"/>
  <c r="O615" i="5"/>
  <c r="N615" i="5"/>
  <c r="D615" i="5"/>
  <c r="T614" i="5"/>
  <c r="U614" i="5" s="1"/>
  <c r="R614" i="5"/>
  <c r="S614" i="5" s="1"/>
  <c r="O614" i="5"/>
  <c r="N614" i="5"/>
  <c r="D614" i="5"/>
  <c r="T613" i="5"/>
  <c r="U613" i="5" s="1"/>
  <c r="X613" i="5" s="1"/>
  <c r="Y613" i="5" s="1"/>
  <c r="R613" i="5"/>
  <c r="S613" i="5" s="1"/>
  <c r="O613" i="5"/>
  <c r="N613" i="5"/>
  <c r="D613" i="5"/>
  <c r="T611" i="5"/>
  <c r="U611" i="5" s="1"/>
  <c r="R611" i="5"/>
  <c r="S611" i="5" s="1"/>
  <c r="O611" i="5"/>
  <c r="N611" i="5"/>
  <c r="D611" i="5"/>
  <c r="T610" i="5"/>
  <c r="U610" i="5" s="1"/>
  <c r="R610" i="5"/>
  <c r="S610" i="5" s="1"/>
  <c r="O610" i="5"/>
  <c r="N610" i="5"/>
  <c r="D610" i="5"/>
  <c r="T609" i="5"/>
  <c r="U609" i="5" s="1"/>
  <c r="R609" i="5"/>
  <c r="S609" i="5" s="1"/>
  <c r="O609" i="5"/>
  <c r="N609" i="5"/>
  <c r="D609" i="5"/>
  <c r="T608" i="5"/>
  <c r="U608" i="5" s="1"/>
  <c r="R608" i="5"/>
  <c r="S608" i="5" s="1"/>
  <c r="O608" i="5"/>
  <c r="N608" i="5"/>
  <c r="D608" i="5"/>
  <c r="T607" i="5"/>
  <c r="U607" i="5" s="1"/>
  <c r="R607" i="5"/>
  <c r="S607" i="5" s="1"/>
  <c r="Z607" i="5" s="1"/>
  <c r="O607" i="5"/>
  <c r="N607" i="5"/>
  <c r="D607" i="5"/>
  <c r="T606" i="5"/>
  <c r="U606" i="5" s="1"/>
  <c r="R606" i="5"/>
  <c r="S606" i="5" s="1"/>
  <c r="O606" i="5"/>
  <c r="N606" i="5"/>
  <c r="D606" i="5"/>
  <c r="T605" i="5"/>
  <c r="U605" i="5" s="1"/>
  <c r="R605" i="5"/>
  <c r="S605" i="5" s="1"/>
  <c r="O605" i="5"/>
  <c r="N605" i="5"/>
  <c r="D605" i="5"/>
  <c r="T604" i="5"/>
  <c r="U604" i="5" s="1"/>
  <c r="R604" i="5"/>
  <c r="S604" i="5" s="1"/>
  <c r="Z604" i="5" s="1"/>
  <c r="O604" i="5"/>
  <c r="N604" i="5"/>
  <c r="D604" i="5"/>
  <c r="T603" i="5"/>
  <c r="U603" i="5" s="1"/>
  <c r="V603" i="5" s="1"/>
  <c r="R603" i="5"/>
  <c r="S603" i="5" s="1"/>
  <c r="W603" i="5" s="1"/>
  <c r="X603" i="5" s="1"/>
  <c r="Y603" i="5" s="1"/>
  <c r="O603" i="5"/>
  <c r="N603" i="5"/>
  <c r="D603" i="5"/>
  <c r="T601" i="5"/>
  <c r="U601" i="5" s="1"/>
  <c r="R601" i="5"/>
  <c r="S601" i="5" s="1"/>
  <c r="O601" i="5"/>
  <c r="N601" i="5"/>
  <c r="D601" i="5"/>
  <c r="T600" i="5"/>
  <c r="U600" i="5" s="1"/>
  <c r="V600" i="5" s="1"/>
  <c r="P600" i="5"/>
  <c r="R600" i="5" s="1"/>
  <c r="S600" i="5" s="1"/>
  <c r="W600" i="5" s="1"/>
  <c r="X600" i="5" s="1"/>
  <c r="Y600" i="5" s="1"/>
  <c r="O600" i="5"/>
  <c r="N600" i="5"/>
  <c r="D600" i="5"/>
  <c r="T599" i="5"/>
  <c r="U599" i="5" s="1"/>
  <c r="R599" i="5"/>
  <c r="S599" i="5" s="1"/>
  <c r="O599" i="5"/>
  <c r="N599" i="5"/>
  <c r="D599" i="5"/>
  <c r="T598" i="5"/>
  <c r="U598" i="5" s="1"/>
  <c r="V598" i="5" s="1"/>
  <c r="P598" i="5"/>
  <c r="R598" i="5" s="1"/>
  <c r="S598" i="5" s="1"/>
  <c r="W598" i="5" s="1"/>
  <c r="X598" i="5" s="1"/>
  <c r="Y598" i="5" s="1"/>
  <c r="O598" i="5"/>
  <c r="N598" i="5"/>
  <c r="D598" i="5"/>
  <c r="T597" i="5"/>
  <c r="U597" i="5" s="1"/>
  <c r="P597" i="5"/>
  <c r="R597" i="5" s="1"/>
  <c r="S597" i="5" s="1"/>
  <c r="O597" i="5"/>
  <c r="N597" i="5"/>
  <c r="D597" i="5"/>
  <c r="T596" i="5"/>
  <c r="U596" i="5" s="1"/>
  <c r="R596" i="5"/>
  <c r="S596" i="5" s="1"/>
  <c r="O596" i="5"/>
  <c r="N596" i="5"/>
  <c r="D596" i="5"/>
  <c r="T595" i="5"/>
  <c r="U595" i="5" s="1"/>
  <c r="R595" i="5"/>
  <c r="S595" i="5" s="1"/>
  <c r="O595" i="5"/>
  <c r="N595" i="5"/>
  <c r="D595" i="5"/>
  <c r="T594" i="5"/>
  <c r="U594" i="5" s="1"/>
  <c r="R594" i="5"/>
  <c r="S594" i="5" s="1"/>
  <c r="O594" i="5"/>
  <c r="N594" i="5"/>
  <c r="D594" i="5"/>
  <c r="T593" i="5"/>
  <c r="U593" i="5" s="1"/>
  <c r="V593" i="5" s="1"/>
  <c r="R593" i="5"/>
  <c r="S593" i="5" s="1"/>
  <c r="O593" i="5"/>
  <c r="N593" i="5"/>
  <c r="D593" i="5"/>
  <c r="T592" i="5"/>
  <c r="U592" i="5" s="1"/>
  <c r="R592" i="5"/>
  <c r="S592" i="5" s="1"/>
  <c r="O592" i="5"/>
  <c r="N592" i="5"/>
  <c r="D592" i="5"/>
  <c r="T591" i="5"/>
  <c r="U591" i="5" s="1"/>
  <c r="R591" i="5"/>
  <c r="S591" i="5" s="1"/>
  <c r="Z591" i="5" s="1"/>
  <c r="O591" i="5"/>
  <c r="N591" i="5"/>
  <c r="D591" i="5"/>
  <c r="T590" i="5"/>
  <c r="U590" i="5" s="1"/>
  <c r="R590" i="5"/>
  <c r="S590" i="5" s="1"/>
  <c r="O590" i="5"/>
  <c r="N590" i="5"/>
  <c r="D590" i="5"/>
  <c r="T589" i="5"/>
  <c r="U589" i="5" s="1"/>
  <c r="X589" i="5" s="1"/>
  <c r="Y589" i="5" s="1"/>
  <c r="R589" i="5"/>
  <c r="S589" i="5" s="1"/>
  <c r="O589" i="5"/>
  <c r="N589" i="5"/>
  <c r="D589" i="5"/>
  <c r="T588" i="5"/>
  <c r="U588" i="5" s="1"/>
  <c r="R588" i="5"/>
  <c r="S588" i="5" s="1"/>
  <c r="Z588" i="5" s="1"/>
  <c r="O588" i="5"/>
  <c r="N588" i="5"/>
  <c r="D588" i="5"/>
  <c r="T587" i="5"/>
  <c r="U587" i="5" s="1"/>
  <c r="R587" i="5"/>
  <c r="S587" i="5" s="1"/>
  <c r="O587" i="5"/>
  <c r="N587" i="5"/>
  <c r="D587" i="5"/>
  <c r="T586" i="5"/>
  <c r="U586" i="5" s="1"/>
  <c r="R586" i="5"/>
  <c r="S586" i="5" s="1"/>
  <c r="O586" i="5"/>
  <c r="N586" i="5"/>
  <c r="D586" i="5"/>
  <c r="T585" i="5"/>
  <c r="U585" i="5" s="1"/>
  <c r="R585" i="5"/>
  <c r="S585" i="5" s="1"/>
  <c r="O585" i="5"/>
  <c r="N585" i="5"/>
  <c r="D585" i="5"/>
  <c r="T584" i="5"/>
  <c r="U584" i="5" s="1"/>
  <c r="V584" i="5" s="1"/>
  <c r="P584" i="5"/>
  <c r="R584" i="5" s="1"/>
  <c r="S584" i="5" s="1"/>
  <c r="W584" i="5" s="1"/>
  <c r="X584" i="5" s="1"/>
  <c r="Y584" i="5" s="1"/>
  <c r="O584" i="5"/>
  <c r="N584" i="5"/>
  <c r="D584" i="5"/>
  <c r="T583" i="5"/>
  <c r="U583" i="5" s="1"/>
  <c r="R583" i="5"/>
  <c r="S583" i="5" s="1"/>
  <c r="O583" i="5"/>
  <c r="N583" i="5"/>
  <c r="D583" i="5"/>
  <c r="T582" i="5"/>
  <c r="U582" i="5" s="1"/>
  <c r="R582" i="5"/>
  <c r="S582" i="5" s="1"/>
  <c r="Z582" i="5" s="1"/>
  <c r="O582" i="5"/>
  <c r="N582" i="5"/>
  <c r="D582" i="5"/>
  <c r="T581" i="5"/>
  <c r="U581" i="5" s="1"/>
  <c r="R581" i="5"/>
  <c r="S581" i="5" s="1"/>
  <c r="O581" i="5"/>
  <c r="N581" i="5"/>
  <c r="D581" i="5"/>
  <c r="T580" i="5"/>
  <c r="U580" i="5" s="1"/>
  <c r="R580" i="5"/>
  <c r="S580" i="5" s="1"/>
  <c r="O580" i="5"/>
  <c r="N580" i="5"/>
  <c r="D580" i="5"/>
  <c r="T579" i="5"/>
  <c r="U579" i="5" s="1"/>
  <c r="R579" i="5"/>
  <c r="S579" i="5" s="1"/>
  <c r="Z579" i="5" s="1"/>
  <c r="O579" i="5"/>
  <c r="N579" i="5"/>
  <c r="D579" i="5"/>
  <c r="T578" i="5"/>
  <c r="U578" i="5" s="1"/>
  <c r="V578" i="5" s="1"/>
  <c r="P578" i="5"/>
  <c r="R578" i="5" s="1"/>
  <c r="S578" i="5" s="1"/>
  <c r="W578" i="5" s="1"/>
  <c r="X578" i="5" s="1"/>
  <c r="Y578" i="5" s="1"/>
  <c r="O578" i="5"/>
  <c r="N578" i="5"/>
  <c r="D578" i="5"/>
  <c r="T577" i="5"/>
  <c r="U577" i="5" s="1"/>
  <c r="R577" i="5"/>
  <c r="S577" i="5" s="1"/>
  <c r="O577" i="5"/>
  <c r="N577" i="5"/>
  <c r="D577" i="5"/>
  <c r="T576" i="5"/>
  <c r="U576" i="5" s="1"/>
  <c r="V576" i="5" s="1"/>
  <c r="R576" i="5"/>
  <c r="S576" i="5" s="1"/>
  <c r="W576" i="5" s="1"/>
  <c r="X576" i="5" s="1"/>
  <c r="Y576" i="5" s="1"/>
  <c r="O576" i="5"/>
  <c r="N576" i="5"/>
  <c r="D576" i="5"/>
  <c r="T575" i="5"/>
  <c r="U575" i="5" s="1"/>
  <c r="R575" i="5"/>
  <c r="S575" i="5" s="1"/>
  <c r="O575" i="5"/>
  <c r="N575" i="5"/>
  <c r="D575" i="5"/>
  <c r="T574" i="5"/>
  <c r="U574" i="5" s="1"/>
  <c r="R574" i="5"/>
  <c r="S574" i="5" s="1"/>
  <c r="O574" i="5"/>
  <c r="N574" i="5"/>
  <c r="D574" i="5"/>
  <c r="T573" i="5"/>
  <c r="U573" i="5" s="1"/>
  <c r="R573" i="5"/>
  <c r="S573" i="5" s="1"/>
  <c r="O573" i="5"/>
  <c r="N573" i="5"/>
  <c r="D573" i="5"/>
  <c r="T572" i="5"/>
  <c r="U572" i="5" s="1"/>
  <c r="X572" i="5" s="1"/>
  <c r="Y572" i="5" s="1"/>
  <c r="R572" i="5"/>
  <c r="S572" i="5" s="1"/>
  <c r="O572" i="5"/>
  <c r="N572" i="5"/>
  <c r="D572" i="5"/>
  <c r="T571" i="5"/>
  <c r="U571" i="5" s="1"/>
  <c r="R571" i="5"/>
  <c r="S571" i="5" s="1"/>
  <c r="O571" i="5"/>
  <c r="N571" i="5"/>
  <c r="D571" i="5"/>
  <c r="T570" i="5"/>
  <c r="U570" i="5" s="1"/>
  <c r="R570" i="5"/>
  <c r="S570" i="5" s="1"/>
  <c r="O570" i="5"/>
  <c r="N570" i="5"/>
  <c r="D570" i="5"/>
  <c r="T569" i="5"/>
  <c r="U569" i="5" s="1"/>
  <c r="X569" i="5" s="1"/>
  <c r="Y569" i="5" s="1"/>
  <c r="R569" i="5"/>
  <c r="S569" i="5" s="1"/>
  <c r="O569" i="5"/>
  <c r="N569" i="5"/>
  <c r="D569" i="5"/>
  <c r="T568" i="5"/>
  <c r="U568" i="5" s="1"/>
  <c r="R568" i="5"/>
  <c r="S568" i="5" s="1"/>
  <c r="O568" i="5"/>
  <c r="N568" i="5"/>
  <c r="D568" i="5"/>
  <c r="T567" i="5"/>
  <c r="U567" i="5" s="1"/>
  <c r="R567" i="5"/>
  <c r="S567" i="5" s="1"/>
  <c r="O567" i="5"/>
  <c r="N567" i="5"/>
  <c r="D567" i="5"/>
  <c r="T566" i="5"/>
  <c r="U566" i="5" s="1"/>
  <c r="R566" i="5"/>
  <c r="S566" i="5" s="1"/>
  <c r="O566" i="5"/>
  <c r="N566" i="5"/>
  <c r="D566" i="5"/>
  <c r="T565" i="5"/>
  <c r="U565" i="5" s="1"/>
  <c r="R565" i="5"/>
  <c r="S565" i="5" s="1"/>
  <c r="Z565" i="5" s="1"/>
  <c r="O565" i="5"/>
  <c r="N565" i="5"/>
  <c r="D565" i="5"/>
  <c r="T564" i="5"/>
  <c r="U564" i="5" s="1"/>
  <c r="R564" i="5"/>
  <c r="S564" i="5" s="1"/>
  <c r="O564" i="5"/>
  <c r="N564" i="5"/>
  <c r="D564" i="5"/>
  <c r="T563" i="5"/>
  <c r="U563" i="5" s="1"/>
  <c r="V563" i="5" s="1"/>
  <c r="R563" i="5"/>
  <c r="S563" i="5" s="1"/>
  <c r="W563" i="5" s="1"/>
  <c r="X563" i="5" s="1"/>
  <c r="Y563" i="5" s="1"/>
  <c r="O563" i="5"/>
  <c r="N563" i="5"/>
  <c r="D563" i="5"/>
  <c r="T562" i="5"/>
  <c r="U562" i="5" s="1"/>
  <c r="R562" i="5"/>
  <c r="S562" i="5" s="1"/>
  <c r="O562" i="5"/>
  <c r="N562" i="5"/>
  <c r="D562" i="5"/>
  <c r="T561" i="5"/>
  <c r="U561" i="5" s="1"/>
  <c r="V561" i="5" s="1"/>
  <c r="R561" i="5"/>
  <c r="S561" i="5" s="1"/>
  <c r="W561" i="5" s="1"/>
  <c r="X561" i="5" s="1"/>
  <c r="Y561" i="5" s="1"/>
  <c r="O561" i="5"/>
  <c r="N561" i="5"/>
  <c r="D561" i="5"/>
  <c r="T560" i="5"/>
  <c r="U560" i="5" s="1"/>
  <c r="V560" i="5" s="1"/>
  <c r="R560" i="5"/>
  <c r="S560" i="5" s="1"/>
  <c r="W560" i="5" s="1"/>
  <c r="X560" i="5" s="1"/>
  <c r="Y560" i="5" s="1"/>
  <c r="O560" i="5"/>
  <c r="N560" i="5"/>
  <c r="D560" i="5"/>
  <c r="T559" i="5"/>
  <c r="U559" i="5" s="1"/>
  <c r="V559" i="5" s="1"/>
  <c r="R559" i="5"/>
  <c r="S559" i="5" s="1"/>
  <c r="W559" i="5" s="1"/>
  <c r="X559" i="5" s="1"/>
  <c r="Y559" i="5" s="1"/>
  <c r="O559" i="5"/>
  <c r="N559" i="5"/>
  <c r="D559" i="5"/>
  <c r="T558" i="5"/>
  <c r="U558" i="5" s="1"/>
  <c r="R558" i="5"/>
  <c r="S558" i="5" s="1"/>
  <c r="Z558" i="5" s="1"/>
  <c r="O558" i="5"/>
  <c r="N558" i="5"/>
  <c r="D558" i="5"/>
  <c r="T557" i="5"/>
  <c r="U557" i="5" s="1"/>
  <c r="R557" i="5"/>
  <c r="S557" i="5" s="1"/>
  <c r="O557" i="5"/>
  <c r="N557" i="5"/>
  <c r="D557" i="5"/>
  <c r="T556" i="5"/>
  <c r="U556" i="5" s="1"/>
  <c r="R556" i="5"/>
  <c r="S556" i="5" s="1"/>
  <c r="O556" i="5"/>
  <c r="N556" i="5"/>
  <c r="D556" i="5"/>
  <c r="T555" i="5"/>
  <c r="U555" i="5" s="1"/>
  <c r="R555" i="5"/>
  <c r="S555" i="5" s="1"/>
  <c r="O555" i="5"/>
  <c r="N555" i="5"/>
  <c r="D555" i="5"/>
  <c r="T554" i="5"/>
  <c r="U554" i="5" s="1"/>
  <c r="R554" i="5"/>
  <c r="S554" i="5" s="1"/>
  <c r="O554" i="5"/>
  <c r="N554" i="5"/>
  <c r="D554" i="5"/>
  <c r="T553" i="5"/>
  <c r="U553" i="5" s="1"/>
  <c r="X553" i="5" s="1"/>
  <c r="Y553" i="5" s="1"/>
  <c r="R553" i="5"/>
  <c r="S553" i="5" s="1"/>
  <c r="O553" i="5"/>
  <c r="N553" i="5"/>
  <c r="D553" i="5"/>
  <c r="T552" i="5"/>
  <c r="U552" i="5" s="1"/>
  <c r="R552" i="5"/>
  <c r="S552" i="5" s="1"/>
  <c r="O552" i="5"/>
  <c r="N552" i="5"/>
  <c r="D552" i="5"/>
  <c r="T551" i="5"/>
  <c r="U551" i="5" s="1"/>
  <c r="R551" i="5"/>
  <c r="S551" i="5" s="1"/>
  <c r="O551" i="5"/>
  <c r="N551" i="5"/>
  <c r="D551" i="5"/>
  <c r="T549" i="5"/>
  <c r="U549" i="5" s="1"/>
  <c r="R549" i="5"/>
  <c r="S549" i="5" s="1"/>
  <c r="O549" i="5"/>
  <c r="N549" i="5"/>
  <c r="D549" i="5"/>
  <c r="T548" i="5"/>
  <c r="U548" i="5" s="1"/>
  <c r="R548" i="5"/>
  <c r="S548" i="5" s="1"/>
  <c r="O548" i="5"/>
  <c r="N548" i="5"/>
  <c r="D548" i="5"/>
  <c r="T547" i="5"/>
  <c r="U547" i="5" s="1"/>
  <c r="R547" i="5"/>
  <c r="S547" i="5" s="1"/>
  <c r="O547" i="5"/>
  <c r="N547" i="5"/>
  <c r="D547" i="5"/>
  <c r="T546" i="5"/>
  <c r="U546" i="5" s="1"/>
  <c r="R546" i="5"/>
  <c r="S546" i="5" s="1"/>
  <c r="O546" i="5"/>
  <c r="N546" i="5"/>
  <c r="D546" i="5"/>
  <c r="T545" i="5"/>
  <c r="U545" i="5" s="1"/>
  <c r="R545" i="5"/>
  <c r="S545" i="5" s="1"/>
  <c r="O545" i="5"/>
  <c r="N545" i="5"/>
  <c r="D545" i="5"/>
  <c r="T544" i="5"/>
  <c r="U544" i="5" s="1"/>
  <c r="R544" i="5"/>
  <c r="S544" i="5" s="1"/>
  <c r="Z544" i="5" s="1"/>
  <c r="O544" i="5"/>
  <c r="N544" i="5"/>
  <c r="D544" i="5"/>
  <c r="T543" i="5"/>
  <c r="U543" i="5" s="1"/>
  <c r="X543" i="5" s="1"/>
  <c r="Y543" i="5" s="1"/>
  <c r="R543" i="5"/>
  <c r="S543" i="5" s="1"/>
  <c r="O543" i="5"/>
  <c r="N543" i="5"/>
  <c r="D543" i="5"/>
  <c r="T542" i="5"/>
  <c r="U542" i="5" s="1"/>
  <c r="R542" i="5"/>
  <c r="S542" i="5" s="1"/>
  <c r="O542" i="5"/>
  <c r="N542" i="5"/>
  <c r="D542" i="5"/>
  <c r="T541" i="5"/>
  <c r="U541" i="5" s="1"/>
  <c r="R541" i="5"/>
  <c r="S541" i="5" s="1"/>
  <c r="O541" i="5"/>
  <c r="N541" i="5"/>
  <c r="D541" i="5"/>
  <c r="T540" i="5"/>
  <c r="U540" i="5" s="1"/>
  <c r="R540" i="5"/>
  <c r="S540" i="5" s="1"/>
  <c r="Z540" i="5" s="1"/>
  <c r="O540" i="5"/>
  <c r="N540" i="5"/>
  <c r="D540" i="5"/>
  <c r="T539" i="5"/>
  <c r="U539" i="5" s="1"/>
  <c r="R539" i="5"/>
  <c r="S539" i="5" s="1"/>
  <c r="O539" i="5"/>
  <c r="N539" i="5"/>
  <c r="D539" i="5"/>
  <c r="T538" i="5"/>
  <c r="U538" i="5" s="1"/>
  <c r="R538" i="5"/>
  <c r="S538" i="5" s="1"/>
  <c r="Z538" i="5" s="1"/>
  <c r="O538" i="5"/>
  <c r="N538" i="5"/>
  <c r="D538" i="5"/>
  <c r="T537" i="5"/>
  <c r="U537" i="5" s="1"/>
  <c r="R537" i="5"/>
  <c r="S537" i="5" s="1"/>
  <c r="O537" i="5"/>
  <c r="N537" i="5"/>
  <c r="D537" i="5"/>
  <c r="T536" i="5"/>
  <c r="U536" i="5" s="1"/>
  <c r="R536" i="5"/>
  <c r="S536" i="5" s="1"/>
  <c r="O536" i="5"/>
  <c r="N536" i="5"/>
  <c r="D536" i="5"/>
  <c r="T535" i="5"/>
  <c r="U535" i="5" s="1"/>
  <c r="R535" i="5"/>
  <c r="S535" i="5" s="1"/>
  <c r="O535" i="5"/>
  <c r="N535" i="5"/>
  <c r="D535" i="5"/>
  <c r="T534" i="5"/>
  <c r="U534" i="5" s="1"/>
  <c r="R534" i="5"/>
  <c r="S534" i="5" s="1"/>
  <c r="O534" i="5"/>
  <c r="N534" i="5"/>
  <c r="D534" i="5"/>
  <c r="T533" i="5"/>
  <c r="U533" i="5" s="1"/>
  <c r="R533" i="5"/>
  <c r="S533" i="5" s="1"/>
  <c r="O533" i="5"/>
  <c r="N533" i="5"/>
  <c r="D533" i="5"/>
  <c r="T532" i="5"/>
  <c r="U532" i="5" s="1"/>
  <c r="R532" i="5"/>
  <c r="S532" i="5" s="1"/>
  <c r="Z532" i="5" s="1"/>
  <c r="O532" i="5"/>
  <c r="N532" i="5"/>
  <c r="D532" i="5"/>
  <c r="T531" i="5"/>
  <c r="U531" i="5" s="1"/>
  <c r="R531" i="5"/>
  <c r="S531" i="5" s="1"/>
  <c r="O531" i="5"/>
  <c r="N531" i="5"/>
  <c r="D531" i="5"/>
  <c r="T530" i="5"/>
  <c r="U530" i="5" s="1"/>
  <c r="R530" i="5"/>
  <c r="S530" i="5" s="1"/>
  <c r="O530" i="5"/>
  <c r="N530" i="5"/>
  <c r="D530" i="5"/>
  <c r="T529" i="5"/>
  <c r="U529" i="5" s="1"/>
  <c r="R529" i="5"/>
  <c r="S529" i="5" s="1"/>
  <c r="O529" i="5"/>
  <c r="N529" i="5"/>
  <c r="D529" i="5"/>
  <c r="T528" i="5"/>
  <c r="U528" i="5" s="1"/>
  <c r="X528" i="5" s="1"/>
  <c r="Y528" i="5" s="1"/>
  <c r="R528" i="5"/>
  <c r="S528" i="5" s="1"/>
  <c r="O528" i="5"/>
  <c r="N528" i="5"/>
  <c r="D528" i="5"/>
  <c r="T527" i="5"/>
  <c r="U527" i="5" s="1"/>
  <c r="X527" i="5" s="1"/>
  <c r="Y527" i="5" s="1"/>
  <c r="R527" i="5"/>
  <c r="S527" i="5" s="1"/>
  <c r="O527" i="5"/>
  <c r="N527" i="5"/>
  <c r="D527" i="5"/>
  <c r="T526" i="5"/>
  <c r="U526" i="5" s="1"/>
  <c r="R526" i="5"/>
  <c r="S526" i="5" s="1"/>
  <c r="O526" i="5"/>
  <c r="N526" i="5"/>
  <c r="D526" i="5"/>
  <c r="T525" i="5"/>
  <c r="U525" i="5" s="1"/>
  <c r="R525" i="5"/>
  <c r="S525" i="5" s="1"/>
  <c r="Z525" i="5" s="1"/>
  <c r="O525" i="5"/>
  <c r="N525" i="5"/>
  <c r="D525" i="5"/>
  <c r="T524" i="5"/>
  <c r="U524" i="5" s="1"/>
  <c r="X524" i="5" s="1"/>
  <c r="Y524" i="5" s="1"/>
  <c r="R524" i="5"/>
  <c r="S524" i="5" s="1"/>
  <c r="O524" i="5"/>
  <c r="N524" i="5"/>
  <c r="D524" i="5"/>
  <c r="T523" i="5"/>
  <c r="U523" i="5" s="1"/>
  <c r="R523" i="5"/>
  <c r="S523" i="5" s="1"/>
  <c r="O523" i="5"/>
  <c r="N523" i="5"/>
  <c r="D523" i="5"/>
  <c r="T522" i="5"/>
  <c r="U522" i="5" s="1"/>
  <c r="R522" i="5"/>
  <c r="S522" i="5" s="1"/>
  <c r="O522" i="5"/>
  <c r="N522" i="5"/>
  <c r="D522" i="5"/>
  <c r="T521" i="5"/>
  <c r="U521" i="5" s="1"/>
  <c r="R521" i="5"/>
  <c r="S521" i="5" s="1"/>
  <c r="O521" i="5"/>
  <c r="N521" i="5"/>
  <c r="D521" i="5"/>
  <c r="T520" i="5"/>
  <c r="U520" i="5" s="1"/>
  <c r="X520" i="5" s="1"/>
  <c r="Y520" i="5" s="1"/>
  <c r="R520" i="5"/>
  <c r="S520" i="5" s="1"/>
  <c r="O520" i="5"/>
  <c r="N520" i="5"/>
  <c r="D520" i="5"/>
  <c r="T519" i="5"/>
  <c r="U519" i="5" s="1"/>
  <c r="R519" i="5"/>
  <c r="S519" i="5" s="1"/>
  <c r="O519" i="5"/>
  <c r="N519" i="5"/>
  <c r="D519" i="5"/>
  <c r="T518" i="5"/>
  <c r="U518" i="5" s="1"/>
  <c r="R518" i="5"/>
  <c r="S518" i="5" s="1"/>
  <c r="O518" i="5"/>
  <c r="N518" i="5"/>
  <c r="D518" i="5"/>
  <c r="T517" i="5"/>
  <c r="U517" i="5" s="1"/>
  <c r="R517" i="5"/>
  <c r="S517" i="5" s="1"/>
  <c r="O517" i="5"/>
  <c r="N517" i="5"/>
  <c r="D517" i="5"/>
  <c r="T516" i="5"/>
  <c r="U516" i="5" s="1"/>
  <c r="R516" i="5"/>
  <c r="S516" i="5" s="1"/>
  <c r="Z516" i="5" s="1"/>
  <c r="O516" i="5"/>
  <c r="N516" i="5"/>
  <c r="D516" i="5"/>
  <c r="T515" i="5"/>
  <c r="U515" i="5" s="1"/>
  <c r="R515" i="5"/>
  <c r="S515" i="5" s="1"/>
  <c r="O515" i="5"/>
  <c r="N515" i="5"/>
  <c r="D515" i="5"/>
  <c r="T514" i="5"/>
  <c r="U514" i="5" s="1"/>
  <c r="R514" i="5"/>
  <c r="S514" i="5" s="1"/>
  <c r="Z514" i="5" s="1"/>
  <c r="O514" i="5"/>
  <c r="N514" i="5"/>
  <c r="D514" i="5"/>
  <c r="T513" i="5"/>
  <c r="U513" i="5" s="1"/>
  <c r="R513" i="5"/>
  <c r="S513" i="5" s="1"/>
  <c r="Z513" i="5" s="1"/>
  <c r="O513" i="5"/>
  <c r="N513" i="5"/>
  <c r="D513" i="5"/>
  <c r="T512" i="5"/>
  <c r="U512" i="5" s="1"/>
  <c r="V512" i="5" s="1"/>
  <c r="R512" i="5"/>
  <c r="S512" i="5" s="1"/>
  <c r="O512" i="5"/>
  <c r="N512" i="5"/>
  <c r="D512" i="5"/>
  <c r="T511" i="5"/>
  <c r="U511" i="5" s="1"/>
  <c r="R511" i="5"/>
  <c r="S511" i="5" s="1"/>
  <c r="O511" i="5"/>
  <c r="N511" i="5"/>
  <c r="D511" i="5"/>
  <c r="T510" i="5"/>
  <c r="U510" i="5" s="1"/>
  <c r="R510" i="5"/>
  <c r="S510" i="5" s="1"/>
  <c r="O510" i="5"/>
  <c r="N510" i="5"/>
  <c r="D510" i="5"/>
  <c r="T509" i="5"/>
  <c r="U509" i="5" s="1"/>
  <c r="R509" i="5"/>
  <c r="S509" i="5" s="1"/>
  <c r="O509" i="5"/>
  <c r="N509" i="5"/>
  <c r="D509" i="5"/>
  <c r="T508" i="5"/>
  <c r="U508" i="5" s="1"/>
  <c r="R508" i="5"/>
  <c r="S508" i="5" s="1"/>
  <c r="O508" i="5"/>
  <c r="N508" i="5"/>
  <c r="D508" i="5"/>
  <c r="T507" i="5"/>
  <c r="U507" i="5" s="1"/>
  <c r="X507" i="5" s="1"/>
  <c r="Y507" i="5" s="1"/>
  <c r="R507" i="5"/>
  <c r="S507" i="5" s="1"/>
  <c r="O507" i="5"/>
  <c r="N507" i="5"/>
  <c r="D507" i="5"/>
  <c r="T506" i="5"/>
  <c r="U506" i="5" s="1"/>
  <c r="R506" i="5"/>
  <c r="S506" i="5" s="1"/>
  <c r="O506" i="5"/>
  <c r="N506" i="5"/>
  <c r="D506" i="5"/>
  <c r="T505" i="5"/>
  <c r="U505" i="5" s="1"/>
  <c r="R505" i="5"/>
  <c r="S505" i="5" s="1"/>
  <c r="O505" i="5"/>
  <c r="N505" i="5"/>
  <c r="D505" i="5"/>
  <c r="T504" i="5"/>
  <c r="U504" i="5" s="1"/>
  <c r="R504" i="5"/>
  <c r="S504" i="5" s="1"/>
  <c r="Z504" i="5" s="1"/>
  <c r="O504" i="5"/>
  <c r="N504" i="5"/>
  <c r="D504" i="5"/>
  <c r="T503" i="5"/>
  <c r="U503" i="5" s="1"/>
  <c r="X503" i="5" s="1"/>
  <c r="Y503" i="5" s="1"/>
  <c r="R503" i="5"/>
  <c r="S503" i="5" s="1"/>
  <c r="Z503" i="5" s="1"/>
  <c r="O503" i="5"/>
  <c r="N503" i="5"/>
  <c r="D503" i="5"/>
  <c r="T502" i="5"/>
  <c r="U502" i="5" s="1"/>
  <c r="R502" i="5"/>
  <c r="S502" i="5" s="1"/>
  <c r="O502" i="5"/>
  <c r="N502" i="5"/>
  <c r="D502" i="5"/>
  <c r="T501" i="5"/>
  <c r="U501" i="5" s="1"/>
  <c r="R501" i="5"/>
  <c r="S501" i="5" s="1"/>
  <c r="O501" i="5"/>
  <c r="N501" i="5"/>
  <c r="D501" i="5"/>
  <c r="T500" i="5"/>
  <c r="U500" i="5" s="1"/>
  <c r="R500" i="5"/>
  <c r="S500" i="5" s="1"/>
  <c r="O500" i="5"/>
  <c r="N500" i="5"/>
  <c r="D500" i="5"/>
  <c r="T499" i="5"/>
  <c r="U499" i="5" s="1"/>
  <c r="R499" i="5"/>
  <c r="S499" i="5" s="1"/>
  <c r="O499" i="5"/>
  <c r="N499" i="5"/>
  <c r="D499" i="5"/>
  <c r="T498" i="5"/>
  <c r="U498" i="5" s="1"/>
  <c r="R498" i="5"/>
  <c r="S498" i="5" s="1"/>
  <c r="O498" i="5"/>
  <c r="N498" i="5"/>
  <c r="D498" i="5"/>
  <c r="T497" i="5"/>
  <c r="U497" i="5" s="1"/>
  <c r="V497" i="5" s="1"/>
  <c r="R497" i="5"/>
  <c r="S497" i="5" s="1"/>
  <c r="O497" i="5"/>
  <c r="N497" i="5"/>
  <c r="D497" i="5"/>
  <c r="T496" i="5"/>
  <c r="U496" i="5" s="1"/>
  <c r="R496" i="5"/>
  <c r="S496" i="5" s="1"/>
  <c r="Z496" i="5" s="1"/>
  <c r="O496" i="5"/>
  <c r="N496" i="5"/>
  <c r="D496" i="5"/>
  <c r="T495" i="5"/>
  <c r="U495" i="5" s="1"/>
  <c r="X495" i="5" s="1"/>
  <c r="Y495" i="5" s="1"/>
  <c r="R495" i="5"/>
  <c r="S495" i="5" s="1"/>
  <c r="O495" i="5"/>
  <c r="N495" i="5"/>
  <c r="D495" i="5"/>
  <c r="T494" i="5"/>
  <c r="U494" i="5" s="1"/>
  <c r="R494" i="5"/>
  <c r="S494" i="5" s="1"/>
  <c r="O494" i="5"/>
  <c r="N494" i="5"/>
  <c r="D494" i="5"/>
  <c r="T493" i="5"/>
  <c r="U493" i="5" s="1"/>
  <c r="R493" i="5"/>
  <c r="S493" i="5" s="1"/>
  <c r="O493" i="5"/>
  <c r="N493" i="5"/>
  <c r="D493" i="5"/>
  <c r="T491" i="5"/>
  <c r="U491" i="5" s="1"/>
  <c r="R491" i="5"/>
  <c r="S491" i="5" s="1"/>
  <c r="O491" i="5"/>
  <c r="N491" i="5"/>
  <c r="D491" i="5"/>
  <c r="T490" i="5"/>
  <c r="U490" i="5" s="1"/>
  <c r="V490" i="5" s="1"/>
  <c r="P490" i="5"/>
  <c r="R490" i="5" s="1"/>
  <c r="S490" i="5" s="1"/>
  <c r="W490" i="5" s="1"/>
  <c r="X490" i="5" s="1"/>
  <c r="Y490" i="5" s="1"/>
  <c r="O490" i="5"/>
  <c r="N490" i="5"/>
  <c r="D490" i="5"/>
  <c r="T489" i="5"/>
  <c r="U489" i="5" s="1"/>
  <c r="X489" i="5" s="1"/>
  <c r="Y489" i="5" s="1"/>
  <c r="R489" i="5"/>
  <c r="S489" i="5" s="1"/>
  <c r="O489" i="5"/>
  <c r="N489" i="5"/>
  <c r="D489" i="5"/>
  <c r="T488" i="5"/>
  <c r="U488" i="5" s="1"/>
  <c r="R488" i="5"/>
  <c r="S488" i="5" s="1"/>
  <c r="O488" i="5"/>
  <c r="N488" i="5"/>
  <c r="D488" i="5"/>
  <c r="T487" i="5"/>
  <c r="U487" i="5" s="1"/>
  <c r="X487" i="5" s="1"/>
  <c r="Y487" i="5" s="1"/>
  <c r="R487" i="5"/>
  <c r="S487" i="5" s="1"/>
  <c r="O487" i="5"/>
  <c r="N487" i="5"/>
  <c r="D487" i="5"/>
  <c r="T486" i="5"/>
  <c r="U486" i="5" s="1"/>
  <c r="R486" i="5"/>
  <c r="S486" i="5" s="1"/>
  <c r="O486" i="5"/>
  <c r="N486" i="5"/>
  <c r="D486" i="5"/>
  <c r="T485" i="5"/>
  <c r="U485" i="5" s="1"/>
  <c r="X485" i="5" s="1"/>
  <c r="Y485" i="5" s="1"/>
  <c r="R485" i="5"/>
  <c r="S485" i="5" s="1"/>
  <c r="O485" i="5"/>
  <c r="N485" i="5"/>
  <c r="D485" i="5"/>
  <c r="T484" i="5"/>
  <c r="U484" i="5" s="1"/>
  <c r="R484" i="5"/>
  <c r="S484" i="5" s="1"/>
  <c r="O484" i="5"/>
  <c r="N484" i="5"/>
  <c r="D484" i="5"/>
  <c r="T483" i="5"/>
  <c r="U483" i="5" s="1"/>
  <c r="R483" i="5"/>
  <c r="S483" i="5" s="1"/>
  <c r="O483" i="5"/>
  <c r="N483" i="5"/>
  <c r="D483" i="5"/>
  <c r="T482" i="5"/>
  <c r="U482" i="5" s="1"/>
  <c r="R482" i="5"/>
  <c r="S482" i="5" s="1"/>
  <c r="O482" i="5"/>
  <c r="N482" i="5"/>
  <c r="D482" i="5"/>
  <c r="T481" i="5"/>
  <c r="U481" i="5" s="1"/>
  <c r="X481" i="5" s="1"/>
  <c r="Y481" i="5" s="1"/>
  <c r="R481" i="5"/>
  <c r="S481" i="5" s="1"/>
  <c r="O481" i="5"/>
  <c r="N481" i="5"/>
  <c r="D481" i="5"/>
  <c r="T480" i="5"/>
  <c r="U480" i="5" s="1"/>
  <c r="R480" i="5"/>
  <c r="S480" i="5" s="1"/>
  <c r="O480" i="5"/>
  <c r="N480" i="5"/>
  <c r="D480" i="5"/>
  <c r="T479" i="5"/>
  <c r="U479" i="5" s="1"/>
  <c r="R479" i="5"/>
  <c r="S479" i="5" s="1"/>
  <c r="Z479" i="5" s="1"/>
  <c r="O479" i="5"/>
  <c r="N479" i="5"/>
  <c r="D479" i="5"/>
  <c r="T478" i="5"/>
  <c r="U478" i="5" s="1"/>
  <c r="X478" i="5" s="1"/>
  <c r="Y478" i="5" s="1"/>
  <c r="R478" i="5"/>
  <c r="S478" i="5" s="1"/>
  <c r="O478" i="5"/>
  <c r="N478" i="5"/>
  <c r="D478" i="5"/>
  <c r="T477" i="5"/>
  <c r="U477" i="5" s="1"/>
  <c r="R477" i="5"/>
  <c r="S477" i="5" s="1"/>
  <c r="O477" i="5"/>
  <c r="N477" i="5"/>
  <c r="D477" i="5"/>
  <c r="T476" i="5"/>
  <c r="U476" i="5" s="1"/>
  <c r="R476" i="5"/>
  <c r="S476" i="5" s="1"/>
  <c r="O476" i="5"/>
  <c r="N476" i="5"/>
  <c r="D476" i="5"/>
  <c r="T475" i="5"/>
  <c r="U475" i="5" s="1"/>
  <c r="R475" i="5"/>
  <c r="S475" i="5" s="1"/>
  <c r="O475" i="5"/>
  <c r="N475" i="5"/>
  <c r="D475" i="5"/>
  <c r="T474" i="5"/>
  <c r="U474" i="5" s="1"/>
  <c r="R474" i="5"/>
  <c r="S474" i="5" s="1"/>
  <c r="O474" i="5"/>
  <c r="N474" i="5"/>
  <c r="D474" i="5"/>
  <c r="T473" i="5"/>
  <c r="U473" i="5" s="1"/>
  <c r="X473" i="5" s="1"/>
  <c r="Y473" i="5" s="1"/>
  <c r="R473" i="5"/>
  <c r="S473" i="5" s="1"/>
  <c r="O473" i="5"/>
  <c r="N473" i="5"/>
  <c r="D473" i="5"/>
  <c r="T472" i="5"/>
  <c r="U472" i="5" s="1"/>
  <c r="V472" i="5" s="1"/>
  <c r="R472" i="5"/>
  <c r="S472" i="5" s="1"/>
  <c r="O472" i="5"/>
  <c r="N472" i="5"/>
  <c r="D472" i="5"/>
  <c r="T471" i="5"/>
  <c r="U471" i="5" s="1"/>
  <c r="R471" i="5"/>
  <c r="S471" i="5" s="1"/>
  <c r="O471" i="5"/>
  <c r="N471" i="5"/>
  <c r="D471" i="5"/>
  <c r="T470" i="5"/>
  <c r="U470" i="5" s="1"/>
  <c r="R470" i="5"/>
  <c r="S470" i="5" s="1"/>
  <c r="O470" i="5"/>
  <c r="N470" i="5"/>
  <c r="D470" i="5"/>
  <c r="T469" i="5"/>
  <c r="U469" i="5" s="1"/>
  <c r="R469" i="5"/>
  <c r="S469" i="5" s="1"/>
  <c r="O469" i="5"/>
  <c r="N469" i="5"/>
  <c r="D469" i="5"/>
  <c r="T468" i="5"/>
  <c r="U468" i="5" s="1"/>
  <c r="R468" i="5"/>
  <c r="S468" i="5" s="1"/>
  <c r="O468" i="5"/>
  <c r="N468" i="5"/>
  <c r="D468" i="5"/>
  <c r="T467" i="5"/>
  <c r="U467" i="5" s="1"/>
  <c r="V467" i="5" s="1"/>
  <c r="P467" i="5"/>
  <c r="R467" i="5" s="1"/>
  <c r="S467" i="5" s="1"/>
  <c r="W467" i="5" s="1"/>
  <c r="X467" i="5" s="1"/>
  <c r="Y467" i="5" s="1"/>
  <c r="O467" i="5"/>
  <c r="N467" i="5"/>
  <c r="D467" i="5"/>
  <c r="T466" i="5"/>
  <c r="U466" i="5" s="1"/>
  <c r="R466" i="5"/>
  <c r="S466" i="5" s="1"/>
  <c r="Z466" i="5" s="1"/>
  <c r="O466" i="5"/>
  <c r="N466" i="5"/>
  <c r="D466" i="5"/>
  <c r="T465" i="5"/>
  <c r="U465" i="5" s="1"/>
  <c r="V465" i="5" s="1"/>
  <c r="R465" i="5"/>
  <c r="S465" i="5" s="1"/>
  <c r="W465" i="5" s="1"/>
  <c r="X465" i="5" s="1"/>
  <c r="Y465" i="5" s="1"/>
  <c r="O465" i="5"/>
  <c r="N465" i="5"/>
  <c r="D465" i="5"/>
  <c r="T464" i="5"/>
  <c r="U464" i="5" s="1"/>
  <c r="R464" i="5"/>
  <c r="S464" i="5" s="1"/>
  <c r="O464" i="5"/>
  <c r="N464" i="5"/>
  <c r="D464" i="5"/>
  <c r="T463" i="5"/>
  <c r="U463" i="5" s="1"/>
  <c r="R463" i="5"/>
  <c r="S463" i="5" s="1"/>
  <c r="O463" i="5"/>
  <c r="N463" i="5"/>
  <c r="D463" i="5"/>
  <c r="T462" i="5"/>
  <c r="U462" i="5" s="1"/>
  <c r="R462" i="5"/>
  <c r="S462" i="5" s="1"/>
  <c r="O462" i="5"/>
  <c r="N462" i="5"/>
  <c r="D462" i="5"/>
  <c r="T461" i="5"/>
  <c r="U461" i="5" s="1"/>
  <c r="R461" i="5"/>
  <c r="S461" i="5" s="1"/>
  <c r="Z461" i="5" s="1"/>
  <c r="O461" i="5"/>
  <c r="N461" i="5"/>
  <c r="D461" i="5"/>
  <c r="T460" i="5"/>
  <c r="U460" i="5" s="1"/>
  <c r="R460" i="5"/>
  <c r="S460" i="5" s="1"/>
  <c r="O460" i="5"/>
  <c r="N460" i="5"/>
  <c r="D460" i="5"/>
  <c r="T459" i="5"/>
  <c r="U459" i="5" s="1"/>
  <c r="R459" i="5"/>
  <c r="S459" i="5" s="1"/>
  <c r="O459" i="5"/>
  <c r="N459" i="5"/>
  <c r="D459" i="5"/>
  <c r="T458" i="5"/>
  <c r="U458" i="5" s="1"/>
  <c r="R458" i="5"/>
  <c r="S458" i="5" s="1"/>
  <c r="O458" i="5"/>
  <c r="N458" i="5"/>
  <c r="D458" i="5"/>
  <c r="T457" i="5"/>
  <c r="U457" i="5" s="1"/>
  <c r="R457" i="5"/>
  <c r="S457" i="5" s="1"/>
  <c r="O457" i="5"/>
  <c r="N457" i="5"/>
  <c r="D457" i="5"/>
  <c r="T456" i="5"/>
  <c r="U456" i="5" s="1"/>
  <c r="R456" i="5"/>
  <c r="S456" i="5" s="1"/>
  <c r="O456" i="5"/>
  <c r="N456" i="5"/>
  <c r="D456" i="5"/>
  <c r="T455" i="5"/>
  <c r="U455" i="5" s="1"/>
  <c r="R455" i="5"/>
  <c r="S455" i="5" s="1"/>
  <c r="O455" i="5"/>
  <c r="N455" i="5"/>
  <c r="D455" i="5"/>
  <c r="T454" i="5"/>
  <c r="U454" i="5" s="1"/>
  <c r="R454" i="5"/>
  <c r="S454" i="5" s="1"/>
  <c r="O454" i="5"/>
  <c r="N454" i="5"/>
  <c r="D454" i="5"/>
  <c r="T453" i="5"/>
  <c r="U453" i="5" s="1"/>
  <c r="R453" i="5"/>
  <c r="S453" i="5" s="1"/>
  <c r="O453" i="5"/>
  <c r="N453" i="5"/>
  <c r="D453" i="5"/>
  <c r="T452" i="5"/>
  <c r="U452" i="5" s="1"/>
  <c r="R452" i="5"/>
  <c r="S452" i="5" s="1"/>
  <c r="O452" i="5"/>
  <c r="N452" i="5"/>
  <c r="D452" i="5"/>
  <c r="T451" i="5"/>
  <c r="U451" i="5" s="1"/>
  <c r="R451" i="5"/>
  <c r="S451" i="5" s="1"/>
  <c r="O451" i="5"/>
  <c r="N451" i="5"/>
  <c r="D451" i="5"/>
  <c r="T450" i="5"/>
  <c r="U450" i="5" s="1"/>
  <c r="R450" i="5"/>
  <c r="S450" i="5" s="1"/>
  <c r="O450" i="5"/>
  <c r="N450" i="5"/>
  <c r="D450" i="5"/>
  <c r="T449" i="5"/>
  <c r="U449" i="5" s="1"/>
  <c r="R449" i="5"/>
  <c r="S449" i="5" s="1"/>
  <c r="Z449" i="5" s="1"/>
  <c r="O449" i="5"/>
  <c r="N449" i="5"/>
  <c r="D449" i="5"/>
  <c r="T448" i="5"/>
  <c r="U448" i="5" s="1"/>
  <c r="R448" i="5"/>
  <c r="S448" i="5" s="1"/>
  <c r="O448" i="5"/>
  <c r="N448" i="5"/>
  <c r="D448" i="5"/>
  <c r="T447" i="5"/>
  <c r="U447" i="5" s="1"/>
  <c r="V447" i="5" s="1"/>
  <c r="R447" i="5"/>
  <c r="S447" i="5" s="1"/>
  <c r="O447" i="5"/>
  <c r="N447" i="5"/>
  <c r="D447" i="5"/>
  <c r="T446" i="5"/>
  <c r="U446" i="5" s="1"/>
  <c r="R446" i="5"/>
  <c r="S446" i="5" s="1"/>
  <c r="O446" i="5"/>
  <c r="N446" i="5"/>
  <c r="D446" i="5"/>
  <c r="W445" i="5"/>
  <c r="T445" i="5"/>
  <c r="U445" i="5" s="1"/>
  <c r="V445" i="5" s="1"/>
  <c r="P445" i="5"/>
  <c r="R445" i="5" s="1"/>
  <c r="S445" i="5" s="1"/>
  <c r="O445" i="5"/>
  <c r="N445" i="5"/>
  <c r="D445" i="5"/>
  <c r="W444" i="5"/>
  <c r="T444" i="5"/>
  <c r="U444" i="5" s="1"/>
  <c r="V444" i="5" s="1"/>
  <c r="P444" i="5"/>
  <c r="R444" i="5" s="1"/>
  <c r="S444" i="5" s="1"/>
  <c r="O444" i="5"/>
  <c r="N444" i="5"/>
  <c r="D444" i="5"/>
  <c r="W443" i="5"/>
  <c r="X443" i="5" s="1"/>
  <c r="Y443" i="5" s="1"/>
  <c r="T443" i="5"/>
  <c r="U443" i="5" s="1"/>
  <c r="V443" i="5" s="1"/>
  <c r="P443" i="5"/>
  <c r="R443" i="5" s="1"/>
  <c r="S443" i="5" s="1"/>
  <c r="O443" i="5"/>
  <c r="N443" i="5"/>
  <c r="D443" i="5"/>
  <c r="W442" i="5"/>
  <c r="T442" i="5"/>
  <c r="U442" i="5" s="1"/>
  <c r="V442" i="5" s="1"/>
  <c r="P442" i="5"/>
  <c r="R442" i="5" s="1"/>
  <c r="S442" i="5" s="1"/>
  <c r="O442" i="5"/>
  <c r="N442" i="5"/>
  <c r="D442" i="5"/>
  <c r="W441" i="5"/>
  <c r="X441" i="5" s="1"/>
  <c r="Y441" i="5" s="1"/>
  <c r="T441" i="5"/>
  <c r="U441" i="5" s="1"/>
  <c r="V441" i="5" s="1"/>
  <c r="P441" i="5"/>
  <c r="R441" i="5" s="1"/>
  <c r="S441" i="5" s="1"/>
  <c r="Z441" i="5" s="1"/>
  <c r="O441" i="5"/>
  <c r="N441" i="5"/>
  <c r="D441" i="5"/>
  <c r="W440" i="5"/>
  <c r="X440" i="5" s="1"/>
  <c r="Y440" i="5" s="1"/>
  <c r="T440" i="5"/>
  <c r="U440" i="5" s="1"/>
  <c r="V440" i="5" s="1"/>
  <c r="P440" i="5"/>
  <c r="R440" i="5" s="1"/>
  <c r="S440" i="5" s="1"/>
  <c r="Z440" i="5" s="1"/>
  <c r="O440" i="5"/>
  <c r="N440" i="5"/>
  <c r="D440" i="5"/>
  <c r="W439" i="5"/>
  <c r="X439" i="5" s="1"/>
  <c r="Y439" i="5" s="1"/>
  <c r="T439" i="5"/>
  <c r="U439" i="5" s="1"/>
  <c r="V439" i="5" s="1"/>
  <c r="P439" i="5"/>
  <c r="R439" i="5" s="1"/>
  <c r="S439" i="5" s="1"/>
  <c r="Z439" i="5" s="1"/>
  <c r="O439" i="5"/>
  <c r="N439" i="5"/>
  <c r="D439" i="5"/>
  <c r="W438" i="5"/>
  <c r="T438" i="5"/>
  <c r="U438" i="5" s="1"/>
  <c r="V438" i="5" s="1"/>
  <c r="P438" i="5"/>
  <c r="R438" i="5" s="1"/>
  <c r="S438" i="5" s="1"/>
  <c r="O438" i="5"/>
  <c r="N438" i="5"/>
  <c r="D438" i="5"/>
  <c r="W437" i="5"/>
  <c r="T437" i="5"/>
  <c r="U437" i="5" s="1"/>
  <c r="V437" i="5" s="1"/>
  <c r="P437" i="5"/>
  <c r="R437" i="5" s="1"/>
  <c r="S437" i="5" s="1"/>
  <c r="O437" i="5"/>
  <c r="N437" i="5"/>
  <c r="D437" i="5"/>
  <c r="T435" i="5"/>
  <c r="U435" i="5" s="1"/>
  <c r="R435" i="5"/>
  <c r="S435" i="5" s="1"/>
  <c r="O435" i="5"/>
  <c r="N435" i="5"/>
  <c r="D435" i="5"/>
  <c r="T434" i="5"/>
  <c r="U434" i="5" s="1"/>
  <c r="R434" i="5"/>
  <c r="S434" i="5" s="1"/>
  <c r="O434" i="5"/>
  <c r="N434" i="5"/>
  <c r="D434" i="5"/>
  <c r="T433" i="5"/>
  <c r="U433" i="5" s="1"/>
  <c r="V433" i="5" s="1"/>
  <c r="R433" i="5"/>
  <c r="S433" i="5" s="1"/>
  <c r="O433" i="5"/>
  <c r="N433" i="5"/>
  <c r="D433" i="5"/>
  <c r="T432" i="5"/>
  <c r="U432" i="5" s="1"/>
  <c r="R432" i="5"/>
  <c r="S432" i="5" s="1"/>
  <c r="O432" i="5"/>
  <c r="N432" i="5"/>
  <c r="D432" i="5"/>
  <c r="T431" i="5"/>
  <c r="U431" i="5" s="1"/>
  <c r="R431" i="5"/>
  <c r="S431" i="5" s="1"/>
  <c r="O431" i="5"/>
  <c r="N431" i="5"/>
  <c r="D431" i="5"/>
  <c r="T430" i="5"/>
  <c r="U430" i="5" s="1"/>
  <c r="V430" i="5" s="1"/>
  <c r="R430" i="5"/>
  <c r="S430" i="5" s="1"/>
  <c r="O430" i="5"/>
  <c r="N430" i="5"/>
  <c r="D430" i="5"/>
  <c r="T429" i="5"/>
  <c r="U429" i="5" s="1"/>
  <c r="P429" i="5"/>
  <c r="R429" i="5" s="1"/>
  <c r="S429" i="5" s="1"/>
  <c r="Z429" i="5" s="1"/>
  <c r="O429" i="5"/>
  <c r="N429" i="5"/>
  <c r="D429" i="5"/>
  <c r="T428" i="5"/>
  <c r="U428" i="5" s="1"/>
  <c r="P428" i="5"/>
  <c r="R428" i="5" s="1"/>
  <c r="S428" i="5" s="1"/>
  <c r="O428" i="5"/>
  <c r="N428" i="5"/>
  <c r="D428" i="5"/>
  <c r="T427" i="5"/>
  <c r="U427" i="5" s="1"/>
  <c r="P427" i="5"/>
  <c r="R427" i="5" s="1"/>
  <c r="S427" i="5" s="1"/>
  <c r="O427" i="5"/>
  <c r="N427" i="5"/>
  <c r="D427" i="5"/>
  <c r="T426" i="5"/>
  <c r="U426" i="5" s="1"/>
  <c r="P426" i="5"/>
  <c r="R426" i="5" s="1"/>
  <c r="S426" i="5" s="1"/>
  <c r="O426" i="5"/>
  <c r="N426" i="5"/>
  <c r="D426" i="5"/>
  <c r="T425" i="5"/>
  <c r="U425" i="5" s="1"/>
  <c r="R425" i="5"/>
  <c r="S425" i="5" s="1"/>
  <c r="O425" i="5"/>
  <c r="N425" i="5"/>
  <c r="D425" i="5"/>
  <c r="T424" i="5"/>
  <c r="U424" i="5" s="1"/>
  <c r="R424" i="5"/>
  <c r="S424" i="5" s="1"/>
  <c r="O424" i="5"/>
  <c r="N424" i="5"/>
  <c r="D424" i="5"/>
  <c r="T423" i="5"/>
  <c r="U423" i="5" s="1"/>
  <c r="R423" i="5"/>
  <c r="S423" i="5" s="1"/>
  <c r="O423" i="5"/>
  <c r="N423" i="5"/>
  <c r="D423" i="5"/>
  <c r="T422" i="5"/>
  <c r="U422" i="5" s="1"/>
  <c r="R422" i="5"/>
  <c r="S422" i="5" s="1"/>
  <c r="O422" i="5"/>
  <c r="N422" i="5"/>
  <c r="D422" i="5"/>
  <c r="T421" i="5"/>
  <c r="U421" i="5" s="1"/>
  <c r="P421" i="5"/>
  <c r="R421" i="5" s="1"/>
  <c r="S421" i="5" s="1"/>
  <c r="Z421" i="5" s="1"/>
  <c r="O421" i="5"/>
  <c r="N421" i="5"/>
  <c r="D421" i="5"/>
  <c r="T420" i="5"/>
  <c r="U420" i="5" s="1"/>
  <c r="P420" i="5"/>
  <c r="R420" i="5" s="1"/>
  <c r="S420" i="5" s="1"/>
  <c r="O420" i="5"/>
  <c r="N420" i="5"/>
  <c r="D420" i="5"/>
  <c r="T419" i="5"/>
  <c r="U419" i="5" s="1"/>
  <c r="V419" i="5" s="1"/>
  <c r="P419" i="5"/>
  <c r="R419" i="5" s="1"/>
  <c r="S419" i="5" s="1"/>
  <c r="O419" i="5"/>
  <c r="N419" i="5"/>
  <c r="D419" i="5"/>
  <c r="T418" i="5"/>
  <c r="U418" i="5" s="1"/>
  <c r="R418" i="5"/>
  <c r="S418" i="5" s="1"/>
  <c r="O418" i="5"/>
  <c r="N418" i="5"/>
  <c r="D418" i="5"/>
  <c r="T417" i="5"/>
  <c r="U417" i="5" s="1"/>
  <c r="R417" i="5"/>
  <c r="S417" i="5" s="1"/>
  <c r="O417" i="5"/>
  <c r="N417" i="5"/>
  <c r="D417" i="5"/>
  <c r="T416" i="5"/>
  <c r="U416" i="5" s="1"/>
  <c r="X416" i="5" s="1"/>
  <c r="Y416" i="5" s="1"/>
  <c r="R416" i="5"/>
  <c r="S416" i="5" s="1"/>
  <c r="O416" i="5"/>
  <c r="N416" i="5"/>
  <c r="D416" i="5"/>
  <c r="T415" i="5"/>
  <c r="U415" i="5" s="1"/>
  <c r="X415" i="5" s="1"/>
  <c r="Y415" i="5" s="1"/>
  <c r="R415" i="5"/>
  <c r="S415" i="5" s="1"/>
  <c r="O415" i="5"/>
  <c r="N415" i="5"/>
  <c r="D415" i="5"/>
  <c r="T414" i="5"/>
  <c r="U414" i="5" s="1"/>
  <c r="V414" i="5" s="1"/>
  <c r="P414" i="5"/>
  <c r="R414" i="5" s="1"/>
  <c r="S414" i="5" s="1"/>
  <c r="W414" i="5" s="1"/>
  <c r="X414" i="5" s="1"/>
  <c r="Y414" i="5" s="1"/>
  <c r="O414" i="5"/>
  <c r="N414" i="5"/>
  <c r="D414" i="5"/>
  <c r="T413" i="5"/>
  <c r="U413" i="5" s="1"/>
  <c r="R413" i="5"/>
  <c r="S413" i="5" s="1"/>
  <c r="O413" i="5"/>
  <c r="N413" i="5"/>
  <c r="D413" i="5"/>
  <c r="T412" i="5"/>
  <c r="U412" i="5" s="1"/>
  <c r="P412" i="5"/>
  <c r="R412" i="5" s="1"/>
  <c r="S412" i="5" s="1"/>
  <c r="W412" i="5" s="1"/>
  <c r="X412" i="5" s="1"/>
  <c r="Y412" i="5" s="1"/>
  <c r="O412" i="5"/>
  <c r="N412" i="5"/>
  <c r="D412" i="5"/>
  <c r="T411" i="5"/>
  <c r="U411" i="5" s="1"/>
  <c r="R411" i="5"/>
  <c r="S411" i="5" s="1"/>
  <c r="Z411" i="5" s="1"/>
  <c r="O411" i="5"/>
  <c r="N411" i="5"/>
  <c r="D411" i="5"/>
  <c r="T410" i="5"/>
  <c r="U410" i="5" s="1"/>
  <c r="V410" i="5" s="1"/>
  <c r="P410" i="5"/>
  <c r="R410" i="5" s="1"/>
  <c r="S410" i="5" s="1"/>
  <c r="W410" i="5" s="1"/>
  <c r="X410" i="5" s="1"/>
  <c r="Y410" i="5" s="1"/>
  <c r="O410" i="5"/>
  <c r="N410" i="5"/>
  <c r="D410" i="5"/>
  <c r="T409" i="5"/>
  <c r="U409" i="5" s="1"/>
  <c r="P409" i="5"/>
  <c r="R409" i="5" s="1"/>
  <c r="S409" i="5" s="1"/>
  <c r="O409" i="5"/>
  <c r="N409" i="5"/>
  <c r="D409" i="5"/>
  <c r="T408" i="5"/>
  <c r="U408" i="5" s="1"/>
  <c r="P408" i="5"/>
  <c r="R408" i="5" s="1"/>
  <c r="S408" i="5" s="1"/>
  <c r="Z408" i="5" s="1"/>
  <c r="O408" i="5"/>
  <c r="N408" i="5"/>
  <c r="D408" i="5"/>
  <c r="T407" i="5"/>
  <c r="U407" i="5" s="1"/>
  <c r="P407" i="5"/>
  <c r="R407" i="5" s="1"/>
  <c r="S407" i="5" s="1"/>
  <c r="O407" i="5"/>
  <c r="N407" i="5"/>
  <c r="D407" i="5"/>
  <c r="T406" i="5"/>
  <c r="U406" i="5" s="1"/>
  <c r="P406" i="5"/>
  <c r="R406" i="5" s="1"/>
  <c r="S406" i="5" s="1"/>
  <c r="O406" i="5"/>
  <c r="N406" i="5"/>
  <c r="D406" i="5"/>
  <c r="T405" i="5"/>
  <c r="U405" i="5" s="1"/>
  <c r="P405" i="5"/>
  <c r="R405" i="5" s="1"/>
  <c r="S405" i="5" s="1"/>
  <c r="O405" i="5"/>
  <c r="N405" i="5"/>
  <c r="D405" i="5"/>
  <c r="T404" i="5"/>
  <c r="U404" i="5" s="1"/>
  <c r="P404" i="5"/>
  <c r="R404" i="5" s="1"/>
  <c r="S404" i="5" s="1"/>
  <c r="O404" i="5"/>
  <c r="N404" i="5"/>
  <c r="D404" i="5"/>
  <c r="T403" i="5"/>
  <c r="U403" i="5" s="1"/>
  <c r="P403" i="5"/>
  <c r="R403" i="5" s="1"/>
  <c r="S403" i="5" s="1"/>
  <c r="O403" i="5"/>
  <c r="N403" i="5"/>
  <c r="D403" i="5"/>
  <c r="T402" i="5"/>
  <c r="U402" i="5" s="1"/>
  <c r="V402" i="5" s="1"/>
  <c r="P402" i="5"/>
  <c r="R402" i="5" s="1"/>
  <c r="S402" i="5" s="1"/>
  <c r="W402" i="5" s="1"/>
  <c r="X402" i="5" s="1"/>
  <c r="Y402" i="5" s="1"/>
  <c r="O402" i="5"/>
  <c r="N402" i="5"/>
  <c r="D402" i="5"/>
  <c r="T401" i="5"/>
  <c r="U401" i="5" s="1"/>
  <c r="V401" i="5" s="1"/>
  <c r="P401" i="5"/>
  <c r="R401" i="5" s="1"/>
  <c r="S401" i="5" s="1"/>
  <c r="W401" i="5" s="1"/>
  <c r="X401" i="5" s="1"/>
  <c r="Y401" i="5" s="1"/>
  <c r="O401" i="5"/>
  <c r="N401" i="5"/>
  <c r="D401" i="5"/>
  <c r="T400" i="5"/>
  <c r="U400" i="5" s="1"/>
  <c r="V400" i="5" s="1"/>
  <c r="R400" i="5"/>
  <c r="S400" i="5" s="1"/>
  <c r="W400" i="5" s="1"/>
  <c r="X400" i="5" s="1"/>
  <c r="Y400" i="5" s="1"/>
  <c r="O400" i="5"/>
  <c r="N400" i="5"/>
  <c r="D400" i="5"/>
  <c r="T398" i="5"/>
  <c r="U398" i="5" s="1"/>
  <c r="R398" i="5"/>
  <c r="S398" i="5" s="1"/>
  <c r="O398" i="5"/>
  <c r="N398" i="5"/>
  <c r="D398" i="5"/>
  <c r="T397" i="5"/>
  <c r="U397" i="5" s="1"/>
  <c r="R397" i="5"/>
  <c r="S397" i="5" s="1"/>
  <c r="O397" i="5"/>
  <c r="N397" i="5"/>
  <c r="D397" i="5"/>
  <c r="T396" i="5"/>
  <c r="U396" i="5" s="1"/>
  <c r="R396" i="5"/>
  <c r="S396" i="5" s="1"/>
  <c r="O396" i="5"/>
  <c r="N396" i="5"/>
  <c r="D396" i="5"/>
  <c r="T395" i="5"/>
  <c r="U395" i="5" s="1"/>
  <c r="R395" i="5"/>
  <c r="S395" i="5" s="1"/>
  <c r="O395" i="5"/>
  <c r="N395" i="5"/>
  <c r="D395" i="5"/>
  <c r="T394" i="5"/>
  <c r="U394" i="5" s="1"/>
  <c r="R394" i="5"/>
  <c r="S394" i="5" s="1"/>
  <c r="O394" i="5"/>
  <c r="N394" i="5"/>
  <c r="D394" i="5"/>
  <c r="T393" i="5"/>
  <c r="U393" i="5" s="1"/>
  <c r="X393" i="5" s="1"/>
  <c r="Y393" i="5" s="1"/>
  <c r="P393" i="5"/>
  <c r="R393" i="5" s="1"/>
  <c r="S393" i="5" s="1"/>
  <c r="O393" i="5"/>
  <c r="N393" i="5"/>
  <c r="D393" i="5"/>
  <c r="T392" i="5"/>
  <c r="U392" i="5" s="1"/>
  <c r="P392" i="5"/>
  <c r="R392" i="5" s="1"/>
  <c r="S392" i="5" s="1"/>
  <c r="Z392" i="5" s="1"/>
  <c r="O392" i="5"/>
  <c r="N392" i="5"/>
  <c r="D392" i="5"/>
  <c r="T391" i="5"/>
  <c r="U391" i="5" s="1"/>
  <c r="R391" i="5"/>
  <c r="S391" i="5" s="1"/>
  <c r="O391" i="5"/>
  <c r="N391" i="5"/>
  <c r="D391" i="5"/>
  <c r="T390" i="5"/>
  <c r="U390" i="5" s="1"/>
  <c r="P390" i="5"/>
  <c r="R390" i="5" s="1"/>
  <c r="S390" i="5" s="1"/>
  <c r="O390" i="5"/>
  <c r="N390" i="5"/>
  <c r="D390" i="5"/>
  <c r="T389" i="5"/>
  <c r="U389" i="5" s="1"/>
  <c r="V389" i="5" s="1"/>
  <c r="R389" i="5"/>
  <c r="S389" i="5" s="1"/>
  <c r="W389" i="5" s="1"/>
  <c r="X389" i="5" s="1"/>
  <c r="Y389" i="5" s="1"/>
  <c r="O389" i="5"/>
  <c r="N389" i="5"/>
  <c r="D389" i="5"/>
  <c r="T388" i="5"/>
  <c r="U388" i="5" s="1"/>
  <c r="V388" i="5" s="1"/>
  <c r="P388" i="5"/>
  <c r="R388" i="5" s="1"/>
  <c r="S388" i="5" s="1"/>
  <c r="W388" i="5" s="1"/>
  <c r="X388" i="5" s="1"/>
  <c r="Y388" i="5" s="1"/>
  <c r="O388" i="5"/>
  <c r="N388" i="5"/>
  <c r="D388" i="5"/>
  <c r="T387" i="5"/>
  <c r="U387" i="5" s="1"/>
  <c r="V387" i="5" s="1"/>
  <c r="P387" i="5"/>
  <c r="R387" i="5" s="1"/>
  <c r="S387" i="5" s="1"/>
  <c r="W387" i="5" s="1"/>
  <c r="X387" i="5" s="1"/>
  <c r="Y387" i="5" s="1"/>
  <c r="O387" i="5"/>
  <c r="N387" i="5"/>
  <c r="D387" i="5"/>
  <c r="T386" i="5"/>
  <c r="U386" i="5" s="1"/>
  <c r="R386" i="5"/>
  <c r="S386" i="5" s="1"/>
  <c r="O386" i="5"/>
  <c r="N386" i="5"/>
  <c r="D386" i="5"/>
  <c r="T385" i="5"/>
  <c r="U385" i="5" s="1"/>
  <c r="V385" i="5" s="1"/>
  <c r="R385" i="5"/>
  <c r="S385" i="5" s="1"/>
  <c r="O385" i="5"/>
  <c r="N385" i="5"/>
  <c r="D385" i="5"/>
  <c r="T383" i="5"/>
  <c r="U383" i="5" s="1"/>
  <c r="P383" i="5"/>
  <c r="R383" i="5" s="1"/>
  <c r="S383" i="5" s="1"/>
  <c r="Z383" i="5" s="1"/>
  <c r="O383" i="5"/>
  <c r="N383" i="5"/>
  <c r="D383" i="5"/>
  <c r="T382" i="5"/>
  <c r="U382" i="5" s="1"/>
  <c r="P382" i="5"/>
  <c r="R382" i="5" s="1"/>
  <c r="S382" i="5" s="1"/>
  <c r="O382" i="5"/>
  <c r="N382" i="5"/>
  <c r="D382" i="5"/>
  <c r="T381" i="5"/>
  <c r="U381" i="5" s="1"/>
  <c r="R381" i="5"/>
  <c r="S381" i="5" s="1"/>
  <c r="O381" i="5"/>
  <c r="N381" i="5"/>
  <c r="D381" i="5"/>
  <c r="T380" i="5"/>
  <c r="U380" i="5" s="1"/>
  <c r="V380" i="5" s="1"/>
  <c r="P380" i="5"/>
  <c r="R380" i="5" s="1"/>
  <c r="S380" i="5" s="1"/>
  <c r="O380" i="5"/>
  <c r="N380" i="5"/>
  <c r="D380" i="5"/>
  <c r="T379" i="5"/>
  <c r="U379" i="5" s="1"/>
  <c r="R379" i="5"/>
  <c r="S379" i="5" s="1"/>
  <c r="O379" i="5"/>
  <c r="N379" i="5"/>
  <c r="D379" i="5"/>
  <c r="T378" i="5"/>
  <c r="U378" i="5" s="1"/>
  <c r="R378" i="5"/>
  <c r="S378" i="5" s="1"/>
  <c r="O378" i="5"/>
  <c r="N378" i="5"/>
  <c r="D378" i="5"/>
  <c r="T377" i="5"/>
  <c r="U377" i="5" s="1"/>
  <c r="R377" i="5"/>
  <c r="S377" i="5" s="1"/>
  <c r="O377" i="5"/>
  <c r="N377" i="5"/>
  <c r="D377" i="5"/>
  <c r="T376" i="5"/>
  <c r="U376" i="5" s="1"/>
  <c r="R376" i="5"/>
  <c r="S376" i="5" s="1"/>
  <c r="O376" i="5"/>
  <c r="N376" i="5"/>
  <c r="D376" i="5"/>
  <c r="T375" i="5"/>
  <c r="U375" i="5" s="1"/>
  <c r="R375" i="5"/>
  <c r="S375" i="5" s="1"/>
  <c r="O375" i="5"/>
  <c r="N375" i="5"/>
  <c r="D375" i="5"/>
  <c r="T373" i="5"/>
  <c r="U373" i="5" s="1"/>
  <c r="R373" i="5"/>
  <c r="S373" i="5" s="1"/>
  <c r="O373" i="5"/>
  <c r="N373" i="5"/>
  <c r="D373" i="5"/>
  <c r="T372" i="5"/>
  <c r="U372" i="5" s="1"/>
  <c r="R372" i="5"/>
  <c r="S372" i="5" s="1"/>
  <c r="O372" i="5"/>
  <c r="N372" i="5"/>
  <c r="D372" i="5"/>
  <c r="T371" i="5"/>
  <c r="U371" i="5" s="1"/>
  <c r="R371" i="5"/>
  <c r="S371" i="5" s="1"/>
  <c r="O371" i="5"/>
  <c r="N371" i="5"/>
  <c r="D371" i="5"/>
  <c r="T370" i="5"/>
  <c r="U370" i="5" s="1"/>
  <c r="R370" i="5"/>
  <c r="S370" i="5" s="1"/>
  <c r="O370" i="5"/>
  <c r="N370" i="5"/>
  <c r="D370" i="5"/>
  <c r="T369" i="5"/>
  <c r="U369" i="5" s="1"/>
  <c r="R369" i="5"/>
  <c r="S369" i="5" s="1"/>
  <c r="Z369" i="5" s="1"/>
  <c r="O369" i="5"/>
  <c r="N369" i="5"/>
  <c r="D369" i="5"/>
  <c r="T368" i="5"/>
  <c r="U368" i="5" s="1"/>
  <c r="R368" i="5"/>
  <c r="S368" i="5" s="1"/>
  <c r="O368" i="5"/>
  <c r="N368" i="5"/>
  <c r="D368" i="5"/>
  <c r="T367" i="5"/>
  <c r="U367" i="5" s="1"/>
  <c r="R367" i="5"/>
  <c r="S367" i="5" s="1"/>
  <c r="O367" i="5"/>
  <c r="N367" i="5"/>
  <c r="D367" i="5"/>
  <c r="T366" i="5"/>
  <c r="U366" i="5" s="1"/>
  <c r="R366" i="5"/>
  <c r="S366" i="5" s="1"/>
  <c r="O366" i="5"/>
  <c r="N366" i="5"/>
  <c r="D366" i="5"/>
  <c r="T365" i="5"/>
  <c r="U365" i="5" s="1"/>
  <c r="R365" i="5"/>
  <c r="S365" i="5" s="1"/>
  <c r="O365" i="5"/>
  <c r="N365" i="5"/>
  <c r="D365" i="5"/>
  <c r="T364" i="5"/>
  <c r="U364" i="5" s="1"/>
  <c r="P364" i="5"/>
  <c r="R364" i="5" s="1"/>
  <c r="S364" i="5" s="1"/>
  <c r="O364" i="5"/>
  <c r="N364" i="5"/>
  <c r="D364" i="5"/>
  <c r="T363" i="5"/>
  <c r="U363" i="5" s="1"/>
  <c r="R363" i="5"/>
  <c r="S363" i="5" s="1"/>
  <c r="O363" i="5"/>
  <c r="N363" i="5"/>
  <c r="D363" i="5"/>
  <c r="T362" i="5"/>
  <c r="U362" i="5" s="1"/>
  <c r="R362" i="5"/>
  <c r="S362" i="5" s="1"/>
  <c r="O362" i="5"/>
  <c r="N362" i="5"/>
  <c r="D362" i="5"/>
  <c r="T360" i="5"/>
  <c r="U360" i="5" s="1"/>
  <c r="R360" i="5"/>
  <c r="S360" i="5" s="1"/>
  <c r="O360" i="5"/>
  <c r="N360" i="5"/>
  <c r="D360" i="5"/>
  <c r="T359" i="5"/>
  <c r="U359" i="5" s="1"/>
  <c r="P359" i="5"/>
  <c r="R359" i="5" s="1"/>
  <c r="S359" i="5" s="1"/>
  <c r="O359" i="5"/>
  <c r="N359" i="5"/>
  <c r="D359" i="5"/>
  <c r="T358" i="5"/>
  <c r="U358" i="5" s="1"/>
  <c r="R358" i="5"/>
  <c r="S358" i="5" s="1"/>
  <c r="Z358" i="5" s="1"/>
  <c r="O358" i="5"/>
  <c r="N358" i="5"/>
  <c r="D358" i="5"/>
  <c r="T357" i="5"/>
  <c r="U357" i="5" s="1"/>
  <c r="P357" i="5"/>
  <c r="R357" i="5" s="1"/>
  <c r="S357" i="5" s="1"/>
  <c r="O357" i="5"/>
  <c r="N357" i="5"/>
  <c r="D357" i="5"/>
  <c r="T356" i="5"/>
  <c r="U356" i="5" s="1"/>
  <c r="R356" i="5"/>
  <c r="S356" i="5" s="1"/>
  <c r="O356" i="5"/>
  <c r="N356" i="5"/>
  <c r="D356" i="5"/>
  <c r="T355" i="5"/>
  <c r="U355" i="5" s="1"/>
  <c r="R355" i="5"/>
  <c r="S355" i="5" s="1"/>
  <c r="O355" i="5"/>
  <c r="N355" i="5"/>
  <c r="D355" i="5"/>
  <c r="T354" i="5"/>
  <c r="U354" i="5" s="1"/>
  <c r="V354" i="5" s="1"/>
  <c r="R354" i="5"/>
  <c r="S354" i="5" s="1"/>
  <c r="O354" i="5"/>
  <c r="N354" i="5"/>
  <c r="D354" i="5"/>
  <c r="T353" i="5"/>
  <c r="U353" i="5" s="1"/>
  <c r="R353" i="5"/>
  <c r="S353" i="5" s="1"/>
  <c r="Z353" i="5" s="1"/>
  <c r="O353" i="5"/>
  <c r="N353" i="5"/>
  <c r="D353" i="5"/>
  <c r="T352" i="5"/>
  <c r="U352" i="5" s="1"/>
  <c r="V352" i="5" s="1"/>
  <c r="R352" i="5"/>
  <c r="S352" i="5" s="1"/>
  <c r="Z352" i="5" s="1"/>
  <c r="O352" i="5"/>
  <c r="N352" i="5"/>
  <c r="D352" i="5"/>
  <c r="T351" i="5"/>
  <c r="U351" i="5" s="1"/>
  <c r="P351" i="5"/>
  <c r="R351" i="5" s="1"/>
  <c r="S351" i="5" s="1"/>
  <c r="O351" i="5"/>
  <c r="N351" i="5"/>
  <c r="D351" i="5"/>
  <c r="T350" i="5"/>
  <c r="U350" i="5" s="1"/>
  <c r="R350" i="5"/>
  <c r="S350" i="5" s="1"/>
  <c r="O350" i="5"/>
  <c r="N350" i="5"/>
  <c r="D350" i="5"/>
  <c r="T349" i="5"/>
  <c r="U349" i="5" s="1"/>
  <c r="R349" i="5"/>
  <c r="S349" i="5" s="1"/>
  <c r="O349" i="5"/>
  <c r="N349" i="5"/>
  <c r="D349" i="5"/>
  <c r="T348" i="5"/>
  <c r="U348" i="5" s="1"/>
  <c r="P348" i="5"/>
  <c r="R348" i="5" s="1"/>
  <c r="S348" i="5" s="1"/>
  <c r="O348" i="5"/>
  <c r="N348" i="5"/>
  <c r="D348" i="5"/>
  <c r="T347" i="5"/>
  <c r="U347" i="5" s="1"/>
  <c r="R347" i="5"/>
  <c r="S347" i="5" s="1"/>
  <c r="O347" i="5"/>
  <c r="N347" i="5"/>
  <c r="D347" i="5"/>
  <c r="T346" i="5"/>
  <c r="U346" i="5" s="1"/>
  <c r="X346" i="5" s="1"/>
  <c r="Y346" i="5" s="1"/>
  <c r="R346" i="5"/>
  <c r="S346" i="5" s="1"/>
  <c r="O346" i="5"/>
  <c r="N346" i="5"/>
  <c r="D346" i="5"/>
  <c r="T345" i="5"/>
  <c r="U345" i="5" s="1"/>
  <c r="P345" i="5"/>
  <c r="R345" i="5" s="1"/>
  <c r="S345" i="5" s="1"/>
  <c r="O345" i="5"/>
  <c r="N345" i="5"/>
  <c r="D345" i="5"/>
  <c r="T344" i="5"/>
  <c r="U344" i="5" s="1"/>
  <c r="R344" i="5"/>
  <c r="S344" i="5" s="1"/>
  <c r="O344" i="5"/>
  <c r="N344" i="5"/>
  <c r="D344" i="5"/>
  <c r="T343" i="5"/>
  <c r="U343" i="5" s="1"/>
  <c r="R343" i="5"/>
  <c r="S343" i="5" s="1"/>
  <c r="O343" i="5"/>
  <c r="N343" i="5"/>
  <c r="D343" i="5"/>
  <c r="T342" i="5"/>
  <c r="U342" i="5" s="1"/>
  <c r="R342" i="5"/>
  <c r="S342" i="5" s="1"/>
  <c r="O342" i="5"/>
  <c r="N342" i="5"/>
  <c r="D342" i="5"/>
  <c r="T341" i="5"/>
  <c r="U341" i="5" s="1"/>
  <c r="R341" i="5"/>
  <c r="S341" i="5" s="1"/>
  <c r="O341" i="5"/>
  <c r="N341" i="5"/>
  <c r="D341" i="5"/>
  <c r="T340" i="5"/>
  <c r="U340" i="5" s="1"/>
  <c r="R340" i="5"/>
  <c r="S340" i="5" s="1"/>
  <c r="O340" i="5"/>
  <c r="N340" i="5"/>
  <c r="D340" i="5"/>
  <c r="T339" i="5"/>
  <c r="U339" i="5" s="1"/>
  <c r="R339" i="5"/>
  <c r="S339" i="5" s="1"/>
  <c r="O339" i="5"/>
  <c r="N339" i="5"/>
  <c r="D339" i="5"/>
  <c r="T338" i="5"/>
  <c r="U338" i="5" s="1"/>
  <c r="R338" i="5"/>
  <c r="S338" i="5" s="1"/>
  <c r="O338" i="5"/>
  <c r="N338" i="5"/>
  <c r="D338" i="5"/>
  <c r="T337" i="5"/>
  <c r="U337" i="5" s="1"/>
  <c r="R337" i="5"/>
  <c r="S337" i="5" s="1"/>
  <c r="O337" i="5"/>
  <c r="N337" i="5"/>
  <c r="D337" i="5"/>
  <c r="T336" i="5"/>
  <c r="U336" i="5" s="1"/>
  <c r="R336" i="5"/>
  <c r="S336" i="5" s="1"/>
  <c r="Z336" i="5" s="1"/>
  <c r="O336" i="5"/>
  <c r="N336" i="5"/>
  <c r="D336" i="5"/>
  <c r="T335" i="5"/>
  <c r="U335" i="5" s="1"/>
  <c r="R335" i="5"/>
  <c r="S335" i="5" s="1"/>
  <c r="O335" i="5"/>
  <c r="N335" i="5"/>
  <c r="D335" i="5"/>
  <c r="T334" i="5"/>
  <c r="U334" i="5" s="1"/>
  <c r="R334" i="5"/>
  <c r="S334" i="5" s="1"/>
  <c r="O334" i="5"/>
  <c r="N334" i="5"/>
  <c r="D334" i="5"/>
  <c r="T333" i="5"/>
  <c r="U333" i="5" s="1"/>
  <c r="V333" i="5" s="1"/>
  <c r="R333" i="5"/>
  <c r="S333" i="5" s="1"/>
  <c r="O333" i="5"/>
  <c r="N333" i="5"/>
  <c r="D333" i="5"/>
  <c r="T332" i="5"/>
  <c r="U332" i="5" s="1"/>
  <c r="R332" i="5"/>
  <c r="S332" i="5" s="1"/>
  <c r="O332" i="5"/>
  <c r="N332" i="5"/>
  <c r="D332" i="5"/>
  <c r="T331" i="5"/>
  <c r="U331" i="5" s="1"/>
  <c r="R331" i="5"/>
  <c r="S331" i="5" s="1"/>
  <c r="O331" i="5"/>
  <c r="N331" i="5"/>
  <c r="D331" i="5"/>
  <c r="T330" i="5"/>
  <c r="U330" i="5" s="1"/>
  <c r="R330" i="5"/>
  <c r="S330" i="5" s="1"/>
  <c r="O330" i="5"/>
  <c r="N330" i="5"/>
  <c r="D330" i="5"/>
  <c r="T329" i="5"/>
  <c r="U329" i="5" s="1"/>
  <c r="R329" i="5"/>
  <c r="S329" i="5" s="1"/>
  <c r="O329" i="5"/>
  <c r="N329" i="5"/>
  <c r="D329" i="5"/>
  <c r="T328" i="5"/>
  <c r="U328" i="5" s="1"/>
  <c r="R328" i="5"/>
  <c r="S328" i="5" s="1"/>
  <c r="O328" i="5"/>
  <c r="N328" i="5"/>
  <c r="D328" i="5"/>
  <c r="T327" i="5"/>
  <c r="U327" i="5" s="1"/>
  <c r="R327" i="5"/>
  <c r="S327" i="5" s="1"/>
  <c r="O327" i="5"/>
  <c r="N327" i="5"/>
  <c r="D327" i="5"/>
  <c r="T325" i="5"/>
  <c r="U325" i="5" s="1"/>
  <c r="R325" i="5"/>
  <c r="S325" i="5" s="1"/>
  <c r="O325" i="5"/>
  <c r="N325" i="5"/>
  <c r="D325" i="5"/>
  <c r="T324" i="5"/>
  <c r="U324" i="5" s="1"/>
  <c r="R324" i="5"/>
  <c r="S324" i="5" s="1"/>
  <c r="O324" i="5"/>
  <c r="N324" i="5"/>
  <c r="D324" i="5"/>
  <c r="T323" i="5"/>
  <c r="U323" i="5" s="1"/>
  <c r="R323" i="5"/>
  <c r="S323" i="5" s="1"/>
  <c r="O323" i="5"/>
  <c r="N323" i="5"/>
  <c r="D323" i="5"/>
  <c r="T322" i="5"/>
  <c r="U322" i="5" s="1"/>
  <c r="R322" i="5"/>
  <c r="S322" i="5" s="1"/>
  <c r="O322" i="5"/>
  <c r="N322" i="5"/>
  <c r="D322" i="5"/>
  <c r="T321" i="5"/>
  <c r="U321" i="5" s="1"/>
  <c r="R321" i="5"/>
  <c r="S321" i="5" s="1"/>
  <c r="O321" i="5"/>
  <c r="N321" i="5"/>
  <c r="D321" i="5"/>
  <c r="T320" i="5"/>
  <c r="U320" i="5" s="1"/>
  <c r="R320" i="5"/>
  <c r="S320" i="5" s="1"/>
  <c r="O320" i="5"/>
  <c r="N320" i="5"/>
  <c r="D320" i="5"/>
  <c r="T319" i="5"/>
  <c r="U319" i="5" s="1"/>
  <c r="R319" i="5"/>
  <c r="S319" i="5" s="1"/>
  <c r="O319" i="5"/>
  <c r="N319" i="5"/>
  <c r="D319" i="5"/>
  <c r="T318" i="5"/>
  <c r="U318" i="5" s="1"/>
  <c r="R318" i="5"/>
  <c r="S318" i="5" s="1"/>
  <c r="Z318" i="5" s="1"/>
  <c r="O318" i="5"/>
  <c r="N318" i="5"/>
  <c r="D318" i="5"/>
  <c r="T317" i="5"/>
  <c r="U317" i="5" s="1"/>
  <c r="X317" i="5" s="1"/>
  <c r="Y317" i="5" s="1"/>
  <c r="R317" i="5"/>
  <c r="S317" i="5" s="1"/>
  <c r="O317" i="5"/>
  <c r="N317" i="5"/>
  <c r="D317" i="5"/>
  <c r="T316" i="5"/>
  <c r="U316" i="5" s="1"/>
  <c r="R316" i="5"/>
  <c r="S316" i="5" s="1"/>
  <c r="O316" i="5"/>
  <c r="N316" i="5"/>
  <c r="D316" i="5"/>
  <c r="T315" i="5"/>
  <c r="U315" i="5" s="1"/>
  <c r="R315" i="5"/>
  <c r="S315" i="5" s="1"/>
  <c r="O315" i="5"/>
  <c r="N315" i="5"/>
  <c r="D315" i="5"/>
  <c r="T314" i="5"/>
  <c r="U314" i="5" s="1"/>
  <c r="R314" i="5"/>
  <c r="S314" i="5" s="1"/>
  <c r="O314" i="5"/>
  <c r="N314" i="5"/>
  <c r="D314" i="5"/>
  <c r="T312" i="5"/>
  <c r="U312" i="5" s="1"/>
  <c r="S312" i="5"/>
  <c r="O312" i="5"/>
  <c r="N312" i="5"/>
  <c r="D312" i="5"/>
  <c r="T311" i="5"/>
  <c r="U311" i="5" s="1"/>
  <c r="R311" i="5"/>
  <c r="S311" i="5" s="1"/>
  <c r="O311" i="5"/>
  <c r="N311" i="5"/>
  <c r="D311" i="5"/>
  <c r="T310" i="5"/>
  <c r="U310" i="5" s="1"/>
  <c r="R310" i="5"/>
  <c r="S310" i="5" s="1"/>
  <c r="O310" i="5"/>
  <c r="N310" i="5"/>
  <c r="D310" i="5"/>
  <c r="T309" i="5"/>
  <c r="U309" i="5" s="1"/>
  <c r="R309" i="5"/>
  <c r="S309" i="5" s="1"/>
  <c r="O309" i="5"/>
  <c r="N309" i="5"/>
  <c r="D309" i="5"/>
  <c r="T308" i="5"/>
  <c r="U308" i="5" s="1"/>
  <c r="R308" i="5"/>
  <c r="S308" i="5" s="1"/>
  <c r="O308" i="5"/>
  <c r="N308" i="5"/>
  <c r="D308" i="5"/>
  <c r="T307" i="5"/>
  <c r="U307" i="5" s="1"/>
  <c r="X307" i="5" s="1"/>
  <c r="Y307" i="5" s="1"/>
  <c r="R307" i="5"/>
  <c r="S307" i="5" s="1"/>
  <c r="O307" i="5"/>
  <c r="N307" i="5"/>
  <c r="D307" i="5"/>
  <c r="T306" i="5"/>
  <c r="U306" i="5" s="1"/>
  <c r="R306" i="5"/>
  <c r="S306" i="5" s="1"/>
  <c r="O306" i="5"/>
  <c r="N306" i="5"/>
  <c r="D306" i="5"/>
  <c r="T305" i="5"/>
  <c r="U305" i="5" s="1"/>
  <c r="R305" i="5"/>
  <c r="S305" i="5" s="1"/>
  <c r="O305" i="5"/>
  <c r="N305" i="5"/>
  <c r="D305" i="5"/>
  <c r="T304" i="5"/>
  <c r="U304" i="5" s="1"/>
  <c r="R304" i="5"/>
  <c r="S304" i="5" s="1"/>
  <c r="O304" i="5"/>
  <c r="N304" i="5"/>
  <c r="D304" i="5"/>
  <c r="T303" i="5"/>
  <c r="U303" i="5" s="1"/>
  <c r="R303" i="5"/>
  <c r="S303" i="5" s="1"/>
  <c r="O303" i="5"/>
  <c r="N303" i="5"/>
  <c r="D303" i="5"/>
  <c r="T302" i="5"/>
  <c r="U302" i="5" s="1"/>
  <c r="R302" i="5"/>
  <c r="S302" i="5" s="1"/>
  <c r="O302" i="5"/>
  <c r="N302" i="5"/>
  <c r="D302" i="5"/>
  <c r="T301" i="5"/>
  <c r="U301" i="5" s="1"/>
  <c r="V301" i="5" s="1"/>
  <c r="R301" i="5"/>
  <c r="S301" i="5" s="1"/>
  <c r="O301" i="5"/>
  <c r="N301" i="5"/>
  <c r="D301" i="5"/>
  <c r="T300" i="5"/>
  <c r="U300" i="5" s="1"/>
  <c r="R300" i="5"/>
  <c r="S300" i="5" s="1"/>
  <c r="O300" i="5"/>
  <c r="N300" i="5"/>
  <c r="D300" i="5"/>
  <c r="T299" i="5"/>
  <c r="U299" i="5" s="1"/>
  <c r="R299" i="5"/>
  <c r="S299" i="5" s="1"/>
  <c r="O299" i="5"/>
  <c r="N299" i="5"/>
  <c r="D299" i="5"/>
  <c r="T298" i="5"/>
  <c r="U298" i="5" s="1"/>
  <c r="R298" i="5"/>
  <c r="S298" i="5" s="1"/>
  <c r="O298" i="5"/>
  <c r="N298" i="5"/>
  <c r="D298" i="5"/>
  <c r="T297" i="5"/>
  <c r="U297" i="5" s="1"/>
  <c r="R297" i="5"/>
  <c r="S297" i="5" s="1"/>
  <c r="O297" i="5"/>
  <c r="N297" i="5"/>
  <c r="D297" i="5"/>
  <c r="T296" i="5"/>
  <c r="U296" i="5" s="1"/>
  <c r="R296" i="5"/>
  <c r="S296" i="5" s="1"/>
  <c r="O296" i="5"/>
  <c r="N296" i="5"/>
  <c r="D296" i="5"/>
  <c r="T295" i="5"/>
  <c r="U295" i="5" s="1"/>
  <c r="R295" i="5"/>
  <c r="S295" i="5" s="1"/>
  <c r="O295" i="5"/>
  <c r="N295" i="5"/>
  <c r="D295" i="5"/>
  <c r="T294" i="5"/>
  <c r="U294" i="5" s="1"/>
  <c r="R294" i="5"/>
  <c r="S294" i="5" s="1"/>
  <c r="O294" i="5"/>
  <c r="N294" i="5"/>
  <c r="D294" i="5"/>
  <c r="T293" i="5"/>
  <c r="U293" i="5" s="1"/>
  <c r="R293" i="5"/>
  <c r="S293" i="5" s="1"/>
  <c r="O293" i="5"/>
  <c r="N293" i="5"/>
  <c r="D293" i="5"/>
  <c r="T292" i="5"/>
  <c r="U292" i="5" s="1"/>
  <c r="P292" i="5"/>
  <c r="R292" i="5" s="1"/>
  <c r="S292" i="5" s="1"/>
  <c r="O292" i="5"/>
  <c r="N292" i="5"/>
  <c r="D292" i="5"/>
  <c r="T291" i="5"/>
  <c r="U291" i="5" s="1"/>
  <c r="P291" i="5"/>
  <c r="R291" i="5" s="1"/>
  <c r="S291" i="5" s="1"/>
  <c r="O291" i="5"/>
  <c r="N291" i="5"/>
  <c r="D291" i="5"/>
  <c r="T290" i="5"/>
  <c r="U290" i="5" s="1"/>
  <c r="R290" i="5"/>
  <c r="S290" i="5" s="1"/>
  <c r="Z290" i="5" s="1"/>
  <c r="O290" i="5"/>
  <c r="N290" i="5"/>
  <c r="D290" i="5"/>
  <c r="T289" i="5"/>
  <c r="U289" i="5" s="1"/>
  <c r="R289" i="5"/>
  <c r="S289" i="5" s="1"/>
  <c r="O289" i="5"/>
  <c r="N289" i="5"/>
  <c r="D289" i="5"/>
  <c r="T288" i="5"/>
  <c r="U288" i="5" s="1"/>
  <c r="R288" i="5"/>
  <c r="S288" i="5" s="1"/>
  <c r="O288" i="5"/>
  <c r="N288" i="5"/>
  <c r="D288" i="5"/>
  <c r="T287" i="5"/>
  <c r="U287" i="5" s="1"/>
  <c r="X287" i="5" s="1"/>
  <c r="Y287" i="5" s="1"/>
  <c r="R287" i="5"/>
  <c r="S287" i="5" s="1"/>
  <c r="O287" i="5"/>
  <c r="N287" i="5"/>
  <c r="D287" i="5"/>
  <c r="T285" i="5"/>
  <c r="U285" i="5" s="1"/>
  <c r="P285" i="5"/>
  <c r="R285" i="5" s="1"/>
  <c r="S285" i="5" s="1"/>
  <c r="O285" i="5"/>
  <c r="N285" i="5"/>
  <c r="D285" i="5"/>
  <c r="T284" i="5"/>
  <c r="U284" i="5" s="1"/>
  <c r="P284" i="5"/>
  <c r="R284" i="5" s="1"/>
  <c r="S284" i="5" s="1"/>
  <c r="O284" i="5"/>
  <c r="N284" i="5"/>
  <c r="D284" i="5"/>
  <c r="T283" i="5"/>
  <c r="U283" i="5" s="1"/>
  <c r="R283" i="5"/>
  <c r="S283" i="5" s="1"/>
  <c r="O283" i="5"/>
  <c r="N283" i="5"/>
  <c r="D283" i="5"/>
  <c r="T282" i="5"/>
  <c r="U282" i="5" s="1"/>
  <c r="V282" i="5" s="1"/>
  <c r="R282" i="5"/>
  <c r="S282" i="5" s="1"/>
  <c r="W282" i="5" s="1"/>
  <c r="X282" i="5" s="1"/>
  <c r="Y282" i="5" s="1"/>
  <c r="O282" i="5"/>
  <c r="N282" i="5"/>
  <c r="D282" i="5"/>
  <c r="T281" i="5"/>
  <c r="U281" i="5" s="1"/>
  <c r="V281" i="5" s="1"/>
  <c r="P281" i="5"/>
  <c r="R281" i="5" s="1"/>
  <c r="S281" i="5" s="1"/>
  <c r="W281" i="5" s="1"/>
  <c r="X281" i="5" s="1"/>
  <c r="Y281" i="5" s="1"/>
  <c r="O281" i="5"/>
  <c r="N281" i="5"/>
  <c r="D281" i="5"/>
  <c r="T280" i="5"/>
  <c r="U280" i="5" s="1"/>
  <c r="R280" i="5"/>
  <c r="S280" i="5" s="1"/>
  <c r="O280" i="5"/>
  <c r="N280" i="5"/>
  <c r="D280" i="5"/>
  <c r="T279" i="5"/>
  <c r="U279" i="5" s="1"/>
  <c r="X279" i="5" s="1"/>
  <c r="Y279" i="5" s="1"/>
  <c r="R279" i="5"/>
  <c r="S279" i="5" s="1"/>
  <c r="O279" i="5"/>
  <c r="N279" i="5"/>
  <c r="D279" i="5"/>
  <c r="T278" i="5"/>
  <c r="U278" i="5" s="1"/>
  <c r="V278" i="5" s="1"/>
  <c r="R278" i="5"/>
  <c r="S278" i="5" s="1"/>
  <c r="W278" i="5" s="1"/>
  <c r="X278" i="5" s="1"/>
  <c r="Y278" i="5" s="1"/>
  <c r="O278" i="5"/>
  <c r="N278" i="5"/>
  <c r="D278" i="5"/>
  <c r="T277" i="5"/>
  <c r="U277" i="5" s="1"/>
  <c r="V277" i="5" s="1"/>
  <c r="P277" i="5"/>
  <c r="R277" i="5" s="1"/>
  <c r="S277" i="5" s="1"/>
  <c r="W277" i="5" s="1"/>
  <c r="X277" i="5" s="1"/>
  <c r="Y277" i="5" s="1"/>
  <c r="O277" i="5"/>
  <c r="N277" i="5"/>
  <c r="D277" i="5"/>
  <c r="T275" i="5"/>
  <c r="U275" i="5" s="1"/>
  <c r="V275" i="5" s="1"/>
  <c r="P275" i="5"/>
  <c r="R275" i="5" s="1"/>
  <c r="S275" i="5" s="1"/>
  <c r="W275" i="5" s="1"/>
  <c r="X275" i="5" s="1"/>
  <c r="Y275" i="5" s="1"/>
  <c r="O275" i="5"/>
  <c r="N275" i="5"/>
  <c r="D275" i="5"/>
  <c r="T274" i="5"/>
  <c r="U274" i="5" s="1"/>
  <c r="R274" i="5"/>
  <c r="S274" i="5" s="1"/>
  <c r="O274" i="5"/>
  <c r="N274" i="5"/>
  <c r="D274" i="5"/>
  <c r="T273" i="5"/>
  <c r="U273" i="5" s="1"/>
  <c r="V273" i="5" s="1"/>
  <c r="P273" i="5"/>
  <c r="R273" i="5" s="1"/>
  <c r="S273" i="5" s="1"/>
  <c r="W273" i="5" s="1"/>
  <c r="X273" i="5" s="1"/>
  <c r="Y273" i="5" s="1"/>
  <c r="O273" i="5"/>
  <c r="N273" i="5"/>
  <c r="D273" i="5"/>
  <c r="T272" i="5"/>
  <c r="U272" i="5" s="1"/>
  <c r="R272" i="5"/>
  <c r="S272" i="5" s="1"/>
  <c r="Z272" i="5" s="1"/>
  <c r="O272" i="5"/>
  <c r="N272" i="5"/>
  <c r="D272" i="5"/>
  <c r="T271" i="5"/>
  <c r="U271" i="5" s="1"/>
  <c r="R271" i="5"/>
  <c r="S271" i="5" s="1"/>
  <c r="O271" i="5"/>
  <c r="N271" i="5"/>
  <c r="D271" i="5"/>
  <c r="T270" i="5"/>
  <c r="U270" i="5" s="1"/>
  <c r="R270" i="5"/>
  <c r="S270" i="5" s="1"/>
  <c r="O270" i="5"/>
  <c r="N270" i="5"/>
  <c r="D270" i="5"/>
  <c r="T269" i="5"/>
  <c r="U269" i="5" s="1"/>
  <c r="R269" i="5"/>
  <c r="S269" i="5" s="1"/>
  <c r="O269" i="5"/>
  <c r="N269" i="5"/>
  <c r="D269" i="5"/>
  <c r="T268" i="5"/>
  <c r="U268" i="5" s="1"/>
  <c r="R268" i="5"/>
  <c r="S268" i="5" s="1"/>
  <c r="O268" i="5"/>
  <c r="N268" i="5"/>
  <c r="D268" i="5"/>
  <c r="T267" i="5"/>
  <c r="U267" i="5" s="1"/>
  <c r="V267" i="5" s="1"/>
  <c r="P267" i="5"/>
  <c r="R267" i="5" s="1"/>
  <c r="S267" i="5" s="1"/>
  <c r="W267" i="5" s="1"/>
  <c r="X267" i="5" s="1"/>
  <c r="Y267" i="5" s="1"/>
  <c r="O267" i="5"/>
  <c r="N267" i="5"/>
  <c r="D267" i="5"/>
  <c r="T266" i="5"/>
  <c r="U266" i="5" s="1"/>
  <c r="R266" i="5"/>
  <c r="S266" i="5" s="1"/>
  <c r="O266" i="5"/>
  <c r="N266" i="5"/>
  <c r="D266" i="5"/>
  <c r="T265" i="5"/>
  <c r="U265" i="5" s="1"/>
  <c r="V265" i="5" s="1"/>
  <c r="P265" i="5"/>
  <c r="R265" i="5" s="1"/>
  <c r="S265" i="5" s="1"/>
  <c r="W265" i="5" s="1"/>
  <c r="X265" i="5" s="1"/>
  <c r="Y265" i="5" s="1"/>
  <c r="O265" i="5"/>
  <c r="N265" i="5"/>
  <c r="D265" i="5"/>
  <c r="T264" i="5"/>
  <c r="U264" i="5" s="1"/>
  <c r="X264" i="5" s="1"/>
  <c r="Y264" i="5" s="1"/>
  <c r="P264" i="5"/>
  <c r="R264" i="5" s="1"/>
  <c r="S264" i="5" s="1"/>
  <c r="O264" i="5"/>
  <c r="N264" i="5"/>
  <c r="D264" i="5"/>
  <c r="T263" i="5"/>
  <c r="U263" i="5" s="1"/>
  <c r="R263" i="5"/>
  <c r="S263" i="5" s="1"/>
  <c r="O263" i="5"/>
  <c r="N263" i="5"/>
  <c r="D263" i="5"/>
  <c r="T262" i="5"/>
  <c r="U262" i="5" s="1"/>
  <c r="R262" i="5"/>
  <c r="S262" i="5" s="1"/>
  <c r="O262" i="5"/>
  <c r="N262" i="5"/>
  <c r="D262" i="5"/>
  <c r="T261" i="5"/>
  <c r="U261" i="5" s="1"/>
  <c r="R261" i="5"/>
  <c r="S261" i="5" s="1"/>
  <c r="O261" i="5"/>
  <c r="N261" i="5"/>
  <c r="D261" i="5"/>
  <c r="T260" i="5"/>
  <c r="U260" i="5" s="1"/>
  <c r="X260" i="5" s="1"/>
  <c r="Y260" i="5" s="1"/>
  <c r="R260" i="5"/>
  <c r="S260" i="5" s="1"/>
  <c r="O260" i="5"/>
  <c r="N260" i="5"/>
  <c r="D260" i="5"/>
  <c r="T259" i="5"/>
  <c r="U259" i="5" s="1"/>
  <c r="R259" i="5"/>
  <c r="S259" i="5" s="1"/>
  <c r="Z259" i="5" s="1"/>
  <c r="O259" i="5"/>
  <c r="N259" i="5"/>
  <c r="D259" i="5"/>
  <c r="T258" i="5"/>
  <c r="U258" i="5" s="1"/>
  <c r="R258" i="5"/>
  <c r="S258" i="5" s="1"/>
  <c r="O258" i="5"/>
  <c r="N258" i="5"/>
  <c r="D258" i="5"/>
  <c r="T257" i="5"/>
  <c r="U257" i="5" s="1"/>
  <c r="V257" i="5" s="1"/>
  <c r="R257" i="5"/>
  <c r="S257" i="5" s="1"/>
  <c r="Z257" i="5" s="1"/>
  <c r="O257" i="5"/>
  <c r="N257" i="5"/>
  <c r="D257" i="5"/>
  <c r="T256" i="5"/>
  <c r="U256" i="5" s="1"/>
  <c r="R256" i="5"/>
  <c r="S256" i="5" s="1"/>
  <c r="O256" i="5"/>
  <c r="N256" i="5"/>
  <c r="D256" i="5"/>
  <c r="T255" i="5"/>
  <c r="U255" i="5" s="1"/>
  <c r="V255" i="5" s="1"/>
  <c r="R255" i="5"/>
  <c r="S255" i="5" s="1"/>
  <c r="O255" i="5"/>
  <c r="N255" i="5"/>
  <c r="D255" i="5"/>
  <c r="T254" i="5"/>
  <c r="U254" i="5" s="1"/>
  <c r="R254" i="5"/>
  <c r="S254" i="5" s="1"/>
  <c r="O254" i="5"/>
  <c r="N254" i="5"/>
  <c r="D254" i="5"/>
  <c r="T253" i="5"/>
  <c r="U253" i="5" s="1"/>
  <c r="R253" i="5"/>
  <c r="S253" i="5" s="1"/>
  <c r="O253" i="5"/>
  <c r="N253" i="5"/>
  <c r="D253" i="5"/>
  <c r="T251" i="5"/>
  <c r="U251" i="5" s="1"/>
  <c r="V251" i="5" s="1"/>
  <c r="P251" i="5"/>
  <c r="R251" i="5" s="1"/>
  <c r="S251" i="5" s="1"/>
  <c r="W251" i="5" s="1"/>
  <c r="X251" i="5" s="1"/>
  <c r="Y251" i="5" s="1"/>
  <c r="O251" i="5"/>
  <c r="N251" i="5"/>
  <c r="D251" i="5"/>
  <c r="T250" i="5"/>
  <c r="U250" i="5" s="1"/>
  <c r="V250" i="5" s="1"/>
  <c r="R250" i="5"/>
  <c r="S250" i="5" s="1"/>
  <c r="W250" i="5" s="1"/>
  <c r="X250" i="5" s="1"/>
  <c r="Y250" i="5" s="1"/>
  <c r="O250" i="5"/>
  <c r="N250" i="5"/>
  <c r="D250" i="5"/>
  <c r="T249" i="5"/>
  <c r="U249" i="5" s="1"/>
  <c r="R249" i="5"/>
  <c r="S249" i="5" s="1"/>
  <c r="O249" i="5"/>
  <c r="N249" i="5"/>
  <c r="D249" i="5"/>
  <c r="T248" i="5"/>
  <c r="U248" i="5" s="1"/>
  <c r="R248" i="5"/>
  <c r="S248" i="5" s="1"/>
  <c r="O248" i="5"/>
  <c r="N248" i="5"/>
  <c r="D248" i="5"/>
  <c r="T247" i="5"/>
  <c r="U247" i="5" s="1"/>
  <c r="V247" i="5" s="1"/>
  <c r="P247" i="5"/>
  <c r="R247" i="5" s="1"/>
  <c r="S247" i="5" s="1"/>
  <c r="W247" i="5" s="1"/>
  <c r="X247" i="5" s="1"/>
  <c r="Y247" i="5" s="1"/>
  <c r="O247" i="5"/>
  <c r="N247" i="5"/>
  <c r="D247" i="5"/>
  <c r="T246" i="5"/>
  <c r="U246" i="5" s="1"/>
  <c r="R246" i="5"/>
  <c r="S246" i="5" s="1"/>
  <c r="O246" i="5"/>
  <c r="N246" i="5"/>
  <c r="D246" i="5"/>
  <c r="T245" i="5"/>
  <c r="U245" i="5" s="1"/>
  <c r="R245" i="5"/>
  <c r="S245" i="5" s="1"/>
  <c r="O245" i="5"/>
  <c r="N245" i="5"/>
  <c r="D245" i="5"/>
  <c r="T244" i="5"/>
  <c r="U244" i="5" s="1"/>
  <c r="V244" i="5" s="1"/>
  <c r="R244" i="5"/>
  <c r="S244" i="5" s="1"/>
  <c r="O244" i="5"/>
  <c r="N244" i="5"/>
  <c r="D244" i="5"/>
  <c r="T243" i="5"/>
  <c r="U243" i="5" s="1"/>
  <c r="R243" i="5"/>
  <c r="S243" i="5" s="1"/>
  <c r="O243" i="5"/>
  <c r="N243" i="5"/>
  <c r="D243" i="5"/>
  <c r="T242" i="5"/>
  <c r="U242" i="5" s="1"/>
  <c r="V242" i="5" s="1"/>
  <c r="P242" i="5"/>
  <c r="R242" i="5" s="1"/>
  <c r="S242" i="5" s="1"/>
  <c r="W242" i="5" s="1"/>
  <c r="X242" i="5" s="1"/>
  <c r="Y242" i="5" s="1"/>
  <c r="O242" i="5"/>
  <c r="N242" i="5"/>
  <c r="D242" i="5"/>
  <c r="T241" i="5"/>
  <c r="U241" i="5" s="1"/>
  <c r="V241" i="5" s="1"/>
  <c r="R241" i="5"/>
  <c r="S241" i="5" s="1"/>
  <c r="O241" i="5"/>
  <c r="N241" i="5"/>
  <c r="D241" i="5"/>
  <c r="T240" i="5"/>
  <c r="U240" i="5" s="1"/>
  <c r="X240" i="5" s="1"/>
  <c r="Y240" i="5" s="1"/>
  <c r="R240" i="5"/>
  <c r="S240" i="5" s="1"/>
  <c r="O240" i="5"/>
  <c r="N240" i="5"/>
  <c r="D240" i="5"/>
  <c r="T239" i="5"/>
  <c r="U239" i="5" s="1"/>
  <c r="R239" i="5"/>
  <c r="S239" i="5" s="1"/>
  <c r="O239" i="5"/>
  <c r="N239" i="5"/>
  <c r="D239" i="5"/>
  <c r="T238" i="5"/>
  <c r="U238" i="5" s="1"/>
  <c r="R238" i="5"/>
  <c r="S238" i="5" s="1"/>
  <c r="O238" i="5"/>
  <c r="N238" i="5"/>
  <c r="D238" i="5"/>
  <c r="T237" i="5"/>
  <c r="U237" i="5" s="1"/>
  <c r="V237" i="5" s="1"/>
  <c r="P237" i="5"/>
  <c r="R237" i="5" s="1"/>
  <c r="S237" i="5" s="1"/>
  <c r="W237" i="5" s="1"/>
  <c r="O237" i="5"/>
  <c r="N237" i="5"/>
  <c r="D237" i="5"/>
  <c r="T236" i="5"/>
  <c r="U236" i="5" s="1"/>
  <c r="V236" i="5" s="1"/>
  <c r="P236" i="5"/>
  <c r="R236" i="5" s="1"/>
  <c r="S236" i="5" s="1"/>
  <c r="W236" i="5" s="1"/>
  <c r="X236" i="5" s="1"/>
  <c r="Y236" i="5" s="1"/>
  <c r="O236" i="5"/>
  <c r="N236" i="5"/>
  <c r="D236" i="5"/>
  <c r="T235" i="5"/>
  <c r="U235" i="5" s="1"/>
  <c r="X235" i="5" s="1"/>
  <c r="Y235" i="5" s="1"/>
  <c r="P235" i="5"/>
  <c r="R235" i="5" s="1"/>
  <c r="S235" i="5" s="1"/>
  <c r="O235" i="5"/>
  <c r="N235" i="5"/>
  <c r="D235" i="5"/>
  <c r="T234" i="5"/>
  <c r="U234" i="5" s="1"/>
  <c r="V234" i="5" s="1"/>
  <c r="P234" i="5"/>
  <c r="R234" i="5" s="1"/>
  <c r="S234" i="5" s="1"/>
  <c r="W234" i="5" s="1"/>
  <c r="X234" i="5" s="1"/>
  <c r="Y234" i="5" s="1"/>
  <c r="O234" i="5"/>
  <c r="N234" i="5"/>
  <c r="D234" i="5"/>
  <c r="T233" i="5"/>
  <c r="U233" i="5" s="1"/>
  <c r="V233" i="5" s="1"/>
  <c r="R233" i="5"/>
  <c r="S233" i="5" s="1"/>
  <c r="O233" i="5"/>
  <c r="N233" i="5"/>
  <c r="D233" i="5"/>
  <c r="T232" i="5"/>
  <c r="U232" i="5" s="1"/>
  <c r="R232" i="5"/>
  <c r="S232" i="5" s="1"/>
  <c r="O232" i="5"/>
  <c r="N232" i="5"/>
  <c r="D232" i="5"/>
  <c r="T231" i="5"/>
  <c r="U231" i="5" s="1"/>
  <c r="R231" i="5"/>
  <c r="S231" i="5" s="1"/>
  <c r="O231" i="5"/>
  <c r="N231" i="5"/>
  <c r="D231" i="5"/>
  <c r="T230" i="5"/>
  <c r="U230" i="5" s="1"/>
  <c r="R230" i="5"/>
  <c r="S230" i="5" s="1"/>
  <c r="O230" i="5"/>
  <c r="N230" i="5"/>
  <c r="D230" i="5"/>
  <c r="T229" i="5"/>
  <c r="U229" i="5" s="1"/>
  <c r="R229" i="5"/>
  <c r="S229" i="5" s="1"/>
  <c r="O229" i="5"/>
  <c r="N229" i="5"/>
  <c r="D229" i="5"/>
  <c r="T228" i="5"/>
  <c r="U228" i="5" s="1"/>
  <c r="R228" i="5"/>
  <c r="S228" i="5" s="1"/>
  <c r="O228" i="5"/>
  <c r="N228" i="5"/>
  <c r="D228" i="5"/>
  <c r="T227" i="5"/>
  <c r="U227" i="5" s="1"/>
  <c r="R227" i="5"/>
  <c r="S227" i="5" s="1"/>
  <c r="O227" i="5"/>
  <c r="N227" i="5"/>
  <c r="D227" i="5"/>
  <c r="T226" i="5"/>
  <c r="U226" i="5" s="1"/>
  <c r="P226" i="5"/>
  <c r="R226" i="5" s="1"/>
  <c r="S226" i="5" s="1"/>
  <c r="O226" i="5"/>
  <c r="N226" i="5"/>
  <c r="D226" i="5"/>
  <c r="T224" i="5"/>
  <c r="U224" i="5" s="1"/>
  <c r="R224" i="5"/>
  <c r="S224" i="5" s="1"/>
  <c r="O224" i="5"/>
  <c r="N224" i="5"/>
  <c r="D224" i="5"/>
  <c r="T223" i="5"/>
  <c r="U223" i="5" s="1"/>
  <c r="R223" i="5"/>
  <c r="S223" i="5" s="1"/>
  <c r="O223" i="5"/>
  <c r="N223" i="5"/>
  <c r="D223" i="5"/>
  <c r="T222" i="5"/>
  <c r="U222" i="5" s="1"/>
  <c r="R222" i="5"/>
  <c r="S222" i="5" s="1"/>
  <c r="O222" i="5"/>
  <c r="N222" i="5"/>
  <c r="D222" i="5"/>
  <c r="T221" i="5"/>
  <c r="U221" i="5" s="1"/>
  <c r="X221" i="5" s="1"/>
  <c r="Y221" i="5" s="1"/>
  <c r="R221" i="5"/>
  <c r="S221" i="5" s="1"/>
  <c r="O221" i="5"/>
  <c r="N221" i="5"/>
  <c r="D221" i="5"/>
  <c r="T220" i="5"/>
  <c r="U220" i="5" s="1"/>
  <c r="R220" i="5"/>
  <c r="S220" i="5" s="1"/>
  <c r="O220" i="5"/>
  <c r="N220" i="5"/>
  <c r="D220" i="5"/>
  <c r="T219" i="5"/>
  <c r="U219" i="5" s="1"/>
  <c r="R219" i="5"/>
  <c r="S219" i="5" s="1"/>
  <c r="O219" i="5"/>
  <c r="N219" i="5"/>
  <c r="D219" i="5"/>
  <c r="T218" i="5"/>
  <c r="U218" i="5" s="1"/>
  <c r="V218" i="5" s="1"/>
  <c r="R218" i="5"/>
  <c r="S218" i="5" s="1"/>
  <c r="W218" i="5" s="1"/>
  <c r="X218" i="5" s="1"/>
  <c r="Y218" i="5" s="1"/>
  <c r="O218" i="5"/>
  <c r="N218" i="5"/>
  <c r="D218" i="5"/>
  <c r="X217" i="5"/>
  <c r="Y217" i="5" s="1"/>
  <c r="T217" i="5"/>
  <c r="U217" i="5" s="1"/>
  <c r="V217" i="5" s="1"/>
  <c r="R217" i="5"/>
  <c r="S217" i="5" s="1"/>
  <c r="O217" i="5"/>
  <c r="N217" i="5"/>
  <c r="D217" i="5"/>
  <c r="T216" i="5"/>
  <c r="U216" i="5" s="1"/>
  <c r="R216" i="5"/>
  <c r="S216" i="5" s="1"/>
  <c r="O216" i="5"/>
  <c r="N216" i="5"/>
  <c r="D216" i="5"/>
  <c r="T215" i="5"/>
  <c r="U215" i="5" s="1"/>
  <c r="R215" i="5"/>
  <c r="S215" i="5" s="1"/>
  <c r="Z215" i="5" s="1"/>
  <c r="O215" i="5"/>
  <c r="N215" i="5"/>
  <c r="D215" i="5"/>
  <c r="T214" i="5"/>
  <c r="U214" i="5" s="1"/>
  <c r="R214" i="5"/>
  <c r="S214" i="5" s="1"/>
  <c r="O214" i="5"/>
  <c r="N214" i="5"/>
  <c r="D214" i="5"/>
  <c r="T213" i="5"/>
  <c r="U213" i="5" s="1"/>
  <c r="R213" i="5"/>
  <c r="S213" i="5" s="1"/>
  <c r="Z213" i="5" s="1"/>
  <c r="O213" i="5"/>
  <c r="N213" i="5"/>
  <c r="D213" i="5"/>
  <c r="T212" i="5"/>
  <c r="U212" i="5" s="1"/>
  <c r="R212" i="5"/>
  <c r="S212" i="5" s="1"/>
  <c r="Z212" i="5" s="1"/>
  <c r="O212" i="5"/>
  <c r="N212" i="5"/>
  <c r="D212" i="5"/>
  <c r="T211" i="5"/>
  <c r="U211" i="5" s="1"/>
  <c r="R211" i="5"/>
  <c r="S211" i="5" s="1"/>
  <c r="O211" i="5"/>
  <c r="N211" i="5"/>
  <c r="D211" i="5"/>
  <c r="T210" i="5"/>
  <c r="U210" i="5" s="1"/>
  <c r="R210" i="5"/>
  <c r="S210" i="5" s="1"/>
  <c r="O210" i="5"/>
  <c r="N210" i="5"/>
  <c r="D210" i="5"/>
  <c r="T209" i="5"/>
  <c r="U209" i="5" s="1"/>
  <c r="R209" i="5"/>
  <c r="S209" i="5" s="1"/>
  <c r="O209" i="5"/>
  <c r="N209" i="5"/>
  <c r="D209" i="5"/>
  <c r="T208" i="5"/>
  <c r="U208" i="5" s="1"/>
  <c r="R208" i="5"/>
  <c r="S208" i="5" s="1"/>
  <c r="O208" i="5"/>
  <c r="N208" i="5"/>
  <c r="D208" i="5"/>
  <c r="T207" i="5"/>
  <c r="U207" i="5" s="1"/>
  <c r="V207" i="5" s="1"/>
  <c r="R207" i="5"/>
  <c r="S207" i="5" s="1"/>
  <c r="W207" i="5" s="1"/>
  <c r="X207" i="5" s="1"/>
  <c r="Y207" i="5" s="1"/>
  <c r="O207" i="5"/>
  <c r="N207" i="5"/>
  <c r="D207" i="5"/>
  <c r="T206" i="5"/>
  <c r="U206" i="5" s="1"/>
  <c r="R206" i="5"/>
  <c r="S206" i="5" s="1"/>
  <c r="Z206" i="5" s="1"/>
  <c r="O206" i="5"/>
  <c r="N206" i="5"/>
  <c r="D206" i="5"/>
  <c r="T205" i="5"/>
  <c r="U205" i="5" s="1"/>
  <c r="R205" i="5"/>
  <c r="S205" i="5" s="1"/>
  <c r="O205" i="5"/>
  <c r="N205" i="5"/>
  <c r="D205" i="5"/>
  <c r="T204" i="5"/>
  <c r="U204" i="5" s="1"/>
  <c r="R204" i="5"/>
  <c r="S204" i="5" s="1"/>
  <c r="O204" i="5"/>
  <c r="N204" i="5"/>
  <c r="D204" i="5"/>
  <c r="T203" i="5"/>
  <c r="U203" i="5" s="1"/>
  <c r="R203" i="5"/>
  <c r="S203" i="5" s="1"/>
  <c r="O203" i="5"/>
  <c r="N203" i="5"/>
  <c r="D203" i="5"/>
  <c r="T202" i="5"/>
  <c r="U202" i="5" s="1"/>
  <c r="R202" i="5"/>
  <c r="S202" i="5" s="1"/>
  <c r="Z202" i="5" s="1"/>
  <c r="O202" i="5"/>
  <c r="N202" i="5"/>
  <c r="D202" i="5"/>
  <c r="T201" i="5"/>
  <c r="U201" i="5" s="1"/>
  <c r="X201" i="5" s="1"/>
  <c r="Y201" i="5" s="1"/>
  <c r="R201" i="5"/>
  <c r="S201" i="5" s="1"/>
  <c r="O201" i="5"/>
  <c r="N201" i="5"/>
  <c r="D201" i="5"/>
  <c r="T200" i="5"/>
  <c r="U200" i="5" s="1"/>
  <c r="R200" i="5"/>
  <c r="S200" i="5" s="1"/>
  <c r="O200" i="5"/>
  <c r="N200" i="5"/>
  <c r="D200" i="5"/>
  <c r="T199" i="5"/>
  <c r="U199" i="5" s="1"/>
  <c r="R199" i="5"/>
  <c r="S199" i="5" s="1"/>
  <c r="O199" i="5"/>
  <c r="N199" i="5"/>
  <c r="D199" i="5"/>
  <c r="T197" i="5"/>
  <c r="U197" i="5" s="1"/>
  <c r="R197" i="5"/>
  <c r="S197" i="5" s="1"/>
  <c r="Z197" i="5" s="1"/>
  <c r="O197" i="5"/>
  <c r="N197" i="5"/>
  <c r="D197" i="5"/>
  <c r="T196" i="5"/>
  <c r="U196" i="5" s="1"/>
  <c r="R196" i="5"/>
  <c r="S196" i="5" s="1"/>
  <c r="O196" i="5"/>
  <c r="N196" i="5"/>
  <c r="D196" i="5"/>
  <c r="T195" i="5"/>
  <c r="U195" i="5" s="1"/>
  <c r="R195" i="5"/>
  <c r="S195" i="5" s="1"/>
  <c r="O195" i="5"/>
  <c r="N195" i="5"/>
  <c r="D195" i="5"/>
  <c r="T194" i="5"/>
  <c r="U194" i="5" s="1"/>
  <c r="V194" i="5" s="1"/>
  <c r="R194" i="5"/>
  <c r="S194" i="5" s="1"/>
  <c r="O194" i="5"/>
  <c r="N194" i="5"/>
  <c r="D194" i="5"/>
  <c r="T193" i="5"/>
  <c r="U193" i="5" s="1"/>
  <c r="R193" i="5"/>
  <c r="S193" i="5" s="1"/>
  <c r="O193" i="5"/>
  <c r="N193" i="5"/>
  <c r="D193" i="5"/>
  <c r="T192" i="5"/>
  <c r="U192" i="5" s="1"/>
  <c r="R192" i="5"/>
  <c r="S192" i="5" s="1"/>
  <c r="O192" i="5"/>
  <c r="N192" i="5"/>
  <c r="D192" i="5"/>
  <c r="T191" i="5"/>
  <c r="U191" i="5" s="1"/>
  <c r="V191" i="5" s="1"/>
  <c r="R191" i="5"/>
  <c r="S191" i="5" s="1"/>
  <c r="W191" i="5" s="1"/>
  <c r="X191" i="5" s="1"/>
  <c r="Y191" i="5" s="1"/>
  <c r="O191" i="5"/>
  <c r="N191" i="5"/>
  <c r="D191" i="5"/>
  <c r="T190" i="5"/>
  <c r="U190" i="5" s="1"/>
  <c r="R190" i="5"/>
  <c r="S190" i="5" s="1"/>
  <c r="O190" i="5"/>
  <c r="N190" i="5"/>
  <c r="D190" i="5"/>
  <c r="T189" i="5"/>
  <c r="U189" i="5" s="1"/>
  <c r="V189" i="5" s="1"/>
  <c r="R189" i="5"/>
  <c r="S189" i="5" s="1"/>
  <c r="W189" i="5" s="1"/>
  <c r="X189" i="5" s="1"/>
  <c r="Y189" i="5" s="1"/>
  <c r="O189" i="5"/>
  <c r="N189" i="5"/>
  <c r="D189" i="5"/>
  <c r="T188" i="5"/>
  <c r="U188" i="5" s="1"/>
  <c r="R188" i="5"/>
  <c r="S188" i="5" s="1"/>
  <c r="O188" i="5"/>
  <c r="N188" i="5"/>
  <c r="D188" i="5"/>
  <c r="T187" i="5"/>
  <c r="U187" i="5" s="1"/>
  <c r="R187" i="5"/>
  <c r="S187" i="5" s="1"/>
  <c r="O187" i="5"/>
  <c r="N187" i="5"/>
  <c r="D187" i="5"/>
  <c r="T186" i="5"/>
  <c r="U186" i="5" s="1"/>
  <c r="R186" i="5"/>
  <c r="S186" i="5" s="1"/>
  <c r="O186" i="5"/>
  <c r="N186" i="5"/>
  <c r="D186" i="5"/>
  <c r="T185" i="5"/>
  <c r="U185" i="5" s="1"/>
  <c r="R185" i="5"/>
  <c r="S185" i="5" s="1"/>
  <c r="Z185" i="5" s="1"/>
  <c r="O185" i="5"/>
  <c r="N185" i="5"/>
  <c r="D185" i="5"/>
  <c r="T184" i="5"/>
  <c r="U184" i="5" s="1"/>
  <c r="R184" i="5"/>
  <c r="S184" i="5" s="1"/>
  <c r="O184" i="5"/>
  <c r="N184" i="5"/>
  <c r="D184" i="5"/>
  <c r="T183" i="5"/>
  <c r="U183" i="5" s="1"/>
  <c r="R183" i="5"/>
  <c r="S183" i="5" s="1"/>
  <c r="Z183" i="5" s="1"/>
  <c r="O183" i="5"/>
  <c r="N183" i="5"/>
  <c r="D183" i="5"/>
  <c r="T182" i="5"/>
  <c r="U182" i="5" s="1"/>
  <c r="R182" i="5"/>
  <c r="S182" i="5" s="1"/>
  <c r="O182" i="5"/>
  <c r="N182" i="5"/>
  <c r="D182" i="5"/>
  <c r="T181" i="5"/>
  <c r="U181" i="5" s="1"/>
  <c r="R181" i="5"/>
  <c r="S181" i="5" s="1"/>
  <c r="O181" i="5"/>
  <c r="N181" i="5"/>
  <c r="D181" i="5"/>
  <c r="T180" i="5"/>
  <c r="U180" i="5" s="1"/>
  <c r="R180" i="5"/>
  <c r="S180" i="5" s="1"/>
  <c r="O180" i="5"/>
  <c r="N180" i="5"/>
  <c r="D180" i="5"/>
  <c r="T179" i="5"/>
  <c r="U179" i="5" s="1"/>
  <c r="R179" i="5"/>
  <c r="S179" i="5" s="1"/>
  <c r="O179" i="5"/>
  <c r="N179" i="5"/>
  <c r="D179" i="5"/>
  <c r="T178" i="5"/>
  <c r="U178" i="5" s="1"/>
  <c r="R178" i="5"/>
  <c r="S178" i="5" s="1"/>
  <c r="O178" i="5"/>
  <c r="N178" i="5"/>
  <c r="D178" i="5"/>
  <c r="T177" i="5"/>
  <c r="U177" i="5" s="1"/>
  <c r="R177" i="5"/>
  <c r="S177" i="5" s="1"/>
  <c r="O177" i="5"/>
  <c r="N177" i="5"/>
  <c r="D177" i="5"/>
  <c r="T176" i="5"/>
  <c r="U176" i="5" s="1"/>
  <c r="R176" i="5"/>
  <c r="S176" i="5" s="1"/>
  <c r="O176" i="5"/>
  <c r="N176" i="5"/>
  <c r="D176" i="5"/>
  <c r="T175" i="5"/>
  <c r="U175" i="5" s="1"/>
  <c r="R175" i="5"/>
  <c r="S175" i="5" s="1"/>
  <c r="O175" i="5"/>
  <c r="N175" i="5"/>
  <c r="D175" i="5"/>
  <c r="T174" i="5"/>
  <c r="U174" i="5" s="1"/>
  <c r="R174" i="5"/>
  <c r="S174" i="5" s="1"/>
  <c r="O174" i="5"/>
  <c r="N174" i="5"/>
  <c r="D174" i="5"/>
  <c r="T173" i="5"/>
  <c r="U173" i="5" s="1"/>
  <c r="R173" i="5"/>
  <c r="S173" i="5" s="1"/>
  <c r="Z173" i="5" s="1"/>
  <c r="O173" i="5"/>
  <c r="N173" i="5"/>
  <c r="D173" i="5"/>
  <c r="T172" i="5"/>
  <c r="U172" i="5" s="1"/>
  <c r="R172" i="5"/>
  <c r="S172" i="5" s="1"/>
  <c r="O172" i="5"/>
  <c r="N172" i="5"/>
  <c r="D172" i="5"/>
  <c r="T170" i="5"/>
  <c r="U170" i="5" s="1"/>
  <c r="V170" i="5" s="1"/>
  <c r="P170" i="5"/>
  <c r="R170" i="5" s="1"/>
  <c r="S170" i="5" s="1"/>
  <c r="W170" i="5" s="1"/>
  <c r="X170" i="5" s="1"/>
  <c r="Y170" i="5" s="1"/>
  <c r="O170" i="5"/>
  <c r="N170" i="5"/>
  <c r="D170" i="5"/>
  <c r="T169" i="5"/>
  <c r="U169" i="5" s="1"/>
  <c r="X169" i="5" s="1"/>
  <c r="Y169" i="5" s="1"/>
  <c r="P169" i="5"/>
  <c r="R169" i="5" s="1"/>
  <c r="S169" i="5" s="1"/>
  <c r="O169" i="5"/>
  <c r="N169" i="5"/>
  <c r="D169" i="5"/>
  <c r="T168" i="5"/>
  <c r="U168" i="5" s="1"/>
  <c r="V168" i="5" s="1"/>
  <c r="P168" i="5"/>
  <c r="R168" i="5" s="1"/>
  <c r="S168" i="5" s="1"/>
  <c r="W168" i="5" s="1"/>
  <c r="X168" i="5" s="1"/>
  <c r="Y168" i="5" s="1"/>
  <c r="O168" i="5"/>
  <c r="N168" i="5"/>
  <c r="D168" i="5"/>
  <c r="T167" i="5"/>
  <c r="U167" i="5" s="1"/>
  <c r="R167" i="5"/>
  <c r="S167" i="5" s="1"/>
  <c r="O167" i="5"/>
  <c r="N167" i="5"/>
  <c r="D167" i="5"/>
  <c r="T166" i="5"/>
  <c r="U166" i="5" s="1"/>
  <c r="R166" i="5"/>
  <c r="S166" i="5" s="1"/>
  <c r="O166" i="5"/>
  <c r="N166" i="5"/>
  <c r="D166" i="5"/>
  <c r="T165" i="5"/>
  <c r="U165" i="5" s="1"/>
  <c r="R165" i="5"/>
  <c r="S165" i="5" s="1"/>
  <c r="O165" i="5"/>
  <c r="N165" i="5"/>
  <c r="D165" i="5"/>
  <c r="T164" i="5"/>
  <c r="U164" i="5" s="1"/>
  <c r="R164" i="5"/>
  <c r="S164" i="5" s="1"/>
  <c r="O164" i="5"/>
  <c r="N164" i="5"/>
  <c r="D164" i="5"/>
  <c r="T163" i="5"/>
  <c r="U163" i="5" s="1"/>
  <c r="R163" i="5"/>
  <c r="S163" i="5" s="1"/>
  <c r="O163" i="5"/>
  <c r="N163" i="5"/>
  <c r="D163" i="5"/>
  <c r="T162" i="5"/>
  <c r="U162" i="5" s="1"/>
  <c r="R162" i="5"/>
  <c r="S162" i="5" s="1"/>
  <c r="O162" i="5"/>
  <c r="N162" i="5"/>
  <c r="D162" i="5"/>
  <c r="T161" i="5"/>
  <c r="U161" i="5" s="1"/>
  <c r="R161" i="5"/>
  <c r="S161" i="5" s="1"/>
  <c r="O161" i="5"/>
  <c r="N161" i="5"/>
  <c r="D161" i="5"/>
  <c r="T160" i="5"/>
  <c r="U160" i="5" s="1"/>
  <c r="P160" i="5"/>
  <c r="R160" i="5" s="1"/>
  <c r="S160" i="5" s="1"/>
  <c r="Z160" i="5" s="1"/>
  <c r="O160" i="5"/>
  <c r="N160" i="5"/>
  <c r="D160" i="5"/>
  <c r="T158" i="5"/>
  <c r="U158" i="5" s="1"/>
  <c r="P158" i="5"/>
  <c r="R158" i="5" s="1"/>
  <c r="S158" i="5" s="1"/>
  <c r="O158" i="5"/>
  <c r="N158" i="5"/>
  <c r="D158" i="5"/>
  <c r="T157" i="5"/>
  <c r="U157" i="5" s="1"/>
  <c r="R157" i="5"/>
  <c r="S157" i="5" s="1"/>
  <c r="O157" i="5"/>
  <c r="N157" i="5"/>
  <c r="D157" i="5"/>
  <c r="T156" i="5"/>
  <c r="U156" i="5" s="1"/>
  <c r="R156" i="5"/>
  <c r="S156" i="5" s="1"/>
  <c r="O156" i="5"/>
  <c r="N156" i="5"/>
  <c r="D156" i="5"/>
  <c r="T155" i="5"/>
  <c r="U155" i="5" s="1"/>
  <c r="R155" i="5"/>
  <c r="S155" i="5" s="1"/>
  <c r="O155" i="5"/>
  <c r="N155" i="5"/>
  <c r="D155" i="5"/>
  <c r="T154" i="5"/>
  <c r="U154" i="5" s="1"/>
  <c r="R154" i="5"/>
  <c r="S154" i="5" s="1"/>
  <c r="O154" i="5"/>
  <c r="N154" i="5"/>
  <c r="D154" i="5"/>
  <c r="T153" i="5"/>
  <c r="U153" i="5" s="1"/>
  <c r="R153" i="5"/>
  <c r="S153" i="5" s="1"/>
  <c r="O153" i="5"/>
  <c r="N153" i="5"/>
  <c r="D153" i="5"/>
  <c r="T152" i="5"/>
  <c r="U152" i="5" s="1"/>
  <c r="R152" i="5"/>
  <c r="S152" i="5" s="1"/>
  <c r="O152" i="5"/>
  <c r="N152" i="5"/>
  <c r="D152" i="5"/>
  <c r="T151" i="5"/>
  <c r="U151" i="5" s="1"/>
  <c r="R151" i="5"/>
  <c r="S151" i="5" s="1"/>
  <c r="O151" i="5"/>
  <c r="N151" i="5"/>
  <c r="D151" i="5"/>
  <c r="T150" i="5"/>
  <c r="U150" i="5" s="1"/>
  <c r="V150" i="5" s="1"/>
  <c r="R150" i="5"/>
  <c r="S150" i="5" s="1"/>
  <c r="O150" i="5"/>
  <c r="N150" i="5"/>
  <c r="D150" i="5"/>
  <c r="T149" i="5"/>
  <c r="U149" i="5" s="1"/>
  <c r="R149" i="5"/>
  <c r="S149" i="5" s="1"/>
  <c r="O149" i="5"/>
  <c r="N149" i="5"/>
  <c r="D149" i="5"/>
  <c r="T148" i="5"/>
  <c r="U148" i="5" s="1"/>
  <c r="R148" i="5"/>
  <c r="S148" i="5" s="1"/>
  <c r="Z148" i="5" s="1"/>
  <c r="O148" i="5"/>
  <c r="N148" i="5"/>
  <c r="D148" i="5"/>
  <c r="T147" i="5"/>
  <c r="U147" i="5" s="1"/>
  <c r="X147" i="5" s="1"/>
  <c r="Y147" i="5" s="1"/>
  <c r="R147" i="5"/>
  <c r="S147" i="5" s="1"/>
  <c r="Z147" i="5" s="1"/>
  <c r="O147" i="5"/>
  <c r="N147" i="5"/>
  <c r="D147" i="5"/>
  <c r="T146" i="5"/>
  <c r="U146" i="5" s="1"/>
  <c r="R146" i="5"/>
  <c r="S146" i="5" s="1"/>
  <c r="O146" i="5"/>
  <c r="N146" i="5"/>
  <c r="D146" i="5"/>
  <c r="T145" i="5"/>
  <c r="U145" i="5" s="1"/>
  <c r="R145" i="5"/>
  <c r="S145" i="5" s="1"/>
  <c r="O145" i="5"/>
  <c r="N145" i="5"/>
  <c r="D145" i="5"/>
  <c r="T144" i="5"/>
  <c r="U144" i="5" s="1"/>
  <c r="R144" i="5"/>
  <c r="S144" i="5" s="1"/>
  <c r="O144" i="5"/>
  <c r="N144" i="5"/>
  <c r="D144" i="5"/>
  <c r="T142" i="5"/>
  <c r="U142" i="5" s="1"/>
  <c r="R142" i="5"/>
  <c r="S142" i="5" s="1"/>
  <c r="O142" i="5"/>
  <c r="N142" i="5"/>
  <c r="D142" i="5"/>
  <c r="T141" i="5"/>
  <c r="U141" i="5" s="1"/>
  <c r="R141" i="5"/>
  <c r="S141" i="5" s="1"/>
  <c r="O141" i="5"/>
  <c r="N141" i="5"/>
  <c r="D141" i="5"/>
  <c r="T140" i="5"/>
  <c r="U140" i="5" s="1"/>
  <c r="R140" i="5"/>
  <c r="S140" i="5" s="1"/>
  <c r="O140" i="5"/>
  <c r="N140" i="5"/>
  <c r="D140" i="5"/>
  <c r="T139" i="5"/>
  <c r="U139" i="5" s="1"/>
  <c r="R139" i="5"/>
  <c r="S139" i="5" s="1"/>
  <c r="O139" i="5"/>
  <c r="N139" i="5"/>
  <c r="D139" i="5"/>
  <c r="T138" i="5"/>
  <c r="U138" i="5" s="1"/>
  <c r="R138" i="5"/>
  <c r="S138" i="5" s="1"/>
  <c r="O138" i="5"/>
  <c r="N138" i="5"/>
  <c r="D138" i="5"/>
  <c r="T137" i="5"/>
  <c r="U137" i="5" s="1"/>
  <c r="R137" i="5"/>
  <c r="S137" i="5" s="1"/>
  <c r="O137" i="5"/>
  <c r="N137" i="5"/>
  <c r="D137" i="5"/>
  <c r="T136" i="5"/>
  <c r="U136" i="5" s="1"/>
  <c r="R136" i="5"/>
  <c r="S136" i="5" s="1"/>
  <c r="O136" i="5"/>
  <c r="N136" i="5"/>
  <c r="D136" i="5"/>
  <c r="T135" i="5"/>
  <c r="U135" i="5" s="1"/>
  <c r="R135" i="5"/>
  <c r="S135" i="5" s="1"/>
  <c r="O135" i="5"/>
  <c r="N135" i="5"/>
  <c r="D135" i="5"/>
  <c r="T134" i="5"/>
  <c r="U134" i="5" s="1"/>
  <c r="R134" i="5"/>
  <c r="S134" i="5" s="1"/>
  <c r="O134" i="5"/>
  <c r="N134" i="5"/>
  <c r="D134" i="5"/>
  <c r="T133" i="5"/>
  <c r="U133" i="5" s="1"/>
  <c r="R133" i="5"/>
  <c r="S133" i="5" s="1"/>
  <c r="O133" i="5"/>
  <c r="N133" i="5"/>
  <c r="D133" i="5"/>
  <c r="T132" i="5"/>
  <c r="U132" i="5" s="1"/>
  <c r="R132" i="5"/>
  <c r="S132" i="5" s="1"/>
  <c r="O132" i="5"/>
  <c r="N132" i="5"/>
  <c r="D132" i="5"/>
  <c r="T131" i="5"/>
  <c r="U131" i="5" s="1"/>
  <c r="R131" i="5"/>
  <c r="S131" i="5" s="1"/>
  <c r="O131" i="5"/>
  <c r="N131" i="5"/>
  <c r="D131" i="5"/>
  <c r="T130" i="5"/>
  <c r="U130" i="5" s="1"/>
  <c r="R130" i="5"/>
  <c r="S130" i="5" s="1"/>
  <c r="O130" i="5"/>
  <c r="N130" i="5"/>
  <c r="D130" i="5"/>
  <c r="T129" i="5"/>
  <c r="U129" i="5" s="1"/>
  <c r="X129" i="5" s="1"/>
  <c r="Y129" i="5" s="1"/>
  <c r="R129" i="5"/>
  <c r="S129" i="5" s="1"/>
  <c r="O129" i="5"/>
  <c r="N129" i="5"/>
  <c r="D129" i="5"/>
  <c r="T128" i="5"/>
  <c r="U128" i="5" s="1"/>
  <c r="R128" i="5"/>
  <c r="S128" i="5" s="1"/>
  <c r="O128" i="5"/>
  <c r="N128" i="5"/>
  <c r="D128" i="5"/>
  <c r="T127" i="5"/>
  <c r="U127" i="5" s="1"/>
  <c r="R127" i="5"/>
  <c r="S127" i="5" s="1"/>
  <c r="O127" i="5"/>
  <c r="N127" i="5"/>
  <c r="D127" i="5"/>
  <c r="T126" i="5"/>
  <c r="U126" i="5" s="1"/>
  <c r="R126" i="5"/>
  <c r="S126" i="5" s="1"/>
  <c r="O126" i="5"/>
  <c r="N126" i="5"/>
  <c r="D126" i="5"/>
  <c r="T125" i="5"/>
  <c r="U125" i="5" s="1"/>
  <c r="R125" i="5"/>
  <c r="S125" i="5" s="1"/>
  <c r="O125" i="5"/>
  <c r="N125" i="5"/>
  <c r="D125" i="5"/>
  <c r="T124" i="5"/>
  <c r="U124" i="5" s="1"/>
  <c r="R124" i="5"/>
  <c r="S124" i="5" s="1"/>
  <c r="Z124" i="5" s="1"/>
  <c r="O124" i="5"/>
  <c r="N124" i="5"/>
  <c r="D124" i="5"/>
  <c r="T123" i="5"/>
  <c r="U123" i="5" s="1"/>
  <c r="R123" i="5"/>
  <c r="S123" i="5" s="1"/>
  <c r="O123" i="5"/>
  <c r="N123" i="5"/>
  <c r="D123" i="5"/>
  <c r="T122" i="5"/>
  <c r="U122" i="5" s="1"/>
  <c r="R122" i="5"/>
  <c r="S122" i="5" s="1"/>
  <c r="O122" i="5"/>
  <c r="N122" i="5"/>
  <c r="D122" i="5"/>
  <c r="T121" i="5"/>
  <c r="U121" i="5" s="1"/>
  <c r="R121" i="5"/>
  <c r="S121" i="5" s="1"/>
  <c r="O121" i="5"/>
  <c r="N121" i="5"/>
  <c r="D121" i="5"/>
  <c r="T120" i="5"/>
  <c r="U120" i="5" s="1"/>
  <c r="R120" i="5"/>
  <c r="S120" i="5" s="1"/>
  <c r="O120" i="5"/>
  <c r="N120" i="5"/>
  <c r="D120" i="5"/>
  <c r="T119" i="5"/>
  <c r="U119" i="5" s="1"/>
  <c r="R119" i="5"/>
  <c r="S119" i="5" s="1"/>
  <c r="O119" i="5"/>
  <c r="N119" i="5"/>
  <c r="D119" i="5"/>
  <c r="T118" i="5"/>
  <c r="U118" i="5" s="1"/>
  <c r="R118" i="5"/>
  <c r="S118" i="5" s="1"/>
  <c r="O118" i="5"/>
  <c r="N118" i="5"/>
  <c r="D118" i="5"/>
  <c r="T117" i="5"/>
  <c r="U117" i="5" s="1"/>
  <c r="R117" i="5"/>
  <c r="S117" i="5" s="1"/>
  <c r="Z117" i="5" s="1"/>
  <c r="O117" i="5"/>
  <c r="N117" i="5"/>
  <c r="D117" i="5"/>
  <c r="T116" i="5"/>
  <c r="U116" i="5" s="1"/>
  <c r="R116" i="5"/>
  <c r="S116" i="5" s="1"/>
  <c r="O116" i="5"/>
  <c r="N116" i="5"/>
  <c r="D116" i="5"/>
  <c r="T115" i="5"/>
  <c r="U115" i="5" s="1"/>
  <c r="R115" i="5"/>
  <c r="S115" i="5" s="1"/>
  <c r="O115" i="5"/>
  <c r="N115" i="5"/>
  <c r="D115" i="5"/>
  <c r="T114" i="5"/>
  <c r="U114" i="5" s="1"/>
  <c r="R114" i="5"/>
  <c r="S114" i="5" s="1"/>
  <c r="O114" i="5"/>
  <c r="N114" i="5"/>
  <c r="D114" i="5"/>
  <c r="T113" i="5"/>
  <c r="U113" i="5" s="1"/>
  <c r="R113" i="5"/>
  <c r="S113" i="5" s="1"/>
  <c r="O113" i="5"/>
  <c r="N113" i="5"/>
  <c r="D113" i="5"/>
  <c r="T112" i="5"/>
  <c r="U112" i="5" s="1"/>
  <c r="R112" i="5"/>
  <c r="S112" i="5" s="1"/>
  <c r="O112" i="5"/>
  <c r="N112" i="5"/>
  <c r="D112" i="5"/>
  <c r="T111" i="5"/>
  <c r="U111" i="5" s="1"/>
  <c r="R111" i="5"/>
  <c r="S111" i="5" s="1"/>
  <c r="O111" i="5"/>
  <c r="N111" i="5"/>
  <c r="D111" i="5"/>
  <c r="T110" i="5"/>
  <c r="U110" i="5" s="1"/>
  <c r="R110" i="5"/>
  <c r="S110" i="5" s="1"/>
  <c r="O110" i="5"/>
  <c r="N110" i="5"/>
  <c r="D110" i="5"/>
  <c r="T109" i="5"/>
  <c r="U109" i="5" s="1"/>
  <c r="R109" i="5"/>
  <c r="S109" i="5" s="1"/>
  <c r="O109" i="5"/>
  <c r="N109" i="5"/>
  <c r="D109" i="5"/>
  <c r="T108" i="5"/>
  <c r="U108" i="5" s="1"/>
  <c r="R108" i="5"/>
  <c r="S108" i="5" s="1"/>
  <c r="O108" i="5"/>
  <c r="N108" i="5"/>
  <c r="D108" i="5"/>
  <c r="T107" i="5"/>
  <c r="U107" i="5" s="1"/>
  <c r="R107" i="5"/>
  <c r="S107" i="5" s="1"/>
  <c r="O107" i="5"/>
  <c r="N107" i="5"/>
  <c r="D107" i="5"/>
  <c r="T106" i="5"/>
  <c r="U106" i="5" s="1"/>
  <c r="T105" i="5"/>
  <c r="U105" i="5" s="1"/>
  <c r="R105" i="5"/>
  <c r="S105" i="5" s="1"/>
  <c r="O105" i="5"/>
  <c r="N105" i="5"/>
  <c r="D105" i="5"/>
  <c r="T104" i="5"/>
  <c r="U104" i="5" s="1"/>
  <c r="X104" i="5" s="1"/>
  <c r="Y104" i="5" s="1"/>
  <c r="R104" i="5"/>
  <c r="S104" i="5" s="1"/>
  <c r="O104" i="5"/>
  <c r="N104" i="5"/>
  <c r="D104" i="5"/>
  <c r="T103" i="5"/>
  <c r="U103" i="5" s="1"/>
  <c r="R103" i="5"/>
  <c r="S103" i="5" s="1"/>
  <c r="O103" i="5"/>
  <c r="N103" i="5"/>
  <c r="D103" i="5"/>
  <c r="T102" i="5"/>
  <c r="U102" i="5" s="1"/>
  <c r="R102" i="5"/>
  <c r="S102" i="5" s="1"/>
  <c r="O102" i="5"/>
  <c r="N102" i="5"/>
  <c r="D102" i="5"/>
  <c r="T101" i="5"/>
  <c r="U101" i="5" s="1"/>
  <c r="R101" i="5"/>
  <c r="S101" i="5" s="1"/>
  <c r="O101" i="5"/>
  <c r="N101" i="5"/>
  <c r="D101" i="5"/>
  <c r="T100" i="5"/>
  <c r="U100" i="5" s="1"/>
  <c r="R100" i="5"/>
  <c r="S100" i="5" s="1"/>
  <c r="O100" i="5"/>
  <c r="N100" i="5"/>
  <c r="D100" i="5"/>
  <c r="T99" i="5"/>
  <c r="U99" i="5" s="1"/>
  <c r="R99" i="5"/>
  <c r="S99" i="5" s="1"/>
  <c r="O99" i="5"/>
  <c r="N99" i="5"/>
  <c r="D99" i="5"/>
  <c r="T98" i="5"/>
  <c r="U98" i="5" s="1"/>
  <c r="R98" i="5"/>
  <c r="S98" i="5" s="1"/>
  <c r="O98" i="5"/>
  <c r="N98" i="5"/>
  <c r="D98" i="5"/>
  <c r="T97" i="5"/>
  <c r="U97" i="5" s="1"/>
  <c r="R97" i="5"/>
  <c r="S97" i="5" s="1"/>
  <c r="O97" i="5"/>
  <c r="N97" i="5"/>
  <c r="D97" i="5"/>
  <c r="T96" i="5"/>
  <c r="U96" i="5" s="1"/>
  <c r="V96" i="5" s="1"/>
  <c r="R96" i="5"/>
  <c r="S96" i="5" s="1"/>
  <c r="O96" i="5"/>
  <c r="N96" i="5"/>
  <c r="D96" i="5"/>
  <c r="T95" i="5"/>
  <c r="U95" i="5" s="1"/>
  <c r="R95" i="5"/>
  <c r="S95" i="5" s="1"/>
  <c r="Z95" i="5" s="1"/>
  <c r="O95" i="5"/>
  <c r="N95" i="5"/>
  <c r="D95" i="5"/>
  <c r="T94" i="5"/>
  <c r="U94" i="5" s="1"/>
  <c r="R94" i="5"/>
  <c r="S94" i="5" s="1"/>
  <c r="O94" i="5"/>
  <c r="N94" i="5"/>
  <c r="D94" i="5"/>
  <c r="T93" i="5"/>
  <c r="U93" i="5" s="1"/>
  <c r="R93" i="5"/>
  <c r="S93" i="5" s="1"/>
  <c r="O93" i="5"/>
  <c r="N93" i="5"/>
  <c r="D93" i="5"/>
  <c r="T92" i="5"/>
  <c r="U92" i="5" s="1"/>
  <c r="R92" i="5"/>
  <c r="S92" i="5" s="1"/>
  <c r="O92" i="5"/>
  <c r="N92" i="5"/>
  <c r="D92" i="5"/>
  <c r="T91" i="5"/>
  <c r="U91" i="5" s="1"/>
  <c r="R91" i="5"/>
  <c r="S91" i="5" s="1"/>
  <c r="O91" i="5"/>
  <c r="N91" i="5"/>
  <c r="D91" i="5"/>
  <c r="T90" i="5"/>
  <c r="U90" i="5" s="1"/>
  <c r="R90" i="5"/>
  <c r="S90" i="5" s="1"/>
  <c r="O90" i="5"/>
  <c r="N90" i="5"/>
  <c r="D90" i="5"/>
  <c r="T89" i="5"/>
  <c r="U89" i="5" s="1"/>
  <c r="R89" i="5"/>
  <c r="S89" i="5" s="1"/>
  <c r="O89" i="5"/>
  <c r="N89" i="5"/>
  <c r="D89" i="5"/>
  <c r="T88" i="5"/>
  <c r="U88" i="5" s="1"/>
  <c r="R88" i="5"/>
  <c r="S88" i="5" s="1"/>
  <c r="O88" i="5"/>
  <c r="N88" i="5"/>
  <c r="D88" i="5"/>
  <c r="T87" i="5"/>
  <c r="U87" i="5" s="1"/>
  <c r="R87" i="5"/>
  <c r="S87" i="5" s="1"/>
  <c r="O87" i="5"/>
  <c r="N87" i="5"/>
  <c r="D87" i="5"/>
  <c r="T86" i="5"/>
  <c r="U86" i="5" s="1"/>
  <c r="R86" i="5"/>
  <c r="S86" i="5" s="1"/>
  <c r="O86" i="5"/>
  <c r="N86" i="5"/>
  <c r="D86" i="5"/>
  <c r="T85" i="5"/>
  <c r="U85" i="5" s="1"/>
  <c r="R85" i="5"/>
  <c r="S85" i="5" s="1"/>
  <c r="O85" i="5"/>
  <c r="N85" i="5"/>
  <c r="D85" i="5"/>
  <c r="T84" i="5"/>
  <c r="U84" i="5" s="1"/>
  <c r="R84" i="5"/>
  <c r="S84" i="5" s="1"/>
  <c r="O84" i="5"/>
  <c r="N84" i="5"/>
  <c r="D84" i="5"/>
  <c r="T83" i="5"/>
  <c r="U83" i="5" s="1"/>
  <c r="R83" i="5"/>
  <c r="S83" i="5" s="1"/>
  <c r="O83" i="5"/>
  <c r="N83" i="5"/>
  <c r="D83" i="5"/>
  <c r="T82" i="5"/>
  <c r="U82" i="5" s="1"/>
  <c r="R82" i="5"/>
  <c r="S82" i="5" s="1"/>
  <c r="Z82" i="5" s="1"/>
  <c r="O82" i="5"/>
  <c r="N82" i="5"/>
  <c r="D82" i="5"/>
  <c r="T81" i="5"/>
  <c r="U81" i="5" s="1"/>
  <c r="X81" i="5" s="1"/>
  <c r="Y81" i="5" s="1"/>
  <c r="R81" i="5"/>
  <c r="S81" i="5" s="1"/>
  <c r="O81" i="5"/>
  <c r="N81" i="5"/>
  <c r="D81" i="5"/>
  <c r="T80" i="5"/>
  <c r="U80" i="5" s="1"/>
  <c r="R80" i="5"/>
  <c r="S80" i="5" s="1"/>
  <c r="O80" i="5"/>
  <c r="N80" i="5"/>
  <c r="D80" i="5"/>
  <c r="T79" i="5"/>
  <c r="U79" i="5" s="1"/>
  <c r="R79" i="5"/>
  <c r="S79" i="5" s="1"/>
  <c r="O79" i="5"/>
  <c r="N79" i="5"/>
  <c r="D79" i="5"/>
  <c r="T78" i="5"/>
  <c r="U78" i="5" s="1"/>
  <c r="R78" i="5"/>
  <c r="S78" i="5" s="1"/>
  <c r="O78" i="5"/>
  <c r="N78" i="5"/>
  <c r="D78" i="5"/>
  <c r="T77" i="5"/>
  <c r="U77" i="5" s="1"/>
  <c r="R77" i="5"/>
  <c r="S77" i="5" s="1"/>
  <c r="O77" i="5"/>
  <c r="N77" i="5"/>
  <c r="D77" i="5"/>
  <c r="T76" i="5"/>
  <c r="U76" i="5" s="1"/>
  <c r="R76" i="5"/>
  <c r="S76" i="5" s="1"/>
  <c r="O76" i="5"/>
  <c r="N76" i="5"/>
  <c r="D76" i="5"/>
  <c r="T75" i="5"/>
  <c r="U75" i="5" s="1"/>
  <c r="R75" i="5"/>
  <c r="S75" i="5" s="1"/>
  <c r="O75" i="5"/>
  <c r="N75" i="5"/>
  <c r="D75" i="5"/>
  <c r="T74" i="5"/>
  <c r="U74" i="5" s="1"/>
  <c r="R74" i="5"/>
  <c r="S74" i="5" s="1"/>
  <c r="O74" i="5"/>
  <c r="N74" i="5"/>
  <c r="D74" i="5"/>
  <c r="T73" i="5"/>
  <c r="U73" i="5" s="1"/>
  <c r="R73" i="5"/>
  <c r="S73" i="5" s="1"/>
  <c r="O73" i="5"/>
  <c r="N73" i="5"/>
  <c r="D73" i="5"/>
  <c r="T72" i="5"/>
  <c r="U72" i="5" s="1"/>
  <c r="R72" i="5"/>
  <c r="S72" i="5" s="1"/>
  <c r="O72" i="5"/>
  <c r="N72" i="5"/>
  <c r="D72" i="5"/>
  <c r="T71" i="5"/>
  <c r="U71" i="5" s="1"/>
  <c r="R71" i="5"/>
  <c r="S71" i="5" s="1"/>
  <c r="O71" i="5"/>
  <c r="N71" i="5"/>
  <c r="D71" i="5"/>
  <c r="T70" i="5"/>
  <c r="U70" i="5" s="1"/>
  <c r="R70" i="5"/>
  <c r="S70" i="5" s="1"/>
  <c r="O70" i="5"/>
  <c r="N70" i="5"/>
  <c r="D70" i="5"/>
  <c r="T69" i="5"/>
  <c r="U69" i="5" s="1"/>
  <c r="R69" i="5"/>
  <c r="S69" i="5" s="1"/>
  <c r="O69" i="5"/>
  <c r="N69" i="5"/>
  <c r="D69" i="5"/>
  <c r="T68" i="5"/>
  <c r="U68" i="5" s="1"/>
  <c r="V68" i="5" s="1"/>
  <c r="R68" i="5"/>
  <c r="S68" i="5" s="1"/>
  <c r="O68" i="5"/>
  <c r="N68" i="5"/>
  <c r="D68" i="5"/>
  <c r="T67" i="5"/>
  <c r="U67" i="5" s="1"/>
  <c r="R67" i="5"/>
  <c r="S67" i="5" s="1"/>
  <c r="O67" i="5"/>
  <c r="N67" i="5"/>
  <c r="D67" i="5"/>
  <c r="T66" i="5"/>
  <c r="U66" i="5" s="1"/>
  <c r="R66" i="5"/>
  <c r="S66" i="5" s="1"/>
  <c r="O66" i="5"/>
  <c r="N66" i="5"/>
  <c r="D66" i="5"/>
  <c r="T65" i="5"/>
  <c r="U65" i="5" s="1"/>
  <c r="X65" i="5" s="1"/>
  <c r="Y65" i="5" s="1"/>
  <c r="R65" i="5"/>
  <c r="S65" i="5" s="1"/>
  <c r="O65" i="5"/>
  <c r="N65" i="5"/>
  <c r="D65" i="5"/>
  <c r="T64" i="5"/>
  <c r="U64" i="5" s="1"/>
  <c r="R64" i="5"/>
  <c r="S64" i="5" s="1"/>
  <c r="O64" i="5"/>
  <c r="N64" i="5"/>
  <c r="D64" i="5"/>
  <c r="T63" i="5"/>
  <c r="U63" i="5" s="1"/>
  <c r="R63" i="5"/>
  <c r="S63" i="5" s="1"/>
  <c r="O63" i="5"/>
  <c r="N63" i="5"/>
  <c r="D63" i="5"/>
  <c r="T62" i="5"/>
  <c r="U62" i="5" s="1"/>
  <c r="R62" i="5"/>
  <c r="S62" i="5" s="1"/>
  <c r="O62" i="5"/>
  <c r="N62" i="5"/>
  <c r="D62" i="5"/>
  <c r="T61" i="5"/>
  <c r="U61" i="5" s="1"/>
  <c r="R61" i="5"/>
  <c r="S61" i="5" s="1"/>
  <c r="O61" i="5"/>
  <c r="N61" i="5"/>
  <c r="D61" i="5"/>
  <c r="T60" i="5"/>
  <c r="U60" i="5" s="1"/>
  <c r="R60" i="5"/>
  <c r="S60" i="5" s="1"/>
  <c r="O60" i="5"/>
  <c r="N60" i="5"/>
  <c r="D60" i="5"/>
  <c r="T59" i="5"/>
  <c r="U59" i="5" s="1"/>
  <c r="R59" i="5"/>
  <c r="S59" i="5" s="1"/>
  <c r="O59" i="5"/>
  <c r="N59" i="5"/>
  <c r="D59" i="5"/>
  <c r="T58" i="5"/>
  <c r="U58" i="5" s="1"/>
  <c r="R58" i="5"/>
  <c r="S58" i="5" s="1"/>
  <c r="O58" i="5"/>
  <c r="N58" i="5"/>
  <c r="D58" i="5"/>
  <c r="T57" i="5"/>
  <c r="U57" i="5" s="1"/>
  <c r="X57" i="5" s="1"/>
  <c r="Y57" i="5" s="1"/>
  <c r="R57" i="5"/>
  <c r="S57" i="5" s="1"/>
  <c r="O57" i="5"/>
  <c r="N57" i="5"/>
  <c r="D57" i="5"/>
  <c r="T56" i="5"/>
  <c r="U56" i="5" s="1"/>
  <c r="R56" i="5"/>
  <c r="S56" i="5" s="1"/>
  <c r="Z56" i="5" s="1"/>
  <c r="O56" i="5"/>
  <c r="N56" i="5"/>
  <c r="D56" i="5"/>
  <c r="T55" i="5"/>
  <c r="U55" i="5" s="1"/>
  <c r="R55" i="5"/>
  <c r="S55" i="5" s="1"/>
  <c r="O55" i="5"/>
  <c r="N55" i="5"/>
  <c r="D55" i="5"/>
  <c r="T54" i="5"/>
  <c r="U54" i="5" s="1"/>
  <c r="R54" i="5"/>
  <c r="S54" i="5" s="1"/>
  <c r="O54" i="5"/>
  <c r="N54" i="5"/>
  <c r="D54" i="5"/>
  <c r="T53" i="5"/>
  <c r="U53" i="5" s="1"/>
  <c r="R53" i="5"/>
  <c r="S53" i="5" s="1"/>
  <c r="O53" i="5"/>
  <c r="N53" i="5"/>
  <c r="D53" i="5"/>
  <c r="T52" i="5"/>
  <c r="U52" i="5" s="1"/>
  <c r="R52" i="5"/>
  <c r="S52" i="5" s="1"/>
  <c r="O52" i="5"/>
  <c r="N52" i="5"/>
  <c r="D52" i="5"/>
  <c r="T51" i="5"/>
  <c r="U51" i="5" s="1"/>
  <c r="R51" i="5"/>
  <c r="S51" i="5" s="1"/>
  <c r="O51" i="5"/>
  <c r="N51" i="5"/>
  <c r="D51" i="5"/>
  <c r="T50" i="5"/>
  <c r="U50" i="5" s="1"/>
  <c r="R50" i="5"/>
  <c r="S50" i="5" s="1"/>
  <c r="O50" i="5"/>
  <c r="N50" i="5"/>
  <c r="D50" i="5"/>
  <c r="T49" i="5"/>
  <c r="U49" i="5" s="1"/>
  <c r="R49" i="5"/>
  <c r="S49" i="5" s="1"/>
  <c r="O49" i="5"/>
  <c r="N49" i="5"/>
  <c r="D49" i="5"/>
  <c r="T48" i="5"/>
  <c r="U48" i="5" s="1"/>
  <c r="V48" i="5" s="1"/>
  <c r="R48" i="5"/>
  <c r="S48" i="5" s="1"/>
  <c r="O48" i="5"/>
  <c r="N48" i="5"/>
  <c r="D48" i="5"/>
  <c r="T47" i="5"/>
  <c r="U47" i="5" s="1"/>
  <c r="R47" i="5"/>
  <c r="S47" i="5" s="1"/>
  <c r="O47" i="5"/>
  <c r="N47" i="5"/>
  <c r="D47" i="5"/>
  <c r="T46" i="5"/>
  <c r="U46" i="5" s="1"/>
  <c r="R46" i="5"/>
  <c r="S46" i="5" s="1"/>
  <c r="Z46" i="5" s="1"/>
  <c r="O46" i="5"/>
  <c r="N46" i="5"/>
  <c r="D46" i="5"/>
  <c r="T45" i="5"/>
  <c r="U45" i="5" s="1"/>
  <c r="R45" i="5"/>
  <c r="S45" i="5" s="1"/>
  <c r="O45" i="5"/>
  <c r="N45" i="5"/>
  <c r="D45" i="5"/>
  <c r="T44" i="5"/>
  <c r="U44" i="5" s="1"/>
  <c r="R44" i="5"/>
  <c r="S44" i="5" s="1"/>
  <c r="O44" i="5"/>
  <c r="N44" i="5"/>
  <c r="D44" i="5"/>
  <c r="T43" i="5"/>
  <c r="U43" i="5" s="1"/>
  <c r="R43" i="5"/>
  <c r="S43" i="5" s="1"/>
  <c r="O43" i="5"/>
  <c r="N43" i="5"/>
  <c r="D43" i="5"/>
  <c r="T42" i="5"/>
  <c r="U42" i="5" s="1"/>
  <c r="R42" i="5"/>
  <c r="S42" i="5" s="1"/>
  <c r="O42" i="5"/>
  <c r="N42" i="5"/>
  <c r="D42" i="5"/>
  <c r="T41" i="5"/>
  <c r="U41" i="5" s="1"/>
  <c r="X41" i="5" s="1"/>
  <c r="Y41" i="5" s="1"/>
  <c r="R41" i="5"/>
  <c r="S41" i="5" s="1"/>
  <c r="O41" i="5"/>
  <c r="N41" i="5"/>
  <c r="D41" i="5"/>
  <c r="T40" i="5"/>
  <c r="U40" i="5" s="1"/>
  <c r="R40" i="5"/>
  <c r="S40" i="5" s="1"/>
  <c r="O40" i="5"/>
  <c r="N40" i="5"/>
  <c r="D40" i="5"/>
  <c r="T39" i="5"/>
  <c r="U39" i="5" s="1"/>
  <c r="R39" i="5"/>
  <c r="S39" i="5" s="1"/>
  <c r="O39" i="5"/>
  <c r="N39" i="5"/>
  <c r="D39" i="5"/>
  <c r="T38" i="5"/>
  <c r="U38" i="5" s="1"/>
  <c r="R38" i="5"/>
  <c r="S38" i="5" s="1"/>
  <c r="O38" i="5"/>
  <c r="N38" i="5"/>
  <c r="D38" i="5"/>
  <c r="T37" i="5"/>
  <c r="U37" i="5" s="1"/>
  <c r="R37" i="5"/>
  <c r="S37" i="5" s="1"/>
  <c r="O37" i="5"/>
  <c r="N37" i="5"/>
  <c r="D37" i="5"/>
  <c r="T36" i="5"/>
  <c r="U36" i="5" s="1"/>
  <c r="R36" i="5"/>
  <c r="S36" i="5" s="1"/>
  <c r="O36" i="5"/>
  <c r="N36" i="5"/>
  <c r="D36" i="5"/>
  <c r="T35" i="5"/>
  <c r="U35" i="5" s="1"/>
  <c r="V35" i="5" s="1"/>
  <c r="R35" i="5"/>
  <c r="S35" i="5" s="1"/>
  <c r="O35" i="5"/>
  <c r="N35" i="5"/>
  <c r="D35" i="5"/>
  <c r="T34" i="5"/>
  <c r="U34" i="5" s="1"/>
  <c r="R34" i="5"/>
  <c r="S34" i="5" s="1"/>
  <c r="O34" i="5"/>
  <c r="N34" i="5"/>
  <c r="D34" i="5"/>
  <c r="T33" i="5"/>
  <c r="U33" i="5" s="1"/>
  <c r="R33" i="5"/>
  <c r="S33" i="5" s="1"/>
  <c r="O33" i="5"/>
  <c r="N33" i="5"/>
  <c r="D33" i="5"/>
  <c r="T32" i="5"/>
  <c r="U32" i="5" s="1"/>
  <c r="X32" i="5" s="1"/>
  <c r="Y32" i="5" s="1"/>
  <c r="R32" i="5"/>
  <c r="S32" i="5" s="1"/>
  <c r="O32" i="5"/>
  <c r="N32" i="5"/>
  <c r="D32" i="5"/>
  <c r="T31" i="5"/>
  <c r="U31" i="5" s="1"/>
  <c r="V31" i="5" s="1"/>
  <c r="R31" i="5"/>
  <c r="S31" i="5" s="1"/>
  <c r="O31" i="5"/>
  <c r="N31" i="5"/>
  <c r="D31" i="5"/>
  <c r="T30" i="5"/>
  <c r="U30" i="5" s="1"/>
  <c r="R30" i="5"/>
  <c r="S30" i="5" s="1"/>
  <c r="O30" i="5"/>
  <c r="N30" i="5"/>
  <c r="D30" i="5"/>
  <c r="T29" i="5"/>
  <c r="U29" i="5" s="1"/>
  <c r="R29" i="5"/>
  <c r="S29" i="5" s="1"/>
  <c r="O29" i="5"/>
  <c r="N29" i="5"/>
  <c r="D29" i="5"/>
  <c r="T28" i="5"/>
  <c r="U28" i="5" s="1"/>
  <c r="V28" i="5" s="1"/>
  <c r="R28" i="5"/>
  <c r="S28" i="5" s="1"/>
  <c r="O28" i="5"/>
  <c r="N28" i="5"/>
  <c r="D28" i="5"/>
  <c r="T27" i="5"/>
  <c r="U27" i="5" s="1"/>
  <c r="V27" i="5" s="1"/>
  <c r="R27" i="5"/>
  <c r="S27" i="5" s="1"/>
  <c r="W27" i="5" s="1"/>
  <c r="X27" i="5" s="1"/>
  <c r="Y27" i="5" s="1"/>
  <c r="O27" i="5"/>
  <c r="N27" i="5"/>
  <c r="D27" i="5"/>
  <c r="T26" i="5"/>
  <c r="U26" i="5" s="1"/>
  <c r="V26" i="5" s="1"/>
  <c r="R26" i="5"/>
  <c r="S26" i="5" s="1"/>
  <c r="W26" i="5" s="1"/>
  <c r="X26" i="5" s="1"/>
  <c r="Y26" i="5" s="1"/>
  <c r="O26" i="5"/>
  <c r="N26" i="5"/>
  <c r="D26" i="5"/>
  <c r="T25" i="5"/>
  <c r="U25" i="5" s="1"/>
  <c r="R25" i="5"/>
  <c r="S25" i="5" s="1"/>
  <c r="O25" i="5"/>
  <c r="N25" i="5"/>
  <c r="D25" i="5"/>
  <c r="T24" i="5"/>
  <c r="U24" i="5" s="1"/>
  <c r="R24" i="5"/>
  <c r="S24" i="5" s="1"/>
  <c r="O24" i="5"/>
  <c r="N24" i="5"/>
  <c r="D24" i="5"/>
  <c r="T23" i="5"/>
  <c r="U23" i="5" s="1"/>
  <c r="R23" i="5"/>
  <c r="S23" i="5" s="1"/>
  <c r="O23" i="5"/>
  <c r="N23" i="5"/>
  <c r="D23" i="5"/>
  <c r="T22" i="5"/>
  <c r="U22" i="5" s="1"/>
  <c r="R22" i="5"/>
  <c r="S22" i="5" s="1"/>
  <c r="O22" i="5"/>
  <c r="N22" i="5"/>
  <c r="D22" i="5"/>
  <c r="T21" i="5"/>
  <c r="U21" i="5" s="1"/>
  <c r="R21" i="5"/>
  <c r="S21" i="5" s="1"/>
  <c r="O21" i="5"/>
  <c r="N21" i="5"/>
  <c r="D21" i="5"/>
  <c r="T20" i="5"/>
  <c r="U20" i="5" s="1"/>
  <c r="R20" i="5"/>
  <c r="S20" i="5" s="1"/>
  <c r="O20" i="5"/>
  <c r="N20" i="5"/>
  <c r="D20" i="5"/>
  <c r="T19" i="5"/>
  <c r="U19" i="5" s="1"/>
  <c r="V19" i="5" s="1"/>
  <c r="R19" i="5"/>
  <c r="S19" i="5" s="1"/>
  <c r="O19" i="5"/>
  <c r="N19" i="5"/>
  <c r="D19" i="5"/>
  <c r="T18" i="5"/>
  <c r="U18" i="5" s="1"/>
  <c r="R18" i="5"/>
  <c r="S18" i="5" s="1"/>
  <c r="O18" i="5"/>
  <c r="N18" i="5"/>
  <c r="D18" i="5"/>
  <c r="T17" i="5"/>
  <c r="U17" i="5" s="1"/>
  <c r="R17" i="5"/>
  <c r="S17" i="5" s="1"/>
  <c r="O17" i="5"/>
  <c r="N17" i="5"/>
  <c r="D17" i="5"/>
  <c r="T16" i="5"/>
  <c r="U16" i="5" s="1"/>
  <c r="V16" i="5" s="1"/>
  <c r="R16" i="5"/>
  <c r="S16" i="5" s="1"/>
  <c r="O16" i="5"/>
  <c r="N16" i="5"/>
  <c r="D16" i="5"/>
  <c r="T15" i="5"/>
  <c r="U15" i="5" s="1"/>
  <c r="R15" i="5"/>
  <c r="S15" i="5" s="1"/>
  <c r="Z15" i="5" s="1"/>
  <c r="O15" i="5"/>
  <c r="N15" i="5"/>
  <c r="D15" i="5"/>
  <c r="T14" i="5"/>
  <c r="U14" i="5" s="1"/>
  <c r="R14" i="5"/>
  <c r="S14" i="5" s="1"/>
  <c r="O14" i="5"/>
  <c r="N14" i="5"/>
  <c r="D14" i="5"/>
  <c r="T13" i="5"/>
  <c r="U13" i="5" s="1"/>
  <c r="R13" i="5"/>
  <c r="S13" i="5" s="1"/>
  <c r="O13" i="5"/>
  <c r="N13" i="5"/>
  <c r="D13" i="5"/>
  <c r="T12" i="5"/>
  <c r="U12" i="5" s="1"/>
  <c r="R12" i="5"/>
  <c r="S12" i="5" s="1"/>
  <c r="O12" i="5"/>
  <c r="N12" i="5"/>
  <c r="D12" i="5"/>
  <c r="T11" i="5"/>
  <c r="U11" i="5" s="1"/>
  <c r="R11" i="5"/>
  <c r="S11" i="5" s="1"/>
  <c r="O11" i="5"/>
  <c r="N11" i="5"/>
  <c r="D11" i="5"/>
  <c r="T10" i="5"/>
  <c r="U10" i="5" s="1"/>
  <c r="R10" i="5"/>
  <c r="S10" i="5" s="1"/>
  <c r="O10" i="5"/>
  <c r="N10" i="5"/>
  <c r="D10" i="5"/>
  <c r="T9" i="5"/>
  <c r="U9" i="5" s="1"/>
  <c r="R9" i="5"/>
  <c r="S9" i="5" s="1"/>
  <c r="O9" i="5"/>
  <c r="N9" i="5"/>
  <c r="D9" i="5"/>
  <c r="T8" i="5"/>
  <c r="U8" i="5" s="1"/>
  <c r="R8" i="5"/>
  <c r="S8" i="5" s="1"/>
  <c r="O8" i="5"/>
  <c r="N8" i="5"/>
  <c r="D8" i="5"/>
  <c r="T7" i="5"/>
  <c r="U7" i="5" s="1"/>
  <c r="V7" i="5" s="1"/>
  <c r="R7" i="5"/>
  <c r="S7" i="5" s="1"/>
  <c r="O7" i="5"/>
  <c r="N7" i="5"/>
  <c r="D7" i="5"/>
  <c r="T6" i="5"/>
  <c r="U6" i="5" s="1"/>
  <c r="R6" i="5"/>
  <c r="S6" i="5" s="1"/>
  <c r="O6" i="5"/>
  <c r="N6" i="5"/>
  <c r="D6" i="5"/>
  <c r="T5" i="5"/>
  <c r="U5" i="5" s="1"/>
  <c r="R5" i="5"/>
  <c r="S5" i="5" s="1"/>
  <c r="O5" i="5"/>
  <c r="N5" i="5"/>
  <c r="D5" i="5"/>
  <c r="T4" i="5"/>
  <c r="U4" i="5" s="1"/>
  <c r="R4" i="5"/>
  <c r="S4" i="5" s="1"/>
  <c r="O4" i="5"/>
  <c r="N4" i="5"/>
  <c r="D4" i="5"/>
  <c r="BF15" i="5" l="1"/>
  <c r="BF17" i="5"/>
  <c r="BF19" i="5"/>
  <c r="BF21" i="5"/>
  <c r="BF23" i="5"/>
  <c r="BF25" i="5"/>
  <c r="BF27" i="5"/>
  <c r="BF29" i="5"/>
  <c r="BF31" i="5"/>
  <c r="BF33" i="5"/>
  <c r="BF35" i="5"/>
  <c r="BF37" i="5"/>
  <c r="BF39" i="5"/>
  <c r="BF41" i="5"/>
  <c r="BF43" i="5"/>
  <c r="BF45" i="5"/>
  <c r="BF47" i="5"/>
  <c r="BF49" i="5"/>
  <c r="BF51" i="5"/>
  <c r="BF53" i="5"/>
  <c r="BF55" i="5"/>
  <c r="BF57" i="5"/>
  <c r="BF59" i="5"/>
  <c r="BF61" i="5"/>
  <c r="BF63" i="5"/>
  <c r="BF65" i="5"/>
  <c r="BF67" i="5"/>
  <c r="BF69" i="5"/>
  <c r="BF71" i="5"/>
  <c r="BF73" i="5"/>
  <c r="BF75" i="5"/>
  <c r="BF77" i="5"/>
  <c r="BF79" i="5"/>
  <c r="BF81" i="5"/>
  <c r="BF83" i="5"/>
  <c r="BF85" i="5"/>
  <c r="BF87" i="5"/>
  <c r="BF89" i="5"/>
  <c r="BF91" i="5"/>
  <c r="BF93" i="5"/>
  <c r="BF95" i="5"/>
  <c r="BF97" i="5"/>
  <c r="BF99" i="5"/>
  <c r="BF101" i="5"/>
  <c r="BF103" i="5"/>
  <c r="BF105" i="5"/>
  <c r="BF108" i="5"/>
  <c r="BF110" i="5"/>
  <c r="BF112" i="5"/>
  <c r="BF114" i="5"/>
  <c r="BF116" i="5"/>
  <c r="BF118" i="5"/>
  <c r="BF120" i="5"/>
  <c r="BF122" i="5"/>
  <c r="BF124" i="5"/>
  <c r="BF125" i="5"/>
  <c r="BF126" i="5"/>
  <c r="BF128" i="5"/>
  <c r="BF130" i="5"/>
  <c r="BF132" i="5"/>
  <c r="BF137" i="5"/>
  <c r="BF140" i="5"/>
  <c r="BF173" i="5"/>
  <c r="AT173" i="5" s="1"/>
  <c r="BF175" i="5"/>
  <c r="AT175" i="5" s="1"/>
  <c r="BF177" i="5"/>
  <c r="AT177" i="5" s="1"/>
  <c r="BF179" i="5"/>
  <c r="AT179" i="5" s="1"/>
  <c r="BF181" i="5"/>
  <c r="AT181" i="5" s="1"/>
  <c r="BF183" i="5"/>
  <c r="AT183" i="5" s="1"/>
  <c r="BF185" i="5"/>
  <c r="AT185" i="5" s="1"/>
  <c r="BF187" i="5"/>
  <c r="AT187" i="5" s="1"/>
  <c r="BF189" i="5"/>
  <c r="AT189" i="5" s="1"/>
  <c r="BF200" i="5"/>
  <c r="AT200" i="5" s="1"/>
  <c r="BF201" i="5"/>
  <c r="AT201" i="5" s="1"/>
  <c r="AX201" i="5" s="1"/>
  <c r="BF206" i="5"/>
  <c r="AT206" i="5" s="1"/>
  <c r="AX206" i="5" s="1"/>
  <c r="BF251" i="5"/>
  <c r="AT251" i="5" s="1"/>
  <c r="AX251" i="5" s="1"/>
  <c r="BF263" i="5"/>
  <c r="AT263" i="5" s="1"/>
  <c r="AX263" i="5" s="1"/>
  <c r="BF266" i="5"/>
  <c r="AT266" i="5" s="1"/>
  <c r="AX266" i="5" s="1"/>
  <c r="BF281" i="5"/>
  <c r="AT281" i="5" s="1"/>
  <c r="AX281" i="5" s="1"/>
  <c r="BF288" i="5"/>
  <c r="AT288" i="5" s="1"/>
  <c r="BF290" i="5"/>
  <c r="AT290" i="5" s="1"/>
  <c r="BF296" i="5"/>
  <c r="AT296" i="5" s="1"/>
  <c r="BF298" i="5"/>
  <c r="AT298" i="5" s="1"/>
  <c r="BF300" i="5"/>
  <c r="AT300" i="5" s="1"/>
  <c r="BF302" i="5"/>
  <c r="AT302" i="5" s="1"/>
  <c r="BF304" i="5"/>
  <c r="AT304" i="5" s="1"/>
  <c r="BF306" i="5"/>
  <c r="AT306" i="5" s="1"/>
  <c r="BF308" i="5"/>
  <c r="AT308" i="5" s="1"/>
  <c r="BF310" i="5"/>
  <c r="AT310" i="5" s="1"/>
  <c r="BF312" i="5"/>
  <c r="AT312" i="5" s="1"/>
  <c r="BF347" i="5"/>
  <c r="AT347" i="5" s="1"/>
  <c r="AX347" i="5" s="1"/>
  <c r="BF350" i="5"/>
  <c r="AT350" i="5" s="1"/>
  <c r="BF363" i="5"/>
  <c r="AT363" i="5" s="1"/>
  <c r="BF381" i="5"/>
  <c r="AT381" i="5" s="1"/>
  <c r="AX381" i="5" s="1"/>
  <c r="BF394" i="5"/>
  <c r="AT394" i="5" s="1"/>
  <c r="AX394" i="5" s="1"/>
  <c r="BF398" i="5"/>
  <c r="AT398" i="5" s="1"/>
  <c r="AX398" i="5" s="1"/>
  <c r="BF503" i="5"/>
  <c r="AT503" i="5" s="1"/>
  <c r="AX503" i="5" s="1"/>
  <c r="BF507" i="5"/>
  <c r="AT507" i="5" s="1"/>
  <c r="AX507" i="5" s="1"/>
  <c r="BF511" i="5"/>
  <c r="AT511" i="5" s="1"/>
  <c r="BF516" i="5"/>
  <c r="AT516" i="5" s="1"/>
  <c r="AX516" i="5" s="1"/>
  <c r="BF542" i="5"/>
  <c r="AT542" i="5" s="1"/>
  <c r="BF558" i="5"/>
  <c r="AT558" i="5" s="1"/>
  <c r="AX558" i="5" s="1"/>
  <c r="BF565" i="5"/>
  <c r="AT565" i="5" s="1"/>
  <c r="BF567" i="5"/>
  <c r="AT567" i="5" s="1"/>
  <c r="AX567" i="5" s="1"/>
  <c r="BF579" i="5"/>
  <c r="AT579" i="5" s="1"/>
  <c r="AX579" i="5" s="1"/>
  <c r="BF619" i="5"/>
  <c r="AT619" i="5" s="1"/>
  <c r="AX619" i="5" s="1"/>
  <c r="BF620" i="5"/>
  <c r="AT620" i="5" s="1"/>
  <c r="AX620" i="5" s="1"/>
  <c r="BF660" i="5"/>
  <c r="AT660" i="5" s="1"/>
  <c r="AX660" i="5" s="1"/>
  <c r="BF668" i="5"/>
  <c r="AT668" i="5" s="1"/>
  <c r="AX668" i="5" s="1"/>
  <c r="BF682" i="5"/>
  <c r="AT682" i="5" s="1"/>
  <c r="AX682" i="5" s="1"/>
  <c r="BF691" i="5"/>
  <c r="AT691" i="5" s="1"/>
  <c r="AX691" i="5" s="1"/>
  <c r="BF692" i="5"/>
  <c r="AT692" i="5" s="1"/>
  <c r="AX692" i="5" s="1"/>
  <c r="BF693" i="5"/>
  <c r="AT693" i="5" s="1"/>
  <c r="AX693" i="5" s="1"/>
  <c r="BF695" i="5"/>
  <c r="AT695" i="5" s="1"/>
  <c r="AX695" i="5" s="1"/>
  <c r="BF696" i="5"/>
  <c r="AT696" i="5" s="1"/>
  <c r="AX696" i="5" s="1"/>
  <c r="BF697" i="5"/>
  <c r="AT697" i="5" s="1"/>
  <c r="AX697" i="5" s="1"/>
  <c r="BF753" i="5"/>
  <c r="AT753" i="5" s="1"/>
  <c r="BF754" i="5"/>
  <c r="AT754" i="5" s="1"/>
  <c r="AX754" i="5" s="1"/>
  <c r="BF760" i="5"/>
  <c r="AT760" i="5" s="1"/>
  <c r="BF761" i="5"/>
  <c r="AT761" i="5" s="1"/>
  <c r="AX761" i="5" s="1"/>
  <c r="BF764" i="5"/>
  <c r="AT764" i="5" s="1"/>
  <c r="AX764" i="5" s="1"/>
  <c r="BF766" i="5"/>
  <c r="AT766" i="5" s="1"/>
  <c r="AX766" i="5" s="1"/>
  <c r="BF767" i="5"/>
  <c r="AT767" i="5" s="1"/>
  <c r="AX767" i="5" s="1"/>
  <c r="BF768" i="5"/>
  <c r="AT768" i="5" s="1"/>
  <c r="AX768" i="5" s="1"/>
  <c r="BF769" i="5"/>
  <c r="AT769" i="5" s="1"/>
  <c r="AX769" i="5" s="1"/>
  <c r="BF771" i="5"/>
  <c r="AT771" i="5" s="1"/>
  <c r="AX771" i="5" s="1"/>
  <c r="BF774" i="5"/>
  <c r="AT774" i="5" s="1"/>
  <c r="BF775" i="5"/>
  <c r="AT775" i="5" s="1"/>
  <c r="AX775" i="5" s="1"/>
  <c r="BF798" i="5"/>
  <c r="AT798" i="5" s="1"/>
  <c r="BF799" i="5"/>
  <c r="AT799" i="5" s="1"/>
  <c r="BF801" i="5"/>
  <c r="AT801" i="5" s="1"/>
  <c r="BF802" i="5"/>
  <c r="AT802" i="5" s="1"/>
  <c r="BF804" i="5"/>
  <c r="AT804" i="5" s="1"/>
  <c r="BF805" i="5"/>
  <c r="AT805" i="5" s="1"/>
  <c r="BF928" i="5"/>
  <c r="AT928" i="5" s="1"/>
  <c r="BF938" i="5"/>
  <c r="AT938" i="5" s="1"/>
  <c r="BF941" i="5"/>
  <c r="AT941" i="5" s="1"/>
  <c r="BF1118" i="5"/>
  <c r="AT1118" i="5" s="1"/>
  <c r="BF1120" i="5"/>
  <c r="AT1120" i="5" s="1"/>
  <c r="BD41" i="5"/>
  <c r="AS41" i="5" s="1"/>
  <c r="BC108" i="5"/>
  <c r="BC107" i="5"/>
  <c r="BD107" i="5" s="1"/>
  <c r="AS107" i="5" s="1"/>
  <c r="BC145" i="5"/>
  <c r="BD145" i="5" s="1"/>
  <c r="AS145" i="5" s="1"/>
  <c r="AX145" i="5" s="1"/>
  <c r="BC144" i="5"/>
  <c r="BD144" i="5" s="1"/>
  <c r="AS144" i="5" s="1"/>
  <c r="AX144" i="5" s="1"/>
  <c r="BC158" i="5"/>
  <c r="BD158" i="5" s="1"/>
  <c r="AS158" i="5" s="1"/>
  <c r="AX158" i="5" s="1"/>
  <c r="BC161" i="5"/>
  <c r="BD161" i="5" s="1"/>
  <c r="AS161" i="5" s="1"/>
  <c r="AX161" i="5" s="1"/>
  <c r="BC160" i="5"/>
  <c r="BD160" i="5" s="1"/>
  <c r="AS160" i="5" s="1"/>
  <c r="AX160" i="5" s="1"/>
  <c r="BC164" i="5"/>
  <c r="BD164" i="5" s="1"/>
  <c r="AS164" i="5" s="1"/>
  <c r="AX164" i="5" s="1"/>
  <c r="BC163" i="5"/>
  <c r="BD163" i="5" s="1"/>
  <c r="AS163" i="5" s="1"/>
  <c r="AX163" i="5" s="1"/>
  <c r="BC166" i="5"/>
  <c r="BD166" i="5" s="1"/>
  <c r="AS166" i="5" s="1"/>
  <c r="AX166" i="5" s="1"/>
  <c r="BC165" i="5"/>
  <c r="BD165" i="5" s="1"/>
  <c r="AS165" i="5" s="1"/>
  <c r="AX165" i="5" s="1"/>
  <c r="BC173" i="5"/>
  <c r="BC172" i="5"/>
  <c r="BD172" i="5" s="1"/>
  <c r="AS172" i="5" s="1"/>
  <c r="AX172" i="5" s="1"/>
  <c r="BC200" i="5"/>
  <c r="BD200" i="5" s="1"/>
  <c r="AS200" i="5" s="1"/>
  <c r="AX200" i="5" s="1"/>
  <c r="BC199" i="5"/>
  <c r="BD199" i="5" s="1"/>
  <c r="AS199" i="5" s="1"/>
  <c r="AX199" i="5" s="1"/>
  <c r="BC227" i="5"/>
  <c r="BD227" i="5" s="1"/>
  <c r="AS227" i="5" s="1"/>
  <c r="AX227" i="5" s="1"/>
  <c r="BC226" i="5"/>
  <c r="BD226" i="5" s="1"/>
  <c r="AS226" i="5" s="1"/>
  <c r="AX226" i="5" s="1"/>
  <c r="BC254" i="5"/>
  <c r="BD254" i="5" s="1"/>
  <c r="AS254" i="5" s="1"/>
  <c r="AX254" i="5" s="1"/>
  <c r="BC253" i="5"/>
  <c r="BD253" i="5" s="1"/>
  <c r="AS253" i="5" s="1"/>
  <c r="AX253" i="5" s="1"/>
  <c r="BC278" i="5"/>
  <c r="BD278" i="5" s="1"/>
  <c r="AS278" i="5" s="1"/>
  <c r="AX278" i="5" s="1"/>
  <c r="BC277" i="5"/>
  <c r="BD277" i="5" s="1"/>
  <c r="AS277" i="5" s="1"/>
  <c r="AX277" i="5" s="1"/>
  <c r="BC288" i="5"/>
  <c r="BC287" i="5"/>
  <c r="BD287" i="5" s="1"/>
  <c r="AS287" i="5" s="1"/>
  <c r="AX287" i="5" s="1"/>
  <c r="BC315" i="5"/>
  <c r="BD315" i="5" s="1"/>
  <c r="AS315" i="5" s="1"/>
  <c r="AX315" i="5" s="1"/>
  <c r="BC314" i="5"/>
  <c r="BD314" i="5" s="1"/>
  <c r="AS314" i="5" s="1"/>
  <c r="AX314" i="5" s="1"/>
  <c r="BC328" i="5"/>
  <c r="BD328" i="5" s="1"/>
  <c r="AS328" i="5" s="1"/>
  <c r="AX328" i="5" s="1"/>
  <c r="BC327" i="5"/>
  <c r="BD327" i="5" s="1"/>
  <c r="AS327" i="5" s="1"/>
  <c r="AX327" i="5" s="1"/>
  <c r="BC363" i="5"/>
  <c r="BD363" i="5" s="1"/>
  <c r="AS363" i="5" s="1"/>
  <c r="AX363" i="5" s="1"/>
  <c r="BC362" i="5"/>
  <c r="BD362" i="5" s="1"/>
  <c r="AS362" i="5" s="1"/>
  <c r="AX362" i="5" s="1"/>
  <c r="BC376" i="5"/>
  <c r="BD376" i="5" s="1"/>
  <c r="AS376" i="5" s="1"/>
  <c r="AX376" i="5" s="1"/>
  <c r="BC375" i="5"/>
  <c r="BD375" i="5" s="1"/>
  <c r="AS375" i="5" s="1"/>
  <c r="AX375" i="5" s="1"/>
  <c r="BC386" i="5"/>
  <c r="BD386" i="5" s="1"/>
  <c r="AS386" i="5" s="1"/>
  <c r="AX386" i="5" s="1"/>
  <c r="BC385" i="5"/>
  <c r="BD385" i="5" s="1"/>
  <c r="AS385" i="5" s="1"/>
  <c r="AX385" i="5" s="1"/>
  <c r="BC401" i="5"/>
  <c r="BD401" i="5" s="1"/>
  <c r="AS401" i="5" s="1"/>
  <c r="AX401" i="5" s="1"/>
  <c r="BC400" i="5"/>
  <c r="BD400" i="5" s="1"/>
  <c r="AS400" i="5" s="1"/>
  <c r="AX400" i="5" s="1"/>
  <c r="BC438" i="5"/>
  <c r="BD438" i="5" s="1"/>
  <c r="AS438" i="5" s="1"/>
  <c r="AX438" i="5" s="1"/>
  <c r="BC437" i="5"/>
  <c r="BD437" i="5" s="1"/>
  <c r="AS437" i="5" s="1"/>
  <c r="AX437" i="5" s="1"/>
  <c r="BC494" i="5"/>
  <c r="BC493" i="5"/>
  <c r="BD493" i="5" s="1"/>
  <c r="AS493" i="5" s="1"/>
  <c r="AX493" i="5" s="1"/>
  <c r="BC552" i="5"/>
  <c r="BD552" i="5" s="1"/>
  <c r="AS552" i="5" s="1"/>
  <c r="AX552" i="5" s="1"/>
  <c r="BC551" i="5"/>
  <c r="BD551" i="5" s="1"/>
  <c r="AS551" i="5" s="1"/>
  <c r="AX551" i="5" s="1"/>
  <c r="BC604" i="5"/>
  <c r="BC603" i="5"/>
  <c r="BD603" i="5" s="1"/>
  <c r="AS603" i="5" s="1"/>
  <c r="AX603" i="5" s="1"/>
  <c r="BC614" i="5"/>
  <c r="BD614" i="5" s="1"/>
  <c r="AS614" i="5" s="1"/>
  <c r="AX614" i="5" s="1"/>
  <c r="BC613" i="5"/>
  <c r="BD613" i="5" s="1"/>
  <c r="AS613" i="5" s="1"/>
  <c r="AX613" i="5" s="1"/>
  <c r="BC631" i="5"/>
  <c r="BD631" i="5" s="1"/>
  <c r="AS631" i="5" s="1"/>
  <c r="AX631" i="5" s="1"/>
  <c r="BC630" i="5"/>
  <c r="BD630" i="5" s="1"/>
  <c r="AS630" i="5" s="1"/>
  <c r="AX630" i="5" s="1"/>
  <c r="BC641" i="5"/>
  <c r="BD641" i="5" s="1"/>
  <c r="AS641" i="5" s="1"/>
  <c r="AX641" i="5" s="1"/>
  <c r="BC640" i="5"/>
  <c r="BD640" i="5" s="1"/>
  <c r="AS640" i="5" s="1"/>
  <c r="AX640" i="5" s="1"/>
  <c r="BC658" i="5"/>
  <c r="BC657" i="5"/>
  <c r="BD657" i="5" s="1"/>
  <c r="AS657" i="5" s="1"/>
  <c r="AX657" i="5" s="1"/>
  <c r="BC685" i="5"/>
  <c r="BD685" i="5" s="1"/>
  <c r="AS685" i="5" s="1"/>
  <c r="AX685" i="5" s="1"/>
  <c r="BC684" i="5"/>
  <c r="BD684" i="5" s="1"/>
  <c r="AS684" i="5" s="1"/>
  <c r="AX684" i="5" s="1"/>
  <c r="BC733" i="5"/>
  <c r="BC732" i="5"/>
  <c r="BD732" i="5" s="1"/>
  <c r="AS732" i="5" s="1"/>
  <c r="AX732" i="5" s="1"/>
  <c r="BC753" i="5"/>
  <c r="BD753" i="5" s="1"/>
  <c r="AS753" i="5" s="1"/>
  <c r="AX753" i="5" s="1"/>
  <c r="BC752" i="5"/>
  <c r="BD752" i="5" s="1"/>
  <c r="AS752" i="5" s="1"/>
  <c r="AX752" i="5" s="1"/>
  <c r="BC760" i="5"/>
  <c r="BD760" i="5" s="1"/>
  <c r="AS760" i="5" s="1"/>
  <c r="AX760" i="5" s="1"/>
  <c r="BC759" i="5"/>
  <c r="BD759" i="5" s="1"/>
  <c r="AS759" i="5" s="1"/>
  <c r="AX759" i="5" s="1"/>
  <c r="BC774" i="5"/>
  <c r="BD774" i="5" s="1"/>
  <c r="AS774" i="5" s="1"/>
  <c r="AX774" i="5" s="1"/>
  <c r="BC773" i="5"/>
  <c r="BD773" i="5" s="1"/>
  <c r="AS773" i="5" s="1"/>
  <c r="AX773" i="5" s="1"/>
  <c r="BC787" i="5"/>
  <c r="BD787" i="5" s="1"/>
  <c r="AS787" i="5" s="1"/>
  <c r="AX787" i="5" s="1"/>
  <c r="BC786" i="5"/>
  <c r="BD786" i="5" s="1"/>
  <c r="AS786" i="5" s="1"/>
  <c r="AX786" i="5" s="1"/>
  <c r="BC928" i="5"/>
  <c r="BC927" i="5"/>
  <c r="BD927" i="5" s="1"/>
  <c r="AS927" i="5" s="1"/>
  <c r="AX927" i="5" s="1"/>
  <c r="BC955" i="5"/>
  <c r="BD955" i="5" s="1"/>
  <c r="AS955" i="5" s="1"/>
  <c r="AX955" i="5" s="1"/>
  <c r="BC954" i="5"/>
  <c r="BD954" i="5" s="1"/>
  <c r="AS954" i="5" s="1"/>
  <c r="AX954" i="5" s="1"/>
  <c r="BC1130" i="5"/>
  <c r="BD1130" i="5" s="1"/>
  <c r="AS1130" i="5" s="1"/>
  <c r="AX1130" i="5" s="1"/>
  <c r="BC1129" i="5"/>
  <c r="BD1129" i="5" s="1"/>
  <c r="AS1129" i="5" s="1"/>
  <c r="AX1129" i="5" s="1"/>
  <c r="BC5" i="5"/>
  <c r="BD4" i="5"/>
  <c r="BD9" i="5"/>
  <c r="AS8" i="5"/>
  <c r="BD15" i="5"/>
  <c r="AS14" i="5"/>
  <c r="BD19" i="5"/>
  <c r="AS19" i="5" s="1"/>
  <c r="AS18" i="5"/>
  <c r="BD21" i="5"/>
  <c r="AS20" i="5"/>
  <c r="BD27" i="5"/>
  <c r="AS27" i="5" s="1"/>
  <c r="AS26" i="5"/>
  <c r="BD29" i="5"/>
  <c r="AS29" i="5" s="1"/>
  <c r="AS28" i="5"/>
  <c r="BD31" i="5"/>
  <c r="AS30" i="5"/>
  <c r="BD35" i="5"/>
  <c r="AS34" i="5"/>
  <c r="BC39" i="5"/>
  <c r="BD42" i="5"/>
  <c r="AS42" i="5" s="1"/>
  <c r="BD43" i="5"/>
  <c r="AS43" i="5" s="1"/>
  <c r="BD45" i="5"/>
  <c r="AS45" i="5" s="1"/>
  <c r="BD47" i="5"/>
  <c r="AS47" i="5" s="1"/>
  <c r="BD48" i="5"/>
  <c r="AS48" i="5" s="1"/>
  <c r="BD49" i="5"/>
  <c r="AS49" i="5" s="1"/>
  <c r="BD51" i="5"/>
  <c r="AS51" i="5" s="1"/>
  <c r="BD52" i="5"/>
  <c r="AS52" i="5" s="1"/>
  <c r="BD53" i="5"/>
  <c r="AS53" i="5" s="1"/>
  <c r="BD54" i="5"/>
  <c r="AS54" i="5" s="1"/>
  <c r="BD55" i="5"/>
  <c r="AS55" i="5" s="1"/>
  <c r="BD56" i="5"/>
  <c r="AS56" i="5" s="1"/>
  <c r="BD57" i="5"/>
  <c r="AS57" i="5" s="1"/>
  <c r="BD58" i="5"/>
  <c r="AS58" i="5" s="1"/>
  <c r="BD59" i="5"/>
  <c r="AS59" i="5" s="1"/>
  <c r="BD61" i="5"/>
  <c r="AS61" i="5" s="1"/>
  <c r="BD62" i="5"/>
  <c r="AS62" i="5" s="1"/>
  <c r="BD63" i="5"/>
  <c r="AS63" i="5" s="1"/>
  <c r="BD64" i="5"/>
  <c r="AS64" i="5" s="1"/>
  <c r="BD65" i="5"/>
  <c r="AS65" i="5" s="1"/>
  <c r="BD66" i="5"/>
  <c r="AS66" i="5" s="1"/>
  <c r="BD67" i="5"/>
  <c r="AS67" i="5" s="1"/>
  <c r="BD68" i="5"/>
  <c r="AS68" i="5" s="1"/>
  <c r="BD69" i="5"/>
  <c r="AS69" i="5" s="1"/>
  <c r="BD71" i="5"/>
  <c r="AS71" i="5" s="1"/>
  <c r="BD73" i="5"/>
  <c r="AS73" i="5" s="1"/>
  <c r="BD75" i="5"/>
  <c r="AS75" i="5" s="1"/>
  <c r="BD76" i="5"/>
  <c r="AS76" i="5" s="1"/>
  <c r="BD77" i="5"/>
  <c r="AS77" i="5" s="1"/>
  <c r="BD79" i="5"/>
  <c r="AS79" i="5" s="1"/>
  <c r="BD80" i="5"/>
  <c r="AS80" i="5" s="1"/>
  <c r="BD81" i="5"/>
  <c r="AS81" i="5" s="1"/>
  <c r="BD83" i="5"/>
  <c r="AS83" i="5" s="1"/>
  <c r="BD84" i="5"/>
  <c r="AS84" i="5" s="1"/>
  <c r="BD85" i="5"/>
  <c r="AS85" i="5" s="1"/>
  <c r="BD86" i="5"/>
  <c r="AS86" i="5" s="1"/>
  <c r="BD87" i="5"/>
  <c r="AS87" i="5" s="1"/>
  <c r="BD89" i="5"/>
  <c r="AS89" i="5" s="1"/>
  <c r="BD91" i="5"/>
  <c r="AS91" i="5" s="1"/>
  <c r="BD93" i="5"/>
  <c r="AS93" i="5" s="1"/>
  <c r="BD94" i="5"/>
  <c r="AS94" i="5" s="1"/>
  <c r="BD95" i="5"/>
  <c r="AS95" i="5" s="1"/>
  <c r="BD96" i="5"/>
  <c r="AS96" i="5" s="1"/>
  <c r="BD97" i="5"/>
  <c r="AS97" i="5" s="1"/>
  <c r="BD99" i="5"/>
  <c r="AS99" i="5" s="1"/>
  <c r="BD101" i="5"/>
  <c r="AS101" i="5" s="1"/>
  <c r="BD102" i="5"/>
  <c r="AS102" i="5" s="1"/>
  <c r="BD103" i="5"/>
  <c r="AS103" i="5" s="1"/>
  <c r="BD105" i="5"/>
  <c r="AS105" i="5" s="1"/>
  <c r="BD108" i="5"/>
  <c r="AS108" i="5" s="1"/>
  <c r="BD110" i="5"/>
  <c r="AS110" i="5" s="1"/>
  <c r="BD112" i="5"/>
  <c r="AS112" i="5" s="1"/>
  <c r="BD114" i="5"/>
  <c r="AS114" i="5" s="1"/>
  <c r="BD116" i="5"/>
  <c r="AS116" i="5" s="1"/>
  <c r="BD118" i="5"/>
  <c r="AS118" i="5" s="1"/>
  <c r="BD120" i="5"/>
  <c r="AS120" i="5" s="1"/>
  <c r="BD122" i="5"/>
  <c r="AS122" i="5" s="1"/>
  <c r="BD124" i="5"/>
  <c r="AS124" i="5" s="1"/>
  <c r="BD126" i="5"/>
  <c r="AS126" i="5" s="1"/>
  <c r="BD128" i="5"/>
  <c r="AS128" i="5" s="1"/>
  <c r="BD130" i="5"/>
  <c r="AS130" i="5" s="1"/>
  <c r="BD131" i="5"/>
  <c r="AS131" i="5" s="1"/>
  <c r="BD132" i="5"/>
  <c r="AS132" i="5" s="1"/>
  <c r="BD137" i="5"/>
  <c r="AS137" i="5" s="1"/>
  <c r="BD142" i="5"/>
  <c r="AS142" i="5" s="1"/>
  <c r="BD157" i="5"/>
  <c r="AS157" i="5" s="1"/>
  <c r="AX157" i="5" s="1"/>
  <c r="BD167" i="5"/>
  <c r="AS167" i="5" s="1"/>
  <c r="AX167" i="5" s="1"/>
  <c r="BD169" i="5"/>
  <c r="AS169" i="5" s="1"/>
  <c r="AX169" i="5" s="1"/>
  <c r="BD173" i="5"/>
  <c r="AS173" i="5" s="1"/>
  <c r="AX173" i="5" s="1"/>
  <c r="BD175" i="5"/>
  <c r="AS175" i="5" s="1"/>
  <c r="AX175" i="5" s="1"/>
  <c r="BD177" i="5"/>
  <c r="AS177" i="5" s="1"/>
  <c r="AX177" i="5" s="1"/>
  <c r="BD179" i="5"/>
  <c r="AS179" i="5" s="1"/>
  <c r="AX179" i="5" s="1"/>
  <c r="BD181" i="5"/>
  <c r="AS181" i="5" s="1"/>
  <c r="AX181" i="5" s="1"/>
  <c r="BD183" i="5"/>
  <c r="AS183" i="5" s="1"/>
  <c r="AX183" i="5" s="1"/>
  <c r="BD185" i="5"/>
  <c r="AS185" i="5" s="1"/>
  <c r="AX185" i="5" s="1"/>
  <c r="BD187" i="5"/>
  <c r="AS187" i="5" s="1"/>
  <c r="AX187" i="5" s="1"/>
  <c r="BD189" i="5"/>
  <c r="AS189" i="5" s="1"/>
  <c r="AX189" i="5" s="1"/>
  <c r="BD192" i="5"/>
  <c r="AS192" i="5" s="1"/>
  <c r="AX192" i="5" s="1"/>
  <c r="BD196" i="5"/>
  <c r="AS196" i="5" s="1"/>
  <c r="AX196" i="5" s="1"/>
  <c r="BD212" i="5"/>
  <c r="AS212" i="5" s="1"/>
  <c r="AX212" i="5" s="1"/>
  <c r="BD214" i="5"/>
  <c r="AS214" i="5" s="1"/>
  <c r="AX214" i="5" s="1"/>
  <c r="BD216" i="5"/>
  <c r="AS216" i="5" s="1"/>
  <c r="AX216" i="5" s="1"/>
  <c r="BD217" i="5"/>
  <c r="AS217" i="5" s="1"/>
  <c r="AX217" i="5" s="1"/>
  <c r="BD219" i="5"/>
  <c r="AS219" i="5" s="1"/>
  <c r="AX219" i="5" s="1"/>
  <c r="BD220" i="5"/>
  <c r="AS220" i="5" s="1"/>
  <c r="AX220" i="5" s="1"/>
  <c r="BD257" i="5"/>
  <c r="AS257" i="5" s="1"/>
  <c r="AX257" i="5" s="1"/>
  <c r="BD260" i="5"/>
  <c r="AS260" i="5" s="1"/>
  <c r="AX260" i="5" s="1"/>
  <c r="BD271" i="5"/>
  <c r="AS271" i="5" s="1"/>
  <c r="AX271" i="5" s="1"/>
  <c r="BD288" i="5"/>
  <c r="AS288" i="5" s="1"/>
  <c r="AX288" i="5" s="1"/>
  <c r="BD289" i="5"/>
  <c r="AS289" i="5" s="1"/>
  <c r="AX289" i="5" s="1"/>
  <c r="BD290" i="5"/>
  <c r="AS290" i="5" s="1"/>
  <c r="AX290" i="5" s="1"/>
  <c r="BD292" i="5"/>
  <c r="AS292" i="5" s="1"/>
  <c r="AX292" i="5" s="1"/>
  <c r="BD296" i="5"/>
  <c r="AS296" i="5" s="1"/>
  <c r="AX296" i="5" s="1"/>
  <c r="BD297" i="5"/>
  <c r="AS297" i="5" s="1"/>
  <c r="AX297" i="5" s="1"/>
  <c r="BD298" i="5"/>
  <c r="AS298" i="5" s="1"/>
  <c r="AX298" i="5" s="1"/>
  <c r="BD299" i="5"/>
  <c r="AS299" i="5" s="1"/>
  <c r="AX299" i="5" s="1"/>
  <c r="BD300" i="5"/>
  <c r="AS300" i="5" s="1"/>
  <c r="AX300" i="5" s="1"/>
  <c r="BD302" i="5"/>
  <c r="AS302" i="5" s="1"/>
  <c r="AX302" i="5" s="1"/>
  <c r="BD303" i="5"/>
  <c r="AS303" i="5" s="1"/>
  <c r="AX303" i="5" s="1"/>
  <c r="BD304" i="5"/>
  <c r="AS304" i="5" s="1"/>
  <c r="AX304" i="5" s="1"/>
  <c r="BD306" i="5"/>
  <c r="AS306" i="5" s="1"/>
  <c r="AX306" i="5" s="1"/>
  <c r="BD307" i="5"/>
  <c r="AS307" i="5" s="1"/>
  <c r="AX307" i="5" s="1"/>
  <c r="BD308" i="5"/>
  <c r="AS308" i="5" s="1"/>
  <c r="AX308" i="5" s="1"/>
  <c r="BD309" i="5"/>
  <c r="AS309" i="5" s="1"/>
  <c r="AX309" i="5" s="1"/>
  <c r="BD310" i="5"/>
  <c r="AS310" i="5" s="1"/>
  <c r="AX310" i="5" s="1"/>
  <c r="BD312" i="5"/>
  <c r="AS312" i="5" s="1"/>
  <c r="AX312" i="5" s="1"/>
  <c r="BD350" i="5"/>
  <c r="AS350" i="5" s="1"/>
  <c r="AX350" i="5" s="1"/>
  <c r="BD494" i="5"/>
  <c r="AS494" i="5" s="1"/>
  <c r="AX494" i="5" s="1"/>
  <c r="BD497" i="5"/>
  <c r="AS497" i="5" s="1"/>
  <c r="AX497" i="5" s="1"/>
  <c r="BD498" i="5"/>
  <c r="AS498" i="5" s="1"/>
  <c r="AX498" i="5" s="1"/>
  <c r="BD500" i="5"/>
  <c r="AS500" i="5" s="1"/>
  <c r="AX500" i="5" s="1"/>
  <c r="BD501" i="5"/>
  <c r="AS501" i="5" s="1"/>
  <c r="AX501" i="5" s="1"/>
  <c r="BD505" i="5"/>
  <c r="AS505" i="5" s="1"/>
  <c r="AX505" i="5" s="1"/>
  <c r="BD509" i="5"/>
  <c r="AS509" i="5" s="1"/>
  <c r="AX509" i="5" s="1"/>
  <c r="BD511" i="5"/>
  <c r="AS511" i="5" s="1"/>
  <c r="AX511" i="5" s="1"/>
  <c r="BD513" i="5"/>
  <c r="AS513" i="5" s="1"/>
  <c r="AX513" i="5" s="1"/>
  <c r="BD514" i="5"/>
  <c r="AS514" i="5" s="1"/>
  <c r="AX514" i="5" s="1"/>
  <c r="BD522" i="5"/>
  <c r="AS522" i="5" s="1"/>
  <c r="AX522" i="5" s="1"/>
  <c r="BD524" i="5"/>
  <c r="AS524" i="5" s="1"/>
  <c r="AX524" i="5" s="1"/>
  <c r="BD525" i="5"/>
  <c r="AS525" i="5" s="1"/>
  <c r="AX525" i="5" s="1"/>
  <c r="BD527" i="5"/>
  <c r="AS527" i="5" s="1"/>
  <c r="AX527" i="5" s="1"/>
  <c r="BD528" i="5"/>
  <c r="AS528" i="5" s="1"/>
  <c r="AX528" i="5" s="1"/>
  <c r="BD530" i="5"/>
  <c r="AS530" i="5" s="1"/>
  <c r="AX530" i="5" s="1"/>
  <c r="BD532" i="5"/>
  <c r="AS532" i="5" s="1"/>
  <c r="AX532" i="5" s="1"/>
  <c r="BD533" i="5"/>
  <c r="AS533" i="5" s="1"/>
  <c r="AX533" i="5" s="1"/>
  <c r="BD534" i="5"/>
  <c r="AS534" i="5" s="1"/>
  <c r="AX534" i="5" s="1"/>
  <c r="BD535" i="5"/>
  <c r="AS535" i="5" s="1"/>
  <c r="AX535" i="5" s="1"/>
  <c r="BD536" i="5"/>
  <c r="AS536" i="5" s="1"/>
  <c r="AX536" i="5" s="1"/>
  <c r="BD538" i="5"/>
  <c r="AS538" i="5" s="1"/>
  <c r="AX538" i="5" s="1"/>
  <c r="BD540" i="5"/>
  <c r="AS540" i="5" s="1"/>
  <c r="AX540" i="5" s="1"/>
  <c r="BD541" i="5"/>
  <c r="AS541" i="5" s="1"/>
  <c r="AX541" i="5" s="1"/>
  <c r="BD542" i="5"/>
  <c r="AS542" i="5" s="1"/>
  <c r="AX542" i="5" s="1"/>
  <c r="BD544" i="5"/>
  <c r="AS544" i="5" s="1"/>
  <c r="AX544" i="5" s="1"/>
  <c r="BD545" i="5"/>
  <c r="AS545" i="5" s="1"/>
  <c r="AX545" i="5" s="1"/>
  <c r="BD546" i="5"/>
  <c r="AS546" i="5" s="1"/>
  <c r="AX546" i="5" s="1"/>
  <c r="BD547" i="5"/>
  <c r="AS547" i="5" s="1"/>
  <c r="AX547" i="5" s="1"/>
  <c r="BD548" i="5"/>
  <c r="AS548" i="5" s="1"/>
  <c r="AX548" i="5" s="1"/>
  <c r="BD549" i="5"/>
  <c r="AS549" i="5" s="1"/>
  <c r="AX549" i="5" s="1"/>
  <c r="BD560" i="5"/>
  <c r="AS560" i="5" s="1"/>
  <c r="AX560" i="5" s="1"/>
  <c r="BD561" i="5"/>
  <c r="AS561" i="5" s="1"/>
  <c r="AX561" i="5" s="1"/>
  <c r="BD562" i="5"/>
  <c r="AS562" i="5" s="1"/>
  <c r="AX562" i="5" s="1"/>
  <c r="BD565" i="5"/>
  <c r="AS565" i="5" s="1"/>
  <c r="AX565" i="5" s="1"/>
  <c r="BD569" i="5"/>
  <c r="AS569" i="5" s="1"/>
  <c r="AX569" i="5" s="1"/>
  <c r="BD572" i="5"/>
  <c r="AS572" i="5" s="1"/>
  <c r="AX572" i="5" s="1"/>
  <c r="BD573" i="5"/>
  <c r="AS573" i="5" s="1"/>
  <c r="AX573" i="5" s="1"/>
  <c r="BD574" i="5"/>
  <c r="AS574" i="5" s="1"/>
  <c r="AX574" i="5" s="1"/>
  <c r="BD575" i="5"/>
  <c r="AS575" i="5" s="1"/>
  <c r="AX575" i="5" s="1"/>
  <c r="BD583" i="5"/>
  <c r="AS583" i="5" s="1"/>
  <c r="AX583" i="5" s="1"/>
  <c r="BD585" i="5"/>
  <c r="AS585" i="5" s="1"/>
  <c r="AX585" i="5" s="1"/>
  <c r="BD588" i="5"/>
  <c r="AS588" i="5" s="1"/>
  <c r="AX588" i="5" s="1"/>
  <c r="BD589" i="5"/>
  <c r="AS589" i="5" s="1"/>
  <c r="AX589" i="5" s="1"/>
  <c r="BD590" i="5"/>
  <c r="AS590" i="5" s="1"/>
  <c r="AX590" i="5" s="1"/>
  <c r="BD604" i="5"/>
  <c r="AS604" i="5" s="1"/>
  <c r="AX604" i="5" s="1"/>
  <c r="BD605" i="5"/>
  <c r="AS605" i="5" s="1"/>
  <c r="AX605" i="5" s="1"/>
  <c r="BD607" i="5"/>
  <c r="AS607" i="5" s="1"/>
  <c r="AX607" i="5" s="1"/>
  <c r="BD608" i="5"/>
  <c r="AS608" i="5" s="1"/>
  <c r="AX608" i="5" s="1"/>
  <c r="BD610" i="5"/>
  <c r="AS610" i="5" s="1"/>
  <c r="AX610" i="5" s="1"/>
  <c r="BD611" i="5"/>
  <c r="AS611" i="5" s="1"/>
  <c r="AX611" i="5" s="1"/>
  <c r="BD615" i="5"/>
  <c r="AS615" i="5" s="1"/>
  <c r="AX615" i="5" s="1"/>
  <c r="BD616" i="5"/>
  <c r="AS616" i="5" s="1"/>
  <c r="AX616" i="5" s="1"/>
  <c r="BD621" i="5"/>
  <c r="AS621" i="5" s="1"/>
  <c r="AX621" i="5" s="1"/>
  <c r="BD622" i="5"/>
  <c r="AS622" i="5" s="1"/>
  <c r="AX622" i="5" s="1"/>
  <c r="BD623" i="5"/>
  <c r="AS623" i="5" s="1"/>
  <c r="AX623" i="5" s="1"/>
  <c r="BD625" i="5"/>
  <c r="AS625" i="5" s="1"/>
  <c r="AX625" i="5" s="1"/>
  <c r="BD626" i="5"/>
  <c r="AS626" i="5" s="1"/>
  <c r="AX626" i="5" s="1"/>
  <c r="BD627" i="5"/>
  <c r="AS627" i="5" s="1"/>
  <c r="AX627" i="5" s="1"/>
  <c r="BD634" i="5"/>
  <c r="AS634" i="5" s="1"/>
  <c r="AX634" i="5" s="1"/>
  <c r="BD636" i="5"/>
  <c r="AS636" i="5" s="1"/>
  <c r="AX636" i="5" s="1"/>
  <c r="BD638" i="5"/>
  <c r="AS638" i="5" s="1"/>
  <c r="AX638" i="5" s="1"/>
  <c r="BD648" i="5"/>
  <c r="AS648" i="5" s="1"/>
  <c r="AX648" i="5" s="1"/>
  <c r="BD649" i="5"/>
  <c r="AS649" i="5" s="1"/>
  <c r="AX649" i="5" s="1"/>
  <c r="BD655" i="5"/>
  <c r="AS655" i="5" s="1"/>
  <c r="AX655" i="5" s="1"/>
  <c r="BD658" i="5"/>
  <c r="AS658" i="5" s="1"/>
  <c r="AX658" i="5" s="1"/>
  <c r="BD659" i="5"/>
  <c r="AS659" i="5" s="1"/>
  <c r="AX659" i="5" s="1"/>
  <c r="BD679" i="5"/>
  <c r="AS679" i="5" s="1"/>
  <c r="AX679" i="5" s="1"/>
  <c r="BD699" i="5"/>
  <c r="AS699" i="5" s="1"/>
  <c r="AX699" i="5" s="1"/>
  <c r="BD700" i="5"/>
  <c r="AS700" i="5" s="1"/>
  <c r="AX700" i="5" s="1"/>
  <c r="BD702" i="5"/>
  <c r="AS702" i="5" s="1"/>
  <c r="AX702" i="5" s="1"/>
  <c r="BD703" i="5"/>
  <c r="AS703" i="5" s="1"/>
  <c r="AX703" i="5" s="1"/>
  <c r="BD704" i="5"/>
  <c r="AS704" i="5" s="1"/>
  <c r="AX704" i="5" s="1"/>
  <c r="BD705" i="5"/>
  <c r="AS705" i="5" s="1"/>
  <c r="AX705" i="5" s="1"/>
  <c r="BD706" i="5"/>
  <c r="AS706" i="5" s="1"/>
  <c r="AX706" i="5" s="1"/>
  <c r="BD707" i="5"/>
  <c r="AS707" i="5" s="1"/>
  <c r="AX707" i="5" s="1"/>
  <c r="BD708" i="5"/>
  <c r="AS708" i="5" s="1"/>
  <c r="AX708" i="5" s="1"/>
  <c r="BD711" i="5"/>
  <c r="AS711" i="5" s="1"/>
  <c r="AX711" i="5" s="1"/>
  <c r="BD712" i="5"/>
  <c r="AS712" i="5" s="1"/>
  <c r="AX712" i="5" s="1"/>
  <c r="BD713" i="5"/>
  <c r="AS713" i="5" s="1"/>
  <c r="AX713" i="5" s="1"/>
  <c r="BD714" i="5"/>
  <c r="AS714" i="5" s="1"/>
  <c r="AX714" i="5" s="1"/>
  <c r="BD715" i="5"/>
  <c r="AS715" i="5" s="1"/>
  <c r="AX715" i="5" s="1"/>
  <c r="BD716" i="5"/>
  <c r="AS716" i="5" s="1"/>
  <c r="AX716" i="5" s="1"/>
  <c r="BD717" i="5"/>
  <c r="AS717" i="5" s="1"/>
  <c r="AX717" i="5" s="1"/>
  <c r="BD719" i="5"/>
  <c r="AS719" i="5" s="1"/>
  <c r="AX719" i="5" s="1"/>
  <c r="BD720" i="5"/>
  <c r="AS720" i="5" s="1"/>
  <c r="AX720" i="5" s="1"/>
  <c r="BD723" i="5"/>
  <c r="AS723" i="5" s="1"/>
  <c r="AX723" i="5" s="1"/>
  <c r="BD724" i="5"/>
  <c r="AS724" i="5" s="1"/>
  <c r="AX724" i="5" s="1"/>
  <c r="BD726" i="5"/>
  <c r="AS726" i="5" s="1"/>
  <c r="AX726" i="5" s="1"/>
  <c r="BD728" i="5"/>
  <c r="AS728" i="5" s="1"/>
  <c r="AX728" i="5" s="1"/>
  <c r="BD729" i="5"/>
  <c r="AS729" i="5" s="1"/>
  <c r="AX729" i="5" s="1"/>
  <c r="BD730" i="5"/>
  <c r="AS730" i="5" s="1"/>
  <c r="AX730" i="5" s="1"/>
  <c r="BD733" i="5"/>
  <c r="AS733" i="5" s="1"/>
  <c r="AX733" i="5" s="1"/>
  <c r="BD735" i="5"/>
  <c r="AS735" i="5" s="1"/>
  <c r="AX735" i="5" s="1"/>
  <c r="BD736" i="5"/>
  <c r="AS736" i="5" s="1"/>
  <c r="AX736" i="5" s="1"/>
  <c r="BD738" i="5"/>
  <c r="AS738" i="5" s="1"/>
  <c r="AX738" i="5" s="1"/>
  <c r="BD739" i="5"/>
  <c r="AS739" i="5" s="1"/>
  <c r="AX739" i="5" s="1"/>
  <c r="BD740" i="5"/>
  <c r="AS740" i="5" s="1"/>
  <c r="AX740" i="5" s="1"/>
  <c r="BD741" i="5"/>
  <c r="AS741" i="5" s="1"/>
  <c r="AX741" i="5" s="1"/>
  <c r="BD743" i="5"/>
  <c r="AS743" i="5" s="1"/>
  <c r="AX743" i="5" s="1"/>
  <c r="BD744" i="5"/>
  <c r="AS744" i="5" s="1"/>
  <c r="AX744" i="5" s="1"/>
  <c r="BD746" i="5"/>
  <c r="AS746" i="5" s="1"/>
  <c r="AX746" i="5" s="1"/>
  <c r="BD747" i="5"/>
  <c r="AS747" i="5" s="1"/>
  <c r="AX747" i="5" s="1"/>
  <c r="BD778" i="5"/>
  <c r="AS778" i="5" s="1"/>
  <c r="AX778" i="5" s="1"/>
  <c r="BD779" i="5"/>
  <c r="AS779" i="5" s="1"/>
  <c r="AX779" i="5" s="1"/>
  <c r="BD780" i="5"/>
  <c r="AS780" i="5" s="1"/>
  <c r="AX780" i="5" s="1"/>
  <c r="BD782" i="5"/>
  <c r="AS782" i="5" s="1"/>
  <c r="AX782" i="5" s="1"/>
  <c r="BD783" i="5"/>
  <c r="AS783" i="5" s="1"/>
  <c r="AX783" i="5" s="1"/>
  <c r="BD784" i="5"/>
  <c r="AS784" i="5" s="1"/>
  <c r="AX784" i="5" s="1"/>
  <c r="BD791" i="5"/>
  <c r="AS791" i="5" s="1"/>
  <c r="AX791" i="5" s="1"/>
  <c r="BD793" i="5"/>
  <c r="AS793" i="5" s="1"/>
  <c r="AX793" i="5" s="1"/>
  <c r="BD794" i="5"/>
  <c r="AS794" i="5" s="1"/>
  <c r="AX794" i="5" s="1"/>
  <c r="BD795" i="5"/>
  <c r="AS795" i="5" s="1"/>
  <c r="AX795" i="5" s="1"/>
  <c r="BD796" i="5"/>
  <c r="AS796" i="5" s="1"/>
  <c r="AX796" i="5" s="1"/>
  <c r="BD798" i="5"/>
  <c r="AS798" i="5" s="1"/>
  <c r="AX798" i="5" s="1"/>
  <c r="BD799" i="5"/>
  <c r="AS799" i="5" s="1"/>
  <c r="AX799" i="5" s="1"/>
  <c r="BD801" i="5"/>
  <c r="AS801" i="5" s="1"/>
  <c r="AX801" i="5" s="1"/>
  <c r="BD802" i="5"/>
  <c r="AS802" i="5" s="1"/>
  <c r="AX802" i="5" s="1"/>
  <c r="BD804" i="5"/>
  <c r="AS804" i="5" s="1"/>
  <c r="AX804" i="5" s="1"/>
  <c r="BD805" i="5"/>
  <c r="AS805" i="5" s="1"/>
  <c r="AX805" i="5" s="1"/>
  <c r="BD807" i="5"/>
  <c r="AS807" i="5" s="1"/>
  <c r="AX807" i="5" s="1"/>
  <c r="BD809" i="5"/>
  <c r="AS809" i="5" s="1"/>
  <c r="AX809" i="5" s="1"/>
  <c r="BD811" i="5"/>
  <c r="AS811" i="5" s="1"/>
  <c r="AX811" i="5" s="1"/>
  <c r="BD813" i="5"/>
  <c r="AS813" i="5" s="1"/>
  <c r="AX813" i="5" s="1"/>
  <c r="BD815" i="5"/>
  <c r="AS815" i="5" s="1"/>
  <c r="AX815" i="5" s="1"/>
  <c r="BD817" i="5"/>
  <c r="AS817" i="5" s="1"/>
  <c r="AX817" i="5" s="1"/>
  <c r="BD819" i="5"/>
  <c r="AS819" i="5" s="1"/>
  <c r="AX819" i="5" s="1"/>
  <c r="BD821" i="5"/>
  <c r="AS821" i="5" s="1"/>
  <c r="AX821" i="5" s="1"/>
  <c r="BD822" i="5"/>
  <c r="AS822" i="5" s="1"/>
  <c r="AX822" i="5" s="1"/>
  <c r="BD824" i="5"/>
  <c r="AS824" i="5" s="1"/>
  <c r="AX824" i="5" s="1"/>
  <c r="BD825" i="5"/>
  <c r="AS825" i="5" s="1"/>
  <c r="AX825" i="5" s="1"/>
  <c r="BD827" i="5"/>
  <c r="AS827" i="5" s="1"/>
  <c r="AX827" i="5" s="1"/>
  <c r="BD828" i="5"/>
  <c r="AS828" i="5" s="1"/>
  <c r="AX828" i="5" s="1"/>
  <c r="BD830" i="5"/>
  <c r="AS830" i="5" s="1"/>
  <c r="AX830" i="5" s="1"/>
  <c r="BD831" i="5"/>
  <c r="AS831" i="5" s="1"/>
  <c r="AX831" i="5" s="1"/>
  <c r="BD833" i="5"/>
  <c r="AS833" i="5" s="1"/>
  <c r="AX833" i="5" s="1"/>
  <c r="BD834" i="5"/>
  <c r="AS834" i="5" s="1"/>
  <c r="AX834" i="5" s="1"/>
  <c r="BD835" i="5"/>
  <c r="AS835" i="5" s="1"/>
  <c r="AX835" i="5" s="1"/>
  <c r="BD838" i="5"/>
  <c r="AS838" i="5" s="1"/>
  <c r="AX838" i="5" s="1"/>
  <c r="BD839" i="5"/>
  <c r="AS839" i="5" s="1"/>
  <c r="AX839" i="5" s="1"/>
  <c r="BD840" i="5"/>
  <c r="AS840" i="5" s="1"/>
  <c r="AX840" i="5" s="1"/>
  <c r="BD841" i="5"/>
  <c r="AS841" i="5" s="1"/>
  <c r="AX841" i="5" s="1"/>
  <c r="BD843" i="5"/>
  <c r="AS843" i="5" s="1"/>
  <c r="AX843" i="5" s="1"/>
  <c r="BD844" i="5"/>
  <c r="AS844" i="5" s="1"/>
  <c r="AX844" i="5" s="1"/>
  <c r="BD845" i="5"/>
  <c r="AS845" i="5" s="1"/>
  <c r="AX845" i="5" s="1"/>
  <c r="BD846" i="5"/>
  <c r="AS846" i="5" s="1"/>
  <c r="AX846" i="5" s="1"/>
  <c r="BD848" i="5"/>
  <c r="AS848" i="5" s="1"/>
  <c r="AX848" i="5" s="1"/>
  <c r="BD849" i="5"/>
  <c r="AS849" i="5" s="1"/>
  <c r="AX849" i="5" s="1"/>
  <c r="BD850" i="5"/>
  <c r="AS850" i="5" s="1"/>
  <c r="AX850" i="5" s="1"/>
  <c r="BD851" i="5"/>
  <c r="AS851" i="5" s="1"/>
  <c r="AX851" i="5" s="1"/>
  <c r="BD852" i="5"/>
  <c r="AS852" i="5" s="1"/>
  <c r="AX852" i="5" s="1"/>
  <c r="BD853" i="5"/>
  <c r="AS853" i="5" s="1"/>
  <c r="AX853" i="5" s="1"/>
  <c r="BD854" i="5"/>
  <c r="AS854" i="5" s="1"/>
  <c r="AX854" i="5" s="1"/>
  <c r="BD855" i="5"/>
  <c r="AS855" i="5" s="1"/>
  <c r="AX855" i="5" s="1"/>
  <c r="BD857" i="5"/>
  <c r="AS857" i="5" s="1"/>
  <c r="AX857" i="5" s="1"/>
  <c r="BD858" i="5"/>
  <c r="AS858" i="5" s="1"/>
  <c r="AX858" i="5" s="1"/>
  <c r="BD859" i="5"/>
  <c r="AS859" i="5" s="1"/>
  <c r="AX859" i="5" s="1"/>
  <c r="BD860" i="5"/>
  <c r="AS860" i="5" s="1"/>
  <c r="AX860" i="5" s="1"/>
  <c r="BD861" i="5"/>
  <c r="AS861" i="5" s="1"/>
  <c r="AX861" i="5" s="1"/>
  <c r="BD862" i="5"/>
  <c r="AS862" i="5" s="1"/>
  <c r="AX862" i="5" s="1"/>
  <c r="BD863" i="5"/>
  <c r="AS863" i="5" s="1"/>
  <c r="AX863" i="5" s="1"/>
  <c r="BD864" i="5"/>
  <c r="AS864" i="5" s="1"/>
  <c r="AX864" i="5" s="1"/>
  <c r="BD866" i="5"/>
  <c r="AS866" i="5" s="1"/>
  <c r="AX866" i="5" s="1"/>
  <c r="BD867" i="5"/>
  <c r="AS867" i="5" s="1"/>
  <c r="AX867" i="5" s="1"/>
  <c r="BD868" i="5"/>
  <c r="AS868" i="5" s="1"/>
  <c r="AX868" i="5" s="1"/>
  <c r="BD869" i="5"/>
  <c r="AS869" i="5" s="1"/>
  <c r="AX869" i="5" s="1"/>
  <c r="BD870" i="5"/>
  <c r="AS870" i="5" s="1"/>
  <c r="AX870" i="5" s="1"/>
  <c r="BD871" i="5"/>
  <c r="AS871" i="5" s="1"/>
  <c r="AX871" i="5" s="1"/>
  <c r="BD872" i="5"/>
  <c r="AS872" i="5" s="1"/>
  <c r="AX872" i="5" s="1"/>
  <c r="BD873" i="5"/>
  <c r="AS873" i="5" s="1"/>
  <c r="AX873" i="5" s="1"/>
  <c r="BD875" i="5"/>
  <c r="AS875" i="5" s="1"/>
  <c r="AX875" i="5" s="1"/>
  <c r="BD876" i="5"/>
  <c r="AS876" i="5" s="1"/>
  <c r="AX876" i="5" s="1"/>
  <c r="BD877" i="5"/>
  <c r="AS877" i="5" s="1"/>
  <c r="AX877" i="5" s="1"/>
  <c r="BD878" i="5"/>
  <c r="AS878" i="5" s="1"/>
  <c r="AX878" i="5" s="1"/>
  <c r="BD879" i="5"/>
  <c r="AS879" i="5" s="1"/>
  <c r="AX879" i="5" s="1"/>
  <c r="BD880" i="5"/>
  <c r="AS880" i="5" s="1"/>
  <c r="AX880" i="5" s="1"/>
  <c r="BD881" i="5"/>
  <c r="AS881" i="5" s="1"/>
  <c r="AX881" i="5" s="1"/>
  <c r="BD882" i="5"/>
  <c r="AS882" i="5" s="1"/>
  <c r="AX882" i="5" s="1"/>
  <c r="BD884" i="5"/>
  <c r="AS884" i="5" s="1"/>
  <c r="AX884" i="5" s="1"/>
  <c r="BD885" i="5"/>
  <c r="AS885" i="5" s="1"/>
  <c r="AX885" i="5" s="1"/>
  <c r="BD886" i="5"/>
  <c r="AS886" i="5" s="1"/>
  <c r="AX886" i="5" s="1"/>
  <c r="BD887" i="5"/>
  <c r="AS887" i="5" s="1"/>
  <c r="AX887" i="5" s="1"/>
  <c r="BD888" i="5"/>
  <c r="AS888" i="5" s="1"/>
  <c r="AX888" i="5" s="1"/>
  <c r="BD889" i="5"/>
  <c r="AS889" i="5" s="1"/>
  <c r="AX889" i="5" s="1"/>
  <c r="BD890" i="5"/>
  <c r="AS890" i="5" s="1"/>
  <c r="AX890" i="5" s="1"/>
  <c r="BD891" i="5"/>
  <c r="AS891" i="5" s="1"/>
  <c r="AX891" i="5" s="1"/>
  <c r="BD893" i="5"/>
  <c r="AS893" i="5" s="1"/>
  <c r="AX893" i="5" s="1"/>
  <c r="BD894" i="5"/>
  <c r="AS894" i="5" s="1"/>
  <c r="AX894" i="5" s="1"/>
  <c r="BD895" i="5"/>
  <c r="AS895" i="5" s="1"/>
  <c r="AX895" i="5" s="1"/>
  <c r="BD896" i="5"/>
  <c r="AS896" i="5" s="1"/>
  <c r="AX896" i="5" s="1"/>
  <c r="BD897" i="5"/>
  <c r="AS897" i="5" s="1"/>
  <c r="AX897" i="5" s="1"/>
  <c r="BD898" i="5"/>
  <c r="AS898" i="5" s="1"/>
  <c r="AX898" i="5" s="1"/>
  <c r="BD899" i="5"/>
  <c r="AS899" i="5" s="1"/>
  <c r="AX899" i="5" s="1"/>
  <c r="BD900" i="5"/>
  <c r="AS900" i="5" s="1"/>
  <c r="AX900" i="5" s="1"/>
  <c r="BD902" i="5"/>
  <c r="AS902" i="5" s="1"/>
  <c r="AX902" i="5" s="1"/>
  <c r="BD903" i="5"/>
  <c r="AS903" i="5" s="1"/>
  <c r="AX903" i="5" s="1"/>
  <c r="BD904" i="5"/>
  <c r="AS904" i="5" s="1"/>
  <c r="AX904" i="5" s="1"/>
  <c r="BD905" i="5"/>
  <c r="AS905" i="5" s="1"/>
  <c r="AX905" i="5" s="1"/>
  <c r="BD906" i="5"/>
  <c r="AS906" i="5" s="1"/>
  <c r="AX906" i="5" s="1"/>
  <c r="BD907" i="5"/>
  <c r="AS907" i="5" s="1"/>
  <c r="AX907" i="5" s="1"/>
  <c r="BD908" i="5"/>
  <c r="AS908" i="5" s="1"/>
  <c r="AX908" i="5" s="1"/>
  <c r="BD909" i="5"/>
  <c r="AS909" i="5" s="1"/>
  <c r="AX909" i="5" s="1"/>
  <c r="BD911" i="5"/>
  <c r="AS911" i="5" s="1"/>
  <c r="AX911" i="5" s="1"/>
  <c r="BD912" i="5"/>
  <c r="AS912" i="5" s="1"/>
  <c r="AX912" i="5" s="1"/>
  <c r="BD913" i="5"/>
  <c r="AS913" i="5" s="1"/>
  <c r="AX913" i="5" s="1"/>
  <c r="BD915" i="5"/>
  <c r="AS915" i="5" s="1"/>
  <c r="AX915" i="5" s="1"/>
  <c r="BD916" i="5"/>
  <c r="AS916" i="5" s="1"/>
  <c r="AX916" i="5" s="1"/>
  <c r="BD917" i="5"/>
  <c r="AS917" i="5" s="1"/>
  <c r="AX917" i="5" s="1"/>
  <c r="BD919" i="5"/>
  <c r="AS919" i="5" s="1"/>
  <c r="AX919" i="5" s="1"/>
  <c r="BD920" i="5"/>
  <c r="AS920" i="5" s="1"/>
  <c r="AX920" i="5" s="1"/>
  <c r="BD921" i="5"/>
  <c r="AS921" i="5" s="1"/>
  <c r="AX921" i="5" s="1"/>
  <c r="BD923" i="5"/>
  <c r="AS923" i="5" s="1"/>
  <c r="AX923" i="5" s="1"/>
  <c r="BD924" i="5"/>
  <c r="AS924" i="5" s="1"/>
  <c r="AX924" i="5" s="1"/>
  <c r="BD925" i="5"/>
  <c r="AS925" i="5" s="1"/>
  <c r="AX925" i="5" s="1"/>
  <c r="BD928" i="5"/>
  <c r="AS928" i="5" s="1"/>
  <c r="AX928" i="5" s="1"/>
  <c r="BD930" i="5"/>
  <c r="AS930" i="5" s="1"/>
  <c r="AX930" i="5" s="1"/>
  <c r="BD931" i="5"/>
  <c r="AS931" i="5" s="1"/>
  <c r="AX931" i="5" s="1"/>
  <c r="BD933" i="5"/>
  <c r="AS933" i="5" s="1"/>
  <c r="AX933" i="5" s="1"/>
  <c r="BD934" i="5"/>
  <c r="AS934" i="5" s="1"/>
  <c r="AX934" i="5" s="1"/>
  <c r="BD936" i="5"/>
  <c r="AS936" i="5" s="1"/>
  <c r="AX936" i="5" s="1"/>
  <c r="BD938" i="5"/>
  <c r="AS938" i="5" s="1"/>
  <c r="AX938" i="5" s="1"/>
  <c r="BD940" i="5"/>
  <c r="AS940" i="5" s="1"/>
  <c r="AX940" i="5" s="1"/>
  <c r="BD941" i="5"/>
  <c r="AS941" i="5" s="1"/>
  <c r="AX941" i="5" s="1"/>
  <c r="BD943" i="5"/>
  <c r="AS943" i="5" s="1"/>
  <c r="AX943" i="5" s="1"/>
  <c r="BD944" i="5"/>
  <c r="AS944" i="5" s="1"/>
  <c r="AX944" i="5" s="1"/>
  <c r="BD947" i="5"/>
  <c r="AS947" i="5" s="1"/>
  <c r="AX947" i="5" s="1"/>
  <c r="BD950" i="5"/>
  <c r="AS950" i="5" s="1"/>
  <c r="AX950" i="5" s="1"/>
  <c r="BD951" i="5"/>
  <c r="AS951" i="5" s="1"/>
  <c r="AX951" i="5" s="1"/>
  <c r="BD952" i="5"/>
  <c r="AS952" i="5" s="1"/>
  <c r="AX952" i="5" s="1"/>
  <c r="BD957" i="5"/>
  <c r="AS957" i="5" s="1"/>
  <c r="AX957" i="5" s="1"/>
  <c r="BD958" i="5"/>
  <c r="AS958" i="5" s="1"/>
  <c r="AX958" i="5" s="1"/>
  <c r="BD959" i="5"/>
  <c r="AS959" i="5" s="1"/>
  <c r="AX959" i="5" s="1"/>
  <c r="BD960" i="5"/>
  <c r="AS960" i="5" s="1"/>
  <c r="AX960" i="5" s="1"/>
  <c r="BD962" i="5"/>
  <c r="AS962" i="5" s="1"/>
  <c r="AX962" i="5" s="1"/>
  <c r="BD963" i="5"/>
  <c r="AS963" i="5" s="1"/>
  <c r="AX963" i="5" s="1"/>
  <c r="BD964" i="5"/>
  <c r="AS964" i="5" s="1"/>
  <c r="AX964" i="5" s="1"/>
  <c r="BD965" i="5"/>
  <c r="AS965" i="5" s="1"/>
  <c r="AX965" i="5" s="1"/>
  <c r="BD967" i="5"/>
  <c r="AS967" i="5" s="1"/>
  <c r="AX967" i="5" s="1"/>
  <c r="BD968" i="5"/>
  <c r="AS968" i="5" s="1"/>
  <c r="AX968" i="5" s="1"/>
  <c r="BD970" i="5"/>
  <c r="AS970" i="5" s="1"/>
  <c r="AX970" i="5" s="1"/>
  <c r="BD971" i="5"/>
  <c r="AS971" i="5" s="1"/>
  <c r="AX971" i="5" s="1"/>
  <c r="BD973" i="5"/>
  <c r="AS973" i="5" s="1"/>
  <c r="AX973" i="5" s="1"/>
  <c r="BD974" i="5"/>
  <c r="AS974" i="5" s="1"/>
  <c r="AX974" i="5" s="1"/>
  <c r="BD976" i="5"/>
  <c r="AS976" i="5" s="1"/>
  <c r="AX976" i="5" s="1"/>
  <c r="BD977" i="5"/>
  <c r="AS977" i="5" s="1"/>
  <c r="AX977" i="5" s="1"/>
  <c r="BD979" i="5"/>
  <c r="AS979" i="5" s="1"/>
  <c r="AX979" i="5" s="1"/>
  <c r="BD982" i="5"/>
  <c r="AS982" i="5" s="1"/>
  <c r="AX982" i="5" s="1"/>
  <c r="BD983" i="5"/>
  <c r="AS983" i="5" s="1"/>
  <c r="AX983" i="5" s="1"/>
  <c r="BD984" i="5"/>
  <c r="AS984" i="5" s="1"/>
  <c r="AX984" i="5" s="1"/>
  <c r="BD986" i="5"/>
  <c r="AS986" i="5" s="1"/>
  <c r="AX986" i="5" s="1"/>
  <c r="BD987" i="5"/>
  <c r="AS987" i="5" s="1"/>
  <c r="AX987" i="5" s="1"/>
  <c r="BD988" i="5"/>
  <c r="AS988" i="5" s="1"/>
  <c r="AX988" i="5" s="1"/>
  <c r="BD989" i="5"/>
  <c r="AS989" i="5" s="1"/>
  <c r="AX989" i="5" s="1"/>
  <c r="BD991" i="5"/>
  <c r="AS991" i="5" s="1"/>
  <c r="AX991" i="5" s="1"/>
  <c r="BD992" i="5"/>
  <c r="AS992" i="5" s="1"/>
  <c r="AX992" i="5" s="1"/>
  <c r="BD993" i="5"/>
  <c r="AS993" i="5" s="1"/>
  <c r="AX993" i="5" s="1"/>
  <c r="BD995" i="5"/>
  <c r="AS995" i="5" s="1"/>
  <c r="AX995" i="5" s="1"/>
  <c r="BD996" i="5"/>
  <c r="AS996" i="5" s="1"/>
  <c r="AX996" i="5" s="1"/>
  <c r="BD997" i="5"/>
  <c r="AS997" i="5" s="1"/>
  <c r="AX997" i="5" s="1"/>
  <c r="BD1000" i="5"/>
  <c r="AS1000" i="5" s="1"/>
  <c r="AX1000" i="5" s="1"/>
  <c r="BD1002" i="5"/>
  <c r="AS1002" i="5" s="1"/>
  <c r="AX1002" i="5" s="1"/>
  <c r="BD1014" i="5"/>
  <c r="AS1014" i="5" s="1"/>
  <c r="AX1014" i="5" s="1"/>
  <c r="BD1015" i="5"/>
  <c r="AS1015" i="5" s="1"/>
  <c r="AX1015" i="5" s="1"/>
  <c r="BD1016" i="5"/>
  <c r="AS1016" i="5" s="1"/>
  <c r="AX1016" i="5" s="1"/>
  <c r="BD1017" i="5"/>
  <c r="AS1017" i="5" s="1"/>
  <c r="AX1017" i="5" s="1"/>
  <c r="BD1019" i="5"/>
  <c r="AS1019" i="5" s="1"/>
  <c r="AX1019" i="5" s="1"/>
  <c r="BD1020" i="5"/>
  <c r="AS1020" i="5" s="1"/>
  <c r="AX1020" i="5" s="1"/>
  <c r="BD1021" i="5"/>
  <c r="AS1021" i="5" s="1"/>
  <c r="AX1021" i="5" s="1"/>
  <c r="BD1022" i="5"/>
  <c r="AS1022" i="5" s="1"/>
  <c r="AX1022" i="5" s="1"/>
  <c r="BD1024" i="5"/>
  <c r="AS1024" i="5" s="1"/>
  <c r="AX1024" i="5" s="1"/>
  <c r="BD1025" i="5"/>
  <c r="AS1025" i="5" s="1"/>
  <c r="AX1025" i="5" s="1"/>
  <c r="BD1026" i="5"/>
  <c r="AS1026" i="5" s="1"/>
  <c r="AX1026" i="5" s="1"/>
  <c r="BD1027" i="5"/>
  <c r="AS1027" i="5" s="1"/>
  <c r="AX1027" i="5" s="1"/>
  <c r="BD1029" i="5"/>
  <c r="AS1029" i="5" s="1"/>
  <c r="AX1029" i="5" s="1"/>
  <c r="BD1030" i="5"/>
  <c r="AS1030" i="5" s="1"/>
  <c r="AX1030" i="5" s="1"/>
  <c r="BD1031" i="5"/>
  <c r="AS1031" i="5" s="1"/>
  <c r="AX1031" i="5" s="1"/>
  <c r="BD1032" i="5"/>
  <c r="AS1032" i="5" s="1"/>
  <c r="AX1032" i="5" s="1"/>
  <c r="BD1034" i="5"/>
  <c r="AS1034" i="5" s="1"/>
  <c r="AX1034" i="5" s="1"/>
  <c r="BD1035" i="5"/>
  <c r="AS1035" i="5" s="1"/>
  <c r="AX1035" i="5" s="1"/>
  <c r="BD1036" i="5"/>
  <c r="AS1036" i="5" s="1"/>
  <c r="AX1036" i="5" s="1"/>
  <c r="BD1037" i="5"/>
  <c r="AS1037" i="5" s="1"/>
  <c r="AX1037" i="5" s="1"/>
  <c r="BD1039" i="5"/>
  <c r="AS1039" i="5" s="1"/>
  <c r="AX1039" i="5" s="1"/>
  <c r="BD1040" i="5"/>
  <c r="AS1040" i="5" s="1"/>
  <c r="AX1040" i="5" s="1"/>
  <c r="BD1041" i="5"/>
  <c r="AS1041" i="5" s="1"/>
  <c r="AX1041" i="5" s="1"/>
  <c r="BD1042" i="5"/>
  <c r="AS1042" i="5" s="1"/>
  <c r="AX1042" i="5" s="1"/>
  <c r="BD1044" i="5"/>
  <c r="AS1044" i="5" s="1"/>
  <c r="AX1044" i="5" s="1"/>
  <c r="BD1045" i="5"/>
  <c r="AS1045" i="5" s="1"/>
  <c r="AX1045" i="5" s="1"/>
  <c r="BD1046" i="5"/>
  <c r="AS1046" i="5" s="1"/>
  <c r="AX1046" i="5" s="1"/>
  <c r="BD1047" i="5"/>
  <c r="AS1047" i="5" s="1"/>
  <c r="AX1047" i="5" s="1"/>
  <c r="BD1048" i="5"/>
  <c r="AS1048" i="5" s="1"/>
  <c r="AX1048" i="5" s="1"/>
  <c r="BD1049" i="5"/>
  <c r="AS1049" i="5" s="1"/>
  <c r="AX1049" i="5" s="1"/>
  <c r="BD1050" i="5"/>
  <c r="AS1050" i="5" s="1"/>
  <c r="AX1050" i="5" s="1"/>
  <c r="BD1051" i="5"/>
  <c r="AS1051" i="5" s="1"/>
  <c r="AX1051" i="5" s="1"/>
  <c r="BD1052" i="5"/>
  <c r="AS1052" i="5" s="1"/>
  <c r="AX1052" i="5" s="1"/>
  <c r="BD1053" i="5"/>
  <c r="AS1053" i="5" s="1"/>
  <c r="AX1053" i="5" s="1"/>
  <c r="BD1054" i="5"/>
  <c r="AS1054" i="5" s="1"/>
  <c r="AX1054" i="5" s="1"/>
  <c r="BD1055" i="5"/>
  <c r="AS1055" i="5" s="1"/>
  <c r="AX1055" i="5" s="1"/>
  <c r="BD1056" i="5"/>
  <c r="AS1056" i="5" s="1"/>
  <c r="AX1056" i="5" s="1"/>
  <c r="BD1057" i="5"/>
  <c r="AS1057" i="5" s="1"/>
  <c r="AX1057" i="5" s="1"/>
  <c r="BD1058" i="5"/>
  <c r="AS1058" i="5" s="1"/>
  <c r="AX1058" i="5" s="1"/>
  <c r="BD1060" i="5"/>
  <c r="AS1060" i="5" s="1"/>
  <c r="AX1060" i="5" s="1"/>
  <c r="BD1061" i="5"/>
  <c r="AS1061" i="5" s="1"/>
  <c r="AX1061" i="5" s="1"/>
  <c r="BD1062" i="5"/>
  <c r="AS1062" i="5" s="1"/>
  <c r="AX1062" i="5" s="1"/>
  <c r="BD1063" i="5"/>
  <c r="AS1063" i="5" s="1"/>
  <c r="AX1063" i="5" s="1"/>
  <c r="BD1065" i="5"/>
  <c r="AS1065" i="5" s="1"/>
  <c r="AX1065" i="5" s="1"/>
  <c r="BD1066" i="5"/>
  <c r="AS1066" i="5" s="1"/>
  <c r="AX1066" i="5" s="1"/>
  <c r="BD1067" i="5"/>
  <c r="AS1067" i="5" s="1"/>
  <c r="AX1067" i="5" s="1"/>
  <c r="BD1068" i="5"/>
  <c r="AS1068" i="5" s="1"/>
  <c r="AX1068" i="5" s="1"/>
  <c r="BD1069" i="5"/>
  <c r="AS1069" i="5" s="1"/>
  <c r="AX1069" i="5" s="1"/>
  <c r="BD1070" i="5"/>
  <c r="AS1070" i="5" s="1"/>
  <c r="AX1070" i="5" s="1"/>
  <c r="BD1071" i="5"/>
  <c r="AS1071" i="5" s="1"/>
  <c r="AX1071" i="5" s="1"/>
  <c r="BD1072" i="5"/>
  <c r="AS1072" i="5" s="1"/>
  <c r="AX1072" i="5" s="1"/>
  <c r="BD1073" i="5"/>
  <c r="AS1073" i="5" s="1"/>
  <c r="AX1073" i="5" s="1"/>
  <c r="BD1074" i="5"/>
  <c r="AS1074" i="5" s="1"/>
  <c r="AX1074" i="5" s="1"/>
  <c r="BD1075" i="5"/>
  <c r="AS1075" i="5" s="1"/>
  <c r="AX1075" i="5" s="1"/>
  <c r="BD1077" i="5"/>
  <c r="AS1077" i="5" s="1"/>
  <c r="AX1077" i="5" s="1"/>
  <c r="BD1078" i="5"/>
  <c r="AS1078" i="5" s="1"/>
  <c r="AX1078" i="5" s="1"/>
  <c r="BD1079" i="5"/>
  <c r="AS1079" i="5" s="1"/>
  <c r="AX1079" i="5" s="1"/>
  <c r="BD1081" i="5"/>
  <c r="AS1081" i="5" s="1"/>
  <c r="AX1081" i="5" s="1"/>
  <c r="BD1082" i="5"/>
  <c r="AS1082" i="5" s="1"/>
  <c r="AX1082" i="5" s="1"/>
  <c r="BD1083" i="5"/>
  <c r="AS1083" i="5" s="1"/>
  <c r="AX1083" i="5" s="1"/>
  <c r="BD1084" i="5"/>
  <c r="AS1084" i="5" s="1"/>
  <c r="AX1084" i="5" s="1"/>
  <c r="BD1086" i="5"/>
  <c r="AS1086" i="5" s="1"/>
  <c r="AX1086" i="5" s="1"/>
  <c r="BD1087" i="5"/>
  <c r="AS1087" i="5" s="1"/>
  <c r="AX1087" i="5" s="1"/>
  <c r="BD1088" i="5"/>
  <c r="AS1088" i="5" s="1"/>
  <c r="AX1088" i="5" s="1"/>
  <c r="BD1089" i="5"/>
  <c r="AS1089" i="5" s="1"/>
  <c r="AX1089" i="5" s="1"/>
  <c r="BD1090" i="5"/>
  <c r="AS1090" i="5" s="1"/>
  <c r="AX1090" i="5" s="1"/>
  <c r="BD1091" i="5"/>
  <c r="AS1091" i="5" s="1"/>
  <c r="AX1091" i="5" s="1"/>
  <c r="BD1092" i="5"/>
  <c r="AS1092" i="5" s="1"/>
  <c r="AX1092" i="5" s="1"/>
  <c r="BD1094" i="5"/>
  <c r="AS1094" i="5" s="1"/>
  <c r="AX1094" i="5" s="1"/>
  <c r="BD1095" i="5"/>
  <c r="AS1095" i="5" s="1"/>
  <c r="AX1095" i="5" s="1"/>
  <c r="BD1096" i="5"/>
  <c r="AS1096" i="5" s="1"/>
  <c r="AX1096" i="5" s="1"/>
  <c r="BD1097" i="5"/>
  <c r="AS1097" i="5" s="1"/>
  <c r="AX1097" i="5" s="1"/>
  <c r="BD1099" i="5"/>
  <c r="AS1099" i="5" s="1"/>
  <c r="AX1099" i="5" s="1"/>
  <c r="BD1100" i="5"/>
  <c r="AS1100" i="5" s="1"/>
  <c r="AX1100" i="5" s="1"/>
  <c r="BD1102" i="5"/>
  <c r="AS1102" i="5" s="1"/>
  <c r="AX1102" i="5" s="1"/>
  <c r="BD1103" i="5"/>
  <c r="AS1103" i="5" s="1"/>
  <c r="AX1103" i="5" s="1"/>
  <c r="BD1104" i="5"/>
  <c r="AS1104" i="5" s="1"/>
  <c r="AX1104" i="5" s="1"/>
  <c r="BD1105" i="5"/>
  <c r="AS1105" i="5" s="1"/>
  <c r="AX1105" i="5" s="1"/>
  <c r="BD1106" i="5"/>
  <c r="AS1106" i="5" s="1"/>
  <c r="AX1106" i="5" s="1"/>
  <c r="BD1108" i="5"/>
  <c r="AS1108" i="5" s="1"/>
  <c r="AX1108" i="5" s="1"/>
  <c r="BD1111" i="5"/>
  <c r="AS1111" i="5" s="1"/>
  <c r="AX1111" i="5" s="1"/>
  <c r="BD1112" i="5"/>
  <c r="AS1112" i="5" s="1"/>
  <c r="AX1112" i="5" s="1"/>
  <c r="BD1113" i="5"/>
  <c r="AS1113" i="5" s="1"/>
  <c r="AX1113" i="5" s="1"/>
  <c r="BD1115" i="5"/>
  <c r="AS1115" i="5" s="1"/>
  <c r="AX1115" i="5" s="1"/>
  <c r="BD1116" i="5"/>
  <c r="AS1116" i="5" s="1"/>
  <c r="AX1116" i="5" s="1"/>
  <c r="BD1118" i="5"/>
  <c r="AS1118" i="5" s="1"/>
  <c r="AX1118" i="5" s="1"/>
  <c r="BD1120" i="5"/>
  <c r="AS1120" i="5" s="1"/>
  <c r="AX1120" i="5" s="1"/>
  <c r="BD1122" i="5"/>
  <c r="AS1122" i="5" s="1"/>
  <c r="AX1122" i="5" s="1"/>
  <c r="BD1123" i="5"/>
  <c r="AS1123" i="5" s="1"/>
  <c r="AX1123" i="5" s="1"/>
  <c r="BD1125" i="5"/>
  <c r="AS1125" i="5" s="1"/>
  <c r="AX1125" i="5" s="1"/>
  <c r="BD1126" i="5"/>
  <c r="AS1126" i="5" s="1"/>
  <c r="AX1126" i="5" s="1"/>
  <c r="BD1127" i="5"/>
  <c r="AS1127" i="5" s="1"/>
  <c r="AX1127" i="5" s="1"/>
  <c r="BD1140" i="5"/>
  <c r="AS1140" i="5" s="1"/>
  <c r="AX1140" i="5" s="1"/>
  <c r="BD1143" i="5"/>
  <c r="AS1143" i="5" s="1"/>
  <c r="AX1143" i="5" s="1"/>
  <c r="BD1144" i="5"/>
  <c r="AS1144" i="5" s="1"/>
  <c r="AX1144" i="5" s="1"/>
  <c r="V4" i="5"/>
  <c r="Z4" i="5"/>
  <c r="X4" i="5"/>
  <c r="Y4" i="5" s="1"/>
  <c r="Z12" i="5"/>
  <c r="X14" i="5"/>
  <c r="Y14" i="5" s="1"/>
  <c r="Z14" i="5"/>
  <c r="X15" i="5"/>
  <c r="Y15" i="5" s="1"/>
  <c r="V15" i="5"/>
  <c r="Z24" i="5"/>
  <c r="X37" i="5"/>
  <c r="Y37" i="5" s="1"/>
  <c r="V37" i="5"/>
  <c r="X44" i="5"/>
  <c r="Y44" i="5" s="1"/>
  <c r="V44" i="5"/>
  <c r="V45" i="5"/>
  <c r="Z45" i="5"/>
  <c r="V46" i="5"/>
  <c r="X46" i="5"/>
  <c r="Y46" i="5" s="1"/>
  <c r="Z53" i="5"/>
  <c r="Z54" i="5"/>
  <c r="X54" i="5"/>
  <c r="Y54" i="5" s="1"/>
  <c r="V54" i="5"/>
  <c r="Z55" i="5"/>
  <c r="X61" i="5"/>
  <c r="Y61" i="5" s="1"/>
  <c r="V61" i="5"/>
  <c r="Z62" i="5"/>
  <c r="Z63" i="5"/>
  <c r="Z67" i="5"/>
  <c r="Z69" i="5"/>
  <c r="V70" i="5"/>
  <c r="Z70" i="5"/>
  <c r="X70" i="5"/>
  <c r="Y70" i="5" s="1"/>
  <c r="X74" i="5"/>
  <c r="Y74" i="5" s="1"/>
  <c r="V74" i="5"/>
  <c r="Z77" i="5"/>
  <c r="Z78" i="5"/>
  <c r="X78" i="5"/>
  <c r="Y78" i="5" s="1"/>
  <c r="V78" i="5"/>
  <c r="Z84" i="5"/>
  <c r="X85" i="5"/>
  <c r="Y85" i="5" s="1"/>
  <c r="V85" i="5"/>
  <c r="Z93" i="5"/>
  <c r="V94" i="5"/>
  <c r="Z94" i="5"/>
  <c r="X94" i="5"/>
  <c r="Y94" i="5" s="1"/>
  <c r="Z100" i="5"/>
  <c r="X101" i="5"/>
  <c r="Y101" i="5" s="1"/>
  <c r="V101" i="5"/>
  <c r="X108" i="5"/>
  <c r="Y108" i="5" s="1"/>
  <c r="Z108" i="5"/>
  <c r="V108" i="5"/>
  <c r="Z112" i="5"/>
  <c r="X112" i="5"/>
  <c r="Y112" i="5" s="1"/>
  <c r="V112" i="5"/>
  <c r="Z113" i="5"/>
  <c r="X113" i="5"/>
  <c r="Y113" i="5" s="1"/>
  <c r="V113" i="5"/>
  <c r="X116" i="5"/>
  <c r="Y116" i="5" s="1"/>
  <c r="V116" i="5"/>
  <c r="X117" i="5"/>
  <c r="Y117" i="5" s="1"/>
  <c r="V117" i="5"/>
  <c r="X118" i="5"/>
  <c r="Y118" i="5" s="1"/>
  <c r="Z118" i="5"/>
  <c r="V118" i="5"/>
  <c r="Z121" i="5"/>
  <c r="X123" i="5"/>
  <c r="Y123" i="5" s="1"/>
  <c r="V123" i="5"/>
  <c r="V124" i="5"/>
  <c r="X124" i="5"/>
  <c r="Y124" i="5" s="1"/>
  <c r="X127" i="5"/>
  <c r="Y127" i="5" s="1"/>
  <c r="V127" i="5"/>
  <c r="X132" i="5"/>
  <c r="Y132" i="5" s="1"/>
  <c r="Z132" i="5"/>
  <c r="V132" i="5"/>
  <c r="Z136" i="5"/>
  <c r="X136" i="5"/>
  <c r="Y136" i="5" s="1"/>
  <c r="V136" i="5"/>
  <c r="Z137" i="5"/>
  <c r="X137" i="5"/>
  <c r="Y137" i="5" s="1"/>
  <c r="V137" i="5"/>
  <c r="V141" i="5"/>
  <c r="Z141" i="5"/>
  <c r="X141" i="5"/>
  <c r="Y141" i="5" s="1"/>
  <c r="X142" i="5"/>
  <c r="Y142" i="5" s="1"/>
  <c r="Z142" i="5"/>
  <c r="V142" i="5"/>
  <c r="Z146" i="5"/>
  <c r="X146" i="5"/>
  <c r="Y146" i="5" s="1"/>
  <c r="V146" i="5"/>
  <c r="Z149" i="5"/>
  <c r="Z155" i="5"/>
  <c r="Z156" i="5"/>
  <c r="X156" i="5"/>
  <c r="Y156" i="5" s="1"/>
  <c r="V156" i="5"/>
  <c r="Z158" i="5"/>
  <c r="X158" i="5"/>
  <c r="Y158" i="5" s="1"/>
  <c r="X160" i="5"/>
  <c r="Y160" i="5" s="1"/>
  <c r="V160" i="5"/>
  <c r="Z162" i="5"/>
  <c r="X162" i="5"/>
  <c r="Y162" i="5" s="1"/>
  <c r="V162" i="5"/>
  <c r="Z165" i="5"/>
  <c r="Z166" i="5"/>
  <c r="X166" i="5"/>
  <c r="Y166" i="5" s="1"/>
  <c r="V166" i="5"/>
  <c r="V167" i="5"/>
  <c r="Z167" i="5"/>
  <c r="X167" i="5"/>
  <c r="Y167" i="5" s="1"/>
  <c r="X173" i="5"/>
  <c r="Y173" i="5" s="1"/>
  <c r="V173" i="5"/>
  <c r="X174" i="5"/>
  <c r="Y174" i="5" s="1"/>
  <c r="V174" i="5"/>
  <c r="V177" i="5"/>
  <c r="Z177" i="5"/>
  <c r="X177" i="5"/>
  <c r="Y177" i="5" s="1"/>
  <c r="Z179" i="5"/>
  <c r="X180" i="5"/>
  <c r="Y180" i="5" s="1"/>
  <c r="Z180" i="5"/>
  <c r="V181" i="5"/>
  <c r="Z181" i="5"/>
  <c r="X181" i="5"/>
  <c r="Y181" i="5" s="1"/>
  <c r="Z182" i="5"/>
  <c r="X182" i="5"/>
  <c r="Y182" i="5" s="1"/>
  <c r="V182" i="5"/>
  <c r="V183" i="5"/>
  <c r="X183" i="5"/>
  <c r="Y183" i="5" s="1"/>
  <c r="X185" i="5"/>
  <c r="Y185" i="5" s="1"/>
  <c r="V185" i="5"/>
  <c r="Z186" i="5"/>
  <c r="X186" i="5"/>
  <c r="Y186" i="5" s="1"/>
  <c r="V192" i="5"/>
  <c r="Z192" i="5"/>
  <c r="X192" i="5"/>
  <c r="Y192" i="5" s="1"/>
  <c r="V195" i="5"/>
  <c r="Z195" i="5"/>
  <c r="X195" i="5"/>
  <c r="Y195" i="5" s="1"/>
  <c r="X197" i="5"/>
  <c r="Y197" i="5" s="1"/>
  <c r="V197" i="5"/>
  <c r="X199" i="5"/>
  <c r="Y199" i="5" s="1"/>
  <c r="V199" i="5"/>
  <c r="X206" i="5"/>
  <c r="Y206" i="5" s="1"/>
  <c r="V206" i="5"/>
  <c r="X208" i="5"/>
  <c r="Y208" i="5" s="1"/>
  <c r="V208" i="5"/>
  <c r="Z211" i="5"/>
  <c r="X211" i="5"/>
  <c r="Y211" i="5" s="1"/>
  <c r="V211" i="5"/>
  <c r="X212" i="5"/>
  <c r="Y212" i="5" s="1"/>
  <c r="V212" i="5"/>
  <c r="V213" i="5"/>
  <c r="X213" i="5"/>
  <c r="Y213" i="5" s="1"/>
  <c r="Z214" i="5"/>
  <c r="X215" i="5"/>
  <c r="Y215" i="5" s="1"/>
  <c r="V215" i="5"/>
  <c r="X216" i="5"/>
  <c r="Y216" i="5" s="1"/>
  <c r="V216" i="5"/>
  <c r="X222" i="5"/>
  <c r="Y222" i="5" s="1"/>
  <c r="Z222" i="5"/>
  <c r="V222" i="5"/>
  <c r="X223" i="5"/>
  <c r="Y223" i="5" s="1"/>
  <c r="V223" i="5"/>
  <c r="Z226" i="5"/>
  <c r="V227" i="5"/>
  <c r="Z227" i="5"/>
  <c r="X227" i="5"/>
  <c r="Y227" i="5" s="1"/>
  <c r="Z230" i="5"/>
  <c r="X230" i="5"/>
  <c r="Y230" i="5" s="1"/>
  <c r="V230" i="5"/>
  <c r="Z231" i="5"/>
  <c r="Z232" i="5"/>
  <c r="X238" i="5"/>
  <c r="Y238" i="5" s="1"/>
  <c r="Z238" i="5"/>
  <c r="V238" i="5"/>
  <c r="Z246" i="5"/>
  <c r="X246" i="5"/>
  <c r="Y246" i="5" s="1"/>
  <c r="V246" i="5"/>
  <c r="X248" i="5"/>
  <c r="Y248" i="5" s="1"/>
  <c r="V248" i="5"/>
  <c r="X254" i="5"/>
  <c r="Y254" i="5" s="1"/>
  <c r="V254" i="5"/>
  <c r="X256" i="5"/>
  <c r="Y256" i="5" s="1"/>
  <c r="Z256" i="5"/>
  <c r="X259" i="5"/>
  <c r="Y259" i="5" s="1"/>
  <c r="V259" i="5"/>
  <c r="Z262" i="5"/>
  <c r="Z266" i="5"/>
  <c r="Z270" i="5"/>
  <c r="X270" i="5"/>
  <c r="Y270" i="5" s="1"/>
  <c r="V270" i="5"/>
  <c r="Z271" i="5"/>
  <c r="X271" i="5"/>
  <c r="Y271" i="5" s="1"/>
  <c r="V271" i="5"/>
  <c r="V272" i="5"/>
  <c r="X272" i="5"/>
  <c r="Y272" i="5" s="1"/>
  <c r="Z274" i="5"/>
  <c r="X280" i="5"/>
  <c r="Y280" i="5" s="1"/>
  <c r="Z280" i="5"/>
  <c r="X288" i="5"/>
  <c r="Y288" i="5" s="1"/>
  <c r="V288" i="5"/>
  <c r="Z289" i="5"/>
  <c r="Z292" i="5"/>
  <c r="X294" i="5"/>
  <c r="Y294" i="5" s="1"/>
  <c r="V294" i="5"/>
  <c r="X298" i="5"/>
  <c r="Y298" i="5" s="1"/>
  <c r="V298" i="5"/>
  <c r="Z299" i="5"/>
  <c r="Z302" i="5"/>
  <c r="X302" i="5"/>
  <c r="Y302" i="5" s="1"/>
  <c r="V302" i="5"/>
  <c r="X305" i="5"/>
  <c r="Y305" i="5" s="1"/>
  <c r="Z305" i="5"/>
  <c r="V305" i="5"/>
  <c r="X306" i="5"/>
  <c r="Y306" i="5" s="1"/>
  <c r="V306" i="5"/>
  <c r="X308" i="5"/>
  <c r="Y308" i="5" s="1"/>
  <c r="Z308" i="5"/>
  <c r="V308" i="5"/>
  <c r="Z312" i="5"/>
  <c r="Z314" i="5"/>
  <c r="X318" i="5"/>
  <c r="Y318" i="5" s="1"/>
  <c r="V318" i="5"/>
  <c r="X328" i="5"/>
  <c r="Y328" i="5" s="1"/>
  <c r="Z328" i="5"/>
  <c r="V328" i="5"/>
  <c r="Z335" i="5"/>
  <c r="X335" i="5"/>
  <c r="Y335" i="5" s="1"/>
  <c r="V335" i="5"/>
  <c r="V336" i="5"/>
  <c r="X336" i="5"/>
  <c r="Y336" i="5" s="1"/>
  <c r="V338" i="5"/>
  <c r="Z338" i="5"/>
  <c r="Z344" i="5"/>
  <c r="V345" i="5"/>
  <c r="X345" i="5"/>
  <c r="Y345" i="5" s="1"/>
  <c r="Z347" i="5"/>
  <c r="V348" i="5"/>
  <c r="Z348" i="5"/>
  <c r="X348" i="5"/>
  <c r="Y348" i="5" s="1"/>
  <c r="X351" i="5"/>
  <c r="Y351" i="5" s="1"/>
  <c r="Z351" i="5"/>
  <c r="V351" i="5"/>
  <c r="X358" i="5"/>
  <c r="Y358" i="5" s="1"/>
  <c r="V358" i="5"/>
  <c r="X363" i="5"/>
  <c r="Y363" i="5" s="1"/>
  <c r="V363" i="5"/>
  <c r="X364" i="5"/>
  <c r="Y364" i="5" s="1"/>
  <c r="V364" i="5"/>
  <c r="X366" i="5"/>
  <c r="Y366" i="5" s="1"/>
  <c r="Z366" i="5"/>
  <c r="V366" i="5"/>
  <c r="Z368" i="5"/>
  <c r="X368" i="5"/>
  <c r="Y368" i="5" s="1"/>
  <c r="V368" i="5"/>
  <c r="V369" i="5"/>
  <c r="X369" i="5"/>
  <c r="Y369" i="5" s="1"/>
  <c r="Z376" i="5"/>
  <c r="X376" i="5"/>
  <c r="Y376" i="5" s="1"/>
  <c r="V376" i="5"/>
  <c r="V377" i="5"/>
  <c r="Z377" i="5"/>
  <c r="X377" i="5"/>
  <c r="Y377" i="5" s="1"/>
  <c r="Z379" i="5"/>
  <c r="Z381" i="5"/>
  <c r="Z382" i="5"/>
  <c r="Z390" i="5"/>
  <c r="X390" i="5"/>
  <c r="Y390" i="5" s="1"/>
  <c r="V390" i="5"/>
  <c r="Z391" i="5"/>
  <c r="V392" i="5"/>
  <c r="X392" i="5"/>
  <c r="Y392" i="5" s="1"/>
  <c r="Z394" i="5"/>
  <c r="Z398" i="5"/>
  <c r="Z407" i="5"/>
  <c r="X413" i="5"/>
  <c r="Y413" i="5" s="1"/>
  <c r="Z413" i="5"/>
  <c r="Z420" i="5"/>
  <c r="X420" i="5"/>
  <c r="Y420" i="5" s="1"/>
  <c r="V420" i="5"/>
  <c r="X421" i="5"/>
  <c r="Y421" i="5" s="1"/>
  <c r="V421" i="5"/>
  <c r="V424" i="5"/>
  <c r="Z424" i="5"/>
  <c r="X424" i="5"/>
  <c r="Y424" i="5" s="1"/>
  <c r="Z425" i="5"/>
  <c r="X425" i="5"/>
  <c r="Y425" i="5" s="1"/>
  <c r="V425" i="5"/>
  <c r="V426" i="5"/>
  <c r="X426" i="5"/>
  <c r="Y426" i="5" s="1"/>
  <c r="X428" i="5"/>
  <c r="Y428" i="5" s="1"/>
  <c r="V428" i="5"/>
  <c r="X429" i="5"/>
  <c r="Y429" i="5" s="1"/>
  <c r="V429" i="5"/>
  <c r="Z431" i="5"/>
  <c r="Z435" i="5"/>
  <c r="X435" i="5"/>
  <c r="Y435" i="5" s="1"/>
  <c r="X438" i="5"/>
  <c r="Y438" i="5" s="1"/>
  <c r="Z438" i="5"/>
  <c r="Z442" i="5"/>
  <c r="X442" i="5"/>
  <c r="Y442" i="5" s="1"/>
  <c r="V446" i="5"/>
  <c r="Z446" i="5"/>
  <c r="X449" i="5"/>
  <c r="Y449" i="5" s="1"/>
  <c r="V449" i="5"/>
  <c r="Z453" i="5"/>
  <c r="X453" i="5"/>
  <c r="Y453" i="5" s="1"/>
  <c r="V453" i="5"/>
  <c r="Z454" i="5"/>
  <c r="X454" i="5"/>
  <c r="Y454" i="5" s="1"/>
  <c r="V454" i="5"/>
  <c r="X460" i="5"/>
  <c r="Y460" i="5" s="1"/>
  <c r="V460" i="5"/>
  <c r="X461" i="5"/>
  <c r="Y461" i="5" s="1"/>
  <c r="V461" i="5"/>
  <c r="X466" i="5"/>
  <c r="Y466" i="5" s="1"/>
  <c r="V466" i="5"/>
  <c r="Z470" i="5"/>
  <c r="V471" i="5"/>
  <c r="Z471" i="5"/>
  <c r="X471" i="5"/>
  <c r="Y471" i="5" s="1"/>
  <c r="Z477" i="5"/>
  <c r="X479" i="5"/>
  <c r="Y479" i="5" s="1"/>
  <c r="V479" i="5"/>
  <c r="Z480" i="5"/>
  <c r="X483" i="5"/>
  <c r="Y483" i="5" s="1"/>
  <c r="V483" i="5"/>
  <c r="Z486" i="5"/>
  <c r="X486" i="5"/>
  <c r="Y486" i="5" s="1"/>
  <c r="V486" i="5"/>
  <c r="V496" i="5"/>
  <c r="X496" i="5"/>
  <c r="Y496" i="5" s="1"/>
  <c r="V498" i="5"/>
  <c r="Z498" i="5"/>
  <c r="Z501" i="5"/>
  <c r="V504" i="5"/>
  <c r="X504" i="5"/>
  <c r="Y504" i="5" s="1"/>
  <c r="X515" i="5"/>
  <c r="Y515" i="5" s="1"/>
  <c r="V515" i="5"/>
  <c r="X519" i="5"/>
  <c r="Y519" i="5" s="1"/>
  <c r="V519" i="5"/>
  <c r="X522" i="5"/>
  <c r="Y522" i="5" s="1"/>
  <c r="Z522" i="5"/>
  <c r="X525" i="5"/>
  <c r="Y525" i="5" s="1"/>
  <c r="V525" i="5"/>
  <c r="Z529" i="5"/>
  <c r="X532" i="5"/>
  <c r="Y532" i="5" s="1"/>
  <c r="V532" i="5"/>
  <c r="Z534" i="5"/>
  <c r="X534" i="5"/>
  <c r="Y534" i="5" s="1"/>
  <c r="V534" i="5"/>
  <c r="V537" i="5"/>
  <c r="Z537" i="5"/>
  <c r="X537" i="5"/>
  <c r="Y537" i="5" s="1"/>
  <c r="X539" i="5"/>
  <c r="Y539" i="5" s="1"/>
  <c r="V539" i="5"/>
  <c r="V544" i="5"/>
  <c r="X544" i="5"/>
  <c r="Y544" i="5" s="1"/>
  <c r="Z545" i="5"/>
  <c r="X546" i="5"/>
  <c r="Y546" i="5" s="1"/>
  <c r="Z546" i="5"/>
  <c r="V546" i="5"/>
  <c r="X552" i="5"/>
  <c r="Y552" i="5" s="1"/>
  <c r="V552" i="5"/>
  <c r="Z556" i="5"/>
  <c r="X556" i="5"/>
  <c r="Y556" i="5" s="1"/>
  <c r="V556" i="5"/>
  <c r="V558" i="5"/>
  <c r="X558" i="5"/>
  <c r="Y558" i="5" s="1"/>
  <c r="X565" i="5"/>
  <c r="Y565" i="5" s="1"/>
  <c r="V565" i="5"/>
  <c r="Z573" i="5"/>
  <c r="X573" i="5"/>
  <c r="Y573" i="5" s="1"/>
  <c r="V573" i="5"/>
  <c r="Z575" i="5"/>
  <c r="Z581" i="5"/>
  <c r="X581" i="5"/>
  <c r="Y581" i="5" s="1"/>
  <c r="V581" i="5"/>
  <c r="V582" i="5"/>
  <c r="X582" i="5"/>
  <c r="Y582" i="5" s="1"/>
  <c r="Z586" i="5"/>
  <c r="X588" i="5"/>
  <c r="Y588" i="5" s="1"/>
  <c r="V588" i="5"/>
  <c r="V591" i="5"/>
  <c r="X591" i="5"/>
  <c r="Y591" i="5" s="1"/>
  <c r="X594" i="5"/>
  <c r="Y594" i="5" s="1"/>
  <c r="V594" i="5"/>
  <c r="X595" i="5"/>
  <c r="Y595" i="5" s="1"/>
  <c r="Z595" i="5"/>
  <c r="X599" i="5"/>
  <c r="Y599" i="5" s="1"/>
  <c r="Z599" i="5"/>
  <c r="V599" i="5"/>
  <c r="Z601" i="5"/>
  <c r="V604" i="5"/>
  <c r="X604" i="5"/>
  <c r="Y604" i="5" s="1"/>
  <c r="X607" i="5"/>
  <c r="Y607" i="5" s="1"/>
  <c r="V607" i="5"/>
  <c r="Z609" i="5"/>
  <c r="X609" i="5"/>
  <c r="Y609" i="5" s="1"/>
  <c r="V609" i="5"/>
  <c r="Z610" i="5"/>
  <c r="X610" i="5"/>
  <c r="Y610" i="5" s="1"/>
  <c r="V610" i="5"/>
  <c r="Z614" i="5"/>
  <c r="X614" i="5"/>
  <c r="Y614" i="5" s="1"/>
  <c r="V614" i="5"/>
  <c r="Z615" i="5"/>
  <c r="X617" i="5"/>
  <c r="Y617" i="5" s="1"/>
  <c r="V617" i="5"/>
  <c r="X618" i="5"/>
  <c r="Y618" i="5" s="1"/>
  <c r="V618" i="5"/>
  <c r="X619" i="5"/>
  <c r="Y619" i="5" s="1"/>
  <c r="Z619" i="5"/>
  <c r="V619" i="5"/>
  <c r="X626" i="5"/>
  <c r="Y626" i="5" s="1"/>
  <c r="V626" i="5"/>
  <c r="Z627" i="5"/>
  <c r="X627" i="5"/>
  <c r="Y627" i="5" s="1"/>
  <c r="V627" i="5"/>
  <c r="Z628" i="5"/>
  <c r="X628" i="5"/>
  <c r="Y628" i="5" s="1"/>
  <c r="V628" i="5"/>
  <c r="Z630" i="5"/>
  <c r="X630" i="5"/>
  <c r="Y630" i="5" s="1"/>
  <c r="V630" i="5"/>
  <c r="Z637" i="5"/>
  <c r="Z638" i="5"/>
  <c r="X638" i="5"/>
  <c r="Y638" i="5" s="1"/>
  <c r="V638" i="5"/>
  <c r="X641" i="5"/>
  <c r="Y641" i="5" s="1"/>
  <c r="V641" i="5"/>
  <c r="Z643" i="5"/>
  <c r="X643" i="5"/>
  <c r="Y643" i="5" s="1"/>
  <c r="V643" i="5"/>
  <c r="Z646" i="5"/>
  <c r="X651" i="5"/>
  <c r="Y651" i="5" s="1"/>
  <c r="V651" i="5"/>
  <c r="Z652" i="5"/>
  <c r="X657" i="5"/>
  <c r="Y657" i="5" s="1"/>
  <c r="V657" i="5"/>
  <c r="V658" i="5"/>
  <c r="X658" i="5"/>
  <c r="Y658" i="5" s="1"/>
  <c r="Z661" i="5"/>
  <c r="Z665" i="5"/>
  <c r="V666" i="5"/>
  <c r="Z666" i="5"/>
  <c r="X666" i="5"/>
  <c r="Y666" i="5" s="1"/>
  <c r="X668" i="5"/>
  <c r="Y668" i="5" s="1"/>
  <c r="V668" i="5"/>
  <c r="X670" i="5"/>
  <c r="Y670" i="5" s="1"/>
  <c r="V670" i="5"/>
  <c r="X671" i="5"/>
  <c r="Y671" i="5" s="1"/>
  <c r="V671" i="5"/>
  <c r="V672" i="5"/>
  <c r="X672" i="5"/>
  <c r="Y672" i="5" s="1"/>
  <c r="Z686" i="5"/>
  <c r="X686" i="5"/>
  <c r="Y686" i="5" s="1"/>
  <c r="V686" i="5"/>
  <c r="X688" i="5"/>
  <c r="Y688" i="5" s="1"/>
  <c r="V688" i="5"/>
  <c r="Z689" i="5"/>
  <c r="X689" i="5"/>
  <c r="Y689" i="5" s="1"/>
  <c r="V689" i="5"/>
  <c r="Z692" i="5"/>
  <c r="X692" i="5"/>
  <c r="Y692" i="5" s="1"/>
  <c r="V692" i="5"/>
  <c r="Z699" i="5"/>
  <c r="X699" i="5"/>
  <c r="Y699" i="5" s="1"/>
  <c r="V699" i="5"/>
  <c r="Z702" i="5"/>
  <c r="X702" i="5"/>
  <c r="Y702" i="5" s="1"/>
  <c r="V702" i="5"/>
  <c r="Z703" i="5"/>
  <c r="X703" i="5"/>
  <c r="Y703" i="5" s="1"/>
  <c r="V703" i="5"/>
  <c r="X704" i="5"/>
  <c r="Y704" i="5" s="1"/>
  <c r="V704" i="5"/>
  <c r="Z708" i="5"/>
  <c r="X708" i="5"/>
  <c r="Y708" i="5" s="1"/>
  <c r="Z712" i="5"/>
  <c r="Z716" i="5"/>
  <c r="X716" i="5"/>
  <c r="Y716" i="5" s="1"/>
  <c r="V716" i="5"/>
  <c r="V717" i="5"/>
  <c r="Z717" i="5"/>
  <c r="Z720" i="5"/>
  <c r="X720" i="5"/>
  <c r="Y720" i="5" s="1"/>
  <c r="V720" i="5"/>
  <c r="X723" i="5"/>
  <c r="Y723" i="5" s="1"/>
  <c r="V723" i="5"/>
  <c r="X729" i="5"/>
  <c r="Y729" i="5" s="1"/>
  <c r="V729" i="5"/>
  <c r="X730" i="5"/>
  <c r="Y730" i="5" s="1"/>
  <c r="V730" i="5"/>
  <c r="X733" i="5"/>
  <c r="Y733" i="5" s="1"/>
  <c r="V733" i="5"/>
  <c r="X734" i="5"/>
  <c r="Y734" i="5" s="1"/>
  <c r="V734" i="5"/>
  <c r="Z739" i="5"/>
  <c r="X739" i="5"/>
  <c r="Y739" i="5" s="1"/>
  <c r="V739" i="5"/>
  <c r="Z740" i="5"/>
  <c r="X740" i="5"/>
  <c r="Y740" i="5" s="1"/>
  <c r="V740" i="5"/>
  <c r="X741" i="5"/>
  <c r="Y741" i="5" s="1"/>
  <c r="Z741" i="5"/>
  <c r="V741" i="5"/>
  <c r="X746" i="5"/>
  <c r="Y746" i="5" s="1"/>
  <c r="V746" i="5"/>
  <c r="Z747" i="5"/>
  <c r="Z753" i="5"/>
  <c r="Z756" i="5"/>
  <c r="X757" i="5"/>
  <c r="Y757" i="5" s="1"/>
  <c r="V757" i="5"/>
  <c r="X759" i="5"/>
  <c r="Y759" i="5" s="1"/>
  <c r="V759" i="5"/>
  <c r="Z761" i="5"/>
  <c r="X761" i="5"/>
  <c r="Y761" i="5" s="1"/>
  <c r="V761" i="5"/>
  <c r="X762" i="5"/>
  <c r="Y762" i="5" s="1"/>
  <c r="V762" i="5"/>
  <c r="X768" i="5"/>
  <c r="Y768" i="5" s="1"/>
  <c r="V768" i="5"/>
  <c r="Z771" i="5"/>
  <c r="X771" i="5"/>
  <c r="Y771" i="5" s="1"/>
  <c r="X773" i="5"/>
  <c r="Y773" i="5" s="1"/>
  <c r="V773" i="5"/>
  <c r="Z777" i="5"/>
  <c r="X777" i="5"/>
  <c r="Y777" i="5" s="1"/>
  <c r="V777" i="5"/>
  <c r="Z778" i="5"/>
  <c r="X778" i="5"/>
  <c r="Y778" i="5" s="1"/>
  <c r="V778" i="5"/>
  <c r="X784" i="5"/>
  <c r="Y784" i="5" s="1"/>
  <c r="V784" i="5"/>
  <c r="X787" i="5"/>
  <c r="Y787" i="5" s="1"/>
  <c r="V787" i="5"/>
  <c r="X788" i="5"/>
  <c r="Y788" i="5" s="1"/>
  <c r="Z788" i="5"/>
  <c r="Z789" i="5"/>
  <c r="X789" i="5"/>
  <c r="Y789" i="5" s="1"/>
  <c r="V789" i="5"/>
  <c r="Z790" i="5"/>
  <c r="X790" i="5"/>
  <c r="Y790" i="5" s="1"/>
  <c r="V790" i="5"/>
  <c r="X793" i="5"/>
  <c r="Y793" i="5" s="1"/>
  <c r="V793" i="5"/>
  <c r="Z794" i="5"/>
  <c r="Z802" i="5"/>
  <c r="X802" i="5"/>
  <c r="Y802" i="5" s="1"/>
  <c r="V802" i="5"/>
  <c r="X804" i="5"/>
  <c r="Y804" i="5" s="1"/>
  <c r="Z804" i="5"/>
  <c r="V804" i="5"/>
  <c r="X805" i="5"/>
  <c r="Y805" i="5" s="1"/>
  <c r="V805" i="5"/>
  <c r="V806" i="5"/>
  <c r="Z806" i="5"/>
  <c r="X806" i="5"/>
  <c r="Y806" i="5" s="1"/>
  <c r="X810" i="5"/>
  <c r="Y810" i="5" s="1"/>
  <c r="V810" i="5"/>
  <c r="Z811" i="5"/>
  <c r="Z817" i="5"/>
  <c r="X817" i="5"/>
  <c r="Y817" i="5" s="1"/>
  <c r="V817" i="5"/>
  <c r="V818" i="5"/>
  <c r="Z818" i="5"/>
  <c r="X818" i="5"/>
  <c r="Y818" i="5" s="1"/>
  <c r="X823" i="5"/>
  <c r="Y823" i="5" s="1"/>
  <c r="V823" i="5"/>
  <c r="X828" i="5"/>
  <c r="Y828" i="5" s="1"/>
  <c r="V828" i="5"/>
  <c r="X829" i="5"/>
  <c r="Y829" i="5" s="1"/>
  <c r="V829" i="5"/>
  <c r="V830" i="5"/>
  <c r="X830" i="5"/>
  <c r="Y830" i="5" s="1"/>
  <c r="Z831" i="5"/>
  <c r="X833" i="5"/>
  <c r="Y833" i="5" s="1"/>
  <c r="V833" i="5"/>
  <c r="Z835" i="5"/>
  <c r="X835" i="5"/>
  <c r="Y835" i="5" s="1"/>
  <c r="V835" i="5"/>
  <c r="X837" i="5"/>
  <c r="Y837" i="5" s="1"/>
  <c r="V837" i="5"/>
  <c r="X841" i="5"/>
  <c r="Y841" i="5" s="1"/>
  <c r="V841" i="5"/>
  <c r="X844" i="5"/>
  <c r="Y844" i="5" s="1"/>
  <c r="V844" i="5"/>
  <c r="Z848" i="5"/>
  <c r="X848" i="5"/>
  <c r="Y848" i="5" s="1"/>
  <c r="V848" i="5"/>
  <c r="V849" i="5"/>
  <c r="Z849" i="5"/>
  <c r="X849" i="5"/>
  <c r="Y849" i="5" s="1"/>
  <c r="X850" i="5"/>
  <c r="Y850" i="5" s="1"/>
  <c r="Z850" i="5"/>
  <c r="V850" i="5"/>
  <c r="Z851" i="5"/>
  <c r="X851" i="5"/>
  <c r="Y851" i="5" s="1"/>
  <c r="V851" i="5"/>
  <c r="X853" i="5"/>
  <c r="Y853" i="5" s="1"/>
  <c r="V853" i="5"/>
  <c r="V854" i="5"/>
  <c r="Z854" i="5"/>
  <c r="X854" i="5"/>
  <c r="Y854" i="5" s="1"/>
  <c r="X860" i="5"/>
  <c r="Y860" i="5" s="1"/>
  <c r="Z860" i="5"/>
  <c r="V860" i="5"/>
  <c r="X861" i="5"/>
  <c r="Y861" i="5" s="1"/>
  <c r="V861" i="5"/>
  <c r="X864" i="5"/>
  <c r="Y864" i="5" s="1"/>
  <c r="V864" i="5"/>
  <c r="X865" i="5"/>
  <c r="Y865" i="5" s="1"/>
  <c r="V865" i="5"/>
  <c r="Z867" i="5"/>
  <c r="X872" i="5"/>
  <c r="Y872" i="5" s="1"/>
  <c r="V872" i="5"/>
  <c r="X873" i="5"/>
  <c r="Y873" i="5" s="1"/>
  <c r="Z873" i="5"/>
  <c r="V873" i="5"/>
  <c r="X874" i="5"/>
  <c r="Y874" i="5" s="1"/>
  <c r="V874" i="5"/>
  <c r="X876" i="5"/>
  <c r="Y876" i="5" s="1"/>
  <c r="V876" i="5"/>
  <c r="X877" i="5"/>
  <c r="Y877" i="5" s="1"/>
  <c r="V877" i="5"/>
  <c r="V878" i="5"/>
  <c r="X878" i="5"/>
  <c r="Y878" i="5" s="1"/>
  <c r="X884" i="5"/>
  <c r="Y884" i="5" s="1"/>
  <c r="V884" i="5"/>
  <c r="X885" i="5"/>
  <c r="Y885" i="5" s="1"/>
  <c r="V885" i="5"/>
  <c r="Z887" i="5"/>
  <c r="X887" i="5"/>
  <c r="Y887" i="5" s="1"/>
  <c r="V887" i="5"/>
  <c r="X888" i="5"/>
  <c r="Y888" i="5" s="1"/>
  <c r="Z888" i="5"/>
  <c r="X889" i="5"/>
  <c r="Y889" i="5" s="1"/>
  <c r="V889" i="5"/>
  <c r="X893" i="5"/>
  <c r="Y893" i="5" s="1"/>
  <c r="V893" i="5"/>
  <c r="Z894" i="5"/>
  <c r="X894" i="5"/>
  <c r="Y894" i="5" s="1"/>
  <c r="X895" i="5"/>
  <c r="Y895" i="5" s="1"/>
  <c r="Z895" i="5"/>
  <c r="V895" i="5"/>
  <c r="V896" i="5"/>
  <c r="X896" i="5"/>
  <c r="Y896" i="5" s="1"/>
  <c r="Z901" i="5"/>
  <c r="X901" i="5"/>
  <c r="Y901" i="5" s="1"/>
  <c r="V901" i="5"/>
  <c r="V902" i="5"/>
  <c r="Z902" i="5"/>
  <c r="X902" i="5"/>
  <c r="Y902" i="5" s="1"/>
  <c r="X921" i="5"/>
  <c r="Y921" i="5" s="1"/>
  <c r="V921" i="5"/>
  <c r="Z923" i="5"/>
  <c r="X927" i="5"/>
  <c r="Y927" i="5" s="1"/>
  <c r="V927" i="5"/>
  <c r="Z929" i="5"/>
  <c r="X930" i="5"/>
  <c r="Y930" i="5" s="1"/>
  <c r="V930" i="5"/>
  <c r="X931" i="5"/>
  <c r="Y931" i="5" s="1"/>
  <c r="V931" i="5"/>
  <c r="X935" i="5"/>
  <c r="Y935" i="5" s="1"/>
  <c r="V935" i="5"/>
  <c r="Z938" i="5"/>
  <c r="X938" i="5"/>
  <c r="Y938" i="5" s="1"/>
  <c r="V938" i="5"/>
  <c r="Z939" i="5"/>
  <c r="X939" i="5"/>
  <c r="Y939" i="5" s="1"/>
  <c r="V939" i="5"/>
  <c r="V949" i="5"/>
  <c r="Z949" i="5"/>
  <c r="X949" i="5"/>
  <c r="Y949" i="5" s="1"/>
  <c r="Z951" i="5"/>
  <c r="X951" i="5"/>
  <c r="Y951" i="5" s="1"/>
  <c r="V951" i="5"/>
  <c r="V952" i="5"/>
  <c r="Z952" i="5"/>
  <c r="Z955" i="5"/>
  <c r="X955" i="5"/>
  <c r="Y955" i="5" s="1"/>
  <c r="V955" i="5"/>
  <c r="V956" i="5"/>
  <c r="Z956" i="5"/>
  <c r="X956" i="5"/>
  <c r="Y956" i="5" s="1"/>
  <c r="X958" i="5"/>
  <c r="Y958" i="5" s="1"/>
  <c r="Z958" i="5"/>
  <c r="V958" i="5"/>
  <c r="Z959" i="5"/>
  <c r="X959" i="5"/>
  <c r="Y959" i="5" s="1"/>
  <c r="V959" i="5"/>
  <c r="Z960" i="5"/>
  <c r="Z962" i="5"/>
  <c r="X962" i="5"/>
  <c r="Y962" i="5" s="1"/>
  <c r="V962" i="5"/>
  <c r="X964" i="5"/>
  <c r="Y964" i="5" s="1"/>
  <c r="Z964" i="5"/>
  <c r="V964" i="5"/>
  <c r="Z966" i="5"/>
  <c r="X966" i="5"/>
  <c r="Y966" i="5" s="1"/>
  <c r="V966" i="5"/>
  <c r="V968" i="5"/>
  <c r="Z968" i="5"/>
  <c r="X968" i="5"/>
  <c r="Y968" i="5" s="1"/>
  <c r="V969" i="5"/>
  <c r="X969" i="5"/>
  <c r="Y969" i="5" s="1"/>
  <c r="Z971" i="5"/>
  <c r="X972" i="5"/>
  <c r="Y972" i="5" s="1"/>
  <c r="V972" i="5"/>
  <c r="X975" i="5"/>
  <c r="Y975" i="5" s="1"/>
  <c r="Z975" i="5"/>
  <c r="V975" i="5"/>
  <c r="V991" i="5"/>
  <c r="X991" i="5"/>
  <c r="Y991" i="5" s="1"/>
  <c r="Z993" i="5"/>
  <c r="X995" i="5"/>
  <c r="Y995" i="5" s="1"/>
  <c r="Z995" i="5"/>
  <c r="V996" i="5"/>
  <c r="X996" i="5"/>
  <c r="Y996" i="5" s="1"/>
  <c r="X999" i="5"/>
  <c r="Y999" i="5" s="1"/>
  <c r="V999" i="5"/>
  <c r="Z1003" i="5"/>
  <c r="X1003" i="5"/>
  <c r="Y1003" i="5" s="1"/>
  <c r="V1003" i="5"/>
  <c r="V1004" i="5"/>
  <c r="Z1004" i="5"/>
  <c r="V1006" i="5"/>
  <c r="X1006" i="5"/>
  <c r="Y1006" i="5" s="1"/>
  <c r="Z1007" i="5"/>
  <c r="Z1057" i="5"/>
  <c r="X1057" i="5"/>
  <c r="Y1057" i="5" s="1"/>
  <c r="V1057" i="5"/>
  <c r="Z1075" i="5"/>
  <c r="X1075" i="5"/>
  <c r="Y1075" i="5" s="1"/>
  <c r="V1075" i="5"/>
  <c r="Z1076" i="5"/>
  <c r="X1076" i="5"/>
  <c r="Y1076" i="5" s="1"/>
  <c r="V1076" i="5"/>
  <c r="V1077" i="5"/>
  <c r="X1077" i="5"/>
  <c r="Y1077" i="5" s="1"/>
  <c r="X1079" i="5"/>
  <c r="Y1079" i="5" s="1"/>
  <c r="V1079" i="5"/>
  <c r="X1080" i="5"/>
  <c r="Y1080" i="5" s="1"/>
  <c r="V1080" i="5"/>
  <c r="V1081" i="5"/>
  <c r="Z1081" i="5"/>
  <c r="Z1082" i="5"/>
  <c r="V1086" i="5"/>
  <c r="Z1086" i="5"/>
  <c r="X1086" i="5"/>
  <c r="Y1086" i="5" s="1"/>
  <c r="V1087" i="5"/>
  <c r="X1087" i="5"/>
  <c r="Y1087" i="5" s="1"/>
  <c r="X1088" i="5"/>
  <c r="Y1088" i="5" s="1"/>
  <c r="V1088" i="5"/>
  <c r="Z1094" i="5"/>
  <c r="V1098" i="5"/>
  <c r="Z1098" i="5"/>
  <c r="X1098" i="5"/>
  <c r="Y1098" i="5" s="1"/>
  <c r="Z1100" i="5"/>
  <c r="X1103" i="5"/>
  <c r="Y1103" i="5" s="1"/>
  <c r="V1103" i="5"/>
  <c r="Z1104" i="5"/>
  <c r="X1104" i="5"/>
  <c r="Y1104" i="5" s="1"/>
  <c r="V1104" i="5"/>
  <c r="Z1106" i="5"/>
  <c r="Z1110" i="5"/>
  <c r="V1117" i="5"/>
  <c r="X1117" i="5"/>
  <c r="Y1117" i="5" s="1"/>
  <c r="X1120" i="5"/>
  <c r="Y1120" i="5" s="1"/>
  <c r="V1120" i="5"/>
  <c r="V1125" i="5"/>
  <c r="Z1125" i="5"/>
  <c r="Z1126" i="5"/>
  <c r="V1130" i="5"/>
  <c r="Z1130" i="5"/>
  <c r="Z1133" i="5"/>
  <c r="V1139" i="5"/>
  <c r="Z1139" i="5"/>
  <c r="X1139" i="5"/>
  <c r="Y1139" i="5" s="1"/>
  <c r="V1141" i="5"/>
  <c r="X1141" i="5"/>
  <c r="Y1141" i="5" s="1"/>
  <c r="X1146" i="5"/>
  <c r="Y1146" i="5" s="1"/>
  <c r="V1146" i="5"/>
  <c r="X1149" i="5"/>
  <c r="Y1149" i="5" s="1"/>
  <c r="V1149" i="5"/>
  <c r="Z49" i="5"/>
  <c r="X49" i="5"/>
  <c r="Y49" i="5" s="1"/>
  <c r="V49" i="5"/>
  <c r="Z76" i="5"/>
  <c r="X76" i="5"/>
  <c r="Y76" i="5" s="1"/>
  <c r="V76" i="5"/>
  <c r="Z97" i="5"/>
  <c r="X97" i="5"/>
  <c r="Y97" i="5" s="1"/>
  <c r="V97" i="5"/>
  <c r="Z154" i="5"/>
  <c r="X154" i="5"/>
  <c r="Y154" i="5" s="1"/>
  <c r="V154" i="5"/>
  <c r="X316" i="5"/>
  <c r="Y316" i="5" s="1"/>
  <c r="Z316" i="5"/>
  <c r="V316" i="5"/>
  <c r="Z709" i="5"/>
  <c r="X709" i="5"/>
  <c r="Y709" i="5" s="1"/>
  <c r="V709" i="5"/>
  <c r="X125" i="5"/>
  <c r="Y125" i="5" s="1"/>
  <c r="V125" i="5"/>
  <c r="Z125" i="5"/>
  <c r="Z406" i="5"/>
  <c r="X542" i="5"/>
  <c r="Y542" i="5" s="1"/>
  <c r="Z542" i="5"/>
  <c r="V542" i="5"/>
  <c r="X404" i="5"/>
  <c r="Y404" i="5" s="1"/>
  <c r="V404" i="5"/>
  <c r="Z404" i="5"/>
  <c r="Z451" i="5"/>
  <c r="X451" i="5"/>
  <c r="Y451" i="5" s="1"/>
  <c r="V451" i="5"/>
  <c r="X327" i="5"/>
  <c r="Y327" i="5" s="1"/>
  <c r="V327" i="5"/>
  <c r="Z327" i="5"/>
  <c r="X974" i="5"/>
  <c r="Y974" i="5" s="1"/>
  <c r="V974" i="5"/>
  <c r="Z974" i="5"/>
  <c r="X22" i="5"/>
  <c r="Y22" i="5" s="1"/>
  <c r="V22" i="5"/>
  <c r="Z22" i="5"/>
  <c r="X59" i="5"/>
  <c r="Y59" i="5" s="1"/>
  <c r="Z59" i="5"/>
  <c r="V59" i="5"/>
  <c r="Z73" i="5"/>
  <c r="X73" i="5"/>
  <c r="Y73" i="5" s="1"/>
  <c r="V73" i="5"/>
  <c r="Z90" i="5"/>
  <c r="X90" i="5"/>
  <c r="Y90" i="5" s="1"/>
  <c r="V90" i="5"/>
  <c r="V131" i="5"/>
  <c r="X131" i="5"/>
  <c r="Y131" i="5" s="1"/>
  <c r="Z131" i="5"/>
  <c r="Z310" i="5"/>
  <c r="X310" i="5"/>
  <c r="Y310" i="5" s="1"/>
  <c r="V310" i="5"/>
  <c r="V370" i="5"/>
  <c r="Z370" i="5"/>
  <c r="X370" i="5"/>
  <c r="Y370" i="5" s="1"/>
  <c r="X10" i="5"/>
  <c r="Y10" i="5" s="1"/>
  <c r="Z10" i="5"/>
  <c r="V10" i="5"/>
  <c r="Z36" i="5"/>
  <c r="X36" i="5"/>
  <c r="Y36" i="5" s="1"/>
  <c r="V36" i="5"/>
  <c r="Z42" i="5"/>
  <c r="X42" i="5"/>
  <c r="Y42" i="5" s="1"/>
  <c r="V42" i="5"/>
  <c r="Z98" i="5"/>
  <c r="X98" i="5"/>
  <c r="Y98" i="5" s="1"/>
  <c r="V98" i="5"/>
  <c r="Z122" i="5"/>
  <c r="X122" i="5"/>
  <c r="Y122" i="5" s="1"/>
  <c r="V122" i="5"/>
  <c r="V375" i="5"/>
  <c r="Z375" i="5"/>
  <c r="X375" i="5"/>
  <c r="Y375" i="5" s="1"/>
  <c r="Z418" i="5"/>
  <c r="X418" i="5"/>
  <c r="Y418" i="5" s="1"/>
  <c r="V418" i="5"/>
  <c r="Z722" i="5"/>
  <c r="X722" i="5"/>
  <c r="Y722" i="5" s="1"/>
  <c r="V722" i="5"/>
  <c r="Z50" i="5"/>
  <c r="X50" i="5"/>
  <c r="Y50" i="5" s="1"/>
  <c r="V50" i="5"/>
  <c r="Z52" i="5"/>
  <c r="V52" i="5"/>
  <c r="X52" i="5"/>
  <c r="Y52" i="5" s="1"/>
  <c r="Z75" i="5"/>
  <c r="V75" i="5"/>
  <c r="X75" i="5"/>
  <c r="Y75" i="5" s="1"/>
  <c r="X521" i="5"/>
  <c r="Y521" i="5" s="1"/>
  <c r="V521" i="5"/>
  <c r="Z521" i="5"/>
  <c r="Z6" i="5"/>
  <c r="X126" i="5"/>
  <c r="Y126" i="5" s="1"/>
  <c r="Z126" i="5"/>
  <c r="V126" i="5"/>
  <c r="Z200" i="5"/>
  <c r="X325" i="5"/>
  <c r="Y325" i="5" s="1"/>
  <c r="Z325" i="5"/>
  <c r="V325" i="5"/>
  <c r="X409" i="5"/>
  <c r="Y409" i="5" s="1"/>
  <c r="V409" i="5"/>
  <c r="Z409" i="5"/>
  <c r="X634" i="5"/>
  <c r="Y634" i="5" s="1"/>
  <c r="V634" i="5"/>
  <c r="Z634" i="5"/>
  <c r="Z9" i="5"/>
  <c r="X9" i="5"/>
  <c r="Y9" i="5" s="1"/>
  <c r="V9" i="5"/>
  <c r="Z51" i="5"/>
  <c r="X51" i="5"/>
  <c r="Y51" i="5" s="1"/>
  <c r="V51" i="5"/>
  <c r="X220" i="5"/>
  <c r="Y220" i="5" s="1"/>
  <c r="Z220" i="5"/>
  <c r="V220" i="5"/>
  <c r="V334" i="5"/>
  <c r="X334" i="5"/>
  <c r="Y334" i="5" s="1"/>
  <c r="Z334" i="5"/>
  <c r="Z210" i="5"/>
  <c r="X210" i="5"/>
  <c r="Y210" i="5" s="1"/>
  <c r="V210" i="5"/>
  <c r="Z269" i="5"/>
  <c r="V269" i="5"/>
  <c r="X269" i="5"/>
  <c r="Y269" i="5" s="1"/>
  <c r="X488" i="5"/>
  <c r="Y488" i="5" s="1"/>
  <c r="V488" i="5"/>
  <c r="Z488" i="5"/>
  <c r="V936" i="5"/>
  <c r="X936" i="5"/>
  <c r="Y936" i="5" s="1"/>
  <c r="Z936" i="5"/>
  <c r="X297" i="5"/>
  <c r="Y297" i="5" s="1"/>
  <c r="V297" i="5"/>
  <c r="Z297" i="5"/>
  <c r="V469" i="5"/>
  <c r="X469" i="5"/>
  <c r="Y469" i="5" s="1"/>
  <c r="Z469" i="5"/>
  <c r="Z372" i="5"/>
  <c r="Z755" i="5"/>
  <c r="X755" i="5"/>
  <c r="Y755" i="5" s="1"/>
  <c r="V755" i="5"/>
  <c r="X34" i="5"/>
  <c r="Y34" i="5" s="1"/>
  <c r="V34" i="5"/>
  <c r="Z34" i="5"/>
  <c r="X135" i="5"/>
  <c r="Y135" i="5" s="1"/>
  <c r="V135" i="5"/>
  <c r="Z135" i="5"/>
  <c r="X258" i="5"/>
  <c r="Y258" i="5" s="1"/>
  <c r="V258" i="5"/>
  <c r="Z258" i="5"/>
  <c r="Z423" i="5"/>
  <c r="X423" i="5"/>
  <c r="Y423" i="5" s="1"/>
  <c r="V423" i="5"/>
  <c r="X83" i="5"/>
  <c r="Y83" i="5" s="1"/>
  <c r="Z83" i="5"/>
  <c r="V83" i="5"/>
  <c r="Z452" i="5"/>
  <c r="X452" i="5"/>
  <c r="Y452" i="5" s="1"/>
  <c r="V452" i="5"/>
  <c r="X571" i="5"/>
  <c r="Y571" i="5" s="1"/>
  <c r="V571" i="5"/>
  <c r="Z571" i="5"/>
  <c r="X673" i="5"/>
  <c r="Y673" i="5" s="1"/>
  <c r="V673" i="5"/>
  <c r="Z673" i="5"/>
  <c r="X677" i="5"/>
  <c r="Y677" i="5" s="1"/>
  <c r="V677" i="5"/>
  <c r="Z677" i="5"/>
  <c r="Z738" i="5"/>
  <c r="V738" i="5"/>
  <c r="X738" i="5"/>
  <c r="Y738" i="5" s="1"/>
  <c r="Z23" i="5"/>
  <c r="V23" i="5"/>
  <c r="X23" i="5"/>
  <c r="Y23" i="5" s="1"/>
  <c r="Z91" i="5"/>
  <c r="X91" i="5"/>
  <c r="Y91" i="5" s="1"/>
  <c r="V91" i="5"/>
  <c r="X161" i="5"/>
  <c r="Y161" i="5" s="1"/>
  <c r="Z161" i="5"/>
  <c r="V161" i="5"/>
  <c r="Z187" i="5"/>
  <c r="V187" i="5"/>
  <c r="X187" i="5"/>
  <c r="Y187" i="5" s="1"/>
  <c r="Z245" i="5"/>
  <c r="X245" i="5"/>
  <c r="Y245" i="5" s="1"/>
  <c r="V245" i="5"/>
  <c r="Z360" i="5"/>
  <c r="X360" i="5"/>
  <c r="Y360" i="5" s="1"/>
  <c r="V360" i="5"/>
  <c r="Z11" i="5"/>
  <c r="V11" i="5"/>
  <c r="X11" i="5"/>
  <c r="Y11" i="5" s="1"/>
  <c r="Z21" i="5"/>
  <c r="X21" i="5"/>
  <c r="Y21" i="5" s="1"/>
  <c r="V21" i="5"/>
  <c r="Z25" i="5"/>
  <c r="X25" i="5"/>
  <c r="Y25" i="5" s="1"/>
  <c r="V25" i="5"/>
  <c r="Z33" i="5"/>
  <c r="X33" i="5"/>
  <c r="Y33" i="5" s="1"/>
  <c r="V33" i="5"/>
  <c r="Z43" i="5"/>
  <c r="V43" i="5"/>
  <c r="X43" i="5"/>
  <c r="Y43" i="5" s="1"/>
  <c r="V60" i="5"/>
  <c r="Z60" i="5"/>
  <c r="X60" i="5"/>
  <c r="Y60" i="5" s="1"/>
  <c r="Z66" i="5"/>
  <c r="X66" i="5"/>
  <c r="Y66" i="5" s="1"/>
  <c r="V66" i="5"/>
  <c r="V107" i="5"/>
  <c r="Z107" i="5"/>
  <c r="X107" i="5"/>
  <c r="Y107" i="5" s="1"/>
  <c r="Z111" i="5"/>
  <c r="X111" i="5"/>
  <c r="Y111" i="5" s="1"/>
  <c r="V111" i="5"/>
  <c r="V432" i="5"/>
  <c r="X432" i="5"/>
  <c r="Y432" i="5" s="1"/>
  <c r="Z432" i="5"/>
  <c r="X434" i="5"/>
  <c r="Y434" i="5" s="1"/>
  <c r="Z434" i="5"/>
  <c r="V434" i="5"/>
  <c r="V13" i="5"/>
  <c r="Z13" i="5"/>
  <c r="X13" i="5"/>
  <c r="Y13" i="5" s="1"/>
  <c r="V58" i="5"/>
  <c r="X58" i="5"/>
  <c r="Y58" i="5" s="1"/>
  <c r="Z58" i="5"/>
  <c r="Z99" i="5"/>
  <c r="X99" i="5"/>
  <c r="Y99" i="5" s="1"/>
  <c r="V99" i="5"/>
  <c r="Z134" i="5"/>
  <c r="X134" i="5"/>
  <c r="Y134" i="5" s="1"/>
  <c r="V134" i="5"/>
  <c r="Z459" i="5"/>
  <c r="X459" i="5"/>
  <c r="Y459" i="5" s="1"/>
  <c r="V459" i="5"/>
  <c r="Z555" i="5"/>
  <c r="X555" i="5"/>
  <c r="Y555" i="5" s="1"/>
  <c r="V555" i="5"/>
  <c r="Z40" i="5"/>
  <c r="X40" i="5"/>
  <c r="Y40" i="5" s="1"/>
  <c r="X103" i="5"/>
  <c r="Y103" i="5" s="1"/>
  <c r="V103" i="5"/>
  <c r="Z152" i="5"/>
  <c r="V152" i="5"/>
  <c r="Z229" i="5"/>
  <c r="X229" i="5"/>
  <c r="Y229" i="5" s="1"/>
  <c r="X243" i="5"/>
  <c r="Y243" i="5" s="1"/>
  <c r="V243" i="5"/>
  <c r="Z243" i="5"/>
  <c r="Z253" i="5"/>
  <c r="V253" i="5"/>
  <c r="Z342" i="5"/>
  <c r="V342" i="5"/>
  <c r="X342" i="5"/>
  <c r="Y342" i="5" s="1"/>
  <c r="Z365" i="5"/>
  <c r="V365" i="5"/>
  <c r="V373" i="5"/>
  <c r="Z373" i="5"/>
  <c r="Z378" i="5"/>
  <c r="X378" i="5"/>
  <c r="Y378" i="5" s="1"/>
  <c r="V378" i="5"/>
  <c r="Z412" i="5"/>
  <c r="X482" i="5"/>
  <c r="Y482" i="5" s="1"/>
  <c r="V482" i="5"/>
  <c r="V518" i="5"/>
  <c r="Z518" i="5"/>
  <c r="X566" i="5"/>
  <c r="Y566" i="5" s="1"/>
  <c r="V566" i="5"/>
  <c r="V596" i="5"/>
  <c r="Z596" i="5"/>
  <c r="X596" i="5"/>
  <c r="Y596" i="5" s="1"/>
  <c r="X728" i="5"/>
  <c r="Y728" i="5" s="1"/>
  <c r="V728" i="5"/>
  <c r="Z728" i="5"/>
  <c r="X808" i="5"/>
  <c r="Y808" i="5" s="1"/>
  <c r="Z808" i="5"/>
  <c r="X815" i="5"/>
  <c r="Y815" i="5" s="1"/>
  <c r="V815" i="5"/>
  <c r="X832" i="5"/>
  <c r="Y832" i="5" s="1"/>
  <c r="Z832" i="5"/>
  <c r="V832" i="5"/>
  <c r="V12" i="5"/>
  <c r="V40" i="5"/>
  <c r="Z57" i="5"/>
  <c r="V84" i="5"/>
  <c r="X87" i="5"/>
  <c r="Y87" i="5" s="1"/>
  <c r="V87" i="5"/>
  <c r="X120" i="5"/>
  <c r="Y120" i="5" s="1"/>
  <c r="Z120" i="5"/>
  <c r="V120" i="5"/>
  <c r="Z129" i="5"/>
  <c r="X296" i="5"/>
  <c r="Y296" i="5" s="1"/>
  <c r="V296" i="5"/>
  <c r="Z323" i="5"/>
  <c r="V323" i="5"/>
  <c r="V347" i="5"/>
  <c r="X373" i="5"/>
  <c r="Y373" i="5" s="1"/>
  <c r="V501" i="5"/>
  <c r="V637" i="5"/>
  <c r="Z700" i="5"/>
  <c r="V700" i="5"/>
  <c r="X700" i="5"/>
  <c r="Y700" i="5" s="1"/>
  <c r="V724" i="5"/>
  <c r="X724" i="5"/>
  <c r="Y724" i="5" s="1"/>
  <c r="Z724" i="5"/>
  <c r="X796" i="5"/>
  <c r="Y796" i="5" s="1"/>
  <c r="V796" i="5"/>
  <c r="Z796" i="5"/>
  <c r="V808" i="5"/>
  <c r="Z815" i="5"/>
  <c r="X903" i="5"/>
  <c r="Y903" i="5" s="1"/>
  <c r="V903" i="5"/>
  <c r="Z903" i="5"/>
  <c r="Z8" i="5"/>
  <c r="V8" i="5"/>
  <c r="X12" i="5"/>
  <c r="Y12" i="5" s="1"/>
  <c r="X77" i="5"/>
  <c r="Y77" i="5" s="1"/>
  <c r="X84" i="5"/>
  <c r="Y84" i="5" s="1"/>
  <c r="Z87" i="5"/>
  <c r="V138" i="5"/>
  <c r="X138" i="5"/>
  <c r="Y138" i="5" s="1"/>
  <c r="Z164" i="5"/>
  <c r="V164" i="5"/>
  <c r="X209" i="5"/>
  <c r="Y209" i="5" s="1"/>
  <c r="V209" i="5"/>
  <c r="Z209" i="5"/>
  <c r="V221" i="5"/>
  <c r="V226" i="5"/>
  <c r="X266" i="5"/>
  <c r="Y266" i="5" s="1"/>
  <c r="Z296" i="5"/>
  <c r="V344" i="5"/>
  <c r="X347" i="5"/>
  <c r="Y347" i="5" s="1"/>
  <c r="Z468" i="5"/>
  <c r="X468" i="5"/>
  <c r="Y468" i="5" s="1"/>
  <c r="V468" i="5"/>
  <c r="X501" i="5"/>
  <c r="Y501" i="5" s="1"/>
  <c r="Z577" i="5"/>
  <c r="V577" i="5"/>
  <c r="X577" i="5"/>
  <c r="Y577" i="5" s="1"/>
  <c r="X695" i="5"/>
  <c r="Y695" i="5" s="1"/>
  <c r="Z695" i="5"/>
  <c r="V695" i="5"/>
  <c r="X726" i="5"/>
  <c r="Y726" i="5" s="1"/>
  <c r="Z726" i="5"/>
  <c r="V726" i="5"/>
  <c r="X945" i="5"/>
  <c r="Y945" i="5" s="1"/>
  <c r="V945" i="5"/>
  <c r="Z945" i="5"/>
  <c r="Z1056" i="5"/>
  <c r="X1056" i="5"/>
  <c r="Y1056" i="5" s="1"/>
  <c r="V1056" i="5"/>
  <c r="Z28" i="5"/>
  <c r="V53" i="5"/>
  <c r="V69" i="5"/>
  <c r="Z72" i="5"/>
  <c r="X72" i="5"/>
  <c r="Y72" i="5" s="1"/>
  <c r="Z138" i="5"/>
  <c r="Z140" i="5"/>
  <c r="X188" i="5"/>
  <c r="Y188" i="5" s="1"/>
  <c r="V188" i="5"/>
  <c r="V224" i="5"/>
  <c r="X224" i="5"/>
  <c r="Y224" i="5" s="1"/>
  <c r="X226" i="5"/>
  <c r="Y226" i="5" s="1"/>
  <c r="Z311" i="5"/>
  <c r="X344" i="5"/>
  <c r="Y344" i="5" s="1"/>
  <c r="X463" i="5"/>
  <c r="Y463" i="5" s="1"/>
  <c r="V463" i="5"/>
  <c r="Z463" i="5"/>
  <c r="Z476" i="5"/>
  <c r="X476" i="5"/>
  <c r="Y476" i="5" s="1"/>
  <c r="Z549" i="5"/>
  <c r="X549" i="5"/>
  <c r="Y549" i="5" s="1"/>
  <c r="V549" i="5"/>
  <c r="Z685" i="5"/>
  <c r="X685" i="5"/>
  <c r="Y685" i="5" s="1"/>
  <c r="V685" i="5"/>
  <c r="Z775" i="5"/>
  <c r="V775" i="5"/>
  <c r="X775" i="5"/>
  <c r="Y775" i="5" s="1"/>
  <c r="X836" i="5"/>
  <c r="Y836" i="5" s="1"/>
  <c r="V836" i="5"/>
  <c r="Z836" i="5"/>
  <c r="V984" i="5"/>
  <c r="X984" i="5"/>
  <c r="Y984" i="5" s="1"/>
  <c r="Z984" i="5"/>
  <c r="V30" i="5"/>
  <c r="X30" i="5"/>
  <c r="Y30" i="5" s="1"/>
  <c r="X53" i="5"/>
  <c r="Y53" i="5" s="1"/>
  <c r="X69" i="5"/>
  <c r="Y69" i="5" s="1"/>
  <c r="V72" i="5"/>
  <c r="X80" i="5"/>
  <c r="Y80" i="5" s="1"/>
  <c r="V80" i="5"/>
  <c r="Z105" i="5"/>
  <c r="Z178" i="5"/>
  <c r="X178" i="5"/>
  <c r="Y178" i="5" s="1"/>
  <c r="X203" i="5"/>
  <c r="Y203" i="5" s="1"/>
  <c r="Z203" i="5"/>
  <c r="Z224" i="5"/>
  <c r="Z248" i="5"/>
  <c r="X268" i="5"/>
  <c r="Y268" i="5" s="1"/>
  <c r="V268" i="5"/>
  <c r="Z268" i="5"/>
  <c r="V311" i="5"/>
  <c r="V367" i="5"/>
  <c r="X367" i="5"/>
  <c r="Y367" i="5" s="1"/>
  <c r="X419" i="5"/>
  <c r="Y419" i="5" s="1"/>
  <c r="X444" i="5"/>
  <c r="Y444" i="5" s="1"/>
  <c r="Z444" i="5"/>
  <c r="Z458" i="5"/>
  <c r="V458" i="5"/>
  <c r="X458" i="5"/>
  <c r="Y458" i="5" s="1"/>
  <c r="X510" i="5"/>
  <c r="Y510" i="5" s="1"/>
  <c r="Z510" i="5"/>
  <c r="Z547" i="5"/>
  <c r="X547" i="5"/>
  <c r="Y547" i="5" s="1"/>
  <c r="V547" i="5"/>
  <c r="Z590" i="5"/>
  <c r="V590" i="5"/>
  <c r="X590" i="5"/>
  <c r="Y590" i="5" s="1"/>
  <c r="X616" i="5"/>
  <c r="Y616" i="5" s="1"/>
  <c r="V616" i="5"/>
  <c r="Z616" i="5"/>
  <c r="V705" i="5"/>
  <c r="Z705" i="5"/>
  <c r="V742" i="5"/>
  <c r="Z742" i="5"/>
  <c r="Z990" i="5"/>
  <c r="X990" i="5"/>
  <c r="Y990" i="5" s="1"/>
  <c r="V990" i="5"/>
  <c r="Z1108" i="5"/>
  <c r="X1108" i="5"/>
  <c r="Y1108" i="5" s="1"/>
  <c r="V1108" i="5"/>
  <c r="Z30" i="5"/>
  <c r="X39" i="5"/>
  <c r="Y39" i="5" s="1"/>
  <c r="V39" i="5"/>
  <c r="Z80" i="5"/>
  <c r="X86" i="5"/>
  <c r="Y86" i="5" s="1"/>
  <c r="V86" i="5"/>
  <c r="Z128" i="5"/>
  <c r="X128" i="5"/>
  <c r="Y128" i="5" s="1"/>
  <c r="X140" i="5"/>
  <c r="Y140" i="5" s="1"/>
  <c r="Z188" i="5"/>
  <c r="Z221" i="5"/>
  <c r="Z239" i="5"/>
  <c r="V239" i="5"/>
  <c r="X239" i="5"/>
  <c r="Y239" i="5" s="1"/>
  <c r="V320" i="5"/>
  <c r="Z320" i="5"/>
  <c r="Z341" i="5"/>
  <c r="X341" i="5"/>
  <c r="Y341" i="5" s="1"/>
  <c r="Z349" i="5"/>
  <c r="V349" i="5"/>
  <c r="X349" i="5"/>
  <c r="Y349" i="5" s="1"/>
  <c r="Z419" i="5"/>
  <c r="Z484" i="5"/>
  <c r="X484" i="5"/>
  <c r="Y484" i="5" s="1"/>
  <c r="V484" i="5"/>
  <c r="X491" i="5"/>
  <c r="Y491" i="5" s="1"/>
  <c r="V491" i="5"/>
  <c r="V592" i="5"/>
  <c r="Z592" i="5"/>
  <c r="X623" i="5"/>
  <c r="Y623" i="5" s="1"/>
  <c r="Z623" i="5"/>
  <c r="V623" i="5"/>
  <c r="V665" i="5"/>
  <c r="Z713" i="5"/>
  <c r="X713" i="5"/>
  <c r="Y713" i="5" s="1"/>
  <c r="V713" i="5"/>
  <c r="Z736" i="5"/>
  <c r="V736" i="5"/>
  <c r="X736" i="5"/>
  <c r="Y736" i="5" s="1"/>
  <c r="X742" i="5"/>
  <c r="Y742" i="5" s="1"/>
  <c r="V1101" i="5"/>
  <c r="X1101" i="5"/>
  <c r="Y1101" i="5" s="1"/>
  <c r="Z32" i="5"/>
  <c r="V32" i="5"/>
  <c r="Z39" i="5"/>
  <c r="X45" i="5"/>
  <c r="Y45" i="5" s="1"/>
  <c r="V56" i="5"/>
  <c r="X56" i="5"/>
  <c r="Y56" i="5" s="1"/>
  <c r="X95" i="5"/>
  <c r="Y95" i="5" s="1"/>
  <c r="V95" i="5"/>
  <c r="V102" i="5"/>
  <c r="Z102" i="5"/>
  <c r="X102" i="5"/>
  <c r="Y102" i="5" s="1"/>
  <c r="X105" i="5"/>
  <c r="Y105" i="5" s="1"/>
  <c r="V128" i="5"/>
  <c r="V144" i="5"/>
  <c r="Z144" i="5"/>
  <c r="X144" i="5"/>
  <c r="Y144" i="5" s="1"/>
  <c r="Z151" i="5"/>
  <c r="X151" i="5"/>
  <c r="Y151" i="5" s="1"/>
  <c r="V151" i="5"/>
  <c r="X153" i="5"/>
  <c r="Y153" i="5" s="1"/>
  <c r="V153" i="5"/>
  <c r="Z153" i="5"/>
  <c r="X228" i="5"/>
  <c r="Y228" i="5" s="1"/>
  <c r="V228" i="5"/>
  <c r="Z228" i="5"/>
  <c r="X241" i="5"/>
  <c r="Y241" i="5" s="1"/>
  <c r="Z241" i="5"/>
  <c r="Z255" i="5"/>
  <c r="X262" i="5"/>
  <c r="Y262" i="5" s="1"/>
  <c r="V262" i="5"/>
  <c r="X290" i="5"/>
  <c r="Y290" i="5" s="1"/>
  <c r="V290" i="5"/>
  <c r="V303" i="5"/>
  <c r="X303" i="5"/>
  <c r="Y303" i="5" s="1"/>
  <c r="Z303" i="5"/>
  <c r="Z317" i="5"/>
  <c r="V317" i="5"/>
  <c r="X320" i="5"/>
  <c r="Y320" i="5" s="1"/>
  <c r="Z333" i="5"/>
  <c r="X333" i="5"/>
  <c r="Y333" i="5" s="1"/>
  <c r="V341" i="5"/>
  <c r="X359" i="5"/>
  <c r="Y359" i="5" s="1"/>
  <c r="Z359" i="5"/>
  <c r="V359" i="5"/>
  <c r="V379" i="5"/>
  <c r="X379" i="5"/>
  <c r="Y379" i="5" s="1"/>
  <c r="V393" i="5"/>
  <c r="Z393" i="5"/>
  <c r="Z428" i="5"/>
  <c r="Z473" i="5"/>
  <c r="V473" i="5"/>
  <c r="V489" i="5"/>
  <c r="X505" i="5"/>
  <c r="Y505" i="5" s="1"/>
  <c r="V505" i="5"/>
  <c r="Z505" i="5"/>
  <c r="Z507" i="5"/>
  <c r="V507" i="5"/>
  <c r="X512" i="5"/>
  <c r="Y512" i="5" s="1"/>
  <c r="Z512" i="5"/>
  <c r="Z587" i="5"/>
  <c r="V587" i="5"/>
  <c r="X587" i="5"/>
  <c r="Y587" i="5" s="1"/>
  <c r="X592" i="5"/>
  <c r="Y592" i="5" s="1"/>
  <c r="X665" i="5"/>
  <c r="Y665" i="5" s="1"/>
  <c r="X749" i="5"/>
  <c r="Y749" i="5" s="1"/>
  <c r="Z749" i="5"/>
  <c r="V749" i="5"/>
  <c r="V890" i="5"/>
  <c r="Z890" i="5"/>
  <c r="X892" i="5"/>
  <c r="Y892" i="5" s="1"/>
  <c r="Z892" i="5"/>
  <c r="V892" i="5"/>
  <c r="Z899" i="5"/>
  <c r="V899" i="5"/>
  <c r="X899" i="5"/>
  <c r="Y899" i="5" s="1"/>
  <c r="X908" i="5"/>
  <c r="Y908" i="5" s="1"/>
  <c r="Z908" i="5"/>
  <c r="V908" i="5"/>
  <c r="X942" i="5"/>
  <c r="Y942" i="5" s="1"/>
  <c r="Z942" i="5"/>
  <c r="X954" i="5"/>
  <c r="Y954" i="5" s="1"/>
  <c r="Z954" i="5"/>
  <c r="Z1001" i="5"/>
  <c r="X1001" i="5"/>
  <c r="Y1001" i="5" s="1"/>
  <c r="V1001" i="5"/>
  <c r="X1078" i="5"/>
  <c r="Y1078" i="5" s="1"/>
  <c r="V1078" i="5"/>
  <c r="Z1078" i="5"/>
  <c r="Z1101" i="5"/>
  <c r="X1114" i="5"/>
  <c r="Y1114" i="5" s="1"/>
  <c r="V1114" i="5"/>
  <c r="Z1114" i="5"/>
  <c r="X17" i="5"/>
  <c r="Y17" i="5" s="1"/>
  <c r="V17" i="5"/>
  <c r="X304" i="5"/>
  <c r="Y304" i="5" s="1"/>
  <c r="V304" i="5"/>
  <c r="Z307" i="5"/>
  <c r="V307" i="5"/>
  <c r="X321" i="5"/>
  <c r="Y321" i="5" s="1"/>
  <c r="V321" i="5"/>
  <c r="Z321" i="5"/>
  <c r="Z533" i="5"/>
  <c r="X533" i="5"/>
  <c r="Y533" i="5" s="1"/>
  <c r="V533" i="5"/>
  <c r="X551" i="5"/>
  <c r="Y551" i="5" s="1"/>
  <c r="Z551" i="5"/>
  <c r="V551" i="5"/>
  <c r="X763" i="5"/>
  <c r="Y763" i="5" s="1"/>
  <c r="Z763" i="5"/>
  <c r="V763" i="5"/>
  <c r="X28" i="5"/>
  <c r="Y28" i="5" s="1"/>
  <c r="V77" i="5"/>
  <c r="V93" i="5"/>
  <c r="X96" i="5"/>
  <c r="Y96" i="5" s="1"/>
  <c r="Z96" i="5"/>
  <c r="V100" i="5"/>
  <c r="Z103" i="5"/>
  <c r="X152" i="5"/>
  <c r="Y152" i="5" s="1"/>
  <c r="X176" i="5"/>
  <c r="Y176" i="5" s="1"/>
  <c r="Z176" i="5"/>
  <c r="V179" i="5"/>
  <c r="V229" i="5"/>
  <c r="X249" i="5"/>
  <c r="Y249" i="5" s="1"/>
  <c r="V249" i="5"/>
  <c r="X253" i="5"/>
  <c r="Y253" i="5" s="1"/>
  <c r="V266" i="5"/>
  <c r="X291" i="5"/>
  <c r="Y291" i="5" s="1"/>
  <c r="V291" i="5"/>
  <c r="V299" i="5"/>
  <c r="X299" i="5"/>
  <c r="Y299" i="5" s="1"/>
  <c r="X362" i="5"/>
  <c r="Y362" i="5" s="1"/>
  <c r="Z362" i="5"/>
  <c r="X365" i="5"/>
  <c r="Y365" i="5" s="1"/>
  <c r="X386" i="5"/>
  <c r="Y386" i="5" s="1"/>
  <c r="Z386" i="5"/>
  <c r="V412" i="5"/>
  <c r="X437" i="5"/>
  <c r="Y437" i="5" s="1"/>
  <c r="Z437" i="5"/>
  <c r="Z499" i="5"/>
  <c r="X499" i="5"/>
  <c r="Y499" i="5" s="1"/>
  <c r="V499" i="5"/>
  <c r="X518" i="5"/>
  <c r="Y518" i="5" s="1"/>
  <c r="Z642" i="5"/>
  <c r="X642" i="5"/>
  <c r="Y642" i="5" s="1"/>
  <c r="Z935" i="5"/>
  <c r="Z17" i="5"/>
  <c r="X93" i="5"/>
  <c r="Y93" i="5" s="1"/>
  <c r="X100" i="5"/>
  <c r="Y100" i="5" s="1"/>
  <c r="Z110" i="5"/>
  <c r="V110" i="5"/>
  <c r="V114" i="5"/>
  <c r="X114" i="5"/>
  <c r="Y114" i="5" s="1"/>
  <c r="V176" i="5"/>
  <c r="X179" i="5"/>
  <c r="Y179" i="5" s="1"/>
  <c r="X196" i="5"/>
  <c r="Y196" i="5" s="1"/>
  <c r="V196" i="5"/>
  <c r="Z196" i="5"/>
  <c r="Z263" i="5"/>
  <c r="V263" i="5"/>
  <c r="X263" i="5"/>
  <c r="Y263" i="5" s="1"/>
  <c r="X301" i="5"/>
  <c r="Y301" i="5" s="1"/>
  <c r="Z301" i="5"/>
  <c r="Z304" i="5"/>
  <c r="X323" i="5"/>
  <c r="Y323" i="5" s="1"/>
  <c r="V362" i="5"/>
  <c r="V386" i="5"/>
  <c r="X474" i="5"/>
  <c r="Y474" i="5" s="1"/>
  <c r="Z474" i="5"/>
  <c r="V474" i="5"/>
  <c r="Z482" i="5"/>
  <c r="Z508" i="5"/>
  <c r="V508" i="5"/>
  <c r="X508" i="5"/>
  <c r="Y508" i="5" s="1"/>
  <c r="X535" i="5"/>
  <c r="Y535" i="5" s="1"/>
  <c r="V535" i="5"/>
  <c r="Z535" i="5"/>
  <c r="Z566" i="5"/>
  <c r="X637" i="5"/>
  <c r="Y637" i="5" s="1"/>
  <c r="V642" i="5"/>
  <c r="Z943" i="5"/>
  <c r="X943" i="5"/>
  <c r="Y943" i="5" s="1"/>
  <c r="V943" i="5"/>
  <c r="V1011" i="5"/>
  <c r="Z1011" i="5"/>
  <c r="X5" i="5"/>
  <c r="Y5" i="5" s="1"/>
  <c r="V5" i="5"/>
  <c r="X8" i="5"/>
  <c r="Y8" i="5" s="1"/>
  <c r="Z19" i="5"/>
  <c r="X19" i="5"/>
  <c r="Y19" i="5" s="1"/>
  <c r="X63" i="5"/>
  <c r="Y63" i="5" s="1"/>
  <c r="V63" i="5"/>
  <c r="Z89" i="5"/>
  <c r="V89" i="5"/>
  <c r="Z92" i="5"/>
  <c r="X110" i="5"/>
  <c r="Y110" i="5" s="1"/>
  <c r="V157" i="5"/>
  <c r="X157" i="5"/>
  <c r="Y157" i="5" s="1"/>
  <c r="X164" i="5"/>
  <c r="Y164" i="5" s="1"/>
  <c r="Z249" i="5"/>
  <c r="V279" i="5"/>
  <c r="Z279" i="5"/>
  <c r="Z288" i="5"/>
  <c r="Z291" i="5"/>
  <c r="Z309" i="5"/>
  <c r="V309" i="5"/>
  <c r="X309" i="5"/>
  <c r="Y309" i="5" s="1"/>
  <c r="X337" i="5"/>
  <c r="Y337" i="5" s="1"/>
  <c r="Z337" i="5"/>
  <c r="V337" i="5"/>
  <c r="Z357" i="5"/>
  <c r="V357" i="5"/>
  <c r="X357" i="5"/>
  <c r="Y357" i="5" s="1"/>
  <c r="X398" i="5"/>
  <c r="Y398" i="5" s="1"/>
  <c r="V398" i="5"/>
  <c r="X406" i="5"/>
  <c r="Y406" i="5" s="1"/>
  <c r="V406" i="5"/>
  <c r="Z632" i="5"/>
  <c r="X632" i="5"/>
  <c r="Y632" i="5" s="1"/>
  <c r="V632" i="5"/>
  <c r="Z711" i="5"/>
  <c r="V711" i="5"/>
  <c r="X711" i="5"/>
  <c r="Y711" i="5" s="1"/>
  <c r="X988" i="5"/>
  <c r="Y988" i="5" s="1"/>
  <c r="V988" i="5"/>
  <c r="Z988" i="5"/>
  <c r="X89" i="5"/>
  <c r="Y89" i="5" s="1"/>
  <c r="V92" i="5"/>
  <c r="Z114" i="5"/>
  <c r="V140" i="5"/>
  <c r="X149" i="5"/>
  <c r="Y149" i="5" s="1"/>
  <c r="V149" i="5"/>
  <c r="Z157" i="5"/>
  <c r="X200" i="5"/>
  <c r="Y200" i="5" s="1"/>
  <c r="V200" i="5"/>
  <c r="Z205" i="5"/>
  <c r="V205" i="5"/>
  <c r="X205" i="5"/>
  <c r="Y205" i="5" s="1"/>
  <c r="X255" i="5"/>
  <c r="Y255" i="5" s="1"/>
  <c r="Z315" i="5"/>
  <c r="V315" i="5"/>
  <c r="X315" i="5"/>
  <c r="Y315" i="5" s="1"/>
  <c r="X331" i="5"/>
  <c r="Y331" i="5" s="1"/>
  <c r="Z331" i="5"/>
  <c r="V331" i="5"/>
  <c r="V391" i="5"/>
  <c r="X391" i="5"/>
  <c r="Y391" i="5" s="1"/>
  <c r="Z396" i="5"/>
  <c r="V396" i="5"/>
  <c r="X396" i="5"/>
  <c r="Y396" i="5" s="1"/>
  <c r="V476" i="5"/>
  <c r="Z625" i="5"/>
  <c r="V625" i="5"/>
  <c r="X625" i="5"/>
  <c r="Y625" i="5" s="1"/>
  <c r="X707" i="5"/>
  <c r="Y707" i="5" s="1"/>
  <c r="Z707" i="5"/>
  <c r="V707" i="5"/>
  <c r="Z5" i="5"/>
  <c r="X16" i="5"/>
  <c r="Y16" i="5" s="1"/>
  <c r="Z48" i="5"/>
  <c r="X48" i="5"/>
  <c r="Y48" i="5" s="1"/>
  <c r="Z65" i="5"/>
  <c r="V65" i="5"/>
  <c r="Z68" i="5"/>
  <c r="X92" i="5"/>
  <c r="Y92" i="5" s="1"/>
  <c r="V105" i="5"/>
  <c r="Z116" i="5"/>
  <c r="V178" i="5"/>
  <c r="Z190" i="5"/>
  <c r="V190" i="5"/>
  <c r="X190" i="5"/>
  <c r="Y190" i="5" s="1"/>
  <c r="X193" i="5"/>
  <c r="Y193" i="5" s="1"/>
  <c r="V193" i="5"/>
  <c r="Z193" i="5"/>
  <c r="V203" i="5"/>
  <c r="X311" i="5"/>
  <c r="Y311" i="5" s="1"/>
  <c r="Z346" i="5"/>
  <c r="V346" i="5"/>
  <c r="X354" i="5"/>
  <c r="Y354" i="5" s="1"/>
  <c r="Z354" i="5"/>
  <c r="Z367" i="5"/>
  <c r="V372" i="5"/>
  <c r="X372" i="5"/>
  <c r="Y372" i="5" s="1"/>
  <c r="V510" i="5"/>
  <c r="X636" i="5"/>
  <c r="Y636" i="5" s="1"/>
  <c r="V636" i="5"/>
  <c r="Z636" i="5"/>
  <c r="X705" i="5"/>
  <c r="Y705" i="5" s="1"/>
  <c r="Z7" i="5"/>
  <c r="X7" i="5"/>
  <c r="Y7" i="5" s="1"/>
  <c r="Z16" i="5"/>
  <c r="X35" i="5"/>
  <c r="Y35" i="5" s="1"/>
  <c r="Z35" i="5"/>
  <c r="Z41" i="5"/>
  <c r="V41" i="5"/>
  <c r="Z44" i="5"/>
  <c r="X62" i="5"/>
  <c r="Y62" i="5" s="1"/>
  <c r="V62" i="5"/>
  <c r="X68" i="5"/>
  <c r="Y68" i="5" s="1"/>
  <c r="Z74" i="5"/>
  <c r="V82" i="5"/>
  <c r="X82" i="5"/>
  <c r="Y82" i="5" s="1"/>
  <c r="Z86" i="5"/>
  <c r="V119" i="5"/>
  <c r="Z119" i="5"/>
  <c r="X119" i="5"/>
  <c r="Y119" i="5" s="1"/>
  <c r="V169" i="5"/>
  <c r="Z169" i="5"/>
  <c r="X214" i="5"/>
  <c r="Y214" i="5" s="1"/>
  <c r="V214" i="5"/>
  <c r="X233" i="5"/>
  <c r="Y233" i="5" s="1"/>
  <c r="Z233" i="5"/>
  <c r="Z244" i="5"/>
  <c r="X244" i="5"/>
  <c r="Y244" i="5" s="1"/>
  <c r="Z254" i="5"/>
  <c r="Z295" i="5"/>
  <c r="V295" i="5"/>
  <c r="X295" i="5"/>
  <c r="Y295" i="5" s="1"/>
  <c r="Z300" i="5"/>
  <c r="X300" i="5"/>
  <c r="Y300" i="5" s="1"/>
  <c r="V300" i="5"/>
  <c r="X322" i="5"/>
  <c r="Y322" i="5" s="1"/>
  <c r="Z322" i="5"/>
  <c r="V322" i="5"/>
  <c r="Z324" i="5"/>
  <c r="V324" i="5"/>
  <c r="X324" i="5"/>
  <c r="Y324" i="5" s="1"/>
  <c r="X343" i="5"/>
  <c r="Y343" i="5" s="1"/>
  <c r="Z343" i="5"/>
  <c r="V343" i="5"/>
  <c r="X381" i="5"/>
  <c r="Y381" i="5" s="1"/>
  <c r="V381" i="5"/>
  <c r="V431" i="5"/>
  <c r="X431" i="5"/>
  <c r="Y431" i="5" s="1"/>
  <c r="Z489" i="5"/>
  <c r="Z491" i="5"/>
  <c r="Z500" i="5"/>
  <c r="V500" i="5"/>
  <c r="X500" i="5"/>
  <c r="Y500" i="5" s="1"/>
  <c r="X541" i="5"/>
  <c r="Y541" i="5" s="1"/>
  <c r="Z541" i="5"/>
  <c r="V541" i="5"/>
  <c r="X574" i="5"/>
  <c r="Y574" i="5" s="1"/>
  <c r="V574" i="5"/>
  <c r="Z574" i="5"/>
  <c r="Z608" i="5"/>
  <c r="X608" i="5"/>
  <c r="Y608" i="5" s="1"/>
  <c r="V608" i="5"/>
  <c r="X660" i="5"/>
  <c r="Y660" i="5" s="1"/>
  <c r="V660" i="5"/>
  <c r="Z660" i="5"/>
  <c r="X681" i="5"/>
  <c r="Y681" i="5" s="1"/>
  <c r="Z681" i="5"/>
  <c r="V681" i="5"/>
  <c r="Z766" i="5"/>
  <c r="X766" i="5"/>
  <c r="Y766" i="5" s="1"/>
  <c r="V766" i="5"/>
  <c r="X792" i="5"/>
  <c r="Y792" i="5" s="1"/>
  <c r="V792" i="5"/>
  <c r="Z792" i="5"/>
  <c r="Z797" i="5"/>
  <c r="X797" i="5"/>
  <c r="Y797" i="5" s="1"/>
  <c r="X807" i="5"/>
  <c r="Y807" i="5" s="1"/>
  <c r="V807" i="5"/>
  <c r="Z807" i="5"/>
  <c r="X890" i="5"/>
  <c r="Y890" i="5" s="1"/>
  <c r="V942" i="5"/>
  <c r="V954" i="5"/>
  <c r="X1118" i="5"/>
  <c r="Y1118" i="5" s="1"/>
  <c r="V1118" i="5"/>
  <c r="Z1118" i="5"/>
  <c r="Z1138" i="5"/>
  <c r="X1138" i="5"/>
  <c r="Y1138" i="5" s="1"/>
  <c r="V1138" i="5"/>
  <c r="X6" i="5"/>
  <c r="Y6" i="5" s="1"/>
  <c r="V6" i="5"/>
  <c r="X145" i="5"/>
  <c r="Y145" i="5" s="1"/>
  <c r="Z145" i="5"/>
  <c r="V145" i="5"/>
  <c r="X237" i="5"/>
  <c r="Y237" i="5" s="1"/>
  <c r="Z237" i="5"/>
  <c r="Z261" i="5"/>
  <c r="V261" i="5"/>
  <c r="X261" i="5"/>
  <c r="Y261" i="5" s="1"/>
  <c r="X545" i="5"/>
  <c r="Y545" i="5" s="1"/>
  <c r="V545" i="5"/>
  <c r="X18" i="5"/>
  <c r="Y18" i="5" s="1"/>
  <c r="V18" i="5"/>
  <c r="X29" i="5"/>
  <c r="Y29" i="5" s="1"/>
  <c r="V29" i="5"/>
  <c r="X71" i="5"/>
  <c r="Y71" i="5" s="1"/>
  <c r="V71" i="5"/>
  <c r="X79" i="5"/>
  <c r="Y79" i="5" s="1"/>
  <c r="V79" i="5"/>
  <c r="Z88" i="5"/>
  <c r="X88" i="5"/>
  <c r="Y88" i="5" s="1"/>
  <c r="V109" i="5"/>
  <c r="Z109" i="5"/>
  <c r="X109" i="5"/>
  <c r="Y109" i="5" s="1"/>
  <c r="V130" i="5"/>
  <c r="Z130" i="5"/>
  <c r="X133" i="5"/>
  <c r="Y133" i="5" s="1"/>
  <c r="V133" i="5"/>
  <c r="Z133" i="5"/>
  <c r="X163" i="5"/>
  <c r="Y163" i="5" s="1"/>
  <c r="V163" i="5"/>
  <c r="X172" i="5"/>
  <c r="Y172" i="5" s="1"/>
  <c r="V172" i="5"/>
  <c r="Z172" i="5"/>
  <c r="X184" i="5"/>
  <c r="Y184" i="5" s="1"/>
  <c r="V184" i="5"/>
  <c r="X283" i="5"/>
  <c r="Y283" i="5" s="1"/>
  <c r="V283" i="5"/>
  <c r="Z330" i="5"/>
  <c r="V330" i="5"/>
  <c r="X403" i="5"/>
  <c r="Y403" i="5" s="1"/>
  <c r="V403" i="5"/>
  <c r="Z403" i="5"/>
  <c r="X457" i="5"/>
  <c r="Y457" i="5" s="1"/>
  <c r="V457" i="5"/>
  <c r="X475" i="5"/>
  <c r="Y475" i="5" s="1"/>
  <c r="V475" i="5"/>
  <c r="Z502" i="5"/>
  <c r="X502" i="5"/>
  <c r="Y502" i="5" s="1"/>
  <c r="Z509" i="5"/>
  <c r="V509" i="5"/>
  <c r="Z580" i="5"/>
  <c r="X580" i="5"/>
  <c r="Y580" i="5" s="1"/>
  <c r="V580" i="5"/>
  <c r="V597" i="5"/>
  <c r="X597" i="5"/>
  <c r="Y597" i="5" s="1"/>
  <c r="Z597" i="5"/>
  <c r="X649" i="5"/>
  <c r="Y649" i="5" s="1"/>
  <c r="Z649" i="5"/>
  <c r="V649" i="5"/>
  <c r="Z662" i="5"/>
  <c r="X662" i="5"/>
  <c r="Y662" i="5" s="1"/>
  <c r="X694" i="5"/>
  <c r="Y694" i="5" s="1"/>
  <c r="V694" i="5"/>
  <c r="X698" i="5"/>
  <c r="Y698" i="5" s="1"/>
  <c r="Z698" i="5"/>
  <c r="Z715" i="5"/>
  <c r="X715" i="5"/>
  <c r="Y715" i="5" s="1"/>
  <c r="V715" i="5"/>
  <c r="V752" i="5"/>
  <c r="Z752" i="5"/>
  <c r="X752" i="5"/>
  <c r="Y752" i="5" s="1"/>
  <c r="X801" i="5"/>
  <c r="Y801" i="5" s="1"/>
  <c r="Z801" i="5"/>
  <c r="X855" i="5"/>
  <c r="Y855" i="5" s="1"/>
  <c r="V855" i="5"/>
  <c r="Z855" i="5"/>
  <c r="Z976" i="5"/>
  <c r="X976" i="5"/>
  <c r="Y976" i="5" s="1"/>
  <c r="V976" i="5"/>
  <c r="V14" i="5"/>
  <c r="Z18" i="5"/>
  <c r="V24" i="5"/>
  <c r="X38" i="5"/>
  <c r="Y38" i="5" s="1"/>
  <c r="V38" i="5"/>
  <c r="V67" i="5"/>
  <c r="Z71" i="5"/>
  <c r="V88" i="5"/>
  <c r="V104" i="5"/>
  <c r="Z106" i="5"/>
  <c r="V106" i="5"/>
  <c r="V121" i="5"/>
  <c r="X130" i="5"/>
  <c r="Y130" i="5" s="1"/>
  <c r="X139" i="5"/>
  <c r="Y139" i="5" s="1"/>
  <c r="Z139" i="5"/>
  <c r="V155" i="5"/>
  <c r="Z163" i="5"/>
  <c r="V180" i="5"/>
  <c r="Z264" i="5"/>
  <c r="X330" i="5"/>
  <c r="Y330" i="5" s="1"/>
  <c r="Z397" i="5"/>
  <c r="V397" i="5"/>
  <c r="X397" i="5"/>
  <c r="Y397" i="5" s="1"/>
  <c r="X405" i="5"/>
  <c r="Y405" i="5" s="1"/>
  <c r="V405" i="5"/>
  <c r="Z405" i="5"/>
  <c r="Z448" i="5"/>
  <c r="V448" i="5"/>
  <c r="X448" i="5"/>
  <c r="Y448" i="5" s="1"/>
  <c r="Z475" i="5"/>
  <c r="V502" i="5"/>
  <c r="X509" i="5"/>
  <c r="Y509" i="5" s="1"/>
  <c r="X536" i="5"/>
  <c r="Y536" i="5" s="1"/>
  <c r="Z536" i="5"/>
  <c r="X564" i="5"/>
  <c r="Y564" i="5" s="1"/>
  <c r="V564" i="5"/>
  <c r="V589" i="5"/>
  <c r="V662" i="5"/>
  <c r="Z694" i="5"/>
  <c r="V698" i="5"/>
  <c r="Z781" i="5"/>
  <c r="X781" i="5"/>
  <c r="Y781" i="5" s="1"/>
  <c r="V781" i="5"/>
  <c r="V801" i="5"/>
  <c r="Z20" i="5"/>
  <c r="V20" i="5"/>
  <c r="X24" i="5"/>
  <c r="Y24" i="5" s="1"/>
  <c r="Z29" i="5"/>
  <c r="X47" i="5"/>
  <c r="Y47" i="5" s="1"/>
  <c r="V47" i="5"/>
  <c r="X55" i="5"/>
  <c r="Y55" i="5" s="1"/>
  <c r="V55" i="5"/>
  <c r="Z64" i="5"/>
  <c r="X64" i="5"/>
  <c r="Y64" i="5" s="1"/>
  <c r="X67" i="5"/>
  <c r="Y67" i="5" s="1"/>
  <c r="Z79" i="5"/>
  <c r="Z104" i="5"/>
  <c r="X121" i="5"/>
  <c r="Y121" i="5" s="1"/>
  <c r="V139" i="5"/>
  <c r="X155" i="5"/>
  <c r="Y155" i="5" s="1"/>
  <c r="V165" i="5"/>
  <c r="Z184" i="5"/>
  <c r="Z219" i="5"/>
  <c r="X219" i="5"/>
  <c r="Y219" i="5" s="1"/>
  <c r="V280" i="5"/>
  <c r="Z283" i="5"/>
  <c r="V319" i="5"/>
  <c r="X319" i="5"/>
  <c r="Y319" i="5" s="1"/>
  <c r="Z332" i="5"/>
  <c r="V332" i="5"/>
  <c r="X338" i="5"/>
  <c r="Y338" i="5" s="1"/>
  <c r="X395" i="5"/>
  <c r="Y395" i="5" s="1"/>
  <c r="Z395" i="5"/>
  <c r="V395" i="5"/>
  <c r="Z427" i="5"/>
  <c r="X427" i="5"/>
  <c r="Y427" i="5" s="1"/>
  <c r="Z457" i="5"/>
  <c r="V462" i="5"/>
  <c r="X462" i="5"/>
  <c r="Y462" i="5" s="1"/>
  <c r="Z462" i="5"/>
  <c r="Z526" i="5"/>
  <c r="X526" i="5"/>
  <c r="Y526" i="5" s="1"/>
  <c r="V526" i="5"/>
  <c r="V536" i="5"/>
  <c r="Z564" i="5"/>
  <c r="Z589" i="5"/>
  <c r="X664" i="5"/>
  <c r="Y664" i="5" s="1"/>
  <c r="V664" i="5"/>
  <c r="Z664" i="5"/>
  <c r="X691" i="5"/>
  <c r="Y691" i="5" s="1"/>
  <c r="V691" i="5"/>
  <c r="Z691" i="5"/>
  <c r="Z710" i="5"/>
  <c r="V710" i="5"/>
  <c r="X710" i="5"/>
  <c r="Y710" i="5" s="1"/>
  <c r="Z735" i="5"/>
  <c r="X735" i="5"/>
  <c r="Y735" i="5" s="1"/>
  <c r="X743" i="5"/>
  <c r="Y743" i="5" s="1"/>
  <c r="Z743" i="5"/>
  <c r="Z813" i="5"/>
  <c r="X813" i="5"/>
  <c r="Y813" i="5" s="1"/>
  <c r="V813" i="5"/>
  <c r="Z847" i="5"/>
  <c r="X847" i="5"/>
  <c r="Y847" i="5" s="1"/>
  <c r="Z869" i="5"/>
  <c r="X869" i="5"/>
  <c r="Y869" i="5" s="1"/>
  <c r="Z871" i="5"/>
  <c r="V871" i="5"/>
  <c r="X20" i="5"/>
  <c r="Y20" i="5" s="1"/>
  <c r="Z31" i="5"/>
  <c r="X31" i="5"/>
  <c r="Y31" i="5" s="1"/>
  <c r="Z38" i="5"/>
  <c r="Z47" i="5"/>
  <c r="V64" i="5"/>
  <c r="Z81" i="5"/>
  <c r="X115" i="5"/>
  <c r="Y115" i="5" s="1"/>
  <c r="Z115" i="5"/>
  <c r="V115" i="5"/>
  <c r="X165" i="5"/>
  <c r="Y165" i="5" s="1"/>
  <c r="Z194" i="5"/>
  <c r="X194" i="5"/>
  <c r="Y194" i="5" s="1"/>
  <c r="V219" i="5"/>
  <c r="Z240" i="5"/>
  <c r="V240" i="5"/>
  <c r="X285" i="5"/>
  <c r="Y285" i="5" s="1"/>
  <c r="Z285" i="5"/>
  <c r="V285" i="5"/>
  <c r="Z294" i="5"/>
  <c r="Z319" i="5"/>
  <c r="X332" i="5"/>
  <c r="Y332" i="5" s="1"/>
  <c r="X340" i="5"/>
  <c r="Y340" i="5" s="1"/>
  <c r="Z340" i="5"/>
  <c r="V340" i="5"/>
  <c r="X350" i="5"/>
  <c r="Y350" i="5" s="1"/>
  <c r="V350" i="5"/>
  <c r="Z350" i="5"/>
  <c r="Z371" i="5"/>
  <c r="V371" i="5"/>
  <c r="X371" i="5"/>
  <c r="Y371" i="5" s="1"/>
  <c r="X417" i="5"/>
  <c r="Y417" i="5" s="1"/>
  <c r="Z417" i="5"/>
  <c r="V417" i="5"/>
  <c r="V427" i="5"/>
  <c r="V435" i="5"/>
  <c r="X450" i="5"/>
  <c r="Y450" i="5" s="1"/>
  <c r="V450" i="5"/>
  <c r="Z450" i="5"/>
  <c r="X464" i="5"/>
  <c r="Y464" i="5" s="1"/>
  <c r="V464" i="5"/>
  <c r="Z464" i="5"/>
  <c r="Z472" i="5"/>
  <c r="X472" i="5"/>
  <c r="Y472" i="5" s="1"/>
  <c r="V485" i="5"/>
  <c r="Z485" i="5"/>
  <c r="V494" i="5"/>
  <c r="Z494" i="5"/>
  <c r="X494" i="5"/>
  <c r="Y494" i="5" s="1"/>
  <c r="V735" i="5"/>
  <c r="X737" i="5"/>
  <c r="Y737" i="5" s="1"/>
  <c r="V737" i="5"/>
  <c r="Z737" i="5"/>
  <c r="V743" i="5"/>
  <c r="X756" i="5"/>
  <c r="Y756" i="5" s="1"/>
  <c r="V756" i="5"/>
  <c r="Z827" i="5"/>
  <c r="V827" i="5"/>
  <c r="V847" i="5"/>
  <c r="V869" i="5"/>
  <c r="X871" i="5"/>
  <c r="Y871" i="5" s="1"/>
  <c r="Z909" i="5"/>
  <c r="X909" i="5"/>
  <c r="Y909" i="5" s="1"/>
  <c r="Z948" i="5"/>
  <c r="X948" i="5"/>
  <c r="Y948" i="5" s="1"/>
  <c r="V948" i="5"/>
  <c r="V982" i="5"/>
  <c r="Z982" i="5"/>
  <c r="X982" i="5"/>
  <c r="Y982" i="5" s="1"/>
  <c r="Z175" i="5"/>
  <c r="V175" i="5"/>
  <c r="Z199" i="5"/>
  <c r="Z260" i="5"/>
  <c r="Z329" i="5"/>
  <c r="V329" i="5"/>
  <c r="Z356" i="5"/>
  <c r="V356" i="5"/>
  <c r="Z422" i="5"/>
  <c r="X422" i="5"/>
  <c r="Y422" i="5" s="1"/>
  <c r="V456" i="5"/>
  <c r="Z456" i="5"/>
  <c r="X456" i="5"/>
  <c r="Y456" i="5" s="1"/>
  <c r="X517" i="5"/>
  <c r="Y517" i="5" s="1"/>
  <c r="Z517" i="5"/>
  <c r="X585" i="5"/>
  <c r="Y585" i="5" s="1"/>
  <c r="Z585" i="5"/>
  <c r="X667" i="5"/>
  <c r="Y667" i="5" s="1"/>
  <c r="V667" i="5"/>
  <c r="Z667" i="5"/>
  <c r="Z679" i="5"/>
  <c r="V679" i="5"/>
  <c r="X706" i="5"/>
  <c r="Y706" i="5" s="1"/>
  <c r="V706" i="5"/>
  <c r="Z706" i="5"/>
  <c r="X783" i="5"/>
  <c r="Y783" i="5" s="1"/>
  <c r="V783" i="5"/>
  <c r="X812" i="5"/>
  <c r="Y812" i="5" s="1"/>
  <c r="Z812" i="5"/>
  <c r="Z834" i="5"/>
  <c r="X834" i="5"/>
  <c r="Y834" i="5" s="1"/>
  <c r="V834" i="5"/>
  <c r="Z881" i="5"/>
  <c r="X881" i="5"/>
  <c r="Y881" i="5" s="1"/>
  <c r="Z886" i="5"/>
  <c r="X886" i="5"/>
  <c r="Y886" i="5" s="1"/>
  <c r="V886" i="5"/>
  <c r="Z933" i="5"/>
  <c r="X933" i="5"/>
  <c r="Y933" i="5" s="1"/>
  <c r="X1122" i="5"/>
  <c r="Y1122" i="5" s="1"/>
  <c r="Z1122" i="5"/>
  <c r="V1122" i="5"/>
  <c r="Z1148" i="5"/>
  <c r="X1148" i="5"/>
  <c r="Y1148" i="5" s="1"/>
  <c r="V1148" i="5"/>
  <c r="V57" i="5"/>
  <c r="V81" i="5"/>
  <c r="V129" i="5"/>
  <c r="V148" i="5"/>
  <c r="X148" i="5"/>
  <c r="Y148" i="5" s="1"/>
  <c r="V158" i="5"/>
  <c r="X175" i="5"/>
  <c r="Y175" i="5" s="1"/>
  <c r="V186" i="5"/>
  <c r="X202" i="5"/>
  <c r="Y202" i="5" s="1"/>
  <c r="V202" i="5"/>
  <c r="Z223" i="5"/>
  <c r="V260" i="5"/>
  <c r="V264" i="5"/>
  <c r="V287" i="5"/>
  <c r="X293" i="5"/>
  <c r="Y293" i="5" s="1"/>
  <c r="Z293" i="5"/>
  <c r="V293" i="5"/>
  <c r="X329" i="5"/>
  <c r="Y329" i="5" s="1"/>
  <c r="X356" i="5"/>
  <c r="Y356" i="5" s="1"/>
  <c r="X383" i="5"/>
  <c r="Y383" i="5" s="1"/>
  <c r="V383" i="5"/>
  <c r="X385" i="5"/>
  <c r="Y385" i="5" s="1"/>
  <c r="X408" i="5"/>
  <c r="Y408" i="5" s="1"/>
  <c r="V408" i="5"/>
  <c r="X411" i="5"/>
  <c r="Y411" i="5" s="1"/>
  <c r="V411" i="5"/>
  <c r="V422" i="5"/>
  <c r="V478" i="5"/>
  <c r="X498" i="5"/>
  <c r="Y498" i="5" s="1"/>
  <c r="Z511" i="5"/>
  <c r="V511" i="5"/>
  <c r="X511" i="5"/>
  <c r="Y511" i="5" s="1"/>
  <c r="V517" i="5"/>
  <c r="Z527" i="5"/>
  <c r="V527" i="5"/>
  <c r="V585" i="5"/>
  <c r="X593" i="5"/>
  <c r="Y593" i="5" s="1"/>
  <c r="Z593" i="5"/>
  <c r="X611" i="5"/>
  <c r="Y611" i="5" s="1"/>
  <c r="V611" i="5"/>
  <c r="Z611" i="5"/>
  <c r="X679" i="5"/>
  <c r="Y679" i="5" s="1"/>
  <c r="V708" i="5"/>
  <c r="Z730" i="5"/>
  <c r="V764" i="5"/>
  <c r="Z764" i="5"/>
  <c r="V771" i="5"/>
  <c r="Z783" i="5"/>
  <c r="V788" i="5"/>
  <c r="V812" i="5"/>
  <c r="Z814" i="5"/>
  <c r="X814" i="5"/>
  <c r="Y814" i="5" s="1"/>
  <c r="V881" i="5"/>
  <c r="V910" i="5"/>
  <c r="Z910" i="5"/>
  <c r="V928" i="5"/>
  <c r="Z928" i="5"/>
  <c r="X928" i="5"/>
  <c r="Y928" i="5" s="1"/>
  <c r="V933" i="5"/>
  <c r="X339" i="5"/>
  <c r="Y339" i="5" s="1"/>
  <c r="V339" i="5"/>
  <c r="Z355" i="5"/>
  <c r="X455" i="5"/>
  <c r="Y455" i="5" s="1"/>
  <c r="V455" i="5"/>
  <c r="Z478" i="5"/>
  <c r="Z548" i="5"/>
  <c r="V548" i="5"/>
  <c r="X548" i="5"/>
  <c r="Y548" i="5" s="1"/>
  <c r="Z562" i="5"/>
  <c r="X562" i="5"/>
  <c r="Y562" i="5" s="1"/>
  <c r="V562" i="5"/>
  <c r="Z633" i="5"/>
  <c r="V633" i="5"/>
  <c r="X633" i="5"/>
  <c r="Y633" i="5" s="1"/>
  <c r="V669" i="5"/>
  <c r="Z669" i="5"/>
  <c r="X674" i="5"/>
  <c r="Y674" i="5" s="1"/>
  <c r="Z674" i="5"/>
  <c r="V687" i="5"/>
  <c r="X687" i="5"/>
  <c r="Y687" i="5" s="1"/>
  <c r="Z687" i="5"/>
  <c r="X690" i="5"/>
  <c r="Y690" i="5" s="1"/>
  <c r="V690" i="5"/>
  <c r="Z750" i="5"/>
  <c r="X750" i="5"/>
  <c r="Y750" i="5" s="1"/>
  <c r="V750" i="5"/>
  <c r="Z821" i="5"/>
  <c r="X821" i="5"/>
  <c r="Y821" i="5" s="1"/>
  <c r="V821" i="5"/>
  <c r="X863" i="5"/>
  <c r="Y863" i="5" s="1"/>
  <c r="V863" i="5"/>
  <c r="Z863" i="5"/>
  <c r="X868" i="5"/>
  <c r="Y868" i="5" s="1"/>
  <c r="Z868" i="5"/>
  <c r="V868" i="5"/>
  <c r="V963" i="5"/>
  <c r="X963" i="5"/>
  <c r="Y963" i="5" s="1"/>
  <c r="Z963" i="5"/>
  <c r="X970" i="5"/>
  <c r="Y970" i="5" s="1"/>
  <c r="V970" i="5"/>
  <c r="Z970" i="5"/>
  <c r="X998" i="5"/>
  <c r="Y998" i="5" s="1"/>
  <c r="V998" i="5"/>
  <c r="Z998" i="5"/>
  <c r="V1113" i="5"/>
  <c r="Z1113" i="5"/>
  <c r="X1113" i="5"/>
  <c r="Y1113" i="5" s="1"/>
  <c r="Z123" i="5"/>
  <c r="V147" i="5"/>
  <c r="Z174" i="5"/>
  <c r="V231" i="5"/>
  <c r="X231" i="5"/>
  <c r="Y231" i="5" s="1"/>
  <c r="V235" i="5"/>
  <c r="V256" i="5"/>
  <c r="X292" i="5"/>
  <c r="Y292" i="5" s="1"/>
  <c r="V292" i="5"/>
  <c r="X312" i="5"/>
  <c r="Y312" i="5" s="1"/>
  <c r="V312" i="5"/>
  <c r="V314" i="5"/>
  <c r="X352" i="5"/>
  <c r="Y352" i="5" s="1"/>
  <c r="V355" i="5"/>
  <c r="X380" i="5"/>
  <c r="Y380" i="5" s="1"/>
  <c r="Z426" i="5"/>
  <c r="X430" i="5"/>
  <c r="Y430" i="5" s="1"/>
  <c r="Z430" i="5"/>
  <c r="V477" i="5"/>
  <c r="V516" i="5"/>
  <c r="X516" i="5"/>
  <c r="Y516" i="5" s="1"/>
  <c r="X567" i="5"/>
  <c r="Y567" i="5" s="1"/>
  <c r="V567" i="5"/>
  <c r="Z567" i="5"/>
  <c r="V572" i="5"/>
  <c r="X579" i="5"/>
  <c r="Y579" i="5" s="1"/>
  <c r="V579" i="5"/>
  <c r="Z626" i="5"/>
  <c r="Z635" i="5"/>
  <c r="X635" i="5"/>
  <c r="Y635" i="5" s="1"/>
  <c r="Z663" i="5"/>
  <c r="X663" i="5"/>
  <c r="Y663" i="5" s="1"/>
  <c r="X669" i="5"/>
  <c r="Y669" i="5" s="1"/>
  <c r="V674" i="5"/>
  <c r="X676" i="5"/>
  <c r="Y676" i="5" s="1"/>
  <c r="Z676" i="5"/>
  <c r="Z690" i="5"/>
  <c r="V888" i="5"/>
  <c r="Z965" i="5"/>
  <c r="V965" i="5"/>
  <c r="X965" i="5"/>
  <c r="Y965" i="5" s="1"/>
  <c r="X1000" i="5"/>
  <c r="Y1000" i="5" s="1"/>
  <c r="Z1000" i="5"/>
  <c r="X284" i="5"/>
  <c r="Y284" i="5" s="1"/>
  <c r="V284" i="5"/>
  <c r="Z287" i="5"/>
  <c r="Z385" i="5"/>
  <c r="Z447" i="5"/>
  <c r="X447" i="5"/>
  <c r="Y447" i="5" s="1"/>
  <c r="V487" i="5"/>
  <c r="Z487" i="5"/>
  <c r="Z620" i="5"/>
  <c r="X620" i="5"/>
  <c r="Y620" i="5" s="1"/>
  <c r="Z37" i="5"/>
  <c r="Z61" i="5"/>
  <c r="Z85" i="5"/>
  <c r="Z101" i="5"/>
  <c r="Z127" i="5"/>
  <c r="X150" i="5"/>
  <c r="Y150" i="5" s="1"/>
  <c r="Z150" i="5"/>
  <c r="V201" i="5"/>
  <c r="Z201" i="5"/>
  <c r="Z204" i="5"/>
  <c r="X204" i="5"/>
  <c r="Y204" i="5" s="1"/>
  <c r="V204" i="5"/>
  <c r="Z235" i="5"/>
  <c r="X274" i="5"/>
  <c r="Y274" i="5" s="1"/>
  <c r="V274" i="5"/>
  <c r="V289" i="5"/>
  <c r="X289" i="5"/>
  <c r="Y289" i="5" s="1"/>
  <c r="Z298" i="5"/>
  <c r="X314" i="5"/>
  <c r="Y314" i="5" s="1"/>
  <c r="Z339" i="5"/>
  <c r="X355" i="5"/>
  <c r="Y355" i="5" s="1"/>
  <c r="Z380" i="5"/>
  <c r="X382" i="5"/>
  <c r="Y382" i="5" s="1"/>
  <c r="V382" i="5"/>
  <c r="X394" i="5"/>
  <c r="Y394" i="5" s="1"/>
  <c r="V394" i="5"/>
  <c r="X407" i="5"/>
  <c r="Y407" i="5" s="1"/>
  <c r="V407" i="5"/>
  <c r="Z416" i="5"/>
  <c r="V416" i="5"/>
  <c r="Z455" i="5"/>
  <c r="Z460" i="5"/>
  <c r="X470" i="5"/>
  <c r="Y470" i="5" s="1"/>
  <c r="V470" i="5"/>
  <c r="X477" i="5"/>
  <c r="Y477" i="5" s="1"/>
  <c r="Z483" i="5"/>
  <c r="X497" i="5"/>
  <c r="Y497" i="5" s="1"/>
  <c r="Z497" i="5"/>
  <c r="Z524" i="5"/>
  <c r="V524" i="5"/>
  <c r="X554" i="5"/>
  <c r="Y554" i="5" s="1"/>
  <c r="Z554" i="5"/>
  <c r="V554" i="5"/>
  <c r="X557" i="5"/>
  <c r="Y557" i="5" s="1"/>
  <c r="V557" i="5"/>
  <c r="Z557" i="5"/>
  <c r="Z572" i="5"/>
  <c r="X601" i="5"/>
  <c r="Y601" i="5" s="1"/>
  <c r="V601" i="5"/>
  <c r="V605" i="5"/>
  <c r="X605" i="5"/>
  <c r="Y605" i="5" s="1"/>
  <c r="Z605" i="5"/>
  <c r="V652" i="5"/>
  <c r="X652" i="5"/>
  <c r="Y652" i="5" s="1"/>
  <c r="X725" i="5"/>
  <c r="Y725" i="5" s="1"/>
  <c r="Z725" i="5"/>
  <c r="V725" i="5"/>
  <c r="Z798" i="5"/>
  <c r="X798" i="5"/>
  <c r="Y798" i="5" s="1"/>
  <c r="V798" i="5"/>
  <c r="Z840" i="5"/>
  <c r="X840" i="5"/>
  <c r="Y840" i="5" s="1"/>
  <c r="V840" i="5"/>
  <c r="Z858" i="5"/>
  <c r="X858" i="5"/>
  <c r="Y858" i="5" s="1"/>
  <c r="V858" i="5"/>
  <c r="X875" i="5"/>
  <c r="Y875" i="5" s="1"/>
  <c r="V875" i="5"/>
  <c r="Z875" i="5"/>
  <c r="X898" i="5"/>
  <c r="Y898" i="5" s="1"/>
  <c r="Z898" i="5"/>
  <c r="V898" i="5"/>
  <c r="X960" i="5"/>
  <c r="Y960" i="5" s="1"/>
  <c r="V960" i="5"/>
  <c r="V967" i="5"/>
  <c r="X967" i="5"/>
  <c r="Y967" i="5" s="1"/>
  <c r="Z967" i="5"/>
  <c r="X986" i="5"/>
  <c r="Y986" i="5" s="1"/>
  <c r="V986" i="5"/>
  <c r="Z986" i="5"/>
  <c r="Z1002" i="5"/>
  <c r="V1002" i="5"/>
  <c r="X1095" i="5"/>
  <c r="Y1095" i="5" s="1"/>
  <c r="Z1095" i="5"/>
  <c r="V1095" i="5"/>
  <c r="Z1097" i="5"/>
  <c r="V1097" i="5"/>
  <c r="X1097" i="5"/>
  <c r="Y1097" i="5" s="1"/>
  <c r="Z1145" i="5"/>
  <c r="X1145" i="5"/>
  <c r="Y1145" i="5" s="1"/>
  <c r="V1145" i="5"/>
  <c r="X480" i="5"/>
  <c r="Y480" i="5" s="1"/>
  <c r="V480" i="5"/>
  <c r="Z506" i="5"/>
  <c r="X506" i="5"/>
  <c r="Y506" i="5" s="1"/>
  <c r="V506" i="5"/>
  <c r="Z523" i="5"/>
  <c r="V523" i="5"/>
  <c r="X568" i="5"/>
  <c r="Y568" i="5" s="1"/>
  <c r="Z568" i="5"/>
  <c r="V568" i="5"/>
  <c r="V659" i="5"/>
  <c r="Z659" i="5"/>
  <c r="X659" i="5"/>
  <c r="Y659" i="5" s="1"/>
  <c r="Z680" i="5"/>
  <c r="V680" i="5"/>
  <c r="V693" i="5"/>
  <c r="X693" i="5"/>
  <c r="Y693" i="5" s="1"/>
  <c r="Z693" i="5"/>
  <c r="X701" i="5"/>
  <c r="Y701" i="5" s="1"/>
  <c r="Z701" i="5"/>
  <c r="V701" i="5"/>
  <c r="Z714" i="5"/>
  <c r="V714" i="5"/>
  <c r="Z745" i="5"/>
  <c r="X745" i="5"/>
  <c r="Y745" i="5" s="1"/>
  <c r="V795" i="5"/>
  <c r="Z795" i="5"/>
  <c r="X795" i="5"/>
  <c r="Y795" i="5" s="1"/>
  <c r="V816" i="5"/>
  <c r="X816" i="5"/>
  <c r="Y816" i="5" s="1"/>
  <c r="Z816" i="5"/>
  <c r="X839" i="5"/>
  <c r="Y839" i="5" s="1"/>
  <c r="V839" i="5"/>
  <c r="Z839" i="5"/>
  <c r="X879" i="5"/>
  <c r="Y879" i="5" s="1"/>
  <c r="V879" i="5"/>
  <c r="Z879" i="5"/>
  <c r="Z925" i="5"/>
  <c r="X925" i="5"/>
  <c r="Y925" i="5" s="1"/>
  <c r="Z961" i="5"/>
  <c r="V961" i="5"/>
  <c r="Z978" i="5"/>
  <c r="V978" i="5"/>
  <c r="X978" i="5"/>
  <c r="Y978" i="5" s="1"/>
  <c r="X1140" i="5"/>
  <c r="Y1140" i="5" s="1"/>
  <c r="Z1140" i="5"/>
  <c r="V1140" i="5"/>
  <c r="Z208" i="5"/>
  <c r="X232" i="5"/>
  <c r="Y232" i="5" s="1"/>
  <c r="V232" i="5"/>
  <c r="X257" i="5"/>
  <c r="Y257" i="5" s="1"/>
  <c r="Z306" i="5"/>
  <c r="Z364" i="5"/>
  <c r="V413" i="5"/>
  <c r="X446" i="5"/>
  <c r="Y446" i="5" s="1"/>
  <c r="X493" i="5"/>
  <c r="Y493" i="5" s="1"/>
  <c r="Z493" i="5"/>
  <c r="V493" i="5"/>
  <c r="V503" i="5"/>
  <c r="V520" i="5"/>
  <c r="Z520" i="5"/>
  <c r="X523" i="5"/>
  <c r="Y523" i="5" s="1"/>
  <c r="Z531" i="5"/>
  <c r="V531" i="5"/>
  <c r="X531" i="5"/>
  <c r="Y531" i="5" s="1"/>
  <c r="V540" i="5"/>
  <c r="X540" i="5"/>
  <c r="Y540" i="5" s="1"/>
  <c r="Z553" i="5"/>
  <c r="V553" i="5"/>
  <c r="V570" i="5"/>
  <c r="Z570" i="5"/>
  <c r="X570" i="5"/>
  <c r="Y570" i="5" s="1"/>
  <c r="V586" i="5"/>
  <c r="X586" i="5"/>
  <c r="Y586" i="5" s="1"/>
  <c r="Z631" i="5"/>
  <c r="X631" i="5"/>
  <c r="Y631" i="5" s="1"/>
  <c r="Z641" i="5"/>
  <c r="X680" i="5"/>
  <c r="Y680" i="5" s="1"/>
  <c r="Z729" i="5"/>
  <c r="X769" i="5"/>
  <c r="Y769" i="5" s="1"/>
  <c r="V769" i="5"/>
  <c r="Z769" i="5"/>
  <c r="Z803" i="5"/>
  <c r="X803" i="5"/>
  <c r="Y803" i="5" s="1"/>
  <c r="V803" i="5"/>
  <c r="X826" i="5"/>
  <c r="Y826" i="5" s="1"/>
  <c r="Z826" i="5"/>
  <c r="Z905" i="5"/>
  <c r="X905" i="5"/>
  <c r="Y905" i="5" s="1"/>
  <c r="V905" i="5"/>
  <c r="Z947" i="5"/>
  <c r="X947" i="5"/>
  <c r="Y947" i="5" s="1"/>
  <c r="V947" i="5"/>
  <c r="Z987" i="5"/>
  <c r="X987" i="5"/>
  <c r="Y987" i="5" s="1"/>
  <c r="Z989" i="5"/>
  <c r="X989" i="5"/>
  <c r="Y989" i="5" s="1"/>
  <c r="Z1150" i="5"/>
  <c r="X1150" i="5"/>
  <c r="Y1150" i="5" s="1"/>
  <c r="V1150" i="5"/>
  <c r="Z216" i="5"/>
  <c r="X353" i="5"/>
  <c r="Y353" i="5" s="1"/>
  <c r="V353" i="5"/>
  <c r="Z363" i="5"/>
  <c r="Z415" i="5"/>
  <c r="V415" i="5"/>
  <c r="X445" i="5"/>
  <c r="Y445" i="5" s="1"/>
  <c r="Z445" i="5"/>
  <c r="Z495" i="5"/>
  <c r="V495" i="5"/>
  <c r="V513" i="5"/>
  <c r="X513" i="5"/>
  <c r="Y513" i="5" s="1"/>
  <c r="Z569" i="5"/>
  <c r="V569" i="5"/>
  <c r="V583" i="5"/>
  <c r="Z583" i="5"/>
  <c r="X583" i="5"/>
  <c r="Y583" i="5" s="1"/>
  <c r="Z594" i="5"/>
  <c r="V615" i="5"/>
  <c r="X615" i="5"/>
  <c r="Y615" i="5" s="1"/>
  <c r="V744" i="5"/>
  <c r="Z744" i="5"/>
  <c r="X744" i="5"/>
  <c r="Y744" i="5" s="1"/>
  <c r="Z768" i="5"/>
  <c r="Z787" i="5"/>
  <c r="Z870" i="5"/>
  <c r="X870" i="5"/>
  <c r="Y870" i="5" s="1"/>
  <c r="V870" i="5"/>
  <c r="Z872" i="5"/>
  <c r="V922" i="5"/>
  <c r="Z922" i="5"/>
  <c r="X922" i="5"/>
  <c r="Y922" i="5" s="1"/>
  <c r="X946" i="5"/>
  <c r="Y946" i="5" s="1"/>
  <c r="Z946" i="5"/>
  <c r="Z1008" i="5"/>
  <c r="X1008" i="5"/>
  <c r="Y1008" i="5" s="1"/>
  <c r="V1008" i="5"/>
  <c r="Z1123" i="5"/>
  <c r="X1123" i="5"/>
  <c r="Y1123" i="5" s="1"/>
  <c r="V1123" i="5"/>
  <c r="X1143" i="5"/>
  <c r="Y1143" i="5" s="1"/>
  <c r="Z1143" i="5"/>
  <c r="V1143" i="5"/>
  <c r="Z613" i="5"/>
  <c r="V613" i="5"/>
  <c r="Z697" i="5"/>
  <c r="X697" i="5"/>
  <c r="Y697" i="5" s="1"/>
  <c r="Z759" i="5"/>
  <c r="X770" i="5"/>
  <c r="Y770" i="5" s="1"/>
  <c r="V770" i="5"/>
  <c r="Z782" i="5"/>
  <c r="V782" i="5"/>
  <c r="Z800" i="5"/>
  <c r="V800" i="5"/>
  <c r="Z809" i="5"/>
  <c r="X809" i="5"/>
  <c r="Y809" i="5" s="1"/>
  <c r="V809" i="5"/>
  <c r="X820" i="5"/>
  <c r="Y820" i="5" s="1"/>
  <c r="Z820" i="5"/>
  <c r="Z857" i="5"/>
  <c r="V857" i="5"/>
  <c r="X867" i="5"/>
  <c r="Y867" i="5" s="1"/>
  <c r="V867" i="5"/>
  <c r="X897" i="5"/>
  <c r="Y897" i="5" s="1"/>
  <c r="V897" i="5"/>
  <c r="Z897" i="5"/>
  <c r="V907" i="5"/>
  <c r="Z907" i="5"/>
  <c r="X919" i="5"/>
  <c r="Y919" i="5" s="1"/>
  <c r="V919" i="5"/>
  <c r="X924" i="5"/>
  <c r="Y924" i="5" s="1"/>
  <c r="V924" i="5"/>
  <c r="Z924" i="5"/>
  <c r="X937" i="5"/>
  <c r="Y937" i="5" s="1"/>
  <c r="Z937" i="5"/>
  <c r="Z1084" i="5"/>
  <c r="X1084" i="5"/>
  <c r="Y1084" i="5" s="1"/>
  <c r="V1084" i="5"/>
  <c r="X1129" i="5"/>
  <c r="Y1129" i="5" s="1"/>
  <c r="V1129" i="5"/>
  <c r="X529" i="5"/>
  <c r="Y529" i="5" s="1"/>
  <c r="V529" i="5"/>
  <c r="X661" i="5"/>
  <c r="Y661" i="5" s="1"/>
  <c r="V661" i="5"/>
  <c r="Z668" i="5"/>
  <c r="V697" i="5"/>
  <c r="X712" i="5"/>
  <c r="Y712" i="5" s="1"/>
  <c r="V712" i="5"/>
  <c r="X719" i="5"/>
  <c r="Y719" i="5" s="1"/>
  <c r="Z719" i="5"/>
  <c r="V747" i="5"/>
  <c r="X747" i="5"/>
  <c r="Y747" i="5" s="1"/>
  <c r="Z767" i="5"/>
  <c r="X767" i="5"/>
  <c r="Y767" i="5" s="1"/>
  <c r="Z774" i="5"/>
  <c r="X774" i="5"/>
  <c r="Y774" i="5" s="1"/>
  <c r="V774" i="5"/>
  <c r="X800" i="5"/>
  <c r="Y800" i="5" s="1"/>
  <c r="X811" i="5"/>
  <c r="Y811" i="5" s="1"/>
  <c r="V811" i="5"/>
  <c r="V820" i="5"/>
  <c r="X825" i="5"/>
  <c r="Y825" i="5" s="1"/>
  <c r="V825" i="5"/>
  <c r="Z825" i="5"/>
  <c r="Z833" i="5"/>
  <c r="Z846" i="5"/>
  <c r="V846" i="5"/>
  <c r="X859" i="5"/>
  <c r="Y859" i="5" s="1"/>
  <c r="Z859" i="5"/>
  <c r="V859" i="5"/>
  <c r="X880" i="5"/>
  <c r="Y880" i="5" s="1"/>
  <c r="V880" i="5"/>
  <c r="Z880" i="5"/>
  <c r="V894" i="5"/>
  <c r="X907" i="5"/>
  <c r="Y907" i="5" s="1"/>
  <c r="Z919" i="5"/>
  <c r="Z977" i="5"/>
  <c r="V977" i="5"/>
  <c r="X977" i="5"/>
  <c r="Y977" i="5" s="1"/>
  <c r="Z1096" i="5"/>
  <c r="V1096" i="5"/>
  <c r="X1096" i="5"/>
  <c r="Y1096" i="5" s="1"/>
  <c r="V1105" i="5"/>
  <c r="X1105" i="5"/>
  <c r="Y1105" i="5" s="1"/>
  <c r="Z1105" i="5"/>
  <c r="X1135" i="5"/>
  <c r="Y1135" i="5" s="1"/>
  <c r="V1135" i="5"/>
  <c r="Z1135" i="5"/>
  <c r="X433" i="5"/>
  <c r="Y433" i="5" s="1"/>
  <c r="Z433" i="5"/>
  <c r="Z443" i="5"/>
  <c r="V481" i="5"/>
  <c r="Z481" i="5"/>
  <c r="V528" i="5"/>
  <c r="Z528" i="5"/>
  <c r="X538" i="5"/>
  <c r="Y538" i="5" s="1"/>
  <c r="V538" i="5"/>
  <c r="X575" i="5"/>
  <c r="Y575" i="5" s="1"/>
  <c r="V575" i="5"/>
  <c r="Z624" i="5"/>
  <c r="V624" i="5"/>
  <c r="X624" i="5"/>
  <c r="Y624" i="5" s="1"/>
  <c r="V646" i="5"/>
  <c r="X646" i="5"/>
  <c r="Y646" i="5" s="1"/>
  <c r="Z682" i="5"/>
  <c r="X682" i="5"/>
  <c r="Y682" i="5" s="1"/>
  <c r="X718" i="5"/>
  <c r="Y718" i="5" s="1"/>
  <c r="V718" i="5"/>
  <c r="Z718" i="5"/>
  <c r="Z721" i="5"/>
  <c r="X721" i="5"/>
  <c r="Y721" i="5" s="1"/>
  <c r="V721" i="5"/>
  <c r="Z723" i="5"/>
  <c r="X753" i="5"/>
  <c r="Y753" i="5" s="1"/>
  <c r="V753" i="5"/>
  <c r="Z786" i="5"/>
  <c r="X786" i="5"/>
  <c r="Y786" i="5" s="1"/>
  <c r="V786" i="5"/>
  <c r="V791" i="5"/>
  <c r="Z791" i="5"/>
  <c r="X791" i="5"/>
  <c r="Y791" i="5" s="1"/>
  <c r="X856" i="5"/>
  <c r="Y856" i="5" s="1"/>
  <c r="Z856" i="5"/>
  <c r="X904" i="5"/>
  <c r="Y904" i="5" s="1"/>
  <c r="Z904" i="5"/>
  <c r="V904" i="5"/>
  <c r="Z944" i="5"/>
  <c r="X944" i="5"/>
  <c r="Y944" i="5" s="1"/>
  <c r="X971" i="5"/>
  <c r="Y971" i="5" s="1"/>
  <c r="V971" i="5"/>
  <c r="V981" i="5"/>
  <c r="X981" i="5"/>
  <c r="Y981" i="5" s="1"/>
  <c r="Z981" i="5"/>
  <c r="Z515" i="5"/>
  <c r="Z519" i="5"/>
  <c r="Z618" i="5"/>
  <c r="X622" i="5"/>
  <c r="Y622" i="5" s="1"/>
  <c r="V622" i="5"/>
  <c r="X654" i="5"/>
  <c r="Y654" i="5" s="1"/>
  <c r="Z654" i="5"/>
  <c r="Z684" i="5"/>
  <c r="X684" i="5"/>
  <c r="Y684" i="5" s="1"/>
  <c r="Z733" i="5"/>
  <c r="Z760" i="5"/>
  <c r="V760" i="5"/>
  <c r="Z784" i="5"/>
  <c r="X794" i="5"/>
  <c r="Y794" i="5" s="1"/>
  <c r="V794" i="5"/>
  <c r="Z822" i="5"/>
  <c r="V822" i="5"/>
  <c r="X883" i="5"/>
  <c r="Y883" i="5" s="1"/>
  <c r="V883" i="5"/>
  <c r="X992" i="5"/>
  <c r="Y992" i="5" s="1"/>
  <c r="V992" i="5"/>
  <c r="Z992" i="5"/>
  <c r="X1124" i="5"/>
  <c r="Y1124" i="5" s="1"/>
  <c r="V1124" i="5"/>
  <c r="Z1124" i="5"/>
  <c r="Z530" i="5"/>
  <c r="X530" i="5"/>
  <c r="Y530" i="5" s="1"/>
  <c r="Z539" i="5"/>
  <c r="Z543" i="5"/>
  <c r="X606" i="5"/>
  <c r="Y606" i="5" s="1"/>
  <c r="Z606" i="5"/>
  <c r="X653" i="5"/>
  <c r="Y653" i="5" s="1"/>
  <c r="V653" i="5"/>
  <c r="Z696" i="5"/>
  <c r="V696" i="5"/>
  <c r="X754" i="5"/>
  <c r="Y754" i="5" s="1"/>
  <c r="Z754" i="5"/>
  <c r="Z799" i="5"/>
  <c r="X819" i="5"/>
  <c r="Y819" i="5" s="1"/>
  <c r="V819" i="5"/>
  <c r="V862" i="5"/>
  <c r="Z862" i="5"/>
  <c r="Z900" i="5"/>
  <c r="Z906" i="5"/>
  <c r="X906" i="5"/>
  <c r="Y906" i="5" s="1"/>
  <c r="Z934" i="5"/>
  <c r="V934" i="5"/>
  <c r="X941" i="5"/>
  <c r="Y941" i="5" s="1"/>
  <c r="V941" i="5"/>
  <c r="Z941" i="5"/>
  <c r="V950" i="5"/>
  <c r="Z950" i="5"/>
  <c r="X514" i="5"/>
  <c r="Y514" i="5" s="1"/>
  <c r="V514" i="5"/>
  <c r="V522" i="5"/>
  <c r="V530" i="5"/>
  <c r="V543" i="5"/>
  <c r="Z552" i="5"/>
  <c r="V595" i="5"/>
  <c r="V606" i="5"/>
  <c r="X621" i="5"/>
  <c r="Y621" i="5" s="1"/>
  <c r="X696" i="5"/>
  <c r="Y696" i="5" s="1"/>
  <c r="X748" i="5"/>
  <c r="Y748" i="5" s="1"/>
  <c r="V748" i="5"/>
  <c r="V754" i="5"/>
  <c r="Z793" i="5"/>
  <c r="V799" i="5"/>
  <c r="Z819" i="5"/>
  <c r="X843" i="5"/>
  <c r="Y843" i="5" s="1"/>
  <c r="V843" i="5"/>
  <c r="Z843" i="5"/>
  <c r="X862" i="5"/>
  <c r="Y862" i="5" s="1"/>
  <c r="V900" i="5"/>
  <c r="V906" i="5"/>
  <c r="X934" i="5"/>
  <c r="Y934" i="5" s="1"/>
  <c r="X950" i="5"/>
  <c r="Y950" i="5" s="1"/>
  <c r="X1004" i="5"/>
  <c r="Y1004" i="5" s="1"/>
  <c r="X1081" i="5"/>
  <c r="Y1081" i="5" s="1"/>
  <c r="V1089" i="5"/>
  <c r="X1089" i="5"/>
  <c r="Y1089" i="5" s="1"/>
  <c r="Z1089" i="5"/>
  <c r="V1093" i="5"/>
  <c r="Z1093" i="5"/>
  <c r="X1110" i="5"/>
  <c r="Y1110" i="5" s="1"/>
  <c r="V1110" i="5"/>
  <c r="Z1112" i="5"/>
  <c r="X1112" i="5"/>
  <c r="Y1112" i="5" s="1"/>
  <c r="V1134" i="5"/>
  <c r="Z1134" i="5"/>
  <c r="X1134" i="5"/>
  <c r="Y1134" i="5" s="1"/>
  <c r="Z828" i="5"/>
  <c r="V866" i="5"/>
  <c r="Z866" i="5"/>
  <c r="Z893" i="5"/>
  <c r="X929" i="5"/>
  <c r="Y929" i="5" s="1"/>
  <c r="V929" i="5"/>
  <c r="Z932" i="5"/>
  <c r="X932" i="5"/>
  <c r="Y932" i="5" s="1"/>
  <c r="V932" i="5"/>
  <c r="V957" i="5"/>
  <c r="Z957" i="5"/>
  <c r="V983" i="5"/>
  <c r="Z983" i="5"/>
  <c r="Z997" i="5"/>
  <c r="X997" i="5"/>
  <c r="Y997" i="5" s="1"/>
  <c r="V997" i="5"/>
  <c r="X1010" i="5"/>
  <c r="Y1010" i="5" s="1"/>
  <c r="V1010" i="5"/>
  <c r="Z1010" i="5"/>
  <c r="X1058" i="5"/>
  <c r="Y1058" i="5" s="1"/>
  <c r="V1058" i="5"/>
  <c r="Z1058" i="5"/>
  <c r="Z1085" i="5"/>
  <c r="V1085" i="5"/>
  <c r="X1100" i="5"/>
  <c r="Y1100" i="5" s="1"/>
  <c r="V1100" i="5"/>
  <c r="Z1152" i="5"/>
  <c r="V1152" i="5"/>
  <c r="Z727" i="5"/>
  <c r="V727" i="5"/>
  <c r="X765" i="5"/>
  <c r="Y765" i="5" s="1"/>
  <c r="V765" i="5"/>
  <c r="Z876" i="5"/>
  <c r="Z896" i="5"/>
  <c r="Z920" i="5"/>
  <c r="Z991" i="5"/>
  <c r="V1133" i="5"/>
  <c r="X1133" i="5"/>
  <c r="Y1133" i="5" s="1"/>
  <c r="X717" i="5"/>
  <c r="Y717" i="5" s="1"/>
  <c r="X727" i="5"/>
  <c r="Y727" i="5" s="1"/>
  <c r="X824" i="5"/>
  <c r="Y824" i="5" s="1"/>
  <c r="X831" i="5"/>
  <c r="Y831" i="5" s="1"/>
  <c r="V831" i="5"/>
  <c r="X838" i="5"/>
  <c r="Y838" i="5" s="1"/>
  <c r="X842" i="5"/>
  <c r="Y842" i="5" s="1"/>
  <c r="Z845" i="5"/>
  <c r="X845" i="5"/>
  <c r="Y845" i="5" s="1"/>
  <c r="V845" i="5"/>
  <c r="Z861" i="5"/>
  <c r="Z882" i="5"/>
  <c r="X882" i="5"/>
  <c r="Y882" i="5" s="1"/>
  <c r="Z885" i="5"/>
  <c r="V920" i="5"/>
  <c r="X923" i="5"/>
  <c r="Y923" i="5" s="1"/>
  <c r="V923" i="5"/>
  <c r="X1007" i="5"/>
  <c r="Y1007" i="5" s="1"/>
  <c r="V1007" i="5"/>
  <c r="X1090" i="5"/>
  <c r="Y1090" i="5" s="1"/>
  <c r="V1090" i="5"/>
  <c r="Z1090" i="5"/>
  <c r="Z1092" i="5"/>
  <c r="V1092" i="5"/>
  <c r="Z1109" i="5"/>
  <c r="V1109" i="5"/>
  <c r="Z1144" i="5"/>
  <c r="V1144" i="5"/>
  <c r="X852" i="5"/>
  <c r="Y852" i="5" s="1"/>
  <c r="V852" i="5"/>
  <c r="X891" i="5"/>
  <c r="Y891" i="5" s="1"/>
  <c r="V891" i="5"/>
  <c r="Z1111" i="5"/>
  <c r="V1111" i="5"/>
  <c r="X1116" i="5"/>
  <c r="Y1116" i="5" s="1"/>
  <c r="V1116" i="5"/>
  <c r="Z891" i="5"/>
  <c r="X952" i="5"/>
  <c r="Y952" i="5" s="1"/>
  <c r="X973" i="5"/>
  <c r="Y973" i="5" s="1"/>
  <c r="V995" i="5"/>
  <c r="X1005" i="5"/>
  <c r="Y1005" i="5" s="1"/>
  <c r="V1005" i="5"/>
  <c r="Z1005" i="5"/>
  <c r="Z1080" i="5"/>
  <c r="X1094" i="5"/>
  <c r="Y1094" i="5" s="1"/>
  <c r="V1094" i="5"/>
  <c r="X1111" i="5"/>
  <c r="Y1111" i="5" s="1"/>
  <c r="Z1121" i="5"/>
  <c r="X1121" i="5"/>
  <c r="Y1121" i="5" s="1"/>
  <c r="Z1127" i="5"/>
  <c r="X1127" i="5"/>
  <c r="Y1127" i="5" s="1"/>
  <c r="X1137" i="5"/>
  <c r="Y1137" i="5" s="1"/>
  <c r="V1137" i="5"/>
  <c r="Z1137" i="5"/>
  <c r="Z1149" i="5"/>
  <c r="Z931" i="5"/>
  <c r="Z979" i="5"/>
  <c r="V979" i="5"/>
  <c r="V994" i="5"/>
  <c r="Z994" i="5"/>
  <c r="Z1009" i="5"/>
  <c r="X1009" i="5"/>
  <c r="Y1009" i="5" s="1"/>
  <c r="V1009" i="5"/>
  <c r="X1082" i="5"/>
  <c r="Y1082" i="5" s="1"/>
  <c r="V1082" i="5"/>
  <c r="X1099" i="5"/>
  <c r="Y1099" i="5" s="1"/>
  <c r="Z1099" i="5"/>
  <c r="X1102" i="5"/>
  <c r="Y1102" i="5" s="1"/>
  <c r="V1102" i="5"/>
  <c r="Z1102" i="5"/>
  <c r="X1107" i="5"/>
  <c r="Y1107" i="5" s="1"/>
  <c r="Z1107" i="5"/>
  <c r="V1107" i="5"/>
  <c r="Z1115" i="5"/>
  <c r="X1115" i="5"/>
  <c r="Y1115" i="5" s="1"/>
  <c r="Z1120" i="5"/>
  <c r="Z985" i="5"/>
  <c r="X985" i="5"/>
  <c r="Y985" i="5" s="1"/>
  <c r="X1119" i="5"/>
  <c r="Y1119" i="5" s="1"/>
  <c r="Z1119" i="5"/>
  <c r="V1119" i="5"/>
  <c r="Z810" i="5"/>
  <c r="X940" i="5"/>
  <c r="Y940" i="5" s="1"/>
  <c r="V985" i="5"/>
  <c r="X993" i="5"/>
  <c r="Y993" i="5" s="1"/>
  <c r="V993" i="5"/>
  <c r="Z999" i="5"/>
  <c r="X1130" i="5"/>
  <c r="Y1130" i="5" s="1"/>
  <c r="X1142" i="5"/>
  <c r="Y1142" i="5" s="1"/>
  <c r="V1142" i="5"/>
  <c r="X1055" i="5"/>
  <c r="Y1055" i="5" s="1"/>
  <c r="Z1055" i="5"/>
  <c r="V1055" i="5"/>
  <c r="Z1103" i="5"/>
  <c r="X1126" i="5"/>
  <c r="Y1126" i="5" s="1"/>
  <c r="V1126" i="5"/>
  <c r="Z1147" i="5"/>
  <c r="X1147" i="5"/>
  <c r="Y1147" i="5" s="1"/>
  <c r="V1147" i="5"/>
  <c r="Z1077" i="5"/>
  <c r="X1083" i="5"/>
  <c r="Y1083" i="5" s="1"/>
  <c r="Z1083" i="5"/>
  <c r="V1083" i="5"/>
  <c r="Z1091" i="5"/>
  <c r="X1106" i="5"/>
  <c r="Y1106" i="5" s="1"/>
  <c r="V1106" i="5"/>
  <c r="X1054" i="5"/>
  <c r="Y1054" i="5" s="1"/>
  <c r="V1054" i="5"/>
  <c r="Z1079" i="5"/>
  <c r="V1091" i="5"/>
  <c r="X1125" i="5"/>
  <c r="Y1125" i="5" s="1"/>
  <c r="Z1146" i="5"/>
  <c r="AS4" i="5" l="1"/>
  <c r="BD36" i="5"/>
  <c r="AS35" i="5"/>
  <c r="BD32" i="5"/>
  <c r="AS31" i="5"/>
  <c r="BD22" i="5"/>
  <c r="AS21" i="5"/>
  <c r="BD16" i="5"/>
  <c r="AS15" i="5"/>
  <c r="BD10" i="5"/>
  <c r="AS9" i="5"/>
  <c r="BD5" i="5"/>
  <c r="BD6" i="5" l="1"/>
  <c r="AS5" i="5"/>
  <c r="AS10" i="5"/>
  <c r="BD11" i="5"/>
  <c r="BD17" i="5"/>
  <c r="AS17" i="5" s="1"/>
  <c r="AS16" i="5"/>
  <c r="BD23" i="5"/>
  <c r="AS22" i="5"/>
  <c r="BD33" i="5"/>
  <c r="AS33" i="5" s="1"/>
  <c r="AS32" i="5"/>
  <c r="BD37" i="5"/>
  <c r="AS36" i="5"/>
  <c r="BD38" i="5" l="1"/>
  <c r="AS37" i="5"/>
  <c r="BD24" i="5"/>
  <c r="AS23" i="5"/>
  <c r="BD12" i="5"/>
  <c r="AS11" i="5"/>
  <c r="BD7" i="5"/>
  <c r="AS7" i="5" s="1"/>
  <c r="AS6" i="5"/>
  <c r="BD13" i="5" l="1"/>
  <c r="AS13" i="5" s="1"/>
  <c r="AS12" i="5"/>
  <c r="BD25" i="5"/>
  <c r="AS25" i="5" s="1"/>
  <c r="AS24" i="5"/>
  <c r="BD39" i="5"/>
  <c r="AS39" i="5" s="1"/>
  <c r="AS38" i="5"/>
</calcChain>
</file>

<file path=xl/sharedStrings.xml><?xml version="1.0" encoding="utf-8"?>
<sst xmlns="http://schemas.openxmlformats.org/spreadsheetml/2006/main" count="34146" uniqueCount="5250">
  <si>
    <t>OLD SKU</t>
  </si>
  <si>
    <t>OLD PRODUCT</t>
  </si>
  <si>
    <t>OLD PRICE</t>
  </si>
  <si>
    <t>CATEGORIES</t>
  </si>
  <si>
    <t>SKU</t>
  </si>
  <si>
    <t>PRODUCT</t>
  </si>
  <si>
    <t>DIMENSION (CM)</t>
  </si>
  <si>
    <t>MATERIAL</t>
  </si>
  <si>
    <t>WORKS</t>
  </si>
  <si>
    <t>W</t>
  </si>
  <si>
    <t>D</t>
  </si>
  <si>
    <t>H</t>
  </si>
  <si>
    <t>CBM</t>
  </si>
  <si>
    <t>PRICE</t>
  </si>
  <si>
    <t xml:space="preserve">In House </t>
  </si>
  <si>
    <t xml:space="preserve">Vendor's Price </t>
  </si>
  <si>
    <t>Total Production Cost</t>
  </si>
  <si>
    <t xml:space="preserve">Production Cost Euro </t>
  </si>
  <si>
    <t xml:space="preserve">Web Price </t>
  </si>
  <si>
    <t>Sale Price</t>
  </si>
  <si>
    <t>Old X New Ratio</t>
  </si>
  <si>
    <t>Correction Price</t>
  </si>
  <si>
    <t>New Sale Price</t>
  </si>
  <si>
    <t>New Regular Price</t>
  </si>
  <si>
    <t>Mark Up (New Sales:Prod.Cost)</t>
  </si>
  <si>
    <t>DESCRIPTION</t>
  </si>
  <si>
    <t>kode kategori</t>
  </si>
  <si>
    <t>kategori</t>
  </si>
  <si>
    <t>sub kategori</t>
  </si>
  <si>
    <t>Item Name</t>
  </si>
  <si>
    <t>Var1</t>
  </si>
  <si>
    <t>Var2</t>
  </si>
  <si>
    <t>Var3</t>
  </si>
  <si>
    <t>kode sub kategori</t>
  </si>
  <si>
    <t>kode item name</t>
  </si>
  <si>
    <t>kode var1</t>
  </si>
  <si>
    <t>kode var2</t>
  </si>
  <si>
    <t>New SKU</t>
  </si>
  <si>
    <t>New SKU2</t>
  </si>
  <si>
    <t>area</t>
  </si>
  <si>
    <t>Furniture &gt; Tables</t>
  </si>
  <si>
    <t>no var2</t>
  </si>
  <si>
    <t>item</t>
  </si>
  <si>
    <t>var1</t>
  </si>
  <si>
    <t>9AFTFI260085075005-NT</t>
  </si>
  <si>
    <t>Afonso rectangular</t>
  </si>
  <si>
    <t>HMS-0000124</t>
  </si>
  <si>
    <t>Boris rectangular</t>
  </si>
  <si>
    <t>w260 x d85 x h75 x bh70</t>
  </si>
  <si>
    <t>Natural teak indoor</t>
  </si>
  <si>
    <t>In house</t>
  </si>
  <si>
    <t>Experience unparalleled sophistication with the Boris rectangular from our TABLES range. It's where design meets functionality.</t>
  </si>
  <si>
    <t>01</t>
  </si>
  <si>
    <t>Tables</t>
  </si>
  <si>
    <t>indoor</t>
  </si>
  <si>
    <t>10</t>
  </si>
  <si>
    <t>9AFTFO260085075005-NT</t>
  </si>
  <si>
    <t>HMS-0000224</t>
  </si>
  <si>
    <t>Natural teak outdoor</t>
  </si>
  <si>
    <t>outdoor</t>
  </si>
  <si>
    <t>9AFTFI300090075005-NT</t>
  </si>
  <si>
    <t>HMS-0000324</t>
  </si>
  <si>
    <t>w300 x d90 x h75 x bh70</t>
  </si>
  <si>
    <t>Count of Item Name</t>
  </si>
  <si>
    <t>9AFTOI300090075005-NT</t>
  </si>
  <si>
    <t>HMS-0000424</t>
  </si>
  <si>
    <t>Adare bluestone FL107</t>
  </si>
  <si>
    <t>9AFTFI070075004-NT</t>
  </si>
  <si>
    <t>Afonso Round</t>
  </si>
  <si>
    <t>HMS-0000524</t>
  </si>
  <si>
    <t>Veliko round</t>
  </si>
  <si>
    <t>d70 x h75 x bh71</t>
  </si>
  <si>
    <t>Veliko round is a showcase of excellence in TABLES. It combines style, functionality, and unmatched quality.</t>
  </si>
  <si>
    <t>Angeline</t>
  </si>
  <si>
    <t>9AFTFO070075004-NT</t>
  </si>
  <si>
    <t>HMS-0000624</t>
  </si>
  <si>
    <t>The Veliko round in our TABLES collection is a masterpiece of craftsmanship, offering both durability and aesthetic appeal.</t>
  </si>
  <si>
    <t>Arthur with chain</t>
  </si>
  <si>
    <t>9AFTFI090075004-NT</t>
  </si>
  <si>
    <t>HMS-0000724</t>
  </si>
  <si>
    <t>d90 x h75 x bh71</t>
  </si>
  <si>
    <t>Discover the unique charm of Veliko round in our TABLES collection. It's not just a product; it's a lifestyle.</t>
  </si>
  <si>
    <t>Asen round</t>
  </si>
  <si>
    <t>9AFTFO090075004-NT</t>
  </si>
  <si>
    <t>HMS-0000824</t>
  </si>
  <si>
    <t>Axello champagne coupe</t>
  </si>
  <si>
    <t>9AFTFI130075005-NT</t>
  </si>
  <si>
    <t>HMS-0000924</t>
  </si>
  <si>
    <t>d130 x h75 x bh70</t>
  </si>
  <si>
    <t>Redefine elegance with the Veliko round, a pinnacle of our TABLES series. Its design is both innovative and timeless.</t>
  </si>
  <si>
    <t>Bains rectangular console</t>
  </si>
  <si>
    <t>9AFTFO130075005-NT</t>
  </si>
  <si>
    <t>HMS-0001024</t>
  </si>
  <si>
    <t>Bakar fire pit with grill</t>
  </si>
  <si>
    <t>9ANTFI250100075005-NT</t>
  </si>
  <si>
    <t>Andreas rectangular</t>
  </si>
  <si>
    <t>HMS-0001124</t>
  </si>
  <si>
    <t>Pirin rectangular</t>
  </si>
  <si>
    <t xml:space="preserve">
w250 x d100 x h75 x bh70</t>
  </si>
  <si>
    <t>The Pirin rectangular in our TABLES collection is a masterpiece of craftsmanship, offering both durability and aesthetic appeal.</t>
  </si>
  <si>
    <t>Bansko rectangular</t>
  </si>
  <si>
    <t>9ANTFO250100075005-NT</t>
  </si>
  <si>
    <t>HMS-0001224</t>
  </si>
  <si>
    <t>Pirin rectangular is a showcase of excellence in TABLES. It combines style, functionality, and unmatched quality.</t>
  </si>
  <si>
    <t>Barbera</t>
  </si>
  <si>
    <t>9ANTFI300110075005-NT</t>
  </si>
  <si>
    <t>HMS-0001324</t>
  </si>
  <si>
    <t>w300 x d110 x h75 x bh70</t>
  </si>
  <si>
    <t>Redefine elegance with the Pirin rectangular, a pinnacle of our TABLES series. Its design is both innovative and timeless.</t>
  </si>
  <si>
    <t>Bareno</t>
  </si>
  <si>
    <t>9ANTFO300110075005-NT</t>
  </si>
  <si>
    <t>HMS-0001424</t>
  </si>
  <si>
    <t>Becker tree plate</t>
  </si>
  <si>
    <t>Berre rectangular rustic</t>
  </si>
  <si>
    <t>HMS-0001524</t>
  </si>
  <si>
    <t>Rousse rectangular rustic</t>
  </si>
  <si>
    <t>w330 x d75 x h76 x bh66</t>
  </si>
  <si>
    <t>Teak Original indoor</t>
  </si>
  <si>
    <t>Discover the unique charm of Rousse rectangular rustic in our TABLES collection. It's not just a product; it's a lifestyle.</t>
  </si>
  <si>
    <t>30</t>
  </si>
  <si>
    <t>Berbatov Mirror L</t>
  </si>
  <si>
    <t>9BETFRO330075076010-TO</t>
  </si>
  <si>
    <t>HMS-0001624</t>
  </si>
  <si>
    <t>Teak Original outdoor</t>
  </si>
  <si>
    <t>Experience unparalleled sophistication with the Rousse rectangular rustic from our TABLES range. It's where design meets functionality.</t>
  </si>
  <si>
    <t>Bibury oval bar</t>
  </si>
  <si>
    <t>9BETFI280085078008-NT</t>
  </si>
  <si>
    <t>Berre rectangular</t>
  </si>
  <si>
    <t>HMS-0001724</t>
  </si>
  <si>
    <t>Rousse rectangular</t>
  </si>
  <si>
    <t>w280 x d85 x h78 x bh70</t>
  </si>
  <si>
    <t>Experience unparalleled sophistication with the Rousse rectangular from our TABLES range. It's where design meets functionality.</t>
  </si>
  <si>
    <t>Billy round basket wood</t>
  </si>
  <si>
    <t>9BETFO280085078008-NT</t>
  </si>
  <si>
    <t>HMS-0001824</t>
  </si>
  <si>
    <t>Bogdan dia 15 cm</t>
  </si>
  <si>
    <t>9BETFI320090078008-NT</t>
  </si>
  <si>
    <t>HMS-0001924</t>
  </si>
  <si>
    <t>w320 x d90 x h78 x bh70</t>
  </si>
  <si>
    <t>The Rousse rectangular in our TABLES collection is a masterpiece of craftsmanship, offering both durability and aesthetic appeal.</t>
  </si>
  <si>
    <t>Bogdan dia 25 cm</t>
  </si>
  <si>
    <t>9BETFO320090078008-NT</t>
  </si>
  <si>
    <t>HMS-0002024</t>
  </si>
  <si>
    <t>Rousse rectangular is a showcase of excellence in TABLES. It combines style, functionality, and unmatched quality.</t>
  </si>
  <si>
    <t>Bogdan dia 30 cm</t>
  </si>
  <si>
    <t>9BETFI400100078008-NT</t>
  </si>
  <si>
    <t>HMS-0002124</t>
  </si>
  <si>
    <t>w400 x d100 x h78 x bh70</t>
  </si>
  <si>
    <t>9BETFO400100078008-NT</t>
  </si>
  <si>
    <t>HMS-0002224</t>
  </si>
  <si>
    <t>Redefine elegance with the Rousse rectangular, a pinnacle of our TABLES series. Its design is both innovative and timeless.</t>
  </si>
  <si>
    <t>Borovets oval</t>
  </si>
  <si>
    <t>9COTFI090076006-NT</t>
  </si>
  <si>
    <t>Columbus round</t>
  </si>
  <si>
    <t>HMS-0002324</t>
  </si>
  <si>
    <t>Rila round</t>
  </si>
  <si>
    <t>d90 x h76 x bh70</t>
  </si>
  <si>
    <t>Experience unparalleled sophistication with the Rila round from our TABLES range. It's where design meets functionality.</t>
  </si>
  <si>
    <t>Borovets round</t>
  </si>
  <si>
    <t>9COTFO090076006-NT</t>
  </si>
  <si>
    <t>HMS-0002424</t>
  </si>
  <si>
    <t>Discover the unique charm of Rila round in our TABLES collection. It's not just a product; it's a lifestyle.</t>
  </si>
  <si>
    <t>bottle stop wood</t>
  </si>
  <si>
    <t>9ELTFI260085075005-NT</t>
  </si>
  <si>
    <t>Elias rectangular</t>
  </si>
  <si>
    <t>HMS-0002524</t>
  </si>
  <si>
    <t>Varna rectangular</t>
  </si>
  <si>
    <t>The Varna rectangular in our TABLES collection is a masterpiece of craftsmanship, offering both durability and aesthetic appeal.</t>
  </si>
  <si>
    <t>Bourg rectangular console</t>
  </si>
  <si>
    <t>9ELTFO260085075005-NT</t>
  </si>
  <si>
    <t>HMS-0002624</t>
  </si>
  <si>
    <t>Redefine elegance with the Varna rectangular, a pinnacle of our TABLES series. Its design is both innovative and timeless.</t>
  </si>
  <si>
    <t>Carl</t>
  </si>
  <si>
    <t>9GUTFI3L130075005-NT</t>
  </si>
  <si>
    <t>Gunter round 3-leg</t>
  </si>
  <si>
    <t>HMS-0002724</t>
  </si>
  <si>
    <t>Sofia round 3-leg</t>
  </si>
  <si>
    <t>Experience unparalleled sophistication with the Sofia round 3-leg from our TABLES range. It's where design meets functionality.</t>
  </si>
  <si>
    <t>Carl stone</t>
  </si>
  <si>
    <t>9GUTFO3L130075005-NT</t>
  </si>
  <si>
    <t>HMS-0002824</t>
  </si>
  <si>
    <t>Discover the unique charm of Sofia round 3-leg in our TABLES collection. It's not just a product; it's a lifestyle.</t>
  </si>
  <si>
    <t>Carrickfergus rectangular bar</t>
  </si>
  <si>
    <t>9GUTFI3L180075005-NT</t>
  </si>
  <si>
    <t>HMS-0002924</t>
  </si>
  <si>
    <t>d180 x h75 x bh70</t>
  </si>
  <si>
    <t>Cassey</t>
  </si>
  <si>
    <t>9GUTFO3L180075005-NT</t>
  </si>
  <si>
    <t>HMS-0003024</t>
  </si>
  <si>
    <t>The Sofia round 3-leg in our TABLES collection is a masterpiece of craftsmanship, offering both durability and aesthetic appeal.</t>
  </si>
  <si>
    <t>Charlie tissue box abaca</t>
  </si>
  <si>
    <t>9GUTFI4L130075005-NT</t>
  </si>
  <si>
    <t>Gunter round 4-leg</t>
  </si>
  <si>
    <t>HMS-0003124</t>
  </si>
  <si>
    <t>Sofia round 4-leg</t>
  </si>
  <si>
    <t>Redefine elegance with the Sofia round 4-leg, a pinnacle of our TABLES series. Its design is both innovative and timeless.</t>
  </si>
  <si>
    <t>Collioure rectangular bar</t>
  </si>
  <si>
    <t>9GUTFO4L130075005-NT</t>
  </si>
  <si>
    <t>HMS-0003224</t>
  </si>
  <si>
    <t>Comet cushion</t>
  </si>
  <si>
    <t>9GUTFI4L160075005-NT</t>
  </si>
  <si>
    <t>HMS-0003324</t>
  </si>
  <si>
    <t>d160 x h75 x bh70</t>
  </si>
  <si>
    <t>Discover the unique charm of Sofia round 4-leg in our TABLES collection. It's not just a product; it's a lifestyle.</t>
  </si>
  <si>
    <t>Dan</t>
  </si>
  <si>
    <t>9GUTFO4L160075005-NT</t>
  </si>
  <si>
    <t>HMS-0003424</t>
  </si>
  <si>
    <t>Experience unparalleled sophistication with the Sofia round 4-leg from our TABLES range. It's where design meets functionality.</t>
  </si>
  <si>
    <t>Decul mirror rustic</t>
  </si>
  <si>
    <t>9GUTFI4L180075005-NT</t>
  </si>
  <si>
    <t>HMS-0003524</t>
  </si>
  <si>
    <t>The Sofia round 4-leg in our TABLES collection is a masterpiece of craftsmanship, offering both durability and aesthetic appeal.</t>
  </si>
  <si>
    <t>Diodora Bar Chair</t>
  </si>
  <si>
    <t>9GUTFO4L180075005-NT</t>
  </si>
  <si>
    <t>HMS-0003624</t>
  </si>
  <si>
    <t>Draco fire basket</t>
  </si>
  <si>
    <t>9JACTFI240080075005-NT</t>
  </si>
  <si>
    <t>Jacob rectangular</t>
  </si>
  <si>
    <t>HMS-0003724</t>
  </si>
  <si>
    <t>Sliv rectangular</t>
  </si>
  <si>
    <t>w240 x d80 x h75 x bh70</t>
  </si>
  <si>
    <t>Discover the unique charm of Sliv rectangular in our TABLES collection. It's not just a product; it's a lifestyle.</t>
  </si>
  <si>
    <t>Eduard cracked square</t>
  </si>
  <si>
    <t>9JACTFO240080075005-NT</t>
  </si>
  <si>
    <t>HMS-0003824</t>
  </si>
  <si>
    <t>Redefine elegance with the Sliv rectangular, a pinnacle of our TABLES series. Its design is both innovative and timeless.</t>
  </si>
  <si>
    <t>Elena oval</t>
  </si>
  <si>
    <t>9JACTFI280080075005-NT</t>
  </si>
  <si>
    <t>HMS-0003924</t>
  </si>
  <si>
    <t>w280 x d80 x h75 x bh70</t>
  </si>
  <si>
    <t>Elena rectangular</t>
  </si>
  <si>
    <t>9JACTFO280080075005-NT</t>
  </si>
  <si>
    <t>HMS-0004024</t>
  </si>
  <si>
    <t>Sliv rectangular is a showcase of excellence in TABLES. It combines style, functionality, and unmatched quality.</t>
  </si>
  <si>
    <t>Elisabeta holder</t>
  </si>
  <si>
    <t>9JORTFI250085075005-NT</t>
  </si>
  <si>
    <t>Joris rectangular</t>
  </si>
  <si>
    <t>HMS-0004124</t>
  </si>
  <si>
    <t>Neva rectangular</t>
  </si>
  <si>
    <t>w250 x d85 x h75 x bh70</t>
  </si>
  <si>
    <t>Neva rectangular is a showcase of excellence in TABLES. It combines style, functionality, and unmatched quality.</t>
  </si>
  <si>
    <t>Erik plate lavastone</t>
  </si>
  <si>
    <t>9JORTFO250085075005-NT</t>
  </si>
  <si>
    <t>HMS-0004224</t>
  </si>
  <si>
    <t>Redefine elegance with the Neva rectangular, a pinnacle of our TABLES series. Its design is both innovative and timeless.</t>
  </si>
  <si>
    <t>Felix rattan</t>
  </si>
  <si>
    <t>9KYTFI120070075004-NT</t>
  </si>
  <si>
    <t>Kyle rectangular</t>
  </si>
  <si>
    <t>HMS-0004324</t>
  </si>
  <si>
    <t>Mila rectangular</t>
  </si>
  <si>
    <t>w120 x d70 x h75 x bh71</t>
  </si>
  <si>
    <t>Mila rectangular is a showcase of excellence in TABLES. It combines style, functionality, and unmatched quality.</t>
  </si>
  <si>
    <t>Felix stone</t>
  </si>
  <si>
    <t>9KYTFO120070075004-NT</t>
  </si>
  <si>
    <t>HMS-0004424</t>
  </si>
  <si>
    <t>The Mila rectangular in our TABLES collection is a masterpiece of craftsmanship, offering both durability and aesthetic appeal.</t>
  </si>
  <si>
    <t>Feroni round basket wood</t>
  </si>
  <si>
    <t>9KYTFI140080075004-NT</t>
  </si>
  <si>
    <t>HMS-0004524</t>
  </si>
  <si>
    <t>w140 x d80 x h75 x bh71</t>
  </si>
  <si>
    <t>Experience unparalleled sophistication with the Mila rectangular from our TABLES range. It's where design meets functionality.</t>
  </si>
  <si>
    <t>Frank horizontal fence</t>
  </si>
  <si>
    <t>9KYTFO140080075004-NT</t>
  </si>
  <si>
    <t>HMS-0004624</t>
  </si>
  <si>
    <t>Frank vertical fence</t>
  </si>
  <si>
    <t>9KYTFI070075004-NT</t>
  </si>
  <si>
    <t>Kyle round</t>
  </si>
  <si>
    <t>HMS-0004724</t>
  </si>
  <si>
    <t>Mila round</t>
  </si>
  <si>
    <t xml:space="preserve">d70 x h75 x bh71 </t>
  </si>
  <si>
    <t>Redefine elegance with the Mila round, a pinnacle of our TABLES series. Its design is both innovative and timeless.</t>
  </si>
  <si>
    <t>Gamora rectangular</t>
  </si>
  <si>
    <t>9KYTFO070075004-NT</t>
  </si>
  <si>
    <t>HMS-0004824</t>
  </si>
  <si>
    <t>Discover the unique charm of Mila round in our TABLES collection. It's not just a product; it's a lifestyle.</t>
  </si>
  <si>
    <t>Gamora round</t>
  </si>
  <si>
    <t>9KYTFI076075004-NT</t>
  </si>
  <si>
    <t>HMS-0004924</t>
  </si>
  <si>
    <t>d76 x h75 x bh71</t>
  </si>
  <si>
    <t>Gamora square</t>
  </si>
  <si>
    <t>9KYTFO076075004-NT</t>
  </si>
  <si>
    <t>HMS-0005024</t>
  </si>
  <si>
    <t>Gani conic</t>
  </si>
  <si>
    <t>9KYTFI090075004-NT</t>
  </si>
  <si>
    <t>HMS-0005124</t>
  </si>
  <si>
    <t>Gani round</t>
  </si>
  <si>
    <t>9KYTFO090075004-NT</t>
  </si>
  <si>
    <t>HMS-0005224</t>
  </si>
  <si>
    <t>Giethoorn square bar</t>
  </si>
  <si>
    <t>9KYTFI101075004-NT</t>
  </si>
  <si>
    <t>HMS-0005324</t>
  </si>
  <si>
    <t>d101 x h75 x bh71</t>
  </si>
  <si>
    <t>Mila round is a showcase of excellence in TABLES. It combines style, functionality, and unmatched quality.</t>
  </si>
  <si>
    <t>Gimmelwald round bar 4L</t>
  </si>
  <si>
    <t>9KYTFO101075004-NT</t>
  </si>
  <si>
    <t>HMS-0005424</t>
  </si>
  <si>
    <t>Grany plate</t>
  </si>
  <si>
    <t>9KYTFI130075004-NT</t>
  </si>
  <si>
    <t>HMS-0005524</t>
  </si>
  <si>
    <t>d130 x h75 x bh71</t>
  </si>
  <si>
    <t>The Mila round in our TABLES collection is a masterpiece of craftsmanship, offering both durability and aesthetic appeal.</t>
  </si>
  <si>
    <t>Gresconi</t>
  </si>
  <si>
    <t>9KYTFO130075004-NT</t>
  </si>
  <si>
    <t>HMS-0005624</t>
  </si>
  <si>
    <t>Greta</t>
  </si>
  <si>
    <t>9KYTFI070070075004-NT</t>
  </si>
  <si>
    <t>Kyle square</t>
  </si>
  <si>
    <t>HMS-0005724</t>
  </si>
  <si>
    <t>Mila square</t>
  </si>
  <si>
    <t xml:space="preserve">w70 x d70 x h75 x bh71 </t>
  </si>
  <si>
    <t>Experience unparalleled sophistication with the Mila square from our TABLES range. It's where design meets functionality.</t>
  </si>
  <si>
    <t>Greta carafe</t>
  </si>
  <si>
    <t>9KYTFO070070075004-NT</t>
  </si>
  <si>
    <t>HMS-0005824</t>
  </si>
  <si>
    <t>Redefine elegance with the Mila square, a pinnacle of our TABLES series. Its design is both innovative and timeless.</t>
  </si>
  <si>
    <t>Greta smoke</t>
  </si>
  <si>
    <t>9KYTFI080080075004-NT</t>
  </si>
  <si>
    <t>HMS-0005924</t>
  </si>
  <si>
    <t>w80 x d80 x h75 x bh71</t>
  </si>
  <si>
    <t>Mila square is a showcase of excellence in TABLES. It combines style, functionality, and unmatched quality.</t>
  </si>
  <si>
    <t>Gunterdorf rectangular console</t>
  </si>
  <si>
    <t>9KYTFO080080075004-NT</t>
  </si>
  <si>
    <t>HMS-0006024</t>
  </si>
  <si>
    <t>Hailey vase</t>
  </si>
  <si>
    <t>9KYTFI090090075004-NT</t>
  </si>
  <si>
    <t>HMS-0006124</t>
  </si>
  <si>
    <t>w90 x d90 x h75 x bh71</t>
  </si>
  <si>
    <t>The Mila square in our TABLES collection is a masterpiece of craftsmanship, offering both durability and aesthetic appeal.</t>
  </si>
  <si>
    <t>Hailey vase stone</t>
  </si>
  <si>
    <t>9KYTFO090090075004-NT</t>
  </si>
  <si>
    <t>HMS-0006224</t>
  </si>
  <si>
    <t>Hallstatt round bar</t>
  </si>
  <si>
    <t>9KYTFI120120075004-NT</t>
  </si>
  <si>
    <t>HMS-0006324</t>
  </si>
  <si>
    <t>w120 x d120 x h75 x bh71</t>
  </si>
  <si>
    <t>Han plate riverstone</t>
  </si>
  <si>
    <t>9KYTFO120120075004-NT</t>
  </si>
  <si>
    <t>HMS-0006424</t>
  </si>
  <si>
    <t>Hanging Kubo</t>
  </si>
  <si>
    <t>9KYTFI150150075005-NT</t>
  </si>
  <si>
    <t>HMS-0006524</t>
  </si>
  <si>
    <t>w150 x d150 x h75 x bh70</t>
  </si>
  <si>
    <t>Hansen</t>
  </si>
  <si>
    <t>9KYTFO150150075005-NT</t>
  </si>
  <si>
    <t>HMS-0006624</t>
  </si>
  <si>
    <t>Hena bowl</t>
  </si>
  <si>
    <t>9KYTFEI075040075004-NT</t>
  </si>
  <si>
    <t>Kyle square extension</t>
  </si>
  <si>
    <t>HMS-0006724</t>
  </si>
  <si>
    <t>Mila square extension</t>
  </si>
  <si>
    <t>w75 x d40 x h75 x bh74</t>
  </si>
  <si>
    <t>Experience unparalleled sophistication with the Mila square extension from our TABLES range. It's where design meets functionality.</t>
  </si>
  <si>
    <t>Hena bowl black</t>
  </si>
  <si>
    <t>9KYTFEO075040075004-NT</t>
  </si>
  <si>
    <t>HMS-0006824</t>
  </si>
  <si>
    <t>Mila square extension is a showcase of excellence in TABLES. It combines style, functionality, and unmatched quality.</t>
  </si>
  <si>
    <t>Hena bowl white</t>
  </si>
  <si>
    <t>9OSTFI260085085003-NT</t>
  </si>
  <si>
    <t>Old Santos rectangular</t>
  </si>
  <si>
    <t>HMS-0006924</t>
  </si>
  <si>
    <t>Vitosha rectangular</t>
  </si>
  <si>
    <t>w260 x d85 x h85 x bh82</t>
  </si>
  <si>
    <t>Vitosha rectangular is a showcase of excellence in TABLES. It combines style, functionality, and unmatched quality.</t>
  </si>
  <si>
    <t>Hena cup black</t>
  </si>
  <si>
    <t>9OSTFO260085085003-NT</t>
  </si>
  <si>
    <t>HMS-0007024</t>
  </si>
  <si>
    <t>W260 x d85 x h85 x bh82</t>
  </si>
  <si>
    <t>The Vitosha rectangular in our TABLES collection is a masterpiece of craftsmanship, offering both durability and aesthetic appeal.</t>
  </si>
  <si>
    <t>Hena cup clear</t>
  </si>
  <si>
    <t>9PETFI130075005-NT</t>
  </si>
  <si>
    <t>Petrus round</t>
  </si>
  <si>
    <t>HMS-0007124</t>
  </si>
  <si>
    <t>Asen round is a showcase of excellence in TABLES. It combines style, functionality, and unmatched quality.</t>
  </si>
  <si>
    <t>Hena cup clear matte</t>
  </si>
  <si>
    <t>9PETFO130075005-NT</t>
  </si>
  <si>
    <t>HMS-0007224</t>
  </si>
  <si>
    <t>Discover the unique charm of Asen round in our TABLES collection. It's not just a product; it's a lifestyle.</t>
  </si>
  <si>
    <t>Hena cup clear snow</t>
  </si>
  <si>
    <t>9PETFI160075005-NT</t>
  </si>
  <si>
    <t>HMS-0007324</t>
  </si>
  <si>
    <t>Experience unparalleled sophistication with the Asen round from our TABLES range. It's where design meets functionality.</t>
  </si>
  <si>
    <t>Hena cup crackle</t>
  </si>
  <si>
    <t>9PETFO160075005-NT</t>
  </si>
  <si>
    <t>HMS-0007424</t>
  </si>
  <si>
    <t>Redefine elegance with the Asen round, a pinnacle of our TABLES series. Its design is both innovative and timeless.</t>
  </si>
  <si>
    <t>Hena cup grey</t>
  </si>
  <si>
    <t>9SANTFI130075005-NT</t>
  </si>
  <si>
    <t>Sanne round</t>
  </si>
  <si>
    <t>HMS-0007524</t>
  </si>
  <si>
    <t>Neva round</t>
  </si>
  <si>
    <t>Discover the unique charm of Neva round in our TABLES collection. It's not just a product; it's a lifestyle.</t>
  </si>
  <si>
    <t>Hena cup grey matte</t>
  </si>
  <si>
    <t>9SANTFO130075005-NT</t>
  </si>
  <si>
    <t>HMS-0007624</t>
  </si>
  <si>
    <t>Hena cup grey snow</t>
  </si>
  <si>
    <t>9SANTFI160075005-NT</t>
  </si>
  <si>
    <t>HMS-0007724</t>
  </si>
  <si>
    <t>Experience unparalleled sophistication with the Neva round from our TABLES range. It's where design meets functionality.</t>
  </si>
  <si>
    <t>Hena cup on foot</t>
  </si>
  <si>
    <t>9SANTFO160075005-NT</t>
  </si>
  <si>
    <t>HMS-0007824</t>
  </si>
  <si>
    <t>Neva round is a showcase of excellence in TABLES. It combines style, functionality, and unmatched quality.</t>
  </si>
  <si>
    <t>Hena cup white</t>
  </si>
  <si>
    <t>9STFI290090078008-NT</t>
  </si>
  <si>
    <t>Santi rectangular</t>
  </si>
  <si>
    <t>HMS-0007924</t>
  </si>
  <si>
    <t>Pliska rectangular</t>
  </si>
  <si>
    <t>w290 x d90 x h78 x bh70</t>
  </si>
  <si>
    <t>Redefine elegance with the Pliska rectangular, a pinnacle of our TABLES series. Its design is both innovative and timeless.</t>
  </si>
  <si>
    <t>Hena cup with handle black</t>
  </si>
  <si>
    <t>9STFO290090078008-NT</t>
  </si>
  <si>
    <t>HMS-0008024</t>
  </si>
  <si>
    <t>Experience unparalleled sophistication with the Pliska rectangular from our TABLES range. It's where design meets functionality.</t>
  </si>
  <si>
    <t>Hena cup with handle white</t>
  </si>
  <si>
    <t>9STFI340090078008-NT</t>
  </si>
  <si>
    <t>HMS-0008124</t>
  </si>
  <si>
    <t>w340 x d90 x h78 x bh70</t>
  </si>
  <si>
    <t>The Pliska rectangular in our TABLES collection is a masterpiece of craftsmanship, offering both durability and aesthetic appeal.</t>
  </si>
  <si>
    <t>Hof rectangular console</t>
  </si>
  <si>
    <t>9STFO340090078008-NT</t>
  </si>
  <si>
    <t>HMS-0008224</t>
  </si>
  <si>
    <t>Jatinga Cabinets</t>
  </si>
  <si>
    <t>9STFI560090078008-NT</t>
  </si>
  <si>
    <t>HMS-0008324</t>
  </si>
  <si>
    <t>w560 x d90 x h78 x bh70</t>
  </si>
  <si>
    <t>Kabochi</t>
  </si>
  <si>
    <t>9STFO560090078008-NT</t>
  </si>
  <si>
    <t>HMS-0008424</t>
  </si>
  <si>
    <t>Kevin copper</t>
  </si>
  <si>
    <t>9SHTFI290097075005O-NT</t>
  </si>
  <si>
    <t xml:space="preserve">Shuki oval </t>
  </si>
  <si>
    <t>HMS-0008524</t>
  </si>
  <si>
    <t>w290 x d97 x h75 x bh70</t>
  </si>
  <si>
    <t>Experience unparalleled sophistication with the Borovets oval from our TABLES range. It's where design meets functionality.</t>
  </si>
  <si>
    <t>Kidagil Cabinets</t>
  </si>
  <si>
    <t>9SHTFO290097075005O-NT</t>
  </si>
  <si>
    <t>HMS-0008624</t>
  </si>
  <si>
    <t>Klopp</t>
  </si>
  <si>
    <t>9SHTFI160075005-NT</t>
  </si>
  <si>
    <t>Shuki round</t>
  </si>
  <si>
    <t>HMS-0008724</t>
  </si>
  <si>
    <t>Discover the unique charm of Borovets round in our TABLES collection. It's not just a product; it's a lifestyle.</t>
  </si>
  <si>
    <t>Krasak round plate</t>
  </si>
  <si>
    <t>9SHTFO160075005-NT</t>
  </si>
  <si>
    <t>HMS-0008824</t>
  </si>
  <si>
    <t>Kubo Panel</t>
  </si>
  <si>
    <t>9SOTFI220090075005-NT</t>
  </si>
  <si>
    <t>Sofie rectangular</t>
  </si>
  <si>
    <t>HMS-0008924</t>
  </si>
  <si>
    <t>Rila rectangular</t>
  </si>
  <si>
    <t>w220 x d90 x h75 x bh70</t>
  </si>
  <si>
    <t>Redefine elegance with the Rila rectangular, a pinnacle of our TABLES series. Its design is both innovative and timeless.</t>
  </si>
  <si>
    <t>L'Église rectangular console</t>
  </si>
  <si>
    <t>9SOTFO220090075005-NT</t>
  </si>
  <si>
    <t>HMS-0009024</t>
  </si>
  <si>
    <t>Rila rectangular is a showcase of excellence in TABLES. It combines style, functionality, and unmatched quality.</t>
  </si>
  <si>
    <t>Looney cracked</t>
  </si>
  <si>
    <t>9SOTFI280090075005-NT</t>
  </si>
  <si>
    <t>HMS-0009124</t>
  </si>
  <si>
    <t>w280 x d90 x h75 x bh70</t>
  </si>
  <si>
    <t>Experience unparalleled sophistication with the Rila rectangular from our TABLES range. It's where design meets functionality.</t>
  </si>
  <si>
    <t>Luna bench</t>
  </si>
  <si>
    <t>9SOTFO280090075005-NT</t>
  </si>
  <si>
    <t>HMS-0009224</t>
  </si>
  <si>
    <t>Discover the unique charm of Rila rectangular in our TABLES collection. It's not just a product; it's a lifestyle.</t>
  </si>
  <si>
    <t>Madalina</t>
  </si>
  <si>
    <t>9SOTFI320100075005-NT</t>
  </si>
  <si>
    <t>HMS-0009324</t>
  </si>
  <si>
    <t>w320 x d100 x h75 x bh70</t>
  </si>
  <si>
    <t>Maldini</t>
  </si>
  <si>
    <t>9SOTFO320100075005-NT</t>
  </si>
  <si>
    <t>HMS-0009424</t>
  </si>
  <si>
    <t>Marco</t>
  </si>
  <si>
    <t>9ZRTFI500075078008-NT</t>
  </si>
  <si>
    <t>Zero rectangular</t>
  </si>
  <si>
    <t>HMS-0009524</t>
  </si>
  <si>
    <t>w500 x d75 x h78 x bh70</t>
  </si>
  <si>
    <t>Redefine elegance with the Bansko rectangular, a pinnacle of our TABLES series. Its design is both innovative and timeless.</t>
  </si>
  <si>
    <t>Marina plate teak</t>
  </si>
  <si>
    <t>9ZRTFO500075078008-NT</t>
  </si>
  <si>
    <t>HMS-0009624</t>
  </si>
  <si>
    <t>The Bansko rectangular in our TABLES collection is a masterpiece of craftsmanship, offering both durability and aesthetic appeal.</t>
  </si>
  <si>
    <t>Martin rectangular console</t>
  </si>
  <si>
    <t>9ZETFI300110078008-NT</t>
  </si>
  <si>
    <t>Zeno rectangular</t>
  </si>
  <si>
    <t>HMS-0009724</t>
  </si>
  <si>
    <t>w300 x d110 x h78 x bh70</t>
  </si>
  <si>
    <t>Redefine elegance with the Elena rectangular, a pinnacle of our TABLES series. Its design is both innovative and timeless.</t>
  </si>
  <si>
    <t>Mason plate lavastone</t>
  </si>
  <si>
    <t>9ZETFO300110078008-NT</t>
  </si>
  <si>
    <t>HMS-0009824</t>
  </si>
  <si>
    <t>Maverick bench</t>
  </si>
  <si>
    <t>9ZETFI450110078008-NT</t>
  </si>
  <si>
    <t>HMS-0009924</t>
  </si>
  <si>
    <t>w450 x d110 x h78 x bh70</t>
  </si>
  <si>
    <t>The Elena rectangular in our TABLES collection is a masterpiece of craftsmanship, offering both durability and aesthetic appeal.</t>
  </si>
  <si>
    <t>Melvin</t>
  </si>
  <si>
    <t>9ZETFO450110078008-NT</t>
  </si>
  <si>
    <t>HMS-0010024</t>
  </si>
  <si>
    <t>Mer square aged</t>
  </si>
  <si>
    <t>9ZETFI330110078008O-NT</t>
  </si>
  <si>
    <t>Zeno oval</t>
  </si>
  <si>
    <t>HMS-0010124</t>
  </si>
  <si>
    <t>w330 x d110 x h78 x bh70</t>
  </si>
  <si>
    <t>Elena oval is a showcase of excellence in TABLES. It combines style, functionality, and unmatched quality.</t>
  </si>
  <si>
    <t>9ZETFO330110078008O-NT</t>
  </si>
  <si>
    <t>HMS-0010224</t>
  </si>
  <si>
    <t>The Elena oval in our TABLES collection is a masterpiece of craftsmanship, offering both durability and aesthetic appeal.</t>
  </si>
  <si>
    <t>Furniture &gt; Bar Tables</t>
  </si>
  <si>
    <t>9ANTFI250100110005-NT</t>
  </si>
  <si>
    <t>Andreas rectangular bar</t>
  </si>
  <si>
    <t>BTCAR-TEA-NAT-250100110bh105-IND</t>
  </si>
  <si>
    <t xml:space="preserve"> Carrickfergus rectangular bar</t>
  </si>
  <si>
    <t>w250 x d100 x h110 x bh105</t>
  </si>
  <si>
    <t>The  Carrickfergus rectangular bar in our BAR TABLES collection is a masterpiece of craftsmanship, offering both durability and aesthetic appeal.</t>
  </si>
  <si>
    <t>Bar Tables</t>
  </si>
  <si>
    <t>9ANTFO250100110005-NT</t>
  </si>
  <si>
    <t>BTCAR-TEA-NAT-250100110bh105-OUT</t>
  </si>
  <si>
    <t>Redefine elegance with the  Carrickfergus rectangular bar, a pinnacle of our BAR TABLES series. Its design is both innovative and timeless.</t>
  </si>
  <si>
    <t>Mirror Sivana</t>
  </si>
  <si>
    <t>9BETFI285085110007-NT</t>
  </si>
  <si>
    <t>Berre rectangular bar</t>
  </si>
  <si>
    <t>BTRIQ-TEA-NAT-28585110bh103-IND</t>
  </si>
  <si>
    <t xml:space="preserve"> Riquewihr rectangular bar</t>
  </si>
  <si>
    <t>w285 x d85 x h110 x bh103</t>
  </si>
  <si>
    <t xml:space="preserve"> Riquewihr rectangular bar is a showcase of excellence in BAR TABLES. It combines style, functionality, and unmatched quality.</t>
  </si>
  <si>
    <t>Moldy</t>
  </si>
  <si>
    <t>9BETFO285085110007-NT</t>
  </si>
  <si>
    <t>BTRIQ-TEA-NAT-28585110bh103-OUT</t>
  </si>
  <si>
    <t>Mona round basket</t>
  </si>
  <si>
    <t>9ELTFI120110005-NT</t>
  </si>
  <si>
    <t>Elias round bar</t>
  </si>
  <si>
    <t>BTHAL-TEA-NAT-d120110bh105-IND</t>
  </si>
  <si>
    <t xml:space="preserve"> Hallstatt round bar</t>
  </si>
  <si>
    <t>ø120 x h110 x bh105</t>
  </si>
  <si>
    <t>Redefine elegance with the  Hallstatt round bar, a pinnacle of our BAR TABLES series. Its design is both innovative and timeless.</t>
  </si>
  <si>
    <t>Monata</t>
  </si>
  <si>
    <t>9ELTFO120110005-NT</t>
  </si>
  <si>
    <t>BTHAL-TEA-NAT-d120110bh105-OUT</t>
  </si>
  <si>
    <t>Mufazza</t>
  </si>
  <si>
    <t>9FRTFI200070110005O-NT</t>
  </si>
  <si>
    <t>Fred oval bar</t>
  </si>
  <si>
    <t>BTBIB-TEA-NAT-20070110bh105-IND</t>
  </si>
  <si>
    <t xml:space="preserve"> Bibury oval bar</t>
  </si>
  <si>
    <t>w200 x d70 x h110 x bh105</t>
  </si>
  <si>
    <t>The  Bibury oval bar in our BAR TABLES collection is a masterpiece of craftsmanship, offering both durability and aesthetic appeal.</t>
  </si>
  <si>
    <t>Nada oval server</t>
  </si>
  <si>
    <t>9FRTFO200070110005O-NT</t>
  </si>
  <si>
    <t>BTBIB-TEA-NAT-20070110bh105-OUT</t>
  </si>
  <si>
    <t xml:space="preserve"> Bibury oval bar is a showcase of excellence in BAR TABLES. It combines style, functionality, and unmatched quality.</t>
  </si>
  <si>
    <t>Nebula cushion</t>
  </si>
  <si>
    <t>9FRTFI180070110010-NT</t>
  </si>
  <si>
    <t>Fred rectangular bar</t>
  </si>
  <si>
    <t>BTSIN-TEA-NAT-18070110bh100-IND</t>
  </si>
  <si>
    <t xml:space="preserve"> Sintra rectangular bar</t>
  </si>
  <si>
    <t>w180 x d70 x h110 x bh100</t>
  </si>
  <si>
    <t>Experience unparalleled sophistication with the  Sintra rectangular bar from our BAR TABLES range. It's where design meets functionality.</t>
  </si>
  <si>
    <t>Nebula sofa-double</t>
  </si>
  <si>
    <t>9FRTFO180070110010-NT</t>
  </si>
  <si>
    <t>BTSIN-TEA-NAT-18070110bh100-OUT</t>
  </si>
  <si>
    <t>Discover the unique charm of  Sintra rectangular bar in our BAR TABLES collection. It's not just a product; it's a lifestyle.</t>
  </si>
  <si>
    <t>Ness</t>
  </si>
  <si>
    <t>9FRTFI085085110010-NT</t>
  </si>
  <si>
    <t>Fred square bar</t>
  </si>
  <si>
    <t>BTGIE-TEA-NAT-8585110bh100-IND</t>
  </si>
  <si>
    <t xml:space="preserve"> Giethoorn square bar</t>
  </si>
  <si>
    <t>w85 x d85 x h110 x bh100</t>
  </si>
  <si>
    <t xml:space="preserve"> Giethoorn square bar is a showcase of excellence in BAR TABLES. It combines style, functionality, and unmatched quality.</t>
  </si>
  <si>
    <t>9FRTFO085085110010-NT</t>
  </si>
  <si>
    <t>BTGIE-TEA-NAT-8585110bh100-OUT</t>
  </si>
  <si>
    <t>Redefine elegance with the  Giethoorn square bar, a pinnacle of our BAR TABLES series. Its design is both innovative and timeless.</t>
  </si>
  <si>
    <t>9FJTFI300085110005-NT</t>
  </si>
  <si>
    <t>Fredje rectangular bar</t>
  </si>
  <si>
    <t>BTCOL-TEA-NAT-30085110bh105-IND</t>
  </si>
  <si>
    <t xml:space="preserve"> Collioure rectangular bar</t>
  </si>
  <si>
    <t>w300 x d85 x h110 x bh105</t>
  </si>
  <si>
    <t>The  Collioure rectangular bar in our BAR TABLES collection is a masterpiece of craftsmanship, offering both durability and aesthetic appeal.</t>
  </si>
  <si>
    <t>Noel</t>
  </si>
  <si>
    <t>9FJTFO300085110005-NT</t>
  </si>
  <si>
    <t>BTCOL-TEA-NAT-30085110bh105-OUT</t>
  </si>
  <si>
    <t xml:space="preserve"> Collioure rectangular bar is a showcase of excellence in BAR TABLES. It combines style, functionality, and unmatched quality.</t>
  </si>
  <si>
    <t>nomi sake server</t>
  </si>
  <si>
    <t>9GUTFI240080110005-NT</t>
  </si>
  <si>
    <t>Gunter rectangular bar</t>
  </si>
  <si>
    <t>BTRAV-TEA-NAT-24080110bh103-IND</t>
  </si>
  <si>
    <t xml:space="preserve"> Ravello rectangular bar</t>
  </si>
  <si>
    <t>w240 x d80 x h110 x bh103</t>
  </si>
  <si>
    <t>The  Ravello rectangular bar in our BAR TABLES collection is a masterpiece of craftsmanship, offering both durability and aesthetic appeal.</t>
  </si>
  <si>
    <t>Onana hanging trog planter</t>
  </si>
  <si>
    <t>9GUTFO240080110005-NT</t>
  </si>
  <si>
    <t>BTRAV-TEA-NAT-24080110bh103-OUT</t>
  </si>
  <si>
    <t>Redefine elegance with the  Ravello rectangular bar, a pinnacle of our BAR TABLES series. Its design is both innovative and timeless.</t>
  </si>
  <si>
    <t>Orion bench</t>
  </si>
  <si>
    <t>9GUTFI3L120110005-NT</t>
  </si>
  <si>
    <t>Gunter round bar 3-leg</t>
  </si>
  <si>
    <t>BTZER-TEA-NAT-d120110bh105-IND</t>
  </si>
  <si>
    <t xml:space="preserve"> Zermatt round bar 3L</t>
  </si>
  <si>
    <t>Experience unparalleled sophistication with the  Zermatt round bar 3L from our BAR TABLES range. It's where design meets functionality.</t>
  </si>
  <si>
    <t>Ornate Accent Stand</t>
  </si>
  <si>
    <t>9GUTFO3L120110005-NT</t>
  </si>
  <si>
    <t>BTZER-TEA-NAT-d120110bh105-OUT</t>
  </si>
  <si>
    <t xml:space="preserve"> Zermatt round bar 3L is a showcase of excellence in BAR TABLES. It combines style, functionality, and unmatched quality.</t>
  </si>
  <si>
    <t>Peni</t>
  </si>
  <si>
    <t>9GUTFI4L120110005-NT</t>
  </si>
  <si>
    <t>Gunter round bar 4-leg</t>
  </si>
  <si>
    <t>BTGIM-TEA-NAT-d120110bh105-IND</t>
  </si>
  <si>
    <t xml:space="preserve"> Gimmelwald round bar 4L</t>
  </si>
  <si>
    <t>Redefine elegance with the  Gimmelwald round bar 4L, a pinnacle of our BAR TABLES series. Its design is both innovative and timeless.</t>
  </si>
  <si>
    <t>Pierre rectangular console</t>
  </si>
  <si>
    <t>9GUTFO4L120110005-NT</t>
  </si>
  <si>
    <t>BTGIM-TEA-NAT-d120110bh105-OUT</t>
  </si>
  <si>
    <t>Pinot glass high</t>
  </si>
  <si>
    <t>9JOTFI280100110005-NT</t>
  </si>
  <si>
    <t>Jonas rectangular bar</t>
  </si>
  <si>
    <t>BTRÜD-TEA-NAT-280100110bh105-IND</t>
  </si>
  <si>
    <t xml:space="preserve"> Rüdesheim rectangular bar</t>
  </si>
  <si>
    <t>w280 x d100 x h110 x bh105</t>
  </si>
  <si>
    <t>Redefine elegance with the  Rüdesheim rectangular bar, a pinnacle of our BAR TABLES series. Its design is both innovative and timeless.</t>
  </si>
  <si>
    <t>Pinot glass low</t>
  </si>
  <si>
    <t>9JOTFO280100110005-NT</t>
  </si>
  <si>
    <t>BTRÜD-TEA-NAT-280100110bh105-OUT</t>
  </si>
  <si>
    <t>The  Rüdesheim rectangular bar in our BAR TABLES collection is a masterpiece of craftsmanship, offering both durability and aesthetic appeal.</t>
  </si>
  <si>
    <t>9KYTFI070090005-NT</t>
  </si>
  <si>
    <t xml:space="preserve">Kyle round bar table </t>
  </si>
  <si>
    <t>BTSAN-TEA-NAT-d7090bh85-IND</t>
  </si>
  <si>
    <t xml:space="preserve"> Santorini round bar table</t>
  </si>
  <si>
    <t>ø70 x h90 x bh85</t>
  </si>
  <si>
    <t xml:space="preserve"> Santorini round bar table is a showcase of excellence in BAR TABLES. It combines style, functionality, and unmatched quality.</t>
  </si>
  <si>
    <t>Plasa bowl</t>
  </si>
  <si>
    <t>9KYTFO070090005-NT</t>
  </si>
  <si>
    <t>BTSAN-TEA-NAT-d7090bh85-OUT</t>
  </si>
  <si>
    <t>Experience unparalleled sophistication with the  Santorini round bar table from our BAR TABLES range. It's where design meets functionality.</t>
  </si>
  <si>
    <t>9KYTFI070110005-NT</t>
  </si>
  <si>
    <t>BTSAN-TEA-NAT-d70110bh105-IND</t>
  </si>
  <si>
    <t>ø70 x h110 x bh105</t>
  </si>
  <si>
    <t>The  Santorini round bar table in our BAR TABLES collection is a masterpiece of craftsmanship, offering both durability and aesthetic appeal.</t>
  </si>
  <si>
    <t>Quadrant Footed Platter</t>
  </si>
  <si>
    <t>9KYTFO070110005-NT</t>
  </si>
  <si>
    <t>BTSAN-TEA-NAT-d70110bh105-OUT</t>
  </si>
  <si>
    <t>Ran punch bowl</t>
  </si>
  <si>
    <t>FL470</t>
  </si>
  <si>
    <t>Dasar bar table</t>
  </si>
  <si>
    <t>BTGIV-TEA-NAT-d90100-OUT</t>
  </si>
  <si>
    <t xml:space="preserve"> Giverny bar table</t>
  </si>
  <si>
    <t>ø90 x h100</t>
  </si>
  <si>
    <t>teak root</t>
  </si>
  <si>
    <t>In house + Consolidation</t>
  </si>
  <si>
    <t>Experience unparalleled sophistication with the  Giverny bar table from our BAR TABLES range. It's where design meets functionality.</t>
  </si>
  <si>
    <t>32</t>
  </si>
  <si>
    <t>Ratchaburi Cabinets</t>
  </si>
  <si>
    <t>9BTR</t>
  </si>
  <si>
    <t>Bar table root</t>
  </si>
  <si>
    <t>BTBLE-TEA-NAT-120120110-OUT</t>
  </si>
  <si>
    <t>Bled Table Root</t>
  </si>
  <si>
    <t>w120 x d120 x h110</t>
  </si>
  <si>
    <t>Redefine elegance with the Bled Table Root, a pinnacle of our BAR TABLES series. Its design is both innovative and timeless.</t>
  </si>
  <si>
    <t>Ravello rectangular bar</t>
  </si>
  <si>
    <t>FL107</t>
  </si>
  <si>
    <t>Hans bar table</t>
  </si>
  <si>
    <t>BTTUS-TEA-NAT-d70105-OUT</t>
  </si>
  <si>
    <t xml:space="preserve"> Tuscany bar table</t>
  </si>
  <si>
    <t>ø70 x h105</t>
  </si>
  <si>
    <t>teak branches</t>
  </si>
  <si>
    <t>Discover the unique charm of  Tuscany bar table in our BAR TABLES collection. It's not just a product; it's a lifestyle.</t>
  </si>
  <si>
    <t>27</t>
  </si>
  <si>
    <t>Regina Tray</t>
  </si>
  <si>
    <t>5T080002WH-B</t>
  </si>
  <si>
    <t>round top bluestone for article FL107</t>
  </si>
  <si>
    <t>BTADA-TEA-NAT-d180-OUT</t>
  </si>
  <si>
    <t xml:space="preserve"> Adare bluestone FL107</t>
  </si>
  <si>
    <t>Consolidation</t>
  </si>
  <si>
    <t>Experience unparalleled sophistication with the  Adare bluestone FL107 from our BAR TABLES range. It's where design meets functionality.</t>
  </si>
  <si>
    <t>Rhein riverstone Axel</t>
  </si>
  <si>
    <t>round top bluestone with hole for article FL107</t>
  </si>
  <si>
    <t>BTADA-STO-NAT-d130-OUT</t>
  </si>
  <si>
    <t>Redefine elegance with the  Adare bluestone FL107, a pinnacle of our BAR TABLES series. Its design is both innovative and timeless.</t>
  </si>
  <si>
    <t>parasol rattan Ø120</t>
  </si>
  <si>
    <t>BTAMA-RAT-NAT-d120-OUT</t>
  </si>
  <si>
    <t xml:space="preserve"> Amalfi rattan Ø120</t>
  </si>
  <si>
    <t>ø120</t>
  </si>
  <si>
    <t xml:space="preserve"> Amalfi rattan Ø120 is a showcase of excellence in BAR TABLES. It combines style, functionality, and unmatched quality.</t>
  </si>
  <si>
    <t>5P020020027-BA</t>
  </si>
  <si>
    <t>parasol holder bluestone antique for article 21950</t>
  </si>
  <si>
    <t>BTRAV-STO-NAT-d160-OUT</t>
  </si>
  <si>
    <t xml:space="preserve"> Ravello holder bluestone antique for article 21950</t>
  </si>
  <si>
    <t>Redefine elegance with the  Ravello holder bluestone antique for article 21950, a pinnacle of our BAR TABLES series. Its design is both innovative and timeless.</t>
  </si>
  <si>
    <t>Riquewihr rectangular bar</t>
  </si>
  <si>
    <t>9SU</t>
  </si>
  <si>
    <t>stick umbrella for item 21950</t>
  </si>
  <si>
    <t>BTPOR-TEA-NAT-d160-OUT</t>
  </si>
  <si>
    <t xml:space="preserve"> Portofino umbrella for item 21950</t>
  </si>
  <si>
    <t>Experience unparalleled sophistication with the  Portofino umbrella for item 21950 from our BAR TABLES range. It's where design meets functionality.</t>
  </si>
  <si>
    <t>Rocky End Stand</t>
  </si>
  <si>
    <t>FL067</t>
  </si>
  <si>
    <t>Bar table branch</t>
  </si>
  <si>
    <t>BTZEN-TEA-NAT-d70110-SEM</t>
  </si>
  <si>
    <t>Zenith table Branch</t>
  </si>
  <si>
    <t>ø70 x h110</t>
  </si>
  <si>
    <t xml:space="preserve">teak branches semi-outdoor </t>
  </si>
  <si>
    <t>Redefine elegance with the Zenith table Branch, a pinnacle of our BAR TABLES series. Its design is both innovative and timeless.</t>
  </si>
  <si>
    <t>Rood Divider</t>
  </si>
  <si>
    <t>FL067L</t>
  </si>
  <si>
    <t>BTZEN-TEA-NAT-d7090-SEM</t>
  </si>
  <si>
    <t xml:space="preserve"> ø70 x h90</t>
  </si>
  <si>
    <t>Discover the unique charm of Zenith table Branch in our BAR TABLES collection. It's not just a product; it's a lifestyle.</t>
  </si>
  <si>
    <t>Furniture &gt; Coffee Tables</t>
  </si>
  <si>
    <t>9CTR090090</t>
  </si>
  <si>
    <t>Coffee table rustic</t>
  </si>
  <si>
    <t>CTGR-SQ-RUS-909035-NTO</t>
  </si>
  <si>
    <t>Grindelwald Rustic Village</t>
  </si>
  <si>
    <t>w90 x d90 x h35</t>
  </si>
  <si>
    <t>teak rustic</t>
  </si>
  <si>
    <t>Redefine elegance with the Grindelwald Rustic Village, a pinnacle of our COFFEE TABLES series. Its design is both innovative and timeless.</t>
  </si>
  <si>
    <t>Coffee Table</t>
  </si>
  <si>
    <t>33</t>
  </si>
  <si>
    <t>Rüdesheim rectangular bar</t>
  </si>
  <si>
    <t>9CTR120040</t>
  </si>
  <si>
    <t>CTWE-RC-RUS-1204035-NTO</t>
  </si>
  <si>
    <t>Wengen Rustic Hamlet</t>
  </si>
  <si>
    <t>w120 x d40 x h35</t>
  </si>
  <si>
    <t>The Wengen Rustic Hamlet in our COFFEE TABLES collection is a masterpiece of craftsmanship, offering both durability and aesthetic appeal.</t>
  </si>
  <si>
    <t>Rye Bar Chair</t>
  </si>
  <si>
    <t>9CTR200100</t>
  </si>
  <si>
    <t>CTHA-RC-RUS-20010035-NTO</t>
  </si>
  <si>
    <t>Hallstatt Rustic Town</t>
  </si>
  <si>
    <t>w200 x d100 x h35</t>
  </si>
  <si>
    <t>rustic teak indoor</t>
  </si>
  <si>
    <t>Experience unparalleled sophistication with the Hallstatt Rustic Town from our COFFEE TABLES range. It's where design meets functionality.</t>
  </si>
  <si>
    <t>20</t>
  </si>
  <si>
    <t>Ryu server</t>
  </si>
  <si>
    <t>9CTRW080080</t>
  </si>
  <si>
    <t>Coffee table rustic on wheels</t>
  </si>
  <si>
    <t>CTRA-SQ-WHE-808035-NTO</t>
  </si>
  <si>
    <t>Ravello Wheels Hamlet</t>
  </si>
  <si>
    <t>w80 x d80 x h35</t>
  </si>
  <si>
    <t>Ravello Wheels Hamlet is a showcase of excellence in COFFEE TABLES. It combines style, functionality, and unmatched quality.</t>
  </si>
  <si>
    <t>Saintes Bar Stool</t>
  </si>
  <si>
    <t>9CTRW100040</t>
  </si>
  <si>
    <t>CTPO-RC-WHE-1004035-NTO</t>
  </si>
  <si>
    <t>Positano Wheels Village</t>
  </si>
  <si>
    <t>w100 x d40 x h35</t>
  </si>
  <si>
    <t>Redefine elegance with the Positano Wheels Village, a pinnacle of our COFFEE TABLES series. Its design is both innovative and timeless.</t>
  </si>
  <si>
    <t>Sam</t>
  </si>
  <si>
    <t>9CTRW220100</t>
  </si>
  <si>
    <t>CTSA-RC-WHE-22010035-NTO</t>
  </si>
  <si>
    <t>Santorini Wheels Town</t>
  </si>
  <si>
    <t>w220 x d100 x h35</t>
  </si>
  <si>
    <t>Redefine elegance with the Santorini Wheels Town, a pinnacle of our COFFEE TABLES series. Its design is both innovative and timeless.</t>
  </si>
  <si>
    <t>Santorini round bar table</t>
  </si>
  <si>
    <t>9MENCT120120035-RW</t>
  </si>
  <si>
    <t>Mendoza coffee table</t>
  </si>
  <si>
    <t>CTRI-SQ-MEN-12012035-NTO</t>
  </si>
  <si>
    <t>Riquewihr Mendoza Village</t>
  </si>
  <si>
    <t>w120 x d120 x h35</t>
  </si>
  <si>
    <t>teak reailway outdoor</t>
  </si>
  <si>
    <t>Discover the unique charm of Riquewihr Mendoza Village in our COFFEE TABLES collection. It's not just a product; it's a lifestyle.</t>
  </si>
  <si>
    <t>31</t>
  </si>
  <si>
    <t>Shaw</t>
  </si>
  <si>
    <t>9MENCT120035035-RW</t>
  </si>
  <si>
    <t>CTCO-RC-MEN-1203535-NTO</t>
  </si>
  <si>
    <t>Colmar Mendoza Town</t>
  </si>
  <si>
    <t xml:space="preserve">w120 x d35 x h35 </t>
  </si>
  <si>
    <t>Colmar Mendoza Town is a showcase of excellence in COFFEE TABLES. It combines style, functionality, and unmatched quality.</t>
  </si>
  <si>
    <t>Silva</t>
  </si>
  <si>
    <t>9MENCT180085035-RW</t>
  </si>
  <si>
    <t>CTSI-RC-MEN-1808535-NTO</t>
  </si>
  <si>
    <t>Sintra Mendoza Hamlet</t>
  </si>
  <si>
    <t xml:space="preserve">w180 x d85 x h35 </t>
  </si>
  <si>
    <t>Discover the unique charm of Sintra Mendoza Hamlet in our COFFEE TABLES collection. It's not just a product; it's a lifestyle.</t>
  </si>
  <si>
    <t>Sintra rectangular bar</t>
  </si>
  <si>
    <t>9MENCT200090035-RW</t>
  </si>
  <si>
    <t>CTZE-RC-MEN-2009035-NTO</t>
  </si>
  <si>
    <t>Zermatt Mendoza Village</t>
  </si>
  <si>
    <t>w200 x d90 x h35</t>
  </si>
  <si>
    <t>Experience unparalleled sophistication with the Zermatt Mendoza Village from our COFFEE TABLES range. It's where design meets functionality.</t>
  </si>
  <si>
    <t>9MENCT260080035-RW</t>
  </si>
  <si>
    <t>CTGI-RC-MEN-2608035-NTO</t>
  </si>
  <si>
    <t>Gimmelwald Mendoza Town</t>
  </si>
  <si>
    <t>w260 x d80 x h35</t>
  </si>
  <si>
    <t>The Gimmelwald Mendoza Town in our COFFEE TABLES collection is a masterpiece of craftsmanship, offering both durability and aesthetic appeal.</t>
  </si>
  <si>
    <t>foot coffee table Abaca small</t>
  </si>
  <si>
    <t>CTRO-RD-ABA-d3838-NTO</t>
  </si>
  <si>
    <t>Rocamadour Abaca Village</t>
  </si>
  <si>
    <t>d38 x h38</t>
  </si>
  <si>
    <t>natural teak and banana leaf with iron outdoor</t>
  </si>
  <si>
    <t>The Rocamadour Abaca Village in our COFFEE TABLES collection is a masterpiece of craftsmanship, offering both durability and aesthetic appeal.</t>
  </si>
  <si>
    <t>FL684</t>
  </si>
  <si>
    <t xml:space="preserve">top coffee table Abaca small </t>
  </si>
  <si>
    <t>d38 x h39</t>
  </si>
  <si>
    <t>Solstice bench</t>
  </si>
  <si>
    <t>foot coffee table Abaca large</t>
  </si>
  <si>
    <t>d76 x h37</t>
  </si>
  <si>
    <t>Standing Kubo</t>
  </si>
  <si>
    <t>FL685</t>
  </si>
  <si>
    <t>top coffee table Abaca large</t>
  </si>
  <si>
    <t>CTPO-RD-ABA-d7638-NTO</t>
  </si>
  <si>
    <t>Portofino Abaca Town</t>
  </si>
  <si>
    <t>d76 x h38</t>
  </si>
  <si>
    <t>Redefine elegance with the Portofino Abaca Town, a pinnacle of our COFFEE TABLES series. Its design is both innovative and timeless.</t>
  </si>
  <si>
    <t>Sylvester lavastone</t>
  </si>
  <si>
    <t>Furniture &gt; Side Tables</t>
  </si>
  <si>
    <t>Teava pipe</t>
  </si>
  <si>
    <t>FL675</t>
  </si>
  <si>
    <t>Carved round stool</t>
  </si>
  <si>
    <t>STCA-RD-PER-d3545--</t>
  </si>
  <si>
    <t>Carved Circular Perch</t>
  </si>
  <si>
    <t>d35 x h45</t>
  </si>
  <si>
    <t>natural teak</t>
  </si>
  <si>
    <t>Experience unparalleled sophistication with the Carved Circular Perch from our SIDE TABLES range. It's where design meets functionality.</t>
  </si>
  <si>
    <t>Side Table</t>
  </si>
  <si>
    <t>Tom plate flat black</t>
  </si>
  <si>
    <t>9FLF045045038-BA</t>
  </si>
  <si>
    <t>foot Flint side table small</t>
  </si>
  <si>
    <t>STRO-SQ-STA-454543--</t>
  </si>
  <si>
    <t>w45 x d45 x h38</t>
  </si>
  <si>
    <t>bare</t>
  </si>
  <si>
    <t>Discover the unique charm of Rocky End Stand in our SIDE TABLES collection. It's not just a product; it's a lifestyle.</t>
  </si>
  <si>
    <t>03</t>
  </si>
  <si>
    <t>Tom plate flat white</t>
  </si>
  <si>
    <t>CGL164</t>
  </si>
  <si>
    <t>top Flint small</t>
  </si>
  <si>
    <t>w45 x d45 x h5</t>
  </si>
  <si>
    <t>lavastone</t>
  </si>
  <si>
    <t>08</t>
  </si>
  <si>
    <t>Tom plate high curved black</t>
  </si>
  <si>
    <t>9FLF060060038-BA</t>
  </si>
  <si>
    <t>foot Flint side table medium</t>
  </si>
  <si>
    <t>STRO-SQ-STA-606043--</t>
  </si>
  <si>
    <t>w60 x d60 x h43</t>
  </si>
  <si>
    <t>Rocky End Stand is a showcase of excellence in SIDE TABLES. It combines style, functionality, and unmatched quality.</t>
  </si>
  <si>
    <t>Tom plate high curved white</t>
  </si>
  <si>
    <t>CGL165</t>
  </si>
  <si>
    <t>top Flint medium</t>
  </si>
  <si>
    <t>w60 x d60 x h5</t>
  </si>
  <si>
    <t>Tom plate soft curved black</t>
  </si>
  <si>
    <t>9FLF068068038-BA + CGL168</t>
  </si>
  <si>
    <t>Flint side table</t>
  </si>
  <si>
    <t>STRO-SQ-STA-686843--</t>
  </si>
  <si>
    <t>w68 x d68 x h43</t>
  </si>
  <si>
    <t xml:space="preserve">bare base &amp; riverstone top </t>
  </si>
  <si>
    <t>The Rocky End Stand in our SIDE TABLES collection is a masterpiece of craftsmanship, offering both durability and aesthetic appeal.</t>
  </si>
  <si>
    <t>Tom plate soft curved white</t>
  </si>
  <si>
    <t>9JUTFI050060004-BA</t>
  </si>
  <si>
    <t>Judas side table</t>
  </si>
  <si>
    <t>STOR-RD-STA-d5060-ind</t>
  </si>
  <si>
    <t>d50 x h60</t>
  </si>
  <si>
    <t>bare indoor</t>
  </si>
  <si>
    <t xml:space="preserve">in house </t>
  </si>
  <si>
    <t>Discover the unique charm of Ornate Accent Stand in our SIDE TABLES collection. It's not just a product; it's a lifestyle.</t>
  </si>
  <si>
    <t>Tom with lid</t>
  </si>
  <si>
    <t>9JUTFI090075004-BA</t>
  </si>
  <si>
    <t>STOR-RD-STA-d9075-out</t>
  </si>
  <si>
    <t>d90 x h75</t>
  </si>
  <si>
    <t>in house</t>
  </si>
  <si>
    <t>The Ornate Accent Stand in our SIDE TABLES collection is a masterpiece of craftsmanship, offering both durability and aesthetic appeal.</t>
  </si>
  <si>
    <t>Tom with lid high</t>
  </si>
  <si>
    <t>FL438S</t>
  </si>
  <si>
    <t>Plate on 4 feet</t>
  </si>
  <si>
    <t>STQU-RD-PLA-d5023--</t>
  </si>
  <si>
    <t>d50 x h23</t>
  </si>
  <si>
    <t>The Quadrant Footed Platter in our SIDE TABLES collection is a masterpiece of craftsmanship, offering both durability and aesthetic appeal.</t>
  </si>
  <si>
    <t>Tom with lid low</t>
  </si>
  <si>
    <t>FL438</t>
  </si>
  <si>
    <t>STQU-RD-PLA-d6023--</t>
  </si>
  <si>
    <t>d60 x h23</t>
  </si>
  <si>
    <t>Experience unparalleled sophistication with the Quadrant Footed Platter from our SIDE TABLES range. It's where design meets functionality.</t>
  </si>
  <si>
    <t>Tre</t>
  </si>
  <si>
    <t>FL430</t>
  </si>
  <si>
    <t>Round pouffe</t>
  </si>
  <si>
    <t>STCI-RD-POU-d3539--</t>
  </si>
  <si>
    <t>Circular Rest Pouffe</t>
  </si>
  <si>
    <t>d35 x I39</t>
  </si>
  <si>
    <t>Experience unparalleled sophistication with the Circular Rest Pouffe from our SIDE TABLES range. It's where design meets functionality.</t>
  </si>
  <si>
    <t>Vania serving board</t>
  </si>
  <si>
    <t>Furniture &gt; Consoles</t>
  </si>
  <si>
    <t>Varane</t>
  </si>
  <si>
    <t>9BETFI200050090005-NT</t>
  </si>
  <si>
    <t>Berre rectangular console</t>
  </si>
  <si>
    <t>COLÉ-RC-TEA-2005090BH85-NTI</t>
  </si>
  <si>
    <t>w200 x d50 x h90 x bh85</t>
  </si>
  <si>
    <t>Discover the unique charm of L'Église rectangular console in our CONSOLES collection. It's not just a product; it's a lifestyle.</t>
  </si>
  <si>
    <t>Consoles</t>
  </si>
  <si>
    <t>9BETF0200050090005-NT</t>
  </si>
  <si>
    <t>COLÉ-RC-TEA-2005090BH85-NTO</t>
  </si>
  <si>
    <t xml:space="preserve">Natural teak outdoor </t>
  </si>
  <si>
    <t>L'Église rectangular console is a showcase of excellence in CONSOLES. It combines style, functionality, and unmatched quality.</t>
  </si>
  <si>
    <t>Vasile</t>
  </si>
  <si>
    <t>9BOTF250060075-TOBA</t>
  </si>
  <si>
    <t>Bonsai rectangular console</t>
  </si>
  <si>
    <t>COMA-RC-TEA-2506075-BIO</t>
  </si>
  <si>
    <t>w250 x d60 x h75</t>
  </si>
  <si>
    <t>teak original - bare indoor</t>
  </si>
  <si>
    <t>Martin rectangular console is a showcase of excellence in CONSOLES. It combines style, functionality, and unmatched quality.</t>
  </si>
  <si>
    <t>teak original - bare outdoor</t>
  </si>
  <si>
    <t>The Martin rectangular console in our CONSOLES collection is a masterpiece of craftsmanship, offering both durability and aesthetic appeal.</t>
  </si>
  <si>
    <t>9GUTFI200070090005-NT</t>
  </si>
  <si>
    <t>Gunter rectangular console</t>
  </si>
  <si>
    <t>COGU-RC-TEA-2007090BH85-ind</t>
  </si>
  <si>
    <t>w200 x d70 x h90 x bh85</t>
  </si>
  <si>
    <t>Experience unparalleled sophistication with the Gunterdorf rectangular console from our CONSOLES range. It's where design meets functionality.</t>
  </si>
  <si>
    <t>Weenie towel rack</t>
  </si>
  <si>
    <t>9GUTFO200070090005-NT</t>
  </si>
  <si>
    <t>COGU-RC-TEA-2007090BH85-out</t>
  </si>
  <si>
    <t>Redefine elegance with the Gunterdorf rectangular console, a pinnacle of our CONSOLES series. Its design is both innovative and timeless.</t>
  </si>
  <si>
    <t>Weser extension console</t>
  </si>
  <si>
    <t>9KYTFI075075078006-NT</t>
  </si>
  <si>
    <t>Kyle rectangular console</t>
  </si>
  <si>
    <t>COWE-RC-TEA-757578BH74-NTI</t>
  </si>
  <si>
    <t>Weser rectangular console</t>
  </si>
  <si>
    <t>w75 x d75 x h78 x bh74</t>
  </si>
  <si>
    <t>Experience unparalleled sophistication with the Weser rectangular console from our CONSOLES range. It's where design meets functionality.</t>
  </si>
  <si>
    <t>9KYTFO075075078006-NT</t>
  </si>
  <si>
    <t>COWE-RC-TEA-757578BH74-NTO</t>
  </si>
  <si>
    <t>Weser rectangular console is a showcase of excellence in CONSOLES. It combines style, functionality, and unmatched quality.</t>
  </si>
  <si>
    <t>Wiro pillow</t>
  </si>
  <si>
    <t>9KYTFEI075040078006-NT</t>
  </si>
  <si>
    <t>Kyle extension console</t>
  </si>
  <si>
    <t>COWE-ext-TEA-754078BH74-NTI</t>
  </si>
  <si>
    <t>w75 x d40 x h78 x bh74</t>
  </si>
  <si>
    <t>The Weser extension console in our CONSOLES collection is a masterpiece of craftsmanship, offering both durability and aesthetic appeal.</t>
  </si>
  <si>
    <t>Wiro pillow souffle</t>
  </si>
  <si>
    <t>9KYTFEO075040078006-NT</t>
  </si>
  <si>
    <t>COWE-ext-TEA-754078BH74-NTO</t>
  </si>
  <si>
    <t>Woody tree stump</t>
  </si>
  <si>
    <t>9LITFI200050090005-NT</t>
  </si>
  <si>
    <t>Liesje rectangular console</t>
  </si>
  <si>
    <t>COBA-RC-TEA-2005090BH85-NTI</t>
  </si>
  <si>
    <t>Experience unparalleled sophistication with the Bains rectangular console from our CONSOLES range. It's where design meets functionality.</t>
  </si>
  <si>
    <t>Xlendi Cabinets</t>
  </si>
  <si>
    <t>9LITFO200050090005-NT</t>
  </si>
  <si>
    <t>COBA-RC-TEA-2005090BH85-NTO</t>
  </si>
  <si>
    <t>Bains rectangular console is a showcase of excellence in CONSOLES. It combines style, functionality, and unmatched quality.</t>
  </si>
  <si>
    <t>Yelena bowl clear</t>
  </si>
  <si>
    <t>9ROTFI200050090005-NT</t>
  </si>
  <si>
    <t>Robusta rectangular console</t>
  </si>
  <si>
    <t>COBO-RC-TEA-2005090BH79-NTI</t>
  </si>
  <si>
    <t>w200 x d50 x h90 x bh79</t>
  </si>
  <si>
    <t>Bourg rectangular console is a showcase of excellence in CONSOLES. It combines style, functionality, and unmatched quality.</t>
  </si>
  <si>
    <t>Yelena bowl clear matte</t>
  </si>
  <si>
    <t>9ROTFO200050090005-NT</t>
  </si>
  <si>
    <t>COBO-RC-TEA-2005090BH79-NTO</t>
  </si>
  <si>
    <t>Yelena bowl grey</t>
  </si>
  <si>
    <t>9ZETFI200050090008-NT</t>
  </si>
  <si>
    <t>Zeno rectangular console</t>
  </si>
  <si>
    <t>COPI-RC-TEA-2005090BH82-NTI</t>
  </si>
  <si>
    <t>w200 x d50 x h90 x bh82</t>
  </si>
  <si>
    <t>Discover the unique charm of Pierre rectangular console in our CONSOLES collection. It's not just a product; it's a lifestyle.</t>
  </si>
  <si>
    <t>Yelena bowl grey matte</t>
  </si>
  <si>
    <t>9ZETFO200050090008-NT</t>
  </si>
  <si>
    <t>COPI-RC-TEA-2005090BH82-NTO</t>
  </si>
  <si>
    <t>Yelena carafe</t>
  </si>
  <si>
    <t>9DIC220040075010-NT</t>
  </si>
  <si>
    <t>Dimi rectangular console</t>
  </si>
  <si>
    <t>COHO-RC-TEA-2204075-NTI</t>
  </si>
  <si>
    <t xml:space="preserve"> w220 x d40 x h75</t>
  </si>
  <si>
    <t>Hof rectangular console is a showcase of excellence in CONSOLES. It combines style, functionality, and unmatched quality.</t>
  </si>
  <si>
    <t>Yelena cup clear</t>
  </si>
  <si>
    <t>COHO-RC-TEA-2204075-NTO</t>
  </si>
  <si>
    <t>Experience unparalleled sophistication with the Hof rectangular console from our CONSOLES range. It's where design meets functionality.</t>
  </si>
  <si>
    <t>Yelena cup clear snow</t>
  </si>
  <si>
    <t>9DIC080080060010-TF</t>
  </si>
  <si>
    <t>Dimi square console</t>
  </si>
  <si>
    <t>COHO-SQ-TEA-808060-TFI</t>
  </si>
  <si>
    <t>Hof square console</t>
  </si>
  <si>
    <t>w80 x d80 x h60</t>
  </si>
  <si>
    <t>teak fume indoor</t>
  </si>
  <si>
    <t>Redefine elegance with the Hof square console, a pinnacle of our CONSOLES series. Its design is both innovative and timeless.</t>
  </si>
  <si>
    <t>29</t>
  </si>
  <si>
    <t>Yelena cup crackle</t>
  </si>
  <si>
    <t>CGRSA045036015</t>
  </si>
  <si>
    <t>sink riverstone Axel small</t>
  </si>
  <si>
    <t>CORH--STO-453615--</t>
  </si>
  <si>
    <t>w45 x d36 x h15</t>
  </si>
  <si>
    <t>Riverstone</t>
  </si>
  <si>
    <t>Experience unparalleled sophistication with the Rhein riverstone Axel from our CONSOLES range. It's where design meets functionality.</t>
  </si>
  <si>
    <t>18</t>
  </si>
  <si>
    <t>Yelena plate black</t>
  </si>
  <si>
    <t>CGRSA071051025</t>
  </si>
  <si>
    <t>sink riverstone Axel large</t>
  </si>
  <si>
    <t>CORH--STO-715125--</t>
  </si>
  <si>
    <t>w71 x d51 x h25</t>
  </si>
  <si>
    <t>Discover the unique charm of Rhein riverstone Axel in our CONSOLES collection. It's not just a product; it's a lifestyle.</t>
  </si>
  <si>
    <t>Yelena plate riverstone</t>
  </si>
  <si>
    <t>4C030070090-AO</t>
  </si>
  <si>
    <t>Console rectangular aged oak</t>
  </si>
  <si>
    <t>COME-RC-OAK-307090-OI</t>
  </si>
  <si>
    <t>Mer rectangular aged</t>
  </si>
  <si>
    <t>w30 x d70 x h90</t>
  </si>
  <si>
    <t>oak indoor</t>
  </si>
  <si>
    <t>The Mer rectangular aged in our CONSOLES collection is a masterpiece of craftsmanship, offering both durability and aesthetic appeal.</t>
  </si>
  <si>
    <t>11</t>
  </si>
  <si>
    <t>Yelena plate white</t>
  </si>
  <si>
    <t>5T030070002-B</t>
  </si>
  <si>
    <t>top bluestone</t>
  </si>
  <si>
    <t>COAU--STO-30702--</t>
  </si>
  <si>
    <t xml:space="preserve">Aube bluestone </t>
  </si>
  <si>
    <t>w30 x d70 x h2</t>
  </si>
  <si>
    <t>Experience unparalleled sophistication with the Aube bluestone  from our CONSOLES range. It's where design meets functionality.</t>
  </si>
  <si>
    <t>Yelena shot clear</t>
  </si>
  <si>
    <t>4C040040050-AO</t>
  </si>
  <si>
    <t>Console square aged oak</t>
  </si>
  <si>
    <t>COME-SQ-OAK-404050-OI</t>
  </si>
  <si>
    <t>w40 x d40 x h50</t>
  </si>
  <si>
    <t>The Mer square aged in our CONSOLES collection is a masterpiece of craftsmanship, offering both durability and aesthetic appeal.</t>
  </si>
  <si>
    <t>Yelena shot clear matte</t>
  </si>
  <si>
    <t>4C040040090-AO</t>
  </si>
  <si>
    <t>COME-SQ-OAK-404090-OI</t>
  </si>
  <si>
    <t xml:space="preserve"> w40 x d40 x h90</t>
  </si>
  <si>
    <t>Mer square aged is a showcase of excellence in CONSOLES. It combines style, functionality, and unmatched quality.</t>
  </si>
  <si>
    <t>Yelena shot clear snow</t>
  </si>
  <si>
    <t>4VITST065065110C-RR</t>
  </si>
  <si>
    <t>Hanging vitrine stretched metal</t>
  </si>
  <si>
    <t>COME-RC-MET-6565110--</t>
  </si>
  <si>
    <t>Metallbourg vitrine stretched</t>
  </si>
  <si>
    <t>w65 x d65 x h110</t>
  </si>
  <si>
    <t>rustic rust with stretched metal</t>
  </si>
  <si>
    <t>Metallbourg vitrine stretched is a showcase of excellence in CONSOLES. It combines style, functionality, and unmatched quality.</t>
  </si>
  <si>
    <t>Yelena shot crackle</t>
  </si>
  <si>
    <t>Furniture &gt; Cabinets</t>
  </si>
  <si>
    <t>Zenith bench</t>
  </si>
  <si>
    <t>9CJ-TO</t>
  </si>
  <si>
    <t>Jos original teak</t>
  </si>
  <si>
    <t>CBAR-RC-TEA-8050210-IND</t>
  </si>
  <si>
    <t>Arvika Cabinets1</t>
  </si>
  <si>
    <t>w80 x d50 x h210</t>
  </si>
  <si>
    <t>teak original indoor</t>
  </si>
  <si>
    <t>Experience unparalleled sophistication with the Arvika Cabinets1 from our CABINETS range. It's where design meets functionality.</t>
  </si>
  <si>
    <t>Cabinet</t>
  </si>
  <si>
    <t>9CJ</t>
  </si>
  <si>
    <t>Jos reclaimed teak</t>
  </si>
  <si>
    <t>Arvika Cabinets2</t>
  </si>
  <si>
    <t>reclaimed teak indoor</t>
  </si>
  <si>
    <t>Discover the unique charm of Arvika Cabinets2 in our CABINETS collection. It's not just a product; it's a lifestyle.</t>
  </si>
  <si>
    <t>17</t>
  </si>
  <si>
    <t>Zephyr bench</t>
  </si>
  <si>
    <t>9CJ-BA</t>
  </si>
  <si>
    <t>Jos bare</t>
  </si>
  <si>
    <t>CBAR-RC-BAR-8050210-IND</t>
  </si>
  <si>
    <t>Arvika Cabinets3</t>
  </si>
  <si>
    <t>Experience unparalleled sophistication with the Arvika Cabinets3 from our CABINETS range. It's where design meets functionality.</t>
  </si>
  <si>
    <t>Zermatt round bar 3L</t>
  </si>
  <si>
    <t>9JOC090050210-CSC</t>
  </si>
  <si>
    <t>Jos teak chainsaw cut</t>
  </si>
  <si>
    <t>CBPA-RC-TEA-9050210-IND</t>
  </si>
  <si>
    <t>Paharpur Cabinets1</t>
  </si>
  <si>
    <t>w90 x d50 x h210</t>
  </si>
  <si>
    <t>teak chainsaw cut indoor</t>
  </si>
  <si>
    <t>Experience unparalleled sophistication with the Paharpur Cabinets1 from our CABINETS range. It's where design meets functionality.</t>
  </si>
  <si>
    <t>28</t>
  </si>
  <si>
    <t>Zuko fire basket</t>
  </si>
  <si>
    <t>9JOC100040210-CSC</t>
  </si>
  <si>
    <t>CBPA-RC-TEA-10040210-IND</t>
  </si>
  <si>
    <t>Paharpur Cabinets2</t>
  </si>
  <si>
    <t xml:space="preserve"> w100 x d40 x h210</t>
  </si>
  <si>
    <t>The Paharpur Cabinets2 in our CABINETS collection is a masterpiece of craftsmanship, offering both durability and aesthetic appeal.</t>
  </si>
  <si>
    <t>9JOC210040093-CSC</t>
  </si>
  <si>
    <t>CBPA-RC-TEA-2104093-IND</t>
  </si>
  <si>
    <t>Paharpur Cabinets3</t>
  </si>
  <si>
    <t>w210 x d40 x h93</t>
  </si>
  <si>
    <t>Discover the unique charm of Paharpur Cabinets3 in our CABINETS collection. It's not just a product; it's a lifestyle.</t>
  </si>
  <si>
    <t>4AXC090060210-AOT</t>
  </si>
  <si>
    <t>Alexos tiré</t>
  </si>
  <si>
    <t>CBCO-RC-OAK-18660100-IND</t>
  </si>
  <si>
    <t>Conara Cabinets1</t>
  </si>
  <si>
    <t>w186 x d60 x h100</t>
  </si>
  <si>
    <t>oak tiré indoor</t>
  </si>
  <si>
    <t>Redefine elegance with the Conara Cabinets1, a pinnacle of our CABINETS series. Its design is both innovative and timeless.</t>
  </si>
  <si>
    <t>4AXC090060210-AOC</t>
  </si>
  <si>
    <t>Alexos Cadré</t>
  </si>
  <si>
    <t>Conara Cabinets2</t>
  </si>
  <si>
    <t>oak cadré indoor</t>
  </si>
  <si>
    <t>Redefine elegance with the Conara Cabinets2, a pinnacle of our CABINETS series. Its design is both innovative and timeless.</t>
  </si>
  <si>
    <t>4AXCC100050210-AOCSCF</t>
  </si>
  <si>
    <t>Alexos chainsaw cut fumé</t>
  </si>
  <si>
    <t>CBCO-RC-OAK-9060210-IND</t>
  </si>
  <si>
    <t>Conara Cabinets3</t>
  </si>
  <si>
    <t>w90 x d60 x h210</t>
  </si>
  <si>
    <t>oak chainsawcut fumé indoor</t>
  </si>
  <si>
    <t>Redefine elegance with the Conara Cabinets3, a pinnacle of our CABINETS series. Its design is both innovative and timeless.</t>
  </si>
  <si>
    <t>9AXC100050210-PATF</t>
  </si>
  <si>
    <t>Alexos chainsaw patorne fumé</t>
  </si>
  <si>
    <t>Conara Cabinets4</t>
  </si>
  <si>
    <t>w100 x d50 x h210</t>
  </si>
  <si>
    <t>oak patroné fumé indoor</t>
  </si>
  <si>
    <t>The Conara Cabinets4 in our CABINETS collection is a masterpiece of craftsmanship, offering both durability and aesthetic appeal.</t>
  </si>
  <si>
    <t>4AXC186060100-AOSCU</t>
  </si>
  <si>
    <t>Alexos Sculpted</t>
  </si>
  <si>
    <t>CBCO-RC-OAK-2104093-IND</t>
  </si>
  <si>
    <t>Conara Cabinets5</t>
  </si>
  <si>
    <t>oak sculpted indoor</t>
  </si>
  <si>
    <t>Conara Cabinets5 is a showcase of excellence in CABINETS. It combines style, functionality, and unmatched quality.</t>
  </si>
  <si>
    <t>4AXC210040210-AOSCU</t>
  </si>
  <si>
    <t>Alexos 8 door</t>
  </si>
  <si>
    <t>CBCO-RC-OAK-21040210-IND</t>
  </si>
  <si>
    <t>Conara Cabinets6</t>
  </si>
  <si>
    <t>w210 x d40 x h210</t>
  </si>
  <si>
    <t>Experience unparalleled sophistication with the Conara Cabinets6 from our CABINETS range. It's where design meets functionality.</t>
  </si>
  <si>
    <t>9CR1DG</t>
  </si>
  <si>
    <t>Rosa glass</t>
  </si>
  <si>
    <t>CBKI-RC-TEA-6050220-IND</t>
  </si>
  <si>
    <t>w60 x d50 x h220</t>
  </si>
  <si>
    <t>natural teak indoor</t>
  </si>
  <si>
    <t>Experience unparalleled sophistication with the Kidagil Cabinets from our CABINETS range. It's where design meets functionality.</t>
  </si>
  <si>
    <t>9CR4DG</t>
  </si>
  <si>
    <t>CBKI-RC-TEA-24050160-IND</t>
  </si>
  <si>
    <t xml:space="preserve"> w240 x d50 x h160</t>
  </si>
  <si>
    <t>Kidagil Cabinets is a showcase of excellence in CABINETS. It combines style, functionality, and unmatched quality.</t>
  </si>
  <si>
    <t>9CR1DC</t>
  </si>
  <si>
    <t>Rosa carving</t>
  </si>
  <si>
    <t>CBXL-RC-TEA-6050220-IND</t>
  </si>
  <si>
    <t>Experience unparalleled sophistication with the Xlendi Cabinets from our CABINETS range. It's where design meets functionality.</t>
  </si>
  <si>
    <t>9CR4DC</t>
  </si>
  <si>
    <t>CBXL-RC-TEA-24050160-IND</t>
  </si>
  <si>
    <t>w240 x d50 x h160</t>
  </si>
  <si>
    <t>Redefine elegance with the Xlendi Cabinets, a pinnacle of our CABINETS series. Its design is both innovative and timeless.</t>
  </si>
  <si>
    <t>1TBC140035190-RR</t>
  </si>
  <si>
    <t>T-bone</t>
  </si>
  <si>
    <t>CBRA-RC-TEA-14035190-IND</t>
  </si>
  <si>
    <t>w140 x d35 x h190</t>
  </si>
  <si>
    <t>teak rusic indoor</t>
  </si>
  <si>
    <t>Discover the unique charm of Ratchaburi Cabinets in our CABINETS collection. It's not just a product; it's a lifestyle.</t>
  </si>
  <si>
    <t>1TBCR7025150-RR</t>
  </si>
  <si>
    <t>T-bone rack</t>
  </si>
  <si>
    <t>CBRA-RC-TEA-7025150-IND</t>
  </si>
  <si>
    <t>w70 x d25 x h150</t>
  </si>
  <si>
    <t>rustic rust indoor</t>
  </si>
  <si>
    <t>19</t>
  </si>
  <si>
    <t>1TBR130030240-RR</t>
  </si>
  <si>
    <t>CBRA-RC-TEA-13003240-IND</t>
  </si>
  <si>
    <t>w130 x d03 x h240</t>
  </si>
  <si>
    <t>The Ratchaburi Cabinets in our CABINETS collection is a masterpiece of craftsmanship, offering both durability and aesthetic appeal.</t>
  </si>
  <si>
    <t>9CP193</t>
  </si>
  <si>
    <t>Primitif</t>
  </si>
  <si>
    <t>CBJA-RC-TEA-20050193-IND</t>
  </si>
  <si>
    <t>w200 x d50 x h193</t>
  </si>
  <si>
    <t>Experience unparalleled sophistication with the Jatinga Cabinets from our CABINETS range. It's where design meets functionality.</t>
  </si>
  <si>
    <t>9CP248-NT</t>
  </si>
  <si>
    <t>CBJA-RC-TEA-20050248-IND</t>
  </si>
  <si>
    <t>w200 x d50 x h248</t>
  </si>
  <si>
    <t>Redefine elegance with the Jatinga Cabinets, a pinnacle of our CABINETS series. Its design is both innovative and timeless.</t>
  </si>
  <si>
    <t>9BP</t>
  </si>
  <si>
    <t>box primitif</t>
  </si>
  <si>
    <t>CBJA--TEA--IND</t>
  </si>
  <si>
    <t>Discover the unique charm of Jatinga Cabinets in our CABINETS collection. It's not just a product; it's a lifestyle.</t>
  </si>
  <si>
    <t>9CW-NT</t>
  </si>
  <si>
    <t>Wim</t>
  </si>
  <si>
    <t>CBCO-RC-TEA-18557200-IND</t>
  </si>
  <si>
    <t>Conara Cabinets</t>
  </si>
  <si>
    <t>w185 x d57 x h200</t>
  </si>
  <si>
    <t>Experience unparalleled sophistication with the Conara Cabinets from our CABINETS range. It's where design meets functionality.</t>
  </si>
  <si>
    <t>9STC-BA</t>
  </si>
  <si>
    <t>Santoku</t>
  </si>
  <si>
    <t>CBPI-RC-BAR-19050260-IND</t>
  </si>
  <si>
    <t>pingeyri Cabinets</t>
  </si>
  <si>
    <t>w190 x d50 x h260</t>
  </si>
  <si>
    <t>pingeyri Cabinets is a showcase of excellence in CABINETS. It combines style, functionality, and unmatched quality.</t>
  </si>
  <si>
    <t>9CJO-BA</t>
  </si>
  <si>
    <t>Johannes</t>
  </si>
  <si>
    <t>CBNA-RC-BAR-11045200-IND</t>
  </si>
  <si>
    <t>Narsarsuaq Cabinets</t>
  </si>
  <si>
    <t>w110 x d45 x h200</t>
  </si>
  <si>
    <t>The Narsarsuaq Cabinets in our CABINETS collection is a masterpiece of craftsmanship, offering both durability and aesthetic appeal.</t>
  </si>
  <si>
    <t>4WIC260045100-AO</t>
  </si>
  <si>
    <t>Wibo</t>
  </si>
  <si>
    <t>CBUB-RC-OAK-26045100-IND</t>
  </si>
  <si>
    <t>Ubombo Cabinets</t>
  </si>
  <si>
    <t>w260 x d45 x h100</t>
  </si>
  <si>
    <t>aged oak indoor</t>
  </si>
  <si>
    <t>Ubombo Cabinets is a showcase of excellence in CABINETS. It combines style, functionality, and unmatched quality.</t>
  </si>
  <si>
    <t>02</t>
  </si>
  <si>
    <t>Furniture &gt; Chairs</t>
  </si>
  <si>
    <t>4DCCUF-AO/4DCCUS-FINE</t>
  </si>
  <si>
    <t>Cuneo fabric</t>
  </si>
  <si>
    <t>CHBE---TEA-405783SH50-IND</t>
  </si>
  <si>
    <t>Bexley Chair</t>
  </si>
  <si>
    <t>w40 x d57 x h83 x sh50</t>
  </si>
  <si>
    <t xml:space="preserve">Consolidation </t>
  </si>
  <si>
    <t>Redefine elegance with the Bexley Chair, a pinnacle of our CHAIRS series. Its design is both innovative and timeless.</t>
  </si>
  <si>
    <t>Chairs</t>
  </si>
  <si>
    <t>Cuneo</t>
  </si>
  <si>
    <t>CHEV---PUL-405783SH50-IND</t>
  </si>
  <si>
    <t>Evedon Chair</t>
  </si>
  <si>
    <t>w40 x d54 x h84 x sh50</t>
  </si>
  <si>
    <t>pulut</t>
  </si>
  <si>
    <t>Discover the unique charm of Evedon Chair in our CHAIRS collection. It's not just a product; it's a lifestyle.</t>
  </si>
  <si>
    <t>14</t>
  </si>
  <si>
    <t>Cuneo arm</t>
  </si>
  <si>
    <t>CHED---PUL-555783SH50-IND</t>
  </si>
  <si>
    <t>Edington Chair</t>
  </si>
  <si>
    <t>w55 x d55 x h80 x sh50 x ah62</t>
  </si>
  <si>
    <t>Discover the unique charm of Edington Chair in our CHAIRS collection. It's not just a product; it's a lifestyle.</t>
  </si>
  <si>
    <t>21362L</t>
  </si>
  <si>
    <t>Café low</t>
  </si>
  <si>
    <t>CHLA---KUB-465783SH50-IND</t>
  </si>
  <si>
    <t>Lavenham Chair</t>
  </si>
  <si>
    <t>w46 x d53 x h78 x sh47</t>
  </si>
  <si>
    <t>kubu grey</t>
  </si>
  <si>
    <t>Lavenham Chair is a showcase of excellence in CHAIRS. It combines style, functionality, and unmatched quality.</t>
  </si>
  <si>
    <t>07</t>
  </si>
  <si>
    <t>21362H</t>
  </si>
  <si>
    <t>Café high</t>
  </si>
  <si>
    <t>CHOR---KUB-485783SH50-IND</t>
  </si>
  <si>
    <t>Orford Chair</t>
  </si>
  <si>
    <t>w48 x d53 x h97 x sh47</t>
  </si>
  <si>
    <t>The Orford Chair in our CHAIRS collection is a masterpiece of craftsmanship, offering both durability and aesthetic appeal.</t>
  </si>
  <si>
    <t>21997K</t>
  </si>
  <si>
    <t>Deks low kubu</t>
  </si>
  <si>
    <t>CHLE---KUB-555783SH50-IND</t>
  </si>
  <si>
    <t>Leiston Chair</t>
  </si>
  <si>
    <t>w55 x d61 x h83 x sh45 x ah60</t>
  </si>
  <si>
    <t>Leiston Chair is a showcase of excellence in CHAIRS. It combines style, functionality, and unmatched quality.</t>
  </si>
  <si>
    <t>21997R</t>
  </si>
  <si>
    <t>Deks low rope</t>
  </si>
  <si>
    <t>CHSA---ROP-535783SH50-IND</t>
  </si>
  <si>
    <t>Sandringham Chair</t>
  </si>
  <si>
    <t>w53 x d65 x h81 x sh45 x ah60</t>
  </si>
  <si>
    <t>rope</t>
  </si>
  <si>
    <t>Experience unparalleled sophistication with the Sandringham Chair from our CHAIRS range. It's where design meets functionality.</t>
  </si>
  <si>
    <t>43</t>
  </si>
  <si>
    <t>Deks low fabric</t>
  </si>
  <si>
    <t>CHTU---FAB-555783SH50-IND</t>
  </si>
  <si>
    <t>Tuddenham Chair</t>
  </si>
  <si>
    <t>w55 x d63 x h78 x sh37 x ah59</t>
  </si>
  <si>
    <t>fabric</t>
  </si>
  <si>
    <t>The Tuddenham Chair in our CHAIRS collection is a masterpiece of craftsmanship, offering both durability and aesthetic appeal.</t>
  </si>
  <si>
    <t>39</t>
  </si>
  <si>
    <t>Detroit</t>
  </si>
  <si>
    <t>CHDU---BAM-535783SH50-IND</t>
  </si>
  <si>
    <t>Dunwich Chair</t>
  </si>
  <si>
    <t>w53 x d53 x h76 x sh43</t>
  </si>
  <si>
    <t>bamboo</t>
  </si>
  <si>
    <t>Experience unparalleled sophistication with the Dunwich Chair from our CHAIRS range. It's where design meets functionality.</t>
  </si>
  <si>
    <t>35</t>
  </si>
  <si>
    <t>FL517</t>
  </si>
  <si>
    <t>Gazoo</t>
  </si>
  <si>
    <t>CHNA---TEA-425783SH50-IND</t>
  </si>
  <si>
    <t>Nayland Chair</t>
  </si>
  <si>
    <t>w42 x d42 x h91 x sh45</t>
  </si>
  <si>
    <t>Redefine elegance with the Nayland Chair, a pinnacle of our CHAIRS series. Its design is both innovative and timeless.</t>
  </si>
  <si>
    <t>7DCJU-NT</t>
  </si>
  <si>
    <t>Jules dining</t>
  </si>
  <si>
    <t>CHOT---TEA-475783SH50-IND</t>
  </si>
  <si>
    <t>Otley Chair</t>
  </si>
  <si>
    <t>w47 x d54 x h78 x sh47</t>
  </si>
  <si>
    <t xml:space="preserve">natural teak  </t>
  </si>
  <si>
    <t>Experience unparalleled sophistication with the Otley Chair from our CHAIRS range. It's where design meets functionality.</t>
  </si>
  <si>
    <t>7DCAJU-NT</t>
  </si>
  <si>
    <t>Jules dining with armrests</t>
  </si>
  <si>
    <t>CHTH---TEA-475783SH50-IND</t>
  </si>
  <si>
    <t>Thaxted Chair</t>
  </si>
  <si>
    <t>w47 x d54 x h80 x sh47</t>
  </si>
  <si>
    <t>Redefine elegance with the Thaxted Chair, a pinnacle of our CHAIRS series. Its design is both innovative and timeless.</t>
  </si>
  <si>
    <t>9DCLOU-NT</t>
  </si>
  <si>
    <t>Louis</t>
  </si>
  <si>
    <t>CHSI---TEA-465783SH50-IND</t>
  </si>
  <si>
    <t>Sibton Chair</t>
  </si>
  <si>
    <t>w46 x d55 x h97 x sh45</t>
  </si>
  <si>
    <t>Experience unparalleled sophistication with the Sibton Chair from our CHAIRS range. It's where design meets functionality.</t>
  </si>
  <si>
    <t>9DCLOA-NT</t>
  </si>
  <si>
    <t>Louisa</t>
  </si>
  <si>
    <t>CHEY---TEA-475783SH50-IND</t>
  </si>
  <si>
    <t>Eynesbury Chair</t>
  </si>
  <si>
    <t>w47 x d50 x h75 x sh47</t>
  </si>
  <si>
    <t>Redefine elegance with the Eynesbury Chair, a pinnacle of our CHAIRS series. Its design is both innovative and timeless.</t>
  </si>
  <si>
    <t>9LCLOAF-NT</t>
  </si>
  <si>
    <t>Louisa lounge</t>
  </si>
  <si>
    <t>CHAL---TEA-585783SH50-IND</t>
  </si>
  <si>
    <t>Aldeburgh Chair</t>
  </si>
  <si>
    <t>w58 x d56 x h60 x sh40</t>
  </si>
  <si>
    <t>Discover the unique charm of Aldeburgh Chair in our CHAIRS collection. It's not just a product; it's a lifestyle.</t>
  </si>
  <si>
    <t>4LCLOAS-VINTAGE</t>
  </si>
  <si>
    <t>upholstery Louisa lounge chair vintage fabric</t>
  </si>
  <si>
    <t>CH---FAB-5783SH50-IND</t>
  </si>
  <si>
    <t xml:space="preserve"> Ickleton - upholstery</t>
  </si>
  <si>
    <t>The  Ickleton - upholstery in our CHAIRS collection is a masterpiece of craftsmanship, offering both durability and aesthetic appeal.</t>
  </si>
  <si>
    <t>7DCMA-NT</t>
  </si>
  <si>
    <t>Maria dining</t>
  </si>
  <si>
    <t>CHCO---TEA-505783SH50-IND</t>
  </si>
  <si>
    <t>Coddenham Chair</t>
  </si>
  <si>
    <t>w50 x d50 x h78 x sh45</t>
  </si>
  <si>
    <t>The Coddenham Chair in our CHAIRS collection is a masterpiece of craftsmanship, offering both durability and aesthetic appeal.</t>
  </si>
  <si>
    <t>7DCAMA-NT</t>
  </si>
  <si>
    <t>Maria dining with armrests</t>
  </si>
  <si>
    <t>CHHA---TEA-565783SH50-IND</t>
  </si>
  <si>
    <t>Hasketon Chair</t>
  </si>
  <si>
    <t>w56 x d43 x h80 x sh45</t>
  </si>
  <si>
    <t>Discover the unique charm of Hasketon Chair in our CHAIRS collection. It's not just a product; it's a lifestyle.</t>
  </si>
  <si>
    <t>9DCMIA-NT</t>
  </si>
  <si>
    <t>Miami dining</t>
  </si>
  <si>
    <t>CHWA---TEA-535783SH50-IND</t>
  </si>
  <si>
    <t>Walberswick Chair</t>
  </si>
  <si>
    <t>w53 x d66 x h79 x sh45</t>
  </si>
  <si>
    <t>The Walberswick Chair in our CHAIRS collection is a masterpiece of craftsmanship, offering both durability and aesthetic appeal.</t>
  </si>
  <si>
    <t>Memphis</t>
  </si>
  <si>
    <t>CHCR---BMB-455783SH50-IND</t>
  </si>
  <si>
    <t>Cromer Chair</t>
  </si>
  <si>
    <t>w45 x d45 x h81 x sh43</t>
  </si>
  <si>
    <t>bamboo &amp; kubu grey</t>
  </si>
  <si>
    <t>The Cromer Chair in our CHAIRS collection is a masterpiece of craftsmanship, offering both durability and aesthetic appeal.</t>
  </si>
  <si>
    <t>Napoli</t>
  </si>
  <si>
    <t>CHKE---KUB-525783SH50-IND</t>
  </si>
  <si>
    <t>Kersey Chair</t>
  </si>
  <si>
    <t xml:space="preserve"> w52 x d62 x h83 x sh48</t>
  </si>
  <si>
    <t>Experience unparalleled sophistication with the Kersey Chair from our CHAIRS range. It's where design meets functionality.</t>
  </si>
  <si>
    <t>FL678</t>
  </si>
  <si>
    <t>Patje</t>
  </si>
  <si>
    <t>CHCL---TEA-485783SH50-IND</t>
  </si>
  <si>
    <t>Clare Chair</t>
  </si>
  <si>
    <t>w48 x d63 x h84.5 x sh45</t>
  </si>
  <si>
    <t>The Clare Chair in our CHAIRS collection is a masterpiece of craftsmanship, offering both durability and aesthetic appeal.</t>
  </si>
  <si>
    <t>21164CL</t>
  </si>
  <si>
    <t>Venezia</t>
  </si>
  <si>
    <t>CHCO---KUB-505783SH50-IND</t>
  </si>
  <si>
    <t>Comberton Chair</t>
  </si>
  <si>
    <t>w50 x d51 x h82 x sh49</t>
  </si>
  <si>
    <t>Redefine elegance with the Comberton Chair, a pinnacle of our CHAIRS series. Its design is both innovative and timeless.</t>
  </si>
  <si>
    <t>21165CL</t>
  </si>
  <si>
    <t>Venezia arm</t>
  </si>
  <si>
    <t>CHHI---KUB-635783SH50-IND</t>
  </si>
  <si>
    <t>Hinxton Chair</t>
  </si>
  <si>
    <t>w63 x d61 x h81 x sh49 x ah68</t>
  </si>
  <si>
    <t>Experience unparalleled sophistication with the Hinxton Chair from our CHAIRS range. It's where design meets functionality.</t>
  </si>
  <si>
    <t>Octavia</t>
  </si>
  <si>
    <t>CHBO---PUL-585783SH50-IND</t>
  </si>
  <si>
    <t>Bottisham Chair</t>
  </si>
  <si>
    <t>w58 x d62 x h84 x sh46 x ah69</t>
  </si>
  <si>
    <t>pullut</t>
  </si>
  <si>
    <t>Experience unparalleled sophistication with the Bottisham Chair from our CHAIRS range. It's where design meets functionality.</t>
  </si>
  <si>
    <t>21899KG12X12</t>
  </si>
  <si>
    <t>Octavia 12x12</t>
  </si>
  <si>
    <t>CHCA---KUB-585783SH50-IND</t>
  </si>
  <si>
    <t>Cavendish Chair</t>
  </si>
  <si>
    <t>Discover the unique charm of Cavendish Chair in our CHAIRS collection. It's not just a product; it's a lifestyle.</t>
  </si>
  <si>
    <t>Furniture &gt; Bar Chairs</t>
  </si>
  <si>
    <t>FL009</t>
  </si>
  <si>
    <t>Bar seater rustic</t>
  </si>
  <si>
    <t>BCTR-TEA-RUS-4545105SH80-IND</t>
  </si>
  <si>
    <t>Troyes Rustic</t>
  </si>
  <si>
    <t>w45 x d45 x h105 x sh80</t>
  </si>
  <si>
    <t>Experience unparalleled sophistication with the Troyes Rustic from our BAR CHAIRS range. It's where design meets functionality.</t>
  </si>
  <si>
    <t>Bar Chairs</t>
  </si>
  <si>
    <t>Cuneo bar chair</t>
  </si>
  <si>
    <t>BCCA-PUL---4155110SH76-IND</t>
  </si>
  <si>
    <t>Carcassonne Bar Chair</t>
  </si>
  <si>
    <t>w41 x d55 x h110 x sh76</t>
  </si>
  <si>
    <t>Redefine elegance with the Carcassonne Bar Chair, a pinnacle of our BAR CHAIRS series. Its design is both innovative and timeless.</t>
  </si>
  <si>
    <t>Cuneo bar chair arm</t>
  </si>
  <si>
    <t>BCCA-PUL---5555110SH76-IND</t>
  </si>
  <si>
    <t>Carcassonne Bar Chair with arm rest</t>
  </si>
  <si>
    <t>w55 x d55 x h110 x sh76 x ah92</t>
  </si>
  <si>
    <t>Carcassonne Bar Chair with arm rest is a showcase of excellence in BAR CHAIRS. It combines style, functionality, and unmatched quality.</t>
  </si>
  <si>
    <t>9CATFO045040065-NT</t>
  </si>
  <si>
    <t>Cali bar chair</t>
  </si>
  <si>
    <t>BCRY-TEA-NAT-454065SH65-IND</t>
  </si>
  <si>
    <t>w45 x d40 x h65 x sh65</t>
  </si>
  <si>
    <t>Discover the unique charm of Rye Bar Chair in our BAR CHAIRS collection. It's not just a product; it's a lifestyle.</t>
  </si>
  <si>
    <t>9CATFO045040075-NT</t>
  </si>
  <si>
    <t>BCRY-TEA-NAT-454075SH75-IND</t>
  </si>
  <si>
    <t>w45 x d40 x h75 x sh75</t>
  </si>
  <si>
    <t>9DIBS035025075-BA</t>
  </si>
  <si>
    <t>Dinklé bar chair</t>
  </si>
  <si>
    <t>BCST-BAR-NAT-492575SH75-IND</t>
  </si>
  <si>
    <t>Stavelot Bar Chair</t>
  </si>
  <si>
    <t>w49 x d25 x h75 x sh75</t>
  </si>
  <si>
    <t>Stavelot Bar Chair is a showcase of excellence in BAR CHAIRS. It combines style, functionality, and unmatched quality.</t>
  </si>
  <si>
    <t>9FITFO040065-NT</t>
  </si>
  <si>
    <t>Fina bar chair</t>
  </si>
  <si>
    <t>BCDI-TEA-NAT-d4065SH65-IND</t>
  </si>
  <si>
    <t>d40 x h65 x sh65</t>
  </si>
  <si>
    <t>Redefine elegance with the Diodora Bar Chair, a pinnacle of our BAR CHAIRS series. Its design is both innovative and timeless.</t>
  </si>
  <si>
    <t>9FITFO040075-NT</t>
  </si>
  <si>
    <t>BCDI-TEA-NAT-d4075SH75-IND</t>
  </si>
  <si>
    <t>d40 x h75 x sh75</t>
  </si>
  <si>
    <t>The Diodora Bar Chair in our BAR CHAIRS collection is a masterpiece of craftsmanship, offering both durability and aesthetic appeal.</t>
  </si>
  <si>
    <t>9BCFRAF</t>
  </si>
  <si>
    <t>Franco bar chair fabric</t>
  </si>
  <si>
    <t>BCRO-TEA-NAT-464596SH74-IND</t>
  </si>
  <si>
    <t>Rothenburg Bar Chair</t>
  </si>
  <si>
    <t>w46 x d45 x h96 x sh74</t>
  </si>
  <si>
    <t>Rothenburg Bar Chair is a showcase of excellence in BAR CHAIRS. It combines style, functionality, and unmatched quality.</t>
  </si>
  <si>
    <t>4BCFRAS-PATINE</t>
  </si>
  <si>
    <t>upholstery Franco bar chair patiné</t>
  </si>
  <si>
    <t>BCRO-CUS-PAT--IND</t>
  </si>
  <si>
    <t>Rothenburg Patine</t>
  </si>
  <si>
    <t>Discover the unique charm of Rothenburg Patine in our BAR CHAIRS collection. It's not just a product; it's a lifestyle.</t>
  </si>
  <si>
    <t>4BCFRAS-VINTAGE</t>
  </si>
  <si>
    <t>upholstery Franco bar chair vintage</t>
  </si>
  <si>
    <t>BCRO-CUS-VIN--IND</t>
  </si>
  <si>
    <t>Rothenburg Vintage</t>
  </si>
  <si>
    <t>Rothenburg Vintage is a showcase of excellence in BAR CHAIRS. It combines style, functionality, and unmatched quality.</t>
  </si>
  <si>
    <t>FL471</t>
  </si>
  <si>
    <t>Dasar bar chair</t>
  </si>
  <si>
    <t>BCTR-TEA-NAT-313175SH75-IND</t>
  </si>
  <si>
    <t>Trixy Bar Chair</t>
  </si>
  <si>
    <t>w31 x d31 x h75 x sh75</t>
  </si>
  <si>
    <t>Experience unparalleled sophistication with the Trixy Bar Chair from our BAR CHAIRS range. It's where design meets functionality.</t>
  </si>
  <si>
    <t>7BCJU-NT</t>
  </si>
  <si>
    <t>Jules bar chair</t>
  </si>
  <si>
    <t>BCOR-TEA-NAT-475293SH74-IND</t>
  </si>
  <si>
    <t>Oradour Bar Chair</t>
  </si>
  <si>
    <t>w47 x d52 x h93 x sh74</t>
  </si>
  <si>
    <t xml:space="preserve">natural teak </t>
  </si>
  <si>
    <t>Experience unparalleled sophistication with the Oradour Bar Chair from our BAR CHAIRS range. It's where design meets functionality.</t>
  </si>
  <si>
    <t>7BCAJU-NT</t>
  </si>
  <si>
    <t>Jules bar chair with armrests</t>
  </si>
  <si>
    <t>Oradour Bar Chair with arm rest</t>
  </si>
  <si>
    <t>Redefine elegance with the Oradour Bar Chair with arm rest, a pinnacle of our BAR CHAIRS series. Its design is both innovative and timeless.</t>
  </si>
  <si>
    <t>7BCLOA-NT</t>
  </si>
  <si>
    <t>Louisa bar chair</t>
  </si>
  <si>
    <t>BCMY-TEA-NAT-414595SH74-IND</t>
  </si>
  <si>
    <t>Mystras Bar Chair</t>
  </si>
  <si>
    <t>w41 x d45 x h95 x sh74</t>
  </si>
  <si>
    <t>Discover the unique charm of Mystras Bar Chair in our BAR CHAIRS collection. It's not just a product; it's a lifestyle.</t>
  </si>
  <si>
    <t>7BCMA-NT</t>
  </si>
  <si>
    <t>Maria bar chair</t>
  </si>
  <si>
    <t>BCSI-TEA-NAT-4447120SH75-IND</t>
  </si>
  <si>
    <t>Sighisoara Bar Chair</t>
  </si>
  <si>
    <t>w44 x d47 x h120 x sh75</t>
  </si>
  <si>
    <t>Experience unparalleled sophistication with the Sighisoara Bar Chair from our BAR CHAIRS range. It's where design meets functionality.</t>
  </si>
  <si>
    <t>7BCAMA-NT</t>
  </si>
  <si>
    <t>Maria bar chair with armrests</t>
  </si>
  <si>
    <t>Sighisoara Bar Chair with arm rest</t>
  </si>
  <si>
    <t>w44 x d47 x h120 x sh75vv</t>
  </si>
  <si>
    <t>Sighisoara Bar Chair with arm rest is a showcase of excellence in BAR CHAIRS. It combines style, functionality, and unmatched quality.</t>
  </si>
  <si>
    <t>9NATFI045040065-NT</t>
  </si>
  <si>
    <t>Natal barstool</t>
  </si>
  <si>
    <t>BCSA-TEA-NAT-454065SH65-IND</t>
  </si>
  <si>
    <t xml:space="preserve">w45 x d40 x h65 x sh65 </t>
  </si>
  <si>
    <t>Experience unparalleled sophistication with the Saintes Bar Stool from our BAR CHAIRS range. It's where design meets functionality.</t>
  </si>
  <si>
    <t>9NATFI045040075-NT</t>
  </si>
  <si>
    <t>BCSA-TEA-NAT-454075SH75-IND</t>
  </si>
  <si>
    <t>FL680</t>
  </si>
  <si>
    <t>Patje bar chair</t>
  </si>
  <si>
    <t>BCPA-TEA-NAT-4863105SH76-IND</t>
  </si>
  <si>
    <t>Pals Bar Chair</t>
  </si>
  <si>
    <t>w48 x d63 x h105 x sh76</t>
  </si>
  <si>
    <t>Pals Bar Chair is a showcase of excellence in BAR CHAIRS. It combines style, functionality, and unmatched quality.</t>
  </si>
  <si>
    <t>FL229</t>
  </si>
  <si>
    <t>Sabrina barstool</t>
  </si>
  <si>
    <t>BCAV-TEA-NAT-4047105SH65-IND</t>
  </si>
  <si>
    <t>Avebury Bar Stool</t>
  </si>
  <si>
    <t>w40 x d47 x h105 x sh65</t>
  </si>
  <si>
    <t>The Avebury Bar Stool in our BAR CHAIRS collection is a masterpiece of craftsmanship, offering both durability and aesthetic appeal.</t>
  </si>
  <si>
    <t>9WUBS-NT</t>
  </si>
  <si>
    <t>Wuhan barstool</t>
  </si>
  <si>
    <t>BCSO-TEA-NAT-404075SH75-IND</t>
  </si>
  <si>
    <t>Soul Bar Stool</t>
  </si>
  <si>
    <t>w40 x d40 x h75 x sh75</t>
  </si>
  <si>
    <t>The Soul Bar Stool in our BAR CHAIRS collection is a masterpiece of craftsmanship, offering both durability and aesthetic appeal.</t>
  </si>
  <si>
    <t>FL686</t>
  </si>
  <si>
    <t>Gazoo bar chair</t>
  </si>
  <si>
    <t>BCET-TEA-NAT-4863105SH76-IND</t>
  </si>
  <si>
    <t>Ethereal Bar Chair</t>
  </si>
  <si>
    <t>Experience unparalleled sophistication with the Ethereal Bar Chair from our BAR CHAIRS range. It's where design meets functionality.</t>
  </si>
  <si>
    <t>Furniture &gt; Stool &amp; Poufs</t>
  </si>
  <si>
    <t>AJ902</t>
  </si>
  <si>
    <t>Blok chair</t>
  </si>
  <si>
    <t>SPGH-TEA-NAT-313143SH43-IND</t>
  </si>
  <si>
    <t xml:space="preserve"> Ghent chair</t>
  </si>
  <si>
    <t>w31 x d31 x h43 x sh43</t>
  </si>
  <si>
    <t>Redefine elegance with the  Ghent chair, a pinnacle of our STOOL &amp; POUFS series. Its design is both innovative and timeless.</t>
  </si>
  <si>
    <t>Stools &amp; Poufs</t>
  </si>
  <si>
    <t>9DIS035025043-BA</t>
  </si>
  <si>
    <t>Dinklé stool</t>
  </si>
  <si>
    <t>SPAR-BAR-NAT-352543SH43-IND</t>
  </si>
  <si>
    <t xml:space="preserve"> Arles stool</t>
  </si>
  <si>
    <t>w35 x d25 x h43 x sh43</t>
  </si>
  <si>
    <t>Redefine elegance with the  Arles stool, a pinnacle of our STOOL &amp; POUFS series. Its design is both innovative and timeless.</t>
  </si>
  <si>
    <t>9FITF040043-NT</t>
  </si>
  <si>
    <t>Fina stool</t>
  </si>
  <si>
    <t>SPRO-TEA-NAT-D4043SH43-IND</t>
  </si>
  <si>
    <t xml:space="preserve"> Rothenburg stool</t>
  </si>
  <si>
    <t xml:space="preserve">d40 x h43 x sh43 </t>
  </si>
  <si>
    <t xml:space="preserve">Natural teak </t>
  </si>
  <si>
    <t>Discover the unique charm of  Rothenburg stool in our STOOL &amp; POUFS collection. It's not just a product; it's a lifestyle.</t>
  </si>
  <si>
    <t>Houston ground chair</t>
  </si>
  <si>
    <t>SPYO-TEA-NAT-D4046SH46-IND</t>
  </si>
  <si>
    <t xml:space="preserve"> York ground chair</t>
  </si>
  <si>
    <t>d40 x h46 x sh46</t>
  </si>
  <si>
    <t>The  York ground chair in our STOOL &amp; POUFS collection is a masterpiece of craftsmanship, offering both durability and aesthetic appeal.</t>
  </si>
  <si>
    <t>FL473</t>
  </si>
  <si>
    <t>Dasar stool</t>
  </si>
  <si>
    <t>SPTR-TEA-NAT-D4046SH46-IND</t>
  </si>
  <si>
    <t xml:space="preserve"> Troyes stool</t>
  </si>
  <si>
    <t xml:space="preserve"> Troyes stool is a showcase of excellence in STOOL &amp; POUFS. It combines style, functionality, and unmatched quality.</t>
  </si>
  <si>
    <t>9SANS030046-BA</t>
  </si>
  <si>
    <t>Sanne stool</t>
  </si>
  <si>
    <t>SPYP-BAR-NAT-D3046SH46-IND</t>
  </si>
  <si>
    <t xml:space="preserve"> Ypres stool</t>
  </si>
  <si>
    <t>d30 x h46 x sh46</t>
  </si>
  <si>
    <t>The  Ypres stool in our STOOL &amp; POUFS collection is a masterpiece of craftsmanship, offering both durability and aesthetic appeal.</t>
  </si>
  <si>
    <t>9CATF045040045-NT</t>
  </si>
  <si>
    <t>Cali stool</t>
  </si>
  <si>
    <t>SPRY-TEA-NAT-454045SH45-IND</t>
  </si>
  <si>
    <t xml:space="preserve"> Rye stool</t>
  </si>
  <si>
    <t>w45 x d40 x h45 x sh45</t>
  </si>
  <si>
    <t>Discover the unique charm of  Rye stool in our STOOL &amp; POUFS collection. It's not just a product; it's a lifestyle.</t>
  </si>
  <si>
    <t>Pouffe woven</t>
  </si>
  <si>
    <t>SPCU-SEA-NAT-D5043SH43-IND</t>
  </si>
  <si>
    <t xml:space="preserve"> Cullen woven</t>
  </si>
  <si>
    <t>d50 x h43 x sh43</t>
  </si>
  <si>
    <t>Seagrass</t>
  </si>
  <si>
    <t>Redefine elegance with the  Cullen woven, a pinnacle of our STOOL &amp; POUFS series. Its design is both innovative and timeless.</t>
  </si>
  <si>
    <t>21</t>
  </si>
  <si>
    <t>SPBE-TEA-NAT-D3545-IND</t>
  </si>
  <si>
    <t xml:space="preserve"> Bexley round stool</t>
  </si>
  <si>
    <t>Experience unparalleled sophistication with the  Bexley round stool from our STOOL &amp; POUFS range. It's where design meets functionality.</t>
  </si>
  <si>
    <t>Furniture &gt; Benches</t>
  </si>
  <si>
    <t>9DIBI110025043-NT</t>
  </si>
  <si>
    <t>Dinklé bench</t>
  </si>
  <si>
    <t>BSZE-TEA-CON-1102443SH43-IND</t>
  </si>
  <si>
    <t xml:space="preserve"> Zephyr bench</t>
  </si>
  <si>
    <t>w110 x d24 x h43 x sh43</t>
  </si>
  <si>
    <t>Discover the unique charm of  Zephyr bench in our BENCHES collection. It's not just a product; it's a lifestyle.</t>
  </si>
  <si>
    <t>Benches</t>
  </si>
  <si>
    <t>9DIBO110025043-NT</t>
  </si>
  <si>
    <t>BSZE-TEA-CON-1102443SH43-OUT</t>
  </si>
  <si>
    <t>natural teak outdoor</t>
  </si>
  <si>
    <t>9DIBI170025043-NT</t>
  </si>
  <si>
    <t>BSZE-TEA-NAT-1702543SH43-IND</t>
  </si>
  <si>
    <t>w170 x d25 x h43 x sh43</t>
  </si>
  <si>
    <t>9DIBO170025043-NT</t>
  </si>
  <si>
    <t>BSZE-TEA-NAT-1702543SH43-OUT</t>
  </si>
  <si>
    <t>Redefine elegance with the  Zephyr bench, a pinnacle of our BENCHES series. Its design is both innovative and timeless.</t>
  </si>
  <si>
    <t>AJ905</t>
  </si>
  <si>
    <t>Sofa bench</t>
  </si>
  <si>
    <t>BSLU-TEA-NAT-1006686SH44-OUT</t>
  </si>
  <si>
    <t xml:space="preserve"> Luna bench</t>
  </si>
  <si>
    <t>w100 x d66 x h86 x sh44</t>
  </si>
  <si>
    <t>The  Luna bench in our BENCHES collection is a masterpiece of craftsmanship, offering both durability and aesthetic appeal.</t>
  </si>
  <si>
    <t>AJ906</t>
  </si>
  <si>
    <t>BSLU-TEA-NAT-1356686SH44-OUT</t>
  </si>
  <si>
    <t>w135 x d66 x h86 x sh44</t>
  </si>
  <si>
    <t>Redefine elegance with the  Luna bench, a pinnacle of our BENCHES series. Its design is both innovative and timeless.</t>
  </si>
  <si>
    <t>Omaha bench</t>
  </si>
  <si>
    <t>BSNE-TEA-NAT-1524147SH47-IND</t>
  </si>
  <si>
    <t xml:space="preserve"> Nebula bench</t>
  </si>
  <si>
    <t xml:space="preserve"> w152 x d41 x h47 x sh47</t>
  </si>
  <si>
    <t>teak branches &amp; rope</t>
  </si>
  <si>
    <t>Experience unparalleled sophistication with the  Nebula bench from our BENCHES range. It's where design meets functionality.</t>
  </si>
  <si>
    <t>FI002</t>
  </si>
  <si>
    <t>Seattle bench</t>
  </si>
  <si>
    <t>BSCA-TEA---1273847SH47-IND</t>
  </si>
  <si>
    <t xml:space="preserve"> Cascade bench</t>
  </si>
  <si>
    <t>w127 x d38x h47 x sh47</t>
  </si>
  <si>
    <t>The  Cascade bench in our BENCHES collection is a masterpiece of craftsmanship, offering both durability and aesthetic appeal.</t>
  </si>
  <si>
    <t>9GUBI240040045005-NT</t>
  </si>
  <si>
    <t>Gunter bench</t>
  </si>
  <si>
    <t>BSMA-TEA-NAT-2404045SH45-IND</t>
  </si>
  <si>
    <t xml:space="preserve"> Maverick bench</t>
  </si>
  <si>
    <t>w240 x d40 x h45 x sh45</t>
  </si>
  <si>
    <t>Discover the unique charm of  Maverick bench in our BENCHES collection. It's not just a product; it's a lifestyle.</t>
  </si>
  <si>
    <t>9GUBO240040045005-NT</t>
  </si>
  <si>
    <t>BSMA-TEA-NAT-2404045SH45-OUT</t>
  </si>
  <si>
    <t xml:space="preserve"> Maverick bench is a showcase of excellence in BENCHES. It combines style, functionality, and unmatched quality.</t>
  </si>
  <si>
    <t>9GUBI250040045005-NT</t>
  </si>
  <si>
    <t>BSMA-TEA-NAT-2504045SH45-IND</t>
  </si>
  <si>
    <t>w250 x d40 x h45 x sh45</t>
  </si>
  <si>
    <t>9GUBO250040045005-NT</t>
  </si>
  <si>
    <t>BSMA-TEA-NAT-2504045SH45-OUT</t>
  </si>
  <si>
    <t>Redefine elegance with the  Maverick bench, a pinnacle of our BENCHES series. Its design is both innovative and timeless.</t>
  </si>
  <si>
    <t>9GUBI30040045005-NT</t>
  </si>
  <si>
    <t>BSMA-TEA-NAT-3004045SH45-IND</t>
  </si>
  <si>
    <t xml:space="preserve">w300 x d40 x h45 x sh45 </t>
  </si>
  <si>
    <t>The  Maverick bench in our BENCHES collection is a masterpiece of craftsmanship, offering both durability and aesthetic appeal.</t>
  </si>
  <si>
    <t>9GUBO30040045005-NT</t>
  </si>
  <si>
    <t>BSMA-TEA-NAT-3004045SH45-OUT</t>
  </si>
  <si>
    <t>9ANBI250040045005-NT</t>
  </si>
  <si>
    <t>Andreas bench</t>
  </si>
  <si>
    <t>BSOR-TEA-NAT-2504045SH45-IND</t>
  </si>
  <si>
    <t xml:space="preserve"> Orion bench</t>
  </si>
  <si>
    <t>Discover the unique charm of  Orion bench in our BENCHES collection. It's not just a product; it's a lifestyle.</t>
  </si>
  <si>
    <t>9ANBO250040045005-NT</t>
  </si>
  <si>
    <t>BSOR-TEA-NAT-2504045SH45-OUT</t>
  </si>
  <si>
    <t>The  Orion bench in our BENCHES collection is a masterpiece of craftsmanship, offering both durability and aesthetic appeal.</t>
  </si>
  <si>
    <t>9ANBI300040045005-NT</t>
  </si>
  <si>
    <t>BSOR-TEA-NAT-3004045SH45-IND</t>
  </si>
  <si>
    <t>w300 x d40 x h45 x sh45</t>
  </si>
  <si>
    <t>Redefine elegance with the  Orion bench, a pinnacle of our BENCHES series. Its design is both innovative and timeless.</t>
  </si>
  <si>
    <t>9ANBO300040045005-NT</t>
  </si>
  <si>
    <t>BSOR-TEA-NAT-3004045SH45-OUT</t>
  </si>
  <si>
    <t>9BEBI280040045005-NT</t>
  </si>
  <si>
    <t>Berre bench</t>
  </si>
  <si>
    <t>BSSO-TEA-NAT-2804045SH45-IND</t>
  </si>
  <si>
    <t xml:space="preserve"> Solstice bench</t>
  </si>
  <si>
    <t xml:space="preserve">w280 x d40 x h45 x sh45 </t>
  </si>
  <si>
    <t>Redefine elegance with the  Solstice bench, a pinnacle of our BENCHES series. Its design is both innovative and timeless.</t>
  </si>
  <si>
    <t>9BEBO280040045005-NT</t>
  </si>
  <si>
    <t>BSSO-TEA-NAT-2804045SH45-OUT</t>
  </si>
  <si>
    <t>The  Solstice bench in our BENCHES collection is a masterpiece of craftsmanship, offering both durability and aesthetic appeal.</t>
  </si>
  <si>
    <t>9BEBI32040045005-NT</t>
  </si>
  <si>
    <t>BSSO-TEA-NAT-3204045SH45-IND</t>
  </si>
  <si>
    <t>w320 x d40 x h45 x sh45</t>
  </si>
  <si>
    <t>9BEBO320040045005-NT</t>
  </si>
  <si>
    <t>BSSO-TEA-NAT-3204045SH45-OUT</t>
  </si>
  <si>
    <t>9BEBI40040045005-NT</t>
  </si>
  <si>
    <t>BSSO-TEA-NAT-4004045SH45-IND</t>
  </si>
  <si>
    <t xml:space="preserve">w400 x d40 x h45 x sh45 </t>
  </si>
  <si>
    <t>9BEBO40040045005-NT</t>
  </si>
  <si>
    <t>BSSO-TEA-NAT-4004045SH45-OUT</t>
  </si>
  <si>
    <t xml:space="preserve"> Solstice bench is a showcase of excellence in BENCHES. It combines style, functionality, and unmatched quality.</t>
  </si>
  <si>
    <t>9FRBI260040045005-NT</t>
  </si>
  <si>
    <t xml:space="preserve">Fred bench </t>
  </si>
  <si>
    <t>BSZE-TEA-NAT-2604045SH45-IND</t>
  </si>
  <si>
    <t xml:space="preserve"> Zenith bench</t>
  </si>
  <si>
    <t>w260 x d40 x h45 x sh45</t>
  </si>
  <si>
    <t>Experience unparalleled sophistication with the  Zenith bench from our BENCHES range. It's where design meets functionality.</t>
  </si>
  <si>
    <t>9FRBO260040045005-NT</t>
  </si>
  <si>
    <t>BSZE-TEA-NAT-2604045SH45-OUT</t>
  </si>
  <si>
    <t>The  Zenith bench in our BENCHES collection is a masterpiece of craftsmanship, offering both durability and aesthetic appeal.</t>
  </si>
  <si>
    <t>Furniture &gt; Sofas</t>
  </si>
  <si>
    <t>9SES102070075-NT</t>
  </si>
  <si>
    <t>Sedem 1-seater</t>
  </si>
  <si>
    <t>SFVO-TEA-CON-1026764SH43-IND</t>
  </si>
  <si>
    <t xml:space="preserve"> Vortex 1-seater</t>
  </si>
  <si>
    <t>w102 x d67 x h64 x sh43 x ah64</t>
  </si>
  <si>
    <t xml:space="preserve"> Vortex 1-seater is a showcase of excellence in SOFAS. It combines style, functionality, and unmatched quality.</t>
  </si>
  <si>
    <t>Sofa</t>
  </si>
  <si>
    <t>4SES102070075-SUNBRELLA AW</t>
  </si>
  <si>
    <t>upholstery Sedem 1-seater sunb. fabric AW</t>
  </si>
  <si>
    <t>SFVO-CUS-CON-1027075-IND</t>
  </si>
  <si>
    <t xml:space="preserve"> Vortex Cush-1-seater</t>
  </si>
  <si>
    <t>w102 x d70 x h75</t>
  </si>
  <si>
    <t>Discover the unique charm of  Vortex Cush-1-seater in our SOFAS collection. It's not just a product; it's a lifestyle.</t>
  </si>
  <si>
    <t>9SES202070075-NT</t>
  </si>
  <si>
    <t>Sedem 2-seater</t>
  </si>
  <si>
    <t>SFVO-TEA-NAT-2026764SH43-IND</t>
  </si>
  <si>
    <t xml:space="preserve"> Vortex 2-seater</t>
  </si>
  <si>
    <t>w202 x d67 x h64 x sh43 x ah64</t>
  </si>
  <si>
    <t>Experience unparalleled sophistication with the  Vortex 2-seater from our SOFAS range. It's where design meets functionality.</t>
  </si>
  <si>
    <t>4SES202070075-SUNBRELLA AW</t>
  </si>
  <si>
    <t>upholstery Sedem 2-seater sunb. fabric AW</t>
  </si>
  <si>
    <t>SFVO-CUS-FAB-2027075-IND</t>
  </si>
  <si>
    <t xml:space="preserve"> Vortex Cush-2-seater</t>
  </si>
  <si>
    <t>w202 x d70 x h75</t>
  </si>
  <si>
    <t>The  Vortex Cush-2-seater in our SOFAS collection is a masterpiece of craftsmanship, offering both durability and aesthetic appeal.</t>
  </si>
  <si>
    <t>9SES250070075-NT</t>
  </si>
  <si>
    <t>Sedem 3-seater</t>
  </si>
  <si>
    <t>SFVO-TEA-NAT-2506764SH43-IND</t>
  </si>
  <si>
    <t xml:space="preserve"> Vortex 3-seater</t>
  </si>
  <si>
    <t>w250 x d67 x h64 x sh43 x ah64</t>
  </si>
  <si>
    <t>Redefine elegance with the  Vortex 3-seater, a pinnacle of our SOFAS series. Its design is both innovative and timeless.</t>
  </si>
  <si>
    <t>4SES250067064-SUNBRELLA AW</t>
  </si>
  <si>
    <t>upholstery Sedem 3-seater sunb. fabric AW</t>
  </si>
  <si>
    <t>SFVO-CUS-FAB-2506764-IND</t>
  </si>
  <si>
    <t xml:space="preserve"> Vortex Cush-3-seater</t>
  </si>
  <si>
    <t>w250 x d67 x h64</t>
  </si>
  <si>
    <t>Discover the unique charm of  Vortex Cush-3-seater in our SOFAS collection. It's not just a product; it's a lifestyle.</t>
  </si>
  <si>
    <t>9GES106086073-NT</t>
  </si>
  <si>
    <t>Gerard 1-seater</t>
  </si>
  <si>
    <t>SFEC-TEA-NAT-1068673SH43-IND</t>
  </si>
  <si>
    <t xml:space="preserve"> Eclipse 1-seater</t>
  </si>
  <si>
    <t>w106 x d86 x h73 x sh43 x ah73</t>
  </si>
  <si>
    <t>Redefine elegance with the  Eclipse 1-seater, a pinnacle of our SOFAS series. Its design is both innovative and timeless.</t>
  </si>
  <si>
    <t>9GES206086073-NT</t>
  </si>
  <si>
    <t>Gerard 2-seater</t>
  </si>
  <si>
    <t>SFEC-TEA-NAT-2068673SH43-IND</t>
  </si>
  <si>
    <t xml:space="preserve"> Eclipse 2-seater</t>
  </si>
  <si>
    <t>w206 x d86 x h73 x sh43 x ah73</t>
  </si>
  <si>
    <t>The  Eclipse 2-seater in our SOFAS collection is a masterpiece of craftsmanship, offering both durability and aesthetic appeal.</t>
  </si>
  <si>
    <t>9GES250086073-NT</t>
  </si>
  <si>
    <t>Gerard 3-seater</t>
  </si>
  <si>
    <t>SFEC-TEA-NAT-2508673SH43-IND</t>
  </si>
  <si>
    <t xml:space="preserve"> Eclipse 3-seater</t>
  </si>
  <si>
    <t>w250 x d86 x h73 x sh43 x ah73</t>
  </si>
  <si>
    <t xml:space="preserve"> Eclipse 3-seater is a showcase of excellence in SOFAS. It combines style, functionality, and unmatched quality.</t>
  </si>
  <si>
    <t>4JOES105090067-LBR</t>
  </si>
  <si>
    <t>Joe sofa 1-seater</t>
  </si>
  <si>
    <t>SFNE-CUS-LEA-1059067SH42-IND</t>
  </si>
  <si>
    <t xml:space="preserve"> Nebula sofa-1-seater</t>
  </si>
  <si>
    <t>w105 x d90 x h67 x sh42</t>
  </si>
  <si>
    <t>leather brown</t>
  </si>
  <si>
    <t>Experience unparalleled sophistication with the  Nebula sofa-1-seater from our SOFAS range. It's where design meets functionality.</t>
  </si>
  <si>
    <t>42</t>
  </si>
  <si>
    <t>4JOES205090067-LBR</t>
  </si>
  <si>
    <t>Joe sofa 2-seater</t>
  </si>
  <si>
    <t>SFNE-CUS-LEA-2059067SH42-IND</t>
  </si>
  <si>
    <t xml:space="preserve"> Nebula sofa-2-seater</t>
  </si>
  <si>
    <t>w205 x d90 x h67 x sh42</t>
  </si>
  <si>
    <t>Discover the unique charm of  Nebula sofa-2-seater in our SOFAS collection. It's not just a product; it's a lifestyle.</t>
  </si>
  <si>
    <t>4JOES270090067-LBR</t>
  </si>
  <si>
    <t>Joe sofa 3-seater</t>
  </si>
  <si>
    <t>SFNE-CUS-LEA-2709067SH42-IND</t>
  </si>
  <si>
    <t xml:space="preserve"> Nebula sofa-3-seater</t>
  </si>
  <si>
    <t>w270 x d90 x h67 x sh42</t>
  </si>
  <si>
    <t>Redefine elegance with the  Nebula sofa-3-seater, a pinnacle of our SOFAS series. Its design is both innovative and timeless.</t>
  </si>
  <si>
    <t>Furniture &gt; Lounge Sets</t>
  </si>
  <si>
    <t>9SCS</t>
  </si>
  <si>
    <t>Square chair single</t>
  </si>
  <si>
    <t>LSPR-TEA-CON-928766SH34-IND</t>
  </si>
  <si>
    <t xml:space="preserve"> Prism Chair-single</t>
  </si>
  <si>
    <t>w92 x d87 x h66 x sh34</t>
  </si>
  <si>
    <t>The  Prism Chair-single in our LOUNGE SETS collection is a masterpiece of craftsmanship, offering both durability and aesthetic appeal.</t>
  </si>
  <si>
    <t>Lounge sets</t>
  </si>
  <si>
    <t>9SCS-SUNBRELLA AW</t>
  </si>
  <si>
    <t>cushion square chair single sunbr. fabric AW</t>
  </si>
  <si>
    <t>LSPR-FAB-CON--IND</t>
  </si>
  <si>
    <t xml:space="preserve"> Prism cushion-single</t>
  </si>
  <si>
    <t>consolidation</t>
  </si>
  <si>
    <t>Discover the unique charm of  Prism cushion-single in our LOUNGE SETS collection. It's not just a product; it's a lifestyle.</t>
  </si>
  <si>
    <t>9SCD</t>
  </si>
  <si>
    <t>Square chair double</t>
  </si>
  <si>
    <t>LSPR-TEA-NAT-1888766SH34-IND</t>
  </si>
  <si>
    <t xml:space="preserve"> Prism chair-double</t>
  </si>
  <si>
    <t xml:space="preserve"> w188 x d87 x h66 x sh34</t>
  </si>
  <si>
    <t>The  Prism chair-double in our LOUNGE SETS collection is a masterpiece of craftsmanship, offering both durability and aesthetic appeal.</t>
  </si>
  <si>
    <t>9SCD-SUNBRELLA AW</t>
  </si>
  <si>
    <t>cushion square chair double sunbr. fabric AW</t>
  </si>
  <si>
    <t>LSPR-FAB----IND</t>
  </si>
  <si>
    <t xml:space="preserve"> Prism cushion-double</t>
  </si>
  <si>
    <t>The  Prism cushion-double in our LOUNGE SETS collection is a masterpiece of craftsmanship, offering both durability and aesthetic appeal.</t>
  </si>
  <si>
    <t>9SCT</t>
  </si>
  <si>
    <t>Square chair triple</t>
  </si>
  <si>
    <t>LSPR-TEA-NAT-3008766SH34-IND</t>
  </si>
  <si>
    <t xml:space="preserve"> Prism chair-triple</t>
  </si>
  <si>
    <t>w300 x d87 x h66 x sh34</t>
  </si>
  <si>
    <t>Experience unparalleled sophistication with the  Prism chair-triple from our LOUNGE SETS range. It's where design meets functionality.</t>
  </si>
  <si>
    <t>9SCT-SUNBRELLA AW</t>
  </si>
  <si>
    <t>cushion square chair triple sunbr. fabric AW</t>
  </si>
  <si>
    <t xml:space="preserve"> Prism cushion-triple</t>
  </si>
  <si>
    <t>Redefine elegance with the  Prism cushion-triple, a pinnacle of our LOUNGE SETS series. Its design is both innovative and timeless.</t>
  </si>
  <si>
    <t>9HEC062076087-BA</t>
  </si>
  <si>
    <t>Heffie chair</t>
  </si>
  <si>
    <t>LSAU-BAR-NAT-627687SH34-IND</t>
  </si>
  <si>
    <t xml:space="preserve"> Aurora chair</t>
  </si>
  <si>
    <t>w62 x d76 x h87 x sh34</t>
  </si>
  <si>
    <t>Redefine elegance with the  Aurora chair, a pinnacle of our LOUNGE SETS series. Its design is both innovative and timeless.</t>
  </si>
  <si>
    <t>9DAL200109084-NT</t>
  </si>
  <si>
    <t>Dallas sofa</t>
  </si>
  <si>
    <t>LSCE-TEA-NAT-20010984SH43-IND</t>
  </si>
  <si>
    <t xml:space="preserve"> Celestia sofa</t>
  </si>
  <si>
    <t>w200 x d109 x h84 x sh43 x ah61</t>
  </si>
  <si>
    <t>Discover the unique charm of  Celestia sofa in our LOUNGE SETS collection. It's not just a product; it's a lifestyle.</t>
  </si>
  <si>
    <t>Mirabel</t>
  </si>
  <si>
    <t>LSST-KUB-NAT-706677SH42-IND</t>
  </si>
  <si>
    <t xml:space="preserve"> Stardust Chair</t>
  </si>
  <si>
    <t>w70 x d66 x h77 x sh42 x ah63</t>
  </si>
  <si>
    <t>Experience unparalleled sophistication with the  Stardust Chair from our LOUNGE SETS range. It's where design meets functionality.</t>
  </si>
  <si>
    <t>21422-SUNBRELLA AW</t>
  </si>
  <si>
    <t>cushion Mirabel sunbr. fabric AW</t>
  </si>
  <si>
    <t>LSST-FAB----IND</t>
  </si>
  <si>
    <t xml:space="preserve"> Stardust cushion</t>
  </si>
  <si>
    <t>The  Stardust cushion in our LOUNGE SETS collection is a masterpiece of craftsmanship, offering both durability and aesthetic appeal.</t>
  </si>
  <si>
    <t>9TASS088078074-BA</t>
  </si>
  <si>
    <t xml:space="preserve">Tach single </t>
  </si>
  <si>
    <t>LSCO-BAR-NAT-887874SH37-IND</t>
  </si>
  <si>
    <t xml:space="preserve"> Comet Chair-single</t>
  </si>
  <si>
    <t>w88 x d78 x h74 x sh37</t>
  </si>
  <si>
    <t xml:space="preserve"> Comet Chair-single is a showcase of excellence in LOUNGE SETS. It combines style, functionality, and unmatched quality.</t>
  </si>
  <si>
    <t>9STS088078074-SUNBRELLA AW</t>
  </si>
  <si>
    <t>cushion Tach single sunbr. fabric AW</t>
  </si>
  <si>
    <t>LSCO-FAB----IND</t>
  </si>
  <si>
    <t xml:space="preserve"> Comet cushion</t>
  </si>
  <si>
    <t xml:space="preserve"> Comet cushion is a showcase of excellence in LOUNGE SETS. It combines style, functionality, and unmatched quality.</t>
  </si>
  <si>
    <t>9TASD178078074-BA</t>
  </si>
  <si>
    <t>Tach double</t>
  </si>
  <si>
    <t>LSCO-BAR-NAT-1787874SH37-IND</t>
  </si>
  <si>
    <t xml:space="preserve"> Comet Chair-double</t>
  </si>
  <si>
    <t>w178 x d78 x h74 x sh37</t>
  </si>
  <si>
    <t>The  Comet Chair-double in our LOUNGE SETS collection is a masterpiece of craftsmanship, offering both durability and aesthetic appeal.</t>
  </si>
  <si>
    <t>9STD178078074-SUNBRELLA AW</t>
  </si>
  <si>
    <t>cushion Tach double sunbr. fabric AW</t>
  </si>
  <si>
    <t>9TAST248110074-BA</t>
  </si>
  <si>
    <t xml:space="preserve">Tach triple </t>
  </si>
  <si>
    <t>LSCO-BAR-NAT-24811074SH37-IND</t>
  </si>
  <si>
    <t xml:space="preserve"> Comet Chair-triple</t>
  </si>
  <si>
    <t xml:space="preserve"> w248 x d110 x h74 x sh37</t>
  </si>
  <si>
    <t>Discover the unique charm of  Comet Chair-triple in our LOUNGE SETS collection. It's not just a product; it's a lifestyle.</t>
  </si>
  <si>
    <t>9STT248110074-SUNBRELLA AW</t>
  </si>
  <si>
    <t>cushion Tach triple sunbr. fabric AW</t>
  </si>
  <si>
    <t>The  Comet cushion in our LOUNGE SETS collection is a masterpiece of craftsmanship, offering both durability and aesthetic appeal.</t>
  </si>
  <si>
    <t>9TACTW068050021-BA</t>
  </si>
  <si>
    <t>Tach ottoman on wheels</t>
  </si>
  <si>
    <t>LSCO-BAR-NAT-685021SH37-IND</t>
  </si>
  <si>
    <t xml:space="preserve"> Comet Chair-ottoman</t>
  </si>
  <si>
    <t>w68 x d50 x h21 x sh37</t>
  </si>
  <si>
    <t xml:space="preserve"> Comet Chair-ottoman is a showcase of excellence in LOUNGE SETS. It combines style, functionality, and unmatched quality.</t>
  </si>
  <si>
    <t>9TACTW068050021-SUNBRELLA AW</t>
  </si>
  <si>
    <t>cushion Tach ottoman on wheels sunbr. fabric AW</t>
  </si>
  <si>
    <t>Redefine elegance with the  Comet cushion, a pinnacle of our LOUNGE SETS series. Its design is both innovative and timeless.</t>
  </si>
  <si>
    <t>21701-AB</t>
  </si>
  <si>
    <t>Charlotte abaca</t>
  </si>
  <si>
    <t>LSGA-TEA-NAT-768090SH31-IND</t>
  </si>
  <si>
    <t xml:space="preserve"> Galaxy Chair-abaca</t>
  </si>
  <si>
    <t xml:space="preserve">w76 x d80 x h90 x sh31 </t>
  </si>
  <si>
    <t>teak branches &amp; abaca</t>
  </si>
  <si>
    <t>The  Galaxy Chair-abaca in our LOUNGE SETS collection is a masterpiece of craftsmanship, offering both durability and aesthetic appeal.</t>
  </si>
  <si>
    <t>9MUS-NT</t>
  </si>
  <si>
    <t>Mushu single</t>
  </si>
  <si>
    <t>LSNE-TEA-NAT-928966SH41-IND</t>
  </si>
  <si>
    <t xml:space="preserve"> Nebula Chair-single</t>
  </si>
  <si>
    <t xml:space="preserve"> w92 x d89 x h66 x sh41 </t>
  </si>
  <si>
    <t xml:space="preserve"> Nebula Chair-single is a showcase of excellence in LOUNGE SETS. It combines style, functionality, and unmatched quality.</t>
  </si>
  <si>
    <t>9MUS-RW</t>
  </si>
  <si>
    <t>LSNE-RAI-NAT-928966SH41-IND</t>
  </si>
  <si>
    <t xml:space="preserve"> Nebula Chair-double</t>
  </si>
  <si>
    <t>teak railway</t>
  </si>
  <si>
    <t>Discover the unique charm of  Nebula Chair-double in our LOUNGE SETS collection. It's not just a product; it's a lifestyle.</t>
  </si>
  <si>
    <t>9MUS-SUNBRELLA AW</t>
  </si>
  <si>
    <t>cushion Mushu sofa single sunbr. AW</t>
  </si>
  <si>
    <t>LSNE-FAB----IND</t>
  </si>
  <si>
    <t xml:space="preserve"> Nebula cushion</t>
  </si>
  <si>
    <t>The  Nebula cushion in our LOUNGE SETS collection is a masterpiece of craftsmanship, offering both durability and aesthetic appeal.</t>
  </si>
  <si>
    <t>9MUD-NT</t>
  </si>
  <si>
    <t>Mushu double</t>
  </si>
  <si>
    <t>LSNE-TEA-NAT-1888966SH41-IND</t>
  </si>
  <si>
    <t xml:space="preserve"> Nebula sofa-double</t>
  </si>
  <si>
    <t xml:space="preserve">w188 x d89 x h66 x sh41 </t>
  </si>
  <si>
    <t>Redefine elegance with the  Nebula sofa-double, a pinnacle of our LOUNGE SETS series. Its design is both innovative and timeless.</t>
  </si>
  <si>
    <t>9MUD-RW</t>
  </si>
  <si>
    <t>LSNE-RAI-NAT-1888966SH41-IND</t>
  </si>
  <si>
    <t>The  Nebula sofa-double in our LOUNGE SETS collection is a masterpiece of craftsmanship, offering both durability and aesthetic appeal.</t>
  </si>
  <si>
    <t>9MUD-SUNBRELLA AW</t>
  </si>
  <si>
    <t>cushion Mushu sofa double sunbr. AW</t>
  </si>
  <si>
    <t>Experience unparalleled sophistication with the  Nebula cushion from our LOUNGE SETS range. It's where design meets functionality.</t>
  </si>
  <si>
    <t>9MUT-NT</t>
  </si>
  <si>
    <t>Mushu triple</t>
  </si>
  <si>
    <t>LSNE-TEA-NAT-3008966SH41-IND</t>
  </si>
  <si>
    <t xml:space="preserve"> Nebula sofa-triple</t>
  </si>
  <si>
    <t>w300 x d89 x h66 x sh41</t>
  </si>
  <si>
    <t xml:space="preserve"> Nebula sofa-triple is a showcase of excellence in LOUNGE SETS. It combines style, functionality, and unmatched quality.</t>
  </si>
  <si>
    <t>9SAS084091070-NTR4</t>
  </si>
  <si>
    <t xml:space="preserve">Salvador 2 arms </t>
  </si>
  <si>
    <t>LSSO-TEA-NAT-849170SH45-IND</t>
  </si>
  <si>
    <t xml:space="preserve"> Solaris Chair-2arms</t>
  </si>
  <si>
    <t xml:space="preserve">w84 x d91 x h70 x sh45 </t>
  </si>
  <si>
    <t>Discover the unique charm of  Solaris Chair-2arms in our LOUNGE SETS collection. It's not just a product; it's a lifestyle.</t>
  </si>
  <si>
    <t>9SAS084091070-SUNBRELLA AW</t>
  </si>
  <si>
    <t>cushion Salvador 2 arms sunbr. fabric AW</t>
  </si>
  <si>
    <t>LSSO-FAB----IND</t>
  </si>
  <si>
    <t xml:space="preserve"> Solaris cushion-2arms</t>
  </si>
  <si>
    <t>Redefine elegance with the  Solaris cushion-2arms, a pinnacle of our LOUNGE SETS series. Its design is both innovative and timeless.</t>
  </si>
  <si>
    <t>9SAS070084070-NTR4</t>
  </si>
  <si>
    <t>Salvador no arm</t>
  </si>
  <si>
    <t>LSSO-TEA-NAT-708470SH45-IND</t>
  </si>
  <si>
    <t xml:space="preserve"> Solaris Chair-noarm</t>
  </si>
  <si>
    <t xml:space="preserve">w70 x d84 x h70 x sh45 </t>
  </si>
  <si>
    <t>Redefine elegance with the  Solaris Chair-noarm, a pinnacle of our LOUNGE SETS series. Its design is both innovative and timeless.</t>
  </si>
  <si>
    <t>9SAS070084070-SUNBRELLA AW</t>
  </si>
  <si>
    <t>cushion Salvador no arm sunbr. fabric AW</t>
  </si>
  <si>
    <t xml:space="preserve"> Solaris cushion-noarm</t>
  </si>
  <si>
    <t>Redefine elegance with the  Solaris cushion-noarm, a pinnacle of our LOUNGE SETS series. Its design is both innovative and timeless.</t>
  </si>
  <si>
    <t>7BRCJU-NT</t>
  </si>
  <si>
    <t>Jules bear chair</t>
  </si>
  <si>
    <t>LSZE-TEA-NAT-887493SH43-IND</t>
  </si>
  <si>
    <t xml:space="preserve"> Zenith Chair-bear</t>
  </si>
  <si>
    <t>w88 x d74 x h93 x sh43</t>
  </si>
  <si>
    <t>Experience unparalleled sophistication with the  Zenith Chair-bear from our LOUNGE SETS range. It's where design meets functionality.</t>
  </si>
  <si>
    <t>7LCJU-NT</t>
  </si>
  <si>
    <t>Jules lounge chair</t>
  </si>
  <si>
    <t>LSZE-TEA-NAT-655170SH40-IND</t>
  </si>
  <si>
    <t xml:space="preserve"> Zenith Chair-lounge</t>
  </si>
  <si>
    <t>w65 x d51 x h70 x sh40</t>
  </si>
  <si>
    <t xml:space="preserve"> Zenith Chair-lounge is a showcase of excellence in LOUNGE SETS. It combines style, functionality, and unmatched quality.</t>
  </si>
  <si>
    <t>7BRCMA-NT</t>
  </si>
  <si>
    <t>Maria bear chair</t>
  </si>
  <si>
    <t>LSCE-TEA-NAT-887490SH45-IND</t>
  </si>
  <si>
    <t xml:space="preserve"> Celestial Chair-bear</t>
  </si>
  <si>
    <t>w88 x d74 x h90 x sh45</t>
  </si>
  <si>
    <t>Experience unparalleled sophistication with the  Celestial Chair-bear from our LOUNGE SETS range. It's where design meets functionality.</t>
  </si>
  <si>
    <t>7LCMA-NT</t>
  </si>
  <si>
    <t>Maria lounge chair</t>
  </si>
  <si>
    <t>LSCE-TEA-NAT-704570SH42-IND</t>
  </si>
  <si>
    <t xml:space="preserve"> Celestial Chair-lounge</t>
  </si>
  <si>
    <t>w70 x d45 x h70 x sh42</t>
  </si>
  <si>
    <t>Discover the unique charm of  Celestial Chair-lounge in our LOUNGE SETS collection. It's not just a product; it's a lifestyle.</t>
  </si>
  <si>
    <t>Beach &amp; Spa &gt; Sunbeds</t>
  </si>
  <si>
    <t>Square sunbed</t>
  </si>
  <si>
    <t>BPSQ-KUB-CON-20020041-SQU</t>
  </si>
  <si>
    <t>w200 x d200 x h41</t>
  </si>
  <si>
    <t>The Square sunbed in our SUNBEDS collection is a masterpiece of craftsmanship, offering both durability and aesthetic appeal.</t>
  </si>
  <si>
    <t>04</t>
  </si>
  <si>
    <t>square umbrella</t>
  </si>
  <si>
    <t>BPSQ-RAT-CON-20020041-SQU</t>
  </si>
  <si>
    <t>Square umbrella</t>
  </si>
  <si>
    <t xml:space="preserve">w200 x d200 x h41 </t>
  </si>
  <si>
    <t>rattan</t>
  </si>
  <si>
    <t>Discover the unique charm of Square umbrella in our SUNBEDS collection. It's not just a product; it's a lifestyle.</t>
  </si>
  <si>
    <t>16</t>
  </si>
  <si>
    <t>9SUL</t>
  </si>
  <si>
    <t>stick umbrella</t>
  </si>
  <si>
    <t>BPST-TEA-NAT--OUT</t>
  </si>
  <si>
    <t>Stick umbrella</t>
  </si>
  <si>
    <t>Discover the unique charm of Stick umbrella in our SUNBEDS collection. It's not just a product; it's a lifestyle.</t>
  </si>
  <si>
    <t>5T030088002-B</t>
  </si>
  <si>
    <t>BPTO-STO---30882-REC</t>
  </si>
  <si>
    <t>Top Bluestone</t>
  </si>
  <si>
    <t>w30x d88x h2</t>
  </si>
  <si>
    <t>bluestone</t>
  </si>
  <si>
    <t>Discover the unique charm of Top Bluestone in our SUNBEDS collection. It's not just a product; it's a lifestyle.</t>
  </si>
  <si>
    <t>9SBL200080032-NT</t>
  </si>
  <si>
    <t>Lima sunbed with wheels single</t>
  </si>
  <si>
    <t>BPRI-TEA-NAT-2008032-OUT</t>
  </si>
  <si>
    <t>Riquewihr sunbed with wheels single</t>
  </si>
  <si>
    <t xml:space="preserve">w200 x d80 x h32 </t>
  </si>
  <si>
    <t>The Riquewihr sunbed with wheels single in our SUNBEDS collection is a masterpiece of craftsmanship, offering both durability and aesthetic appeal.</t>
  </si>
  <si>
    <t>9SBL200080032-sunbrella AW</t>
  </si>
  <si>
    <t>cushion Lima single wheels sunbr. AW foam</t>
  </si>
  <si>
    <t>BPRI-FAB----OUT</t>
  </si>
  <si>
    <t>Riquewihr sunbed - cushion</t>
  </si>
  <si>
    <t>Experience unparalleled sophistication with the Riquewihr sunbed - cushion from our SUNBEDS range. It's where design meets functionality.</t>
  </si>
  <si>
    <t>9SBL200200032-NT</t>
  </si>
  <si>
    <t>Lima sunbed with wheels double</t>
  </si>
  <si>
    <t>BPRI-NAT-NAT-20020032-OUT</t>
  </si>
  <si>
    <t>Riquewihr sunbed with wheels double</t>
  </si>
  <si>
    <t xml:space="preserve">w200 x d200 x h32 </t>
  </si>
  <si>
    <t>Riquewihr sunbed with wheels double is a showcase of excellence in SUNBEDS. It combines style, functionality, and unmatched quality.</t>
  </si>
  <si>
    <t>9SBL200200032-SUNBRELLA AW</t>
  </si>
  <si>
    <t>cushion Lima double wheels sunbr. AW foam</t>
  </si>
  <si>
    <t>BPRI-TEA----OUT</t>
  </si>
  <si>
    <t xml:space="preserve">Riquewihr sunbed - cushion </t>
  </si>
  <si>
    <t>Redefine elegance with the Riquewihr sunbed - cushion , a pinnacle of our SUNBEDS series. Its design is both innovative and timeless.</t>
  </si>
  <si>
    <t>9SBR</t>
  </si>
  <si>
    <t>Sunbed rustic on wheels</t>
  </si>
  <si>
    <t>BPSU-TEA-RUS-2008045-OUT</t>
  </si>
  <si>
    <t>Sunbed Rustic on wheels</t>
  </si>
  <si>
    <t>w200 x d80 x h45</t>
  </si>
  <si>
    <t>rustic teak</t>
  </si>
  <si>
    <t>The Sunbed Rustic on wheels in our SUNBEDS collection is a masterpiece of craftsmanship, offering both durability and aesthetic appeal.</t>
  </si>
  <si>
    <t>9SB-sunbrella AW</t>
  </si>
  <si>
    <t>cushion sunbed on wheels rustic sunbr. AW foam</t>
  </si>
  <si>
    <t>BPSU-FAB----OUT</t>
  </si>
  <si>
    <t>Sunbed Rustic - Cushion on wheels</t>
  </si>
  <si>
    <t>Sunbed Rustic - Cushion on wheels is a showcase of excellence in SUNBEDS. It combines style, functionality, and unmatched quality.</t>
  </si>
  <si>
    <t>Phoenix hammock</t>
  </si>
  <si>
    <t>BPGA-KUB-NAT-2131525-OUT</t>
  </si>
  <si>
    <t>Gasadalur Phoenix hammock</t>
  </si>
  <si>
    <t>w213 x d152.5 x h5</t>
  </si>
  <si>
    <t>Discover the unique charm of Gasadalur Phoenix hammock in our SUNBEDS collection. It's not just a product; it's a lifestyle.</t>
  </si>
  <si>
    <t>22004-SUNBRELLA AW</t>
  </si>
  <si>
    <t>Cushion for phoenix hammock sunbr. AW foam</t>
  </si>
  <si>
    <t>BPGA-FAB----OUT</t>
  </si>
  <si>
    <t>Gasadalur Hammock - cushion</t>
  </si>
  <si>
    <t>Experience unparalleled sophistication with the Gasadalur Hammock - cushion from our SUNBEDS range. It's where design meets functionality.</t>
  </si>
  <si>
    <t>Beach &amp; Spa &gt; Gazebos</t>
  </si>
  <si>
    <t>9DAB230200050-NT</t>
  </si>
  <si>
    <t>Dakar</t>
  </si>
  <si>
    <t>GZZE-TEA-NAT-230200250-OUT</t>
  </si>
  <si>
    <t>Zephyr gazebo</t>
  </si>
  <si>
    <t>w230 x d200 x h250</t>
  </si>
  <si>
    <t>Experience unparalleled sophistication with the Zephyr gazebo from our GAZEBOS range. It's where design meets functionality.</t>
  </si>
  <si>
    <t>Gazebos</t>
  </si>
  <si>
    <t>9DABS180040030-NT</t>
  </si>
  <si>
    <t>stairs Dakar gazebo</t>
  </si>
  <si>
    <t>GZZE-TEA-NAT--OUT</t>
  </si>
  <si>
    <t>Zephyr gazebo - Stairs</t>
  </si>
  <si>
    <t>-</t>
  </si>
  <si>
    <t>Redefine elegance with the Zephyr gazebo - Stairs, a pinnacle of our GAZEBOS series. Its design is both innovative and timeless.</t>
  </si>
  <si>
    <t>9DUG230210250-NT</t>
  </si>
  <si>
    <t>Durban</t>
  </si>
  <si>
    <t>GZCA-TEA-NAT-230210250-OUT</t>
  </si>
  <si>
    <t>Calista gazebo</t>
  </si>
  <si>
    <t>w230 x d210 x h250</t>
  </si>
  <si>
    <t>The Calista gazebo in our GAZEBOS collection is a masterpiece of craftsmanship, offering both durability and aesthetic appeal.</t>
  </si>
  <si>
    <t>FL232</t>
  </si>
  <si>
    <t>Nairobi</t>
  </si>
  <si>
    <t>GZOR-TEA-NAT-220220230-OUT</t>
  </si>
  <si>
    <t>Orion gazebo</t>
  </si>
  <si>
    <t>w220 x d220 x h230</t>
  </si>
  <si>
    <t>Discover the unique charm of Orion gazebo in our GAZEBOS collection. It's not just a product; it's a lifestyle.</t>
  </si>
  <si>
    <t>FL232-SUVE</t>
  </si>
  <si>
    <t>Sunbrella Velum roof</t>
  </si>
  <si>
    <t>GZRA-FAB----OUT</t>
  </si>
  <si>
    <t>Radiance Veil</t>
  </si>
  <si>
    <t>Fabric</t>
  </si>
  <si>
    <t>Discover the unique charm of Radiance Veil in our GAZEBOS collection. It's not just a product; it's a lifestyle.</t>
  </si>
  <si>
    <t>FL275WR</t>
  </si>
  <si>
    <t>Narok</t>
  </si>
  <si>
    <t>GZSE-TEA-NAT-210210250-OUT</t>
  </si>
  <si>
    <t>Seraphina gazebo</t>
  </si>
  <si>
    <t>w210 x d210 x h250</t>
  </si>
  <si>
    <t>Seraphina gazebo is a showcase of excellence in GAZEBOS. It combines style, functionality, and unmatched quality.</t>
  </si>
  <si>
    <t>FL276</t>
  </si>
  <si>
    <t>Nyeri</t>
  </si>
  <si>
    <t>GZLY-TEA-NAT-210210250-OUT</t>
  </si>
  <si>
    <t>Lyra gazebo</t>
  </si>
  <si>
    <t>Redefine elegance with the Lyra gazebo, a pinnacle of our GAZEBOS series. Its design is both innovative and timeless.</t>
  </si>
  <si>
    <t>FL691</t>
  </si>
  <si>
    <t>Luanda</t>
  </si>
  <si>
    <t>GZZE-TEA-NAT-200200230-OUT</t>
  </si>
  <si>
    <t>Zephyros gazebo</t>
  </si>
  <si>
    <t>w200 x d200 x h230</t>
  </si>
  <si>
    <t>The Zephyros gazebo in our GAZEBOS collection is a masterpiece of craftsmanship, offering both durability and aesthetic appeal.</t>
  </si>
  <si>
    <t>FL277</t>
  </si>
  <si>
    <t>Nakuru</t>
  </si>
  <si>
    <t>GZNE-TEA-NAT-210210250-OUT</t>
  </si>
  <si>
    <t>Nebula gazebo</t>
  </si>
  <si>
    <t>Nebula gazebo is a showcase of excellence in GAZEBOS. It combines style, functionality, and unmatched quality.</t>
  </si>
  <si>
    <t>UMBRELLA &amp; HOLDER</t>
  </si>
  <si>
    <t>Beach &amp; Spa &gt; Umbrella &amp; Holder</t>
  </si>
  <si>
    <t>UHQU-KUB-NAT-18018050-OUT</t>
  </si>
  <si>
    <t>Quantum Square Shade - M</t>
  </si>
  <si>
    <t>w180 x d180 x h50</t>
  </si>
  <si>
    <t>Redefine elegance with the Quantum Square Shade - M, a pinnacle of our UMBRELLA &amp; HOLDERS series. Its design is both innovative and timeless.</t>
  </si>
  <si>
    <t>Umbrella &amp; Holder</t>
  </si>
  <si>
    <t>UHQU-KUB-NAT-22522550-OUT</t>
  </si>
  <si>
    <t>Quantum Square Shade - L</t>
  </si>
  <si>
    <t>w225 x d225 x h50</t>
  </si>
  <si>
    <t>Experience unparalleled sophistication with the Quantum Square Shade - L from our UMBRELLA &amp; HOLDERS range. It's where design meets functionality.</t>
  </si>
  <si>
    <t>Round umbrella</t>
  </si>
  <si>
    <t>UHSO-KUB-NAT-d12030-OUT</t>
  </si>
  <si>
    <t>Solaris Round Canopy - M</t>
  </si>
  <si>
    <t>d120 x h30</t>
  </si>
  <si>
    <t>Discover the unique charm of Solaris Round Canopy - M in our UMBRELLA &amp; HOLDERS collection. It's not just a product; it's a lifestyle.</t>
  </si>
  <si>
    <t>UHSO-KUB-NAT-d18040-OUT</t>
  </si>
  <si>
    <t>Solaris Round Canopy - L</t>
  </si>
  <si>
    <t xml:space="preserve"> d180 x h40</t>
  </si>
  <si>
    <t>Discover the unique charm of Solaris Round Canopy - L in our UMBRELLA &amp; HOLDERS collection. It's not just a product; it's a lifestyle.</t>
  </si>
  <si>
    <t>Palm leaf umbrella</t>
  </si>
  <si>
    <t>UHTR-PAL-NAT-d18350-OUT</t>
  </si>
  <si>
    <t>Tropic Breeze Leaf Umbrella</t>
  </si>
  <si>
    <t>d183 x h50</t>
  </si>
  <si>
    <t>palm leafs</t>
  </si>
  <si>
    <t>The Tropic Breeze Leaf Umbrella in our UMBRELLA &amp; HOLDERS collection is a masterpiece of craftsmanship, offering both durability and aesthetic appeal.</t>
  </si>
  <si>
    <t>13</t>
  </si>
  <si>
    <t>Umbrella natural stick</t>
  </si>
  <si>
    <t>UHZE-TEA-NAT-d5235-OUT</t>
  </si>
  <si>
    <t>Zenith Natural Stick Umbrella D5</t>
  </si>
  <si>
    <t>d5 x h235</t>
  </si>
  <si>
    <t>reclaimed teak (natural shape)</t>
  </si>
  <si>
    <t>Discover the unique charm of Zenith Natural Stick Umbrella D5 in our UMBRELLA &amp; HOLDERS collection. It's not just a product; it's a lifestyle.</t>
  </si>
  <si>
    <t>Umbrella stick large</t>
  </si>
  <si>
    <t>UHZE-TEA-NAT-d8235-OUT</t>
  </si>
  <si>
    <t>Zenith Natural Stick Umbrella D8</t>
  </si>
  <si>
    <t>d8 x h235</t>
  </si>
  <si>
    <t>Zenith Natural Stick Umbrella D8 is a showcase of excellence in UMBRELLA &amp; HOLDERS. It combines style, functionality, and unmatched quality.</t>
  </si>
  <si>
    <t>CGFU30</t>
  </si>
  <si>
    <t>Foot umbrella</t>
  </si>
  <si>
    <t>UHTE-STO-NAT-303040-OUT</t>
  </si>
  <si>
    <t>Terra Pod Canopy - 30</t>
  </si>
  <si>
    <t xml:space="preserve"> w30 x d30 x h40</t>
  </si>
  <si>
    <t>riverstone</t>
  </si>
  <si>
    <t>Discover the unique charm of Terra Pod Canopy - 30 in our UMBRELLA &amp; HOLDERS collection. It's not just a product; it's a lifestyle.</t>
  </si>
  <si>
    <t>CGFU40S</t>
  </si>
  <si>
    <t>UHTE-STO-NAT-404040-OUT</t>
  </si>
  <si>
    <t>Terra Pod Canopy - 40S</t>
  </si>
  <si>
    <t>w40 x d40 x h40</t>
  </si>
  <si>
    <t>Discover the unique charm of Terra Pod Canopy - 40S in our UMBRELLA &amp; HOLDERS collection. It's not just a product; it's a lifestyle.</t>
  </si>
  <si>
    <t>CGFU40L</t>
  </si>
  <si>
    <t>Terra Pod Canopy - 40L</t>
  </si>
  <si>
    <t>Redefine elegance with the Terra Pod Canopy - 40L, a pinnacle of our UMBRELLA &amp; HOLDERS series. Its design is both innovative and timeless.</t>
  </si>
  <si>
    <t>CGFU50</t>
  </si>
  <si>
    <t>UHTE-STO-NAT-505040-OUT</t>
  </si>
  <si>
    <t>Terra Pod Canopy - 50</t>
  </si>
  <si>
    <t>w50 x d50 x h40</t>
  </si>
  <si>
    <t>Discover the unique charm of Terra Pod Canopy - 50 in our UMBRELLA &amp; HOLDERS collection. It's not just a product; it's a lifestyle.</t>
  </si>
  <si>
    <t>5P020020-BBR</t>
  </si>
  <si>
    <t>Round parasol holder</t>
  </si>
  <si>
    <t>UHZE-STO-NAT-d2020-OUT</t>
  </si>
  <si>
    <t>Zenith Sphere Parasol Holder</t>
  </si>
  <si>
    <t>d20 x h20</t>
  </si>
  <si>
    <t>bluestone bouchardé rocky</t>
  </si>
  <si>
    <t>Zenith Sphere Parasol Holder is a showcase of excellence in UMBRELLA &amp; HOLDERS. It combines style, functionality, and unmatched quality.</t>
  </si>
  <si>
    <t>5P040040042002-B</t>
  </si>
  <si>
    <t>Foot bluestone</t>
  </si>
  <si>
    <t>UHAZ-STO-NAT-404042-OUT</t>
  </si>
  <si>
    <t>Azure Foot Bluestone - A</t>
  </si>
  <si>
    <t>w40 x d40 x h42</t>
  </si>
  <si>
    <t>Azure Foot Bluestone - A is a showcase of excellence in UMBRELLA &amp; HOLDERS. It combines style, functionality, and unmatched quality.</t>
  </si>
  <si>
    <t>5P040040042004-B</t>
  </si>
  <si>
    <t>Azure Foot Bluestone - B</t>
  </si>
  <si>
    <t>The Azure Foot Bluestone - B in our UMBRELLA &amp; HOLDERS collection is a masterpiece of craftsmanship, offering both durability and aesthetic appeal.</t>
  </si>
  <si>
    <t>CANDLE HOLDER</t>
  </si>
  <si>
    <t>9CHB</t>
  </si>
  <si>
    <t>Candle holder bare</t>
  </si>
  <si>
    <t>Decors &gt; Candle Holder</t>
  </si>
  <si>
    <t>CDPH-BAR-NAT-102010-IND</t>
  </si>
  <si>
    <t>Photon Candle Holder</t>
  </si>
  <si>
    <t>w10 x d20 x h10</t>
  </si>
  <si>
    <t>Discover the unique charm of Photon Candle Holder in our CANDLE HOLDERS collection. It's not just a product; it's a lifestyle.</t>
  </si>
  <si>
    <t>Candle Holders</t>
  </si>
  <si>
    <t>FL521</t>
  </si>
  <si>
    <t>Canbowla square</t>
  </si>
  <si>
    <t>CDPR-TEA-NAT-12126-OUT</t>
  </si>
  <si>
    <t>Prism Square-12 Candle Holder</t>
  </si>
  <si>
    <t>w12 x d12 x h6</t>
  </si>
  <si>
    <t>Discover the unique charm of Prism Square-12 Candle Holder in our CANDLE HOLDERS collection. It's not just a product; it's a lifestyle.</t>
  </si>
  <si>
    <t>Plates, Bowls &amp; Trays</t>
  </si>
  <si>
    <t>FL522</t>
  </si>
  <si>
    <t>CDPR-TEA-NAT-18186-OUT</t>
  </si>
  <si>
    <t>Prism Square-18 Candle Holder</t>
  </si>
  <si>
    <t>w18 x d18 x h6</t>
  </si>
  <si>
    <t>Prism Square-18 Candle Holder is a showcase of excellence in CANDLE HOLDERS. It combines style, functionality, and unmatched quality.</t>
  </si>
  <si>
    <t>FL523</t>
  </si>
  <si>
    <t>CDPR-TEA-NAT-28286-OUT</t>
  </si>
  <si>
    <t>Prism Square-28 Candle Holder</t>
  </si>
  <si>
    <t>w28 x d28 x h6</t>
  </si>
  <si>
    <t>The Prism Square-28 Candle Holder in our CANDLE HOLDERS collection is a masterpiece of craftsmanship, offering both durability and aesthetic appeal.</t>
  </si>
  <si>
    <t>FL524</t>
  </si>
  <si>
    <t>Canbowla rectangular</t>
  </si>
  <si>
    <t>CDLU-TEA-NAT-24166-OUT</t>
  </si>
  <si>
    <t>Luminous Rectangular-24 Candle Holder</t>
  </si>
  <si>
    <t>w24 x d16 x h6</t>
  </si>
  <si>
    <t>Redefine elegance with the Luminous Rectangular-24 Candle Holder, a pinnacle of our CANDLE HOLDERS series. Its design is both innovative and timeless.</t>
  </si>
  <si>
    <t>FL525</t>
  </si>
  <si>
    <t>CDLU-TEA-NAT-40306-OUT</t>
  </si>
  <si>
    <t>Luminous Rectangular-40 Candle Holder</t>
  </si>
  <si>
    <t>w40 x d30 x h6</t>
  </si>
  <si>
    <t>Redefine elegance with the Luminous Rectangular-40 Candle Holder, a pinnacle of our CANDLE HOLDERS series. Its design is both innovative and timeless.</t>
  </si>
  <si>
    <t>FL526</t>
  </si>
  <si>
    <t>CDLU-TEA-NAT-60226-OUT</t>
  </si>
  <si>
    <t>Luminous Rectangular-60 Candle Holder</t>
  </si>
  <si>
    <t>w60 x d22 x h6</t>
  </si>
  <si>
    <t>The Luminous Rectangular-60 Candle Holder in our CANDLE HOLDERS collection is a masterpiece of craftsmanship, offering both durability and aesthetic appeal.</t>
  </si>
  <si>
    <t>FL527</t>
  </si>
  <si>
    <t>Canbowla round</t>
  </si>
  <si>
    <t>CDAU-TEA-NAT-d186-OUT</t>
  </si>
  <si>
    <t>Aura Circular-18 Candle Holder</t>
  </si>
  <si>
    <t>d18 x h6</t>
  </si>
  <si>
    <t>Discover the unique charm of Aura Circular-18 Candle Holder in our CANDLE HOLDERS collection. It's not just a product; it's a lifestyle.</t>
  </si>
  <si>
    <t>FL528</t>
  </si>
  <si>
    <t>CDAU-TEA-NAT-d266-OUT</t>
  </si>
  <si>
    <t>Aura Circular-26 Candle Holder</t>
  </si>
  <si>
    <t>d26 x h6</t>
  </si>
  <si>
    <t>The Aura Circular-26 Candle Holder in our CANDLE HOLDERS collection is a masterpiece of craftsmanship, offering both durability and aesthetic appeal.</t>
  </si>
  <si>
    <t>FL529</t>
  </si>
  <si>
    <t>CDAU-TEA-NAT-d326-OUT</t>
  </si>
  <si>
    <t>Aura Circular-32 Candle Holder</t>
  </si>
  <si>
    <t>d32 x h6</t>
  </si>
  <si>
    <t>Experience unparalleled sophistication with the Aura Circular-32 Candle Holder from our CANDLE HOLDERS range. It's where design meets functionality.</t>
  </si>
  <si>
    <t>FL203</t>
  </si>
  <si>
    <t>Onodrim 4-15</t>
  </si>
  <si>
    <t>CDEL-TEA-NAT-d1515-IND</t>
  </si>
  <si>
    <t>Elven Guard 4-15 Candle Holder</t>
  </si>
  <si>
    <t xml:space="preserve"> d15 x h15</t>
  </si>
  <si>
    <t>teak branches indoor</t>
  </si>
  <si>
    <t>Discover the unique charm of Elven Guard 4-15 Candle Holder in our CANDLE HOLDERS collection. It's not just a product; it's a lifestyle.</t>
  </si>
  <si>
    <t>FL205</t>
  </si>
  <si>
    <t>Onodrim 4-16</t>
  </si>
  <si>
    <t>CDEL-TEA-NAT-d1535-IND</t>
  </si>
  <si>
    <t>Elven Guard 4-35 Candle Holder</t>
  </si>
  <si>
    <t>d15 x h35</t>
  </si>
  <si>
    <t>The Elven Guard 4-35 Candle Holder in our CANDLE HOLDERS collection is a masterpiece of craftsmanship, offering both durability and aesthetic appeal.</t>
  </si>
  <si>
    <t>FL207</t>
  </si>
  <si>
    <t>Onodrim 4-17</t>
  </si>
  <si>
    <t>CDEL-TEA-NAT-d1560-IND</t>
  </si>
  <si>
    <t>Elven Guard 4-60 Candle Holder</t>
  </si>
  <si>
    <t>d15 x h60</t>
  </si>
  <si>
    <t>Discover the unique charm of Elven Guard 4-60 Candle Holder in our CANDLE HOLDERS collection. It's not just a product; it's a lifestyle.</t>
  </si>
  <si>
    <t>FL208</t>
  </si>
  <si>
    <t>Onodrim 4-18</t>
  </si>
  <si>
    <t>CDEL-TEA-NAT-d2015-IND</t>
  </si>
  <si>
    <t>Elven Guard 5-15 Candle Holder</t>
  </si>
  <si>
    <t>d20 x h15</t>
  </si>
  <si>
    <t>Redefine elegance with the Elven Guard 5-15 Candle Holder, a pinnacle of our CANDLE HOLDERS series. Its design is both innovative and timeless.</t>
  </si>
  <si>
    <t>FL210</t>
  </si>
  <si>
    <t>Onodrim 4-19</t>
  </si>
  <si>
    <t>CDEL-TEA-NAT-d2035-IND</t>
  </si>
  <si>
    <t>Elven Guard 5-35 Candle Holder</t>
  </si>
  <si>
    <t>d20 x h35</t>
  </si>
  <si>
    <t>Experience unparalleled sophistication with the Elven Guard 5-35 Candle Holder from our CANDLE HOLDERS range. It's where design meets functionality.</t>
  </si>
  <si>
    <t>FL212</t>
  </si>
  <si>
    <t>Onodrim 4-20</t>
  </si>
  <si>
    <t>CDEL-TEA-NAT-d2060-IND</t>
  </si>
  <si>
    <t>Elven Guard 5-60 Candle Holder</t>
  </si>
  <si>
    <t>d20 x h60</t>
  </si>
  <si>
    <t>Experience unparalleled sophistication with the Elven Guard 5-60 Candle Holder from our CANDLE HOLDERS range. It's where design meets functionality.</t>
  </si>
  <si>
    <t>FL213</t>
  </si>
  <si>
    <t>Onodrim 4-21</t>
  </si>
  <si>
    <t>Elven Guard 5-21 Candle Holder</t>
  </si>
  <si>
    <t>Redefine elegance with the Elven Guard 5-21 Candle Holder, a pinnacle of our CANDLE HOLDERS series. Its design is both innovative and timeless.</t>
  </si>
  <si>
    <t>FL215</t>
  </si>
  <si>
    <t>Onodrim 4-22</t>
  </si>
  <si>
    <t>Elven Guard 5-22 Candle Holder</t>
  </si>
  <si>
    <t>Experience unparalleled sophistication with the Elven Guard 5-22 Candle Holder from our CANDLE HOLDERS range. It's where design meets functionality.</t>
  </si>
  <si>
    <t>FL217</t>
  </si>
  <si>
    <t>Onodrim 4-23</t>
  </si>
  <si>
    <t>Elven Guard 5-23 Candle Holder</t>
  </si>
  <si>
    <t xml:space="preserve"> d20 x h60</t>
  </si>
  <si>
    <t>Elven Guard 5-23 Candle Holder is a showcase of excellence in CANDLE HOLDERS. It combines style, functionality, and unmatched quality.</t>
  </si>
  <si>
    <t>CGL141</t>
  </si>
  <si>
    <t>Kai candle holder</t>
  </si>
  <si>
    <t>CDFL-STO-NAT-11115-OUT</t>
  </si>
  <si>
    <t>Flame-11 Candle Holder</t>
  </si>
  <si>
    <t>w11 x d11 x h5</t>
  </si>
  <si>
    <t>Lavastone outdoor</t>
  </si>
  <si>
    <t>Experience unparalleled sophistication with the Flame-11 Candle Holder from our CANDLE HOLDERS range. It's where design meets functionality.</t>
  </si>
  <si>
    <t>CGL142</t>
  </si>
  <si>
    <t>CDFL-STO-NAT-14145-OUT</t>
  </si>
  <si>
    <t>Flame-14 Candle Holder</t>
  </si>
  <si>
    <t>w14 x d14 x h5</t>
  </si>
  <si>
    <t>Discover the unique charm of Flame-14 Candle Holder in our CANDLE HOLDERS collection. It's not just a product; it's a lifestyle.</t>
  </si>
  <si>
    <t>CGL143</t>
  </si>
  <si>
    <t>CDFL-STO-NAT-20205-OUT</t>
  </si>
  <si>
    <t>Flame-20 Candle Holder</t>
  </si>
  <si>
    <t xml:space="preserve">w20 x d20 x h5 </t>
  </si>
  <si>
    <t>Discover the unique charm of Flame-20 Candle Holder in our CANDLE HOLDERS collection. It's not just a product; it's a lifestyle.</t>
  </si>
  <si>
    <t>9CHGRR20-RN</t>
  </si>
  <si>
    <t>Grating candle holder round</t>
  </si>
  <si>
    <t>CDME-MET-NAT-d1320-IND</t>
  </si>
  <si>
    <t>Metal Lattice-R20 Candle Holder</t>
  </si>
  <si>
    <t>d13 x h20</t>
  </si>
  <si>
    <t>rebar net &amp; reclaimed teak indoor</t>
  </si>
  <si>
    <t xml:space="preserve">In house </t>
  </si>
  <si>
    <t>Redefine elegance with the Metal Lattice-R20 Candle Holder, a pinnacle of our CANDLE HOLDERS series. Its design is both innovative and timeless.</t>
  </si>
  <si>
    <t>9CHGRR25-RN</t>
  </si>
  <si>
    <t>CDME-MET-NAT-d1325-IND</t>
  </si>
  <si>
    <t>Metal Lattice-R25 Candle Holder</t>
  </si>
  <si>
    <t>d13 x h25</t>
  </si>
  <si>
    <t>Metal Lattice-R25 Candle Holder is a showcase of excellence in CANDLE HOLDERS. It combines style, functionality, and unmatched quality.</t>
  </si>
  <si>
    <t>9CHGRR30-RN</t>
  </si>
  <si>
    <t>CDME-MET-NAT-d1330-IND</t>
  </si>
  <si>
    <t>Metal Lattice-R30 Candle Holder</t>
  </si>
  <si>
    <t>d13 x h30</t>
  </si>
  <si>
    <t>Experience unparalleled sophistication with the Metal Lattice-R30 Candle Holder from our CANDLE HOLDERS range. It's where design meets functionality.</t>
  </si>
  <si>
    <t>9CHGRS35-RN</t>
  </si>
  <si>
    <t>Grating candle holder square</t>
  </si>
  <si>
    <t>CDME-MET-NAT-161635-IND</t>
  </si>
  <si>
    <t>Metal Lattice-S35 Candle Holder</t>
  </si>
  <si>
    <t>w16 x d16 x h35</t>
  </si>
  <si>
    <t>The Metal Lattice-S35 Candle Holder in our CANDLE HOLDERS collection is a masterpiece of craftsmanship, offering both durability and aesthetic appeal.</t>
  </si>
  <si>
    <t>CGL157S</t>
  </si>
  <si>
    <t>Vulcan candle holder</t>
  </si>
  <si>
    <t>CDEL-STO-NAT-6610-OUT</t>
  </si>
  <si>
    <t>Elbrus Candle holder S10</t>
  </si>
  <si>
    <t>w6 x d6 x h10</t>
  </si>
  <si>
    <t>CGL158S</t>
  </si>
  <si>
    <t>CDEL-STO-NAT-6615-OUT</t>
  </si>
  <si>
    <t>Elbrus Candle holder S15</t>
  </si>
  <si>
    <t>w6 x d6 x h15</t>
  </si>
  <si>
    <t>CGL159S</t>
  </si>
  <si>
    <t>CDEL-STO-NAT-6620-OUT</t>
  </si>
  <si>
    <t>Elbrus Candle holder S20</t>
  </si>
  <si>
    <t xml:space="preserve">w6 x d6 x h20 </t>
  </si>
  <si>
    <t>CGL160S</t>
  </si>
  <si>
    <t>CDEL-STO-NAT-6625-OUT</t>
  </si>
  <si>
    <t>Elbrus Candle holder S25</t>
  </si>
  <si>
    <t>w6 x d6 x h25</t>
  </si>
  <si>
    <t>CGL157L</t>
  </si>
  <si>
    <t>CDEL-STO-NAT-8810-OUT</t>
  </si>
  <si>
    <t>Elbrus Candle holder L10</t>
  </si>
  <si>
    <t>w8 x d8 x h10</t>
  </si>
  <si>
    <t>CGL158L</t>
  </si>
  <si>
    <t>CDEL-STO-NAT-8815-OUT</t>
  </si>
  <si>
    <t>Elbrus Candle holder L15</t>
  </si>
  <si>
    <t>w8 x d8 x h15</t>
  </si>
  <si>
    <t>CGL159L</t>
  </si>
  <si>
    <t>CDEL-STO-NAT-8820-OUT</t>
  </si>
  <si>
    <t>Elbrus Candle holder L20</t>
  </si>
  <si>
    <t>w8 x d8 x h20</t>
  </si>
  <si>
    <t>CGL160L</t>
  </si>
  <si>
    <t>CDEL-STO-NAT-8825-OUT</t>
  </si>
  <si>
    <t>Elbrus Candle holder L25</t>
  </si>
  <si>
    <t>w8 x d8 x h25</t>
  </si>
  <si>
    <t>CGL015</t>
  </si>
  <si>
    <t>Herb pot candle holder</t>
  </si>
  <si>
    <t>CDMA-STO-NAT-203030-OUT</t>
  </si>
  <si>
    <t>Matterhorn Candle Holder</t>
  </si>
  <si>
    <t>w20 x d30 x h30</t>
  </si>
  <si>
    <t>Jackson candle holder</t>
  </si>
  <si>
    <t>CDMC-PAL-NAT-d2017-IND</t>
  </si>
  <si>
    <t>McKinley Candle holder</t>
  </si>
  <si>
    <t>d20 x h17</t>
  </si>
  <si>
    <t>palm leaf &amp; iron indoor</t>
  </si>
  <si>
    <t>LAMPS</t>
  </si>
  <si>
    <t>210914S</t>
  </si>
  <si>
    <t>Baobab circle</t>
  </si>
  <si>
    <t>Decors &gt; Lamps</t>
  </si>
  <si>
    <t>LPEN-PUL-NAT-d3030-IND</t>
  </si>
  <si>
    <t>Enigma Circle-S</t>
  </si>
  <si>
    <t>d30 x h30</t>
  </si>
  <si>
    <t>pulut indoor</t>
  </si>
  <si>
    <t>Enigma Circle-S is a showcase of excellence in LAMPS. It combines style, functionality, and unmatched quality.</t>
  </si>
  <si>
    <t>Lamps</t>
  </si>
  <si>
    <t>210914M</t>
  </si>
  <si>
    <t>LPEN-PUL-NAT-d4040-IND</t>
  </si>
  <si>
    <t>Enigma Circle-M</t>
  </si>
  <si>
    <t>d40 x h40</t>
  </si>
  <si>
    <t>The Enigma Circle-M in our LAMPS collection is a masterpiece of craftsmanship, offering both durability and aesthetic appeal.</t>
  </si>
  <si>
    <t>210914L</t>
  </si>
  <si>
    <t>LPEN-PUL-NAT-d5050-IND</t>
  </si>
  <si>
    <t>Enigma Circle-L</t>
  </si>
  <si>
    <t>d50 x h50</t>
  </si>
  <si>
    <t>Discover the unique charm of Enigma Circle-L in our LAMPS collection. It's not just a product; it's a lifestyle.</t>
  </si>
  <si>
    <t>220914S</t>
  </si>
  <si>
    <t>Baobab horizontal</t>
  </si>
  <si>
    <t>LPPA-PUL-NAT-d4825-IND</t>
  </si>
  <si>
    <t>Panorama Horizontal-S</t>
  </si>
  <si>
    <t>d48 x h25</t>
  </si>
  <si>
    <t>Discover the unique charm of Panorama Horizontal-S in our LAMPS collection. It's not just a product; it's a lifestyle.</t>
  </si>
  <si>
    <t>220914M</t>
  </si>
  <si>
    <t>LPPA-PUL-NAT-d6435-IND</t>
  </si>
  <si>
    <t>Panorama Horizontal-M</t>
  </si>
  <si>
    <t>d64 x h35</t>
  </si>
  <si>
    <t>Experience unparalleled sophistication with the Panorama Horizontal-M from our LAMPS range. It's where design meets functionality.</t>
  </si>
  <si>
    <t>220914L</t>
  </si>
  <si>
    <t>LPPA-PUL-NAT-d8045-IND</t>
  </si>
  <si>
    <t>Panorama Horizontal-L</t>
  </si>
  <si>
    <t>d80 x h45</t>
  </si>
  <si>
    <t>Redefine elegance with the Panorama Horizontal-L, a pinnacle of our LAMPS series. Its design is both innovative and timeless.</t>
  </si>
  <si>
    <t>230914S</t>
  </si>
  <si>
    <t>Baobab vertical</t>
  </si>
  <si>
    <t>LPAS-PUL-NAT-d2738-IND</t>
  </si>
  <si>
    <t>Ascend Vertical-S</t>
  </si>
  <si>
    <t>d27 x h38</t>
  </si>
  <si>
    <t>Redefine elegance with the Ascend Vertical-S, a pinnacle of our LAMPS series. Its design is both innovative and timeless.</t>
  </si>
  <si>
    <t>230914M</t>
  </si>
  <si>
    <t>LPAS-PUL-NAT-d4050-IND</t>
  </si>
  <si>
    <t>Ascend Vertical-M</t>
  </si>
  <si>
    <t>d40 x h50</t>
  </si>
  <si>
    <t>Ascend Vertical-M is a showcase of excellence in LAMPS. It combines style, functionality, and unmatched quality.</t>
  </si>
  <si>
    <t>230914L</t>
  </si>
  <si>
    <t>LPAS-PUL-NAT-d5060-IND</t>
  </si>
  <si>
    <t>Ascend Vertical-L</t>
  </si>
  <si>
    <t>The Ascend Vertical-L in our LAMPS collection is a masterpiece of craftsmanship, offering both durability and aesthetic appeal.</t>
  </si>
  <si>
    <t>2881215-S</t>
  </si>
  <si>
    <t>Closed circle rattan lamp</t>
  </si>
  <si>
    <t>LPVI-KUB-NAT-d3535-IND</t>
  </si>
  <si>
    <t>Vistas Circle Rattan-S</t>
  </si>
  <si>
    <t>d35 x h35</t>
  </si>
  <si>
    <t>kubu grey indoor</t>
  </si>
  <si>
    <t>Experience unparalleled sophistication with the Vistas Circle Rattan-S from our LAMPS range. It's where design meets functionality.</t>
  </si>
  <si>
    <t>2881215-M</t>
  </si>
  <si>
    <t>LPVI-KUB-NAT-d4545-IND</t>
  </si>
  <si>
    <t>Vistas Circle Rattan-M</t>
  </si>
  <si>
    <t>d45 x h45</t>
  </si>
  <si>
    <t>Vistas Circle Rattan-M is a showcase of excellence in LAMPS. It combines style, functionality, and unmatched quality.</t>
  </si>
  <si>
    <t>2881215-L</t>
  </si>
  <si>
    <t>LPVI-KUB-NAT-d5555-IND</t>
  </si>
  <si>
    <t>Vistas Circle Rattan-L</t>
  </si>
  <si>
    <t xml:space="preserve"> d55 x h55</t>
  </si>
  <si>
    <t>Vistas Circle Rattan-L is a showcase of excellence in LAMPS. It combines style, functionality, and unmatched quality.</t>
  </si>
  <si>
    <t>Closed vertical rattan lamp</t>
  </si>
  <si>
    <t>LPRA-KUB-NAT-d5565-IND</t>
  </si>
  <si>
    <t>Radiance Vertical Rattan</t>
  </si>
  <si>
    <t>d55 x h65</t>
  </si>
  <si>
    <t>Radiance Vertical Rattan is a showcase of excellence in LAMPS. It combines style, functionality, and unmatched quality.</t>
  </si>
  <si>
    <t>2811115-S</t>
  </si>
  <si>
    <t>Mud lamp</t>
  </si>
  <si>
    <t>LPLU-KUB-NAT-d4040-IND</t>
  </si>
  <si>
    <t xml:space="preserve"> Luminaire Mud-S</t>
  </si>
  <si>
    <t>kubu grey with mud indoor</t>
  </si>
  <si>
    <t xml:space="preserve"> Luminaire Mud-S is a showcase of excellence in LAMPS. It combines style, functionality, and unmatched quality.</t>
  </si>
  <si>
    <t>Lumpur</t>
  </si>
  <si>
    <t>LPLU-KUB-NAT-d3538-IND</t>
  </si>
  <si>
    <t>Luminary Nud-M</t>
  </si>
  <si>
    <t>d35 x h38</t>
  </si>
  <si>
    <t>kubu grey with mud</t>
  </si>
  <si>
    <t>Luminary Nud-M is a showcase of excellence in LAMPS. It combines style, functionality, and unmatched quality.</t>
  </si>
  <si>
    <t>LPLU-KUB-NAT-d5055-IND</t>
  </si>
  <si>
    <t>Luminary Nud-L</t>
  </si>
  <si>
    <t>d50 x h55</t>
  </si>
  <si>
    <t>Redefine elegance with the Luminary Nud-L, a pinnacle of our LAMPS series. Its design is both innovative and timeless.</t>
  </si>
  <si>
    <t>LPLU-KUB-NAT-d7077-IND</t>
  </si>
  <si>
    <t>Luminary Nud-XL</t>
  </si>
  <si>
    <t>d70 x h77</t>
  </si>
  <si>
    <t>Luminary Nud-XL is a showcase of excellence in LAMPS. It combines style, functionality, and unmatched quality.</t>
  </si>
  <si>
    <t>LPLU-KUB-NAT-d130143-IND</t>
  </si>
  <si>
    <t>Luminary Nud-2Xl</t>
  </si>
  <si>
    <t xml:space="preserve"> d130 x h143</t>
  </si>
  <si>
    <t>Redefine elegance with the Luminary Nud-2Xl, a pinnacle of our LAMPS series. Its design is both innovative and timeless.</t>
  </si>
  <si>
    <t>LPLU-KUB-NAT-d220240-IND</t>
  </si>
  <si>
    <t>Luminary Nud-3XL</t>
  </si>
  <si>
    <t>d220 x h240</t>
  </si>
  <si>
    <t>Discover the unique charm of Luminary Nud-3XL in our LAMPS collection. It's not just a product; it's a lifestyle.</t>
  </si>
  <si>
    <t>21960NM</t>
  </si>
  <si>
    <t>Lumpur no mud</t>
  </si>
  <si>
    <t>LPEL-KUB-NAT-d3538-IND</t>
  </si>
  <si>
    <t>Elevate no mud S</t>
  </si>
  <si>
    <t>Elevate no mud S is a showcase of excellence in LAMPS. It combines style, functionality, and unmatched quality.</t>
  </si>
  <si>
    <t>21961NM</t>
  </si>
  <si>
    <t>LPEL-KUB-NAT-d5055-IND</t>
  </si>
  <si>
    <t>Elevate no mud M</t>
  </si>
  <si>
    <t>Redefine elegance with the Elevate no mud M, a pinnacle of our LAMPS series. Its design is both innovative and timeless.</t>
  </si>
  <si>
    <t>21962NM</t>
  </si>
  <si>
    <t>LPEL-KUB-NAT-d7077-IND</t>
  </si>
  <si>
    <t>Elevate no mud L</t>
  </si>
  <si>
    <t>Discover the unique charm of Elevate no mud L in our LAMPS collection. It's not just a product; it's a lifestyle.</t>
  </si>
  <si>
    <t>21963NM</t>
  </si>
  <si>
    <t>LPEL-KUB-NAT-d130143-IND</t>
  </si>
  <si>
    <t>Elevate no mud XL</t>
  </si>
  <si>
    <t>d130 x h143</t>
  </si>
  <si>
    <t>The Elevate no mud XL in our LAMPS collection is a masterpiece of craftsmanship, offering both durability and aesthetic appeal.</t>
  </si>
  <si>
    <t>21964NM</t>
  </si>
  <si>
    <t>LPEL-KUB-NAT-d220240-IND</t>
  </si>
  <si>
    <t>Elevate no mud 2XL</t>
  </si>
  <si>
    <t>Experience unparalleled sophistication with the Elevate no mud 2XL from our LAMPS range. It's where design meets functionality.</t>
  </si>
  <si>
    <t>9LBARRELH</t>
  </si>
  <si>
    <t>Lamp barrel</t>
  </si>
  <si>
    <t>LPIL-MET-NAT-d5045-IND</t>
  </si>
  <si>
    <t>Illumination Lamp H</t>
  </si>
  <si>
    <t>d50 x h45</t>
  </si>
  <si>
    <t>old iron indoor</t>
  </si>
  <si>
    <t>Discover the unique charm of Illumination Lamp H in our LAMPS collection. It's not just a product; it's a lifestyle.</t>
  </si>
  <si>
    <t>12</t>
  </si>
  <si>
    <t>9LBARREL</t>
  </si>
  <si>
    <t>LPIL-MET-NAT-d5085-IND</t>
  </si>
  <si>
    <t>Illumination Lamp</t>
  </si>
  <si>
    <t xml:space="preserve"> d50 x h85</t>
  </si>
  <si>
    <t>Redefine elegance with the Illumination Lamp, a pinnacle of our LAMPS series. Its design is both innovative and timeless.</t>
  </si>
  <si>
    <t>FL143</t>
  </si>
  <si>
    <t>Nashi</t>
  </si>
  <si>
    <t>LPST-TEA-NAT-d1086-IND</t>
  </si>
  <si>
    <t>Starlight 86</t>
  </si>
  <si>
    <t>d10 x h86</t>
  </si>
  <si>
    <t>teak branch indoor</t>
  </si>
  <si>
    <t>Discover the unique charm of Starlight 86 in our LAMPS collection. It's not just a product; it's a lifestyle.</t>
  </si>
  <si>
    <t>FL141</t>
  </si>
  <si>
    <t>LPST-TEA-NAT-d1042-IND</t>
  </si>
  <si>
    <t>Starlight 42</t>
  </si>
  <si>
    <t>d10 x h42</t>
  </si>
  <si>
    <t>Starlight 42 is a showcase of excellence in LAMPS. It combines style, functionality, and unmatched quality.</t>
  </si>
  <si>
    <t>FL165</t>
  </si>
  <si>
    <t>Timon black</t>
  </si>
  <si>
    <t>LPEL-TEA-FUM-d1238-IND</t>
  </si>
  <si>
    <t>Elegance Black 12</t>
  </si>
  <si>
    <t>d12 x h38</t>
  </si>
  <si>
    <t>teak root indoor</t>
  </si>
  <si>
    <t>The Elegance Black 12 in our LAMPS collection is a masterpiece of craftsmanship, offering both durability and aesthetic appeal.</t>
  </si>
  <si>
    <t>FL166</t>
  </si>
  <si>
    <t>LPEL-TEA-FUM-d1564-IND</t>
  </si>
  <si>
    <t>Elegance Black 15</t>
  </si>
  <si>
    <t>d15 x h64</t>
  </si>
  <si>
    <t>The Elegance Black 15 in our LAMPS collection is a masterpiece of craftsmanship, offering both durability and aesthetic appeal.</t>
  </si>
  <si>
    <t>CGL127</t>
  </si>
  <si>
    <t>Lavastone lamp copper</t>
  </si>
  <si>
    <t>LPBR-COP-NAT-262654-IND</t>
  </si>
  <si>
    <t>Brilliance Copper Lamp</t>
  </si>
  <si>
    <t>w26 x d26 x h54</t>
  </si>
  <si>
    <t>lavastone &amp; copper indoor</t>
  </si>
  <si>
    <t>Discover the unique charm of Brilliance Copper Lamp in our LAMPS collection. It's not just a product; it's a lifestyle.</t>
  </si>
  <si>
    <t>FL620</t>
  </si>
  <si>
    <t>Bob lamp wood</t>
  </si>
  <si>
    <t>LPLU-TEA-NAT-d840-IND</t>
  </si>
  <si>
    <t>Luminance wood lamp 40</t>
  </si>
  <si>
    <t>d8 x h40</t>
  </si>
  <si>
    <t>Luminance wood lamp 40 is a showcase of excellence in LAMPS. It combines style, functionality, and unmatched quality.</t>
  </si>
  <si>
    <t>FL621</t>
  </si>
  <si>
    <t>LPLU-TEA-NAT-d860-IND</t>
  </si>
  <si>
    <t>Luminance wood lamp 60</t>
  </si>
  <si>
    <t>d8 x h60</t>
  </si>
  <si>
    <t>Luminance wood lamp 60 is a showcase of excellence in LAMPS. It combines style, functionality, and unmatched quality.</t>
  </si>
  <si>
    <t>FL622</t>
  </si>
  <si>
    <t>LPLU-TEA-NAT-d880-IND</t>
  </si>
  <si>
    <t>Luminance wood lamp 80</t>
  </si>
  <si>
    <t>d8 x h80</t>
  </si>
  <si>
    <t>Experience unparalleled sophistication with the Luminance wood lamp 80 from our LAMPS range. It's where design meets functionality.</t>
  </si>
  <si>
    <t>FL623</t>
  </si>
  <si>
    <t>LPLU-TEA-NAT-d8170-IND</t>
  </si>
  <si>
    <t>Luminance wood lamp 170</t>
  </si>
  <si>
    <t>d8 x h170</t>
  </si>
  <si>
    <t>The Luminance wood lamp 170 in our LAMPS collection is a masterpiece of craftsmanship, offering both durability and aesthetic appeal.</t>
  </si>
  <si>
    <t>9GRR20-RN</t>
  </si>
  <si>
    <t xml:space="preserve">Grating lamp round </t>
  </si>
  <si>
    <t>LPME-MET-NAT-d1320-IND</t>
  </si>
  <si>
    <t>Metal Lattice Lamp-R20</t>
  </si>
  <si>
    <t>Metal Lattice Lamp-R20 is a showcase of excellence in LAMPS. It combines style, functionality, and unmatched quality.</t>
  </si>
  <si>
    <t>9GRR25-RN</t>
  </si>
  <si>
    <t>LPME-MET-NAT-d1325-IND</t>
  </si>
  <si>
    <t>Metal Lattice Lamp-R25</t>
  </si>
  <si>
    <t>Discover the unique charm of Metal Lattice Lamp-R25 in our LAMPS collection. It's not just a product; it's a lifestyle.</t>
  </si>
  <si>
    <t>9GRR30-RN</t>
  </si>
  <si>
    <t>LPME-MET-NAT-d1330-IND</t>
  </si>
  <si>
    <t>Metal Lattice Lamp-R30</t>
  </si>
  <si>
    <t>Metal Lattice Lamp-R30 is a showcase of excellence in LAMPS. It combines style, functionality, and unmatched quality.</t>
  </si>
  <si>
    <t>9GRS35-RN</t>
  </si>
  <si>
    <t>Grating lamp square</t>
  </si>
  <si>
    <t>LPME-MET-NAT-161635-IND</t>
  </si>
  <si>
    <t>Metal Lattice Lamp-S35</t>
  </si>
  <si>
    <t>Redefine elegance with the Metal Lattice Lamp-S35, a pinnacle of our LAMPS series. Its design is both innovative and timeless.</t>
  </si>
  <si>
    <t>9GRS110-RN</t>
  </si>
  <si>
    <t>LPME-MET-NAT-1616110-IND</t>
  </si>
  <si>
    <t>Metal Lattice Lamp-S110</t>
  </si>
  <si>
    <t>w16 x d16 x h110</t>
  </si>
  <si>
    <t>Redefine elegance with the Metal Lattice Lamp-S110, a pinnacle of our LAMPS series. Its design is both innovative and timeless.</t>
  </si>
  <si>
    <t>9GRS170-RN</t>
  </si>
  <si>
    <t>LPME-MET-NAT-1616170-IND</t>
  </si>
  <si>
    <t>Metal Lattice Lamp-S170</t>
  </si>
  <si>
    <t xml:space="preserve"> w16 x d16 x h170</t>
  </si>
  <si>
    <t>Redefine elegance with the Metal Lattice Lamp-S170, a pinnacle of our LAMPS series. Its design is both innovative and timeless.</t>
  </si>
  <si>
    <t>1BEIRUT90-CWB</t>
  </si>
  <si>
    <t>Beirut lamp</t>
  </si>
  <si>
    <t>LPBE-MET-NAT-909030-IND</t>
  </si>
  <si>
    <t>Beirut Luminance Lamp M</t>
  </si>
  <si>
    <t>w90 x d90 x h30</t>
  </si>
  <si>
    <t>stretched metal
Indoor</t>
  </si>
  <si>
    <t>Discover the unique charm of Beirut Luminance Lamp M in our LAMPS collection. It's not just a product; it's a lifestyle.</t>
  </si>
  <si>
    <t>25</t>
  </si>
  <si>
    <t>1BEIRUT125-CWB</t>
  </si>
  <si>
    <t>LPBE-MET-NAT-1251254-IND</t>
  </si>
  <si>
    <t>Beirut Luminance Lamp L</t>
  </si>
  <si>
    <t>w125 x d125 x h4</t>
  </si>
  <si>
    <t>Beirut Luminance Lamp L is a showcase of excellence in LAMPS. It combines style, functionality, and unmatched quality.</t>
  </si>
  <si>
    <t>4BEIRUT90-BREP</t>
  </si>
  <si>
    <t>LPLU-FAB-RUS-909025-IND</t>
  </si>
  <si>
    <t>Luminosity Lamp S</t>
  </si>
  <si>
    <t>w90 x d90 x h25</t>
  </si>
  <si>
    <t>bresentas rustic plain indoor</t>
  </si>
  <si>
    <t>Experience unparalleled sophistication with the Luminosity Lamp S from our LAMPS range. It's where design meets functionality.</t>
  </si>
  <si>
    <t>05</t>
  </si>
  <si>
    <t>frame</t>
  </si>
  <si>
    <t>LPLU-FRA-RUS-1251254-IND</t>
  </si>
  <si>
    <t>Luminosity Lamp M</t>
  </si>
  <si>
    <t>bresentas rustic plain
indoor</t>
  </si>
  <si>
    <t>Experience unparalleled sophistication with the Luminosity Lamp M from our LAMPS range. It's where design meets functionality.</t>
  </si>
  <si>
    <t>FL218</t>
  </si>
  <si>
    <t>Carina lamp</t>
  </si>
  <si>
    <t>LPHA-TEA-NAT-d40200-IND</t>
  </si>
  <si>
    <t>Hanging Plank Lamp</t>
  </si>
  <si>
    <t>d40 x h200</t>
  </si>
  <si>
    <t>Experience unparalleled sophistication with the Hanging Plank Lamp from our LAMPS range. It's where design meets functionality.</t>
  </si>
  <si>
    <t>CGL140</t>
  </si>
  <si>
    <t>base Carina lavastone</t>
  </si>
  <si>
    <t>LPBA-STO-NAT--IND</t>
  </si>
  <si>
    <t>Base Plank Lamp</t>
  </si>
  <si>
    <t>Stone</t>
  </si>
  <si>
    <t>Discover the unique charm of Base Plank Lamp in our LAMPS collection. It's not just a product; it's a lifestyle.</t>
  </si>
  <si>
    <t>23</t>
  </si>
  <si>
    <t>9PLL046041-TS</t>
  </si>
  <si>
    <t>Hanging plank lamp</t>
  </si>
  <si>
    <t>LPIL-TEA-BRU-d4641-IND</t>
  </si>
  <si>
    <t>Illumination Hanging Lamp</t>
  </si>
  <si>
    <t xml:space="preserve">d46 x h41 </t>
  </si>
  <si>
    <t>teak sauvage (brushed teak original) indoor</t>
  </si>
  <si>
    <t>Redefine elegance with the Illumination Hanging Lamp, a pinnacle of our LAMPS series. Its design is both innovative and timeless.</t>
  </si>
  <si>
    <t>34</t>
  </si>
  <si>
    <t>9PLL050170-TS</t>
  </si>
  <si>
    <t>Living room plank lamp</t>
  </si>
  <si>
    <t>LPJA-TEA-BRU-d50170-IND</t>
  </si>
  <si>
    <t>Jackson Living lamp</t>
  </si>
  <si>
    <t>d50 x h170</t>
  </si>
  <si>
    <t>Jackson Living lamp is a showcase of excellence in LAMPS. It combines style, functionality, and unmatched quality.</t>
  </si>
  <si>
    <t>9PLL032038-TS</t>
  </si>
  <si>
    <t>Office plank lamp</t>
  </si>
  <si>
    <t>LPCO-TEA-BRU-d3238-IND</t>
  </si>
  <si>
    <t>Cove Office Lamp</t>
  </si>
  <si>
    <t xml:space="preserve"> d32 x h38</t>
  </si>
  <si>
    <t>The Cove Office Lamp in our LAMPS collection is a masterpiece of craftsmanship, offering both durability and aesthetic appeal.</t>
  </si>
  <si>
    <t>Jackson lamp</t>
  </si>
  <si>
    <t>LPEV-PAL-NAT-d2017-IND</t>
  </si>
  <si>
    <t>Eventide Lamp</t>
  </si>
  <si>
    <t>Experience unparalleled sophistication with the Eventide Lamp from our LAMPS range. It's where design meets functionality.</t>
  </si>
  <si>
    <t>Cove lamp</t>
  </si>
  <si>
    <t>LPAB-LEA-NAT-d25140-IND</t>
  </si>
  <si>
    <t>Abyss Glow Lamp</t>
  </si>
  <si>
    <t>d25 x h140</t>
  </si>
  <si>
    <t>rattan skin indoor</t>
  </si>
  <si>
    <t>Experience unparalleled sophistication with the Abyss Glow Lamp from our LAMPS range. It's where design meets functionality.</t>
  </si>
  <si>
    <t>Silas lamp</t>
  </si>
  <si>
    <t>LPET-LEA-NAT-d35100-IND</t>
  </si>
  <si>
    <t>Ethereal Silhouette Lamp</t>
  </si>
  <si>
    <t>d35 x h100</t>
  </si>
  <si>
    <t>Ethereal Silhouette Lamp is a showcase of excellence in LAMPS. It combines style, functionality, and unmatched quality.</t>
  </si>
  <si>
    <t>FL250</t>
  </si>
  <si>
    <t>Standing lamp with block</t>
  </si>
  <si>
    <t>LPZE-TEA-NAT-4030200-IND</t>
  </si>
  <si>
    <t>Zenith Elegance Lamp</t>
  </si>
  <si>
    <t>w40 x d30 x h200</t>
  </si>
  <si>
    <t>teak branches with jute indoor</t>
  </si>
  <si>
    <t>Discover the unique charm of Zenith Elegance Lamp in our LAMPS collection. It's not just a product; it's a lifestyle.</t>
  </si>
  <si>
    <t>4NEMO-S</t>
  </si>
  <si>
    <t>Nemo lamp</t>
  </si>
  <si>
    <t>LPLU-MET-NAT-d5350-IND</t>
  </si>
  <si>
    <t>Lumina Lamp</t>
  </si>
  <si>
    <t xml:space="preserve"> d53 x h50</t>
  </si>
  <si>
    <t>fishing net &amp; iron indoor</t>
  </si>
  <si>
    <t>The Lumina Lamp in our LAMPS collection is a masterpiece of craftsmanship, offering both durability and aesthetic appeal.</t>
  </si>
  <si>
    <t>40</t>
  </si>
  <si>
    <t>VASES</t>
  </si>
  <si>
    <t>PG001</t>
  </si>
  <si>
    <t>Bob dia 15 cm</t>
  </si>
  <si>
    <t>Decors &gt; Vases</t>
  </si>
  <si>
    <t>VSBO-CLE-CLE-d1530-IND</t>
  </si>
  <si>
    <t>ø15 x h30</t>
  </si>
  <si>
    <t>clear glass semi</t>
  </si>
  <si>
    <t>The Bogdan dia 15 cm in our VASES collection is a masterpiece of craftsmanship, offering both durability and aesthetic appeal.</t>
  </si>
  <si>
    <t>Vases</t>
  </si>
  <si>
    <t>38</t>
  </si>
  <si>
    <t>PG002</t>
  </si>
  <si>
    <t>VSBO-CLE-CLE-d1520-IND</t>
  </si>
  <si>
    <t>ø15 x h20</t>
  </si>
  <si>
    <t>Discover the unique charm of Bogdan dia 15 cm in our VASES collection. It's not just a product; it's a lifestyle.</t>
  </si>
  <si>
    <t>PG003</t>
  </si>
  <si>
    <t>Bob dia 12 cm</t>
  </si>
  <si>
    <t>VSBO-CLE-CLE-d1213-IND</t>
  </si>
  <si>
    <t>Bogdan dia 12 cm</t>
  </si>
  <si>
    <t>ø12 x h13</t>
  </si>
  <si>
    <t>Experience unparalleled sophistication with the Bogdan dia 12 cm from our VASES range. It's where design meets functionality.</t>
  </si>
  <si>
    <t>213-CL</t>
  </si>
  <si>
    <t>Bob dia 25 cm</t>
  </si>
  <si>
    <t>VSBO-CLE-CLE-d2516-IND</t>
  </si>
  <si>
    <t xml:space="preserve"> ø25 x h16</t>
  </si>
  <si>
    <t>Redefine elegance with the Bogdan dia 25 cm, a pinnacle of our VASES series. Its design is both innovative and timeless.</t>
  </si>
  <si>
    <t>214-CL</t>
  </si>
  <si>
    <t>VSBO-CLE-CLE-d2525-IND</t>
  </si>
  <si>
    <t xml:space="preserve"> ø25 x h25</t>
  </si>
  <si>
    <t>The Bogdan dia 25 cm in our VASES collection is a masterpiece of craftsmanship, offering both durability and aesthetic appeal.</t>
  </si>
  <si>
    <t>215-CL</t>
  </si>
  <si>
    <t>VSBO-CLE-CLE-d2540-IND</t>
  </si>
  <si>
    <t>ø25 x h40</t>
  </si>
  <si>
    <t>216-CL</t>
  </si>
  <si>
    <t>Bob dia 30 cm</t>
  </si>
  <si>
    <t>VSBO-CLE-CLE-d3019-IND</t>
  </si>
  <si>
    <t>ø30 x h19</t>
  </si>
  <si>
    <t>The Bogdan dia 30 cm in our VASES collection is a masterpiece of craftsmanship, offering both durability and aesthetic appeal.</t>
  </si>
  <si>
    <t>217-CL</t>
  </si>
  <si>
    <t>VSBO-CLE-CLE-d3032-IND</t>
  </si>
  <si>
    <t>ø30 x h32</t>
  </si>
  <si>
    <t>Experience unparalleled sophistication with the Bogdan dia 30 cm from our VASES range. It's where design meets functionality.</t>
  </si>
  <si>
    <t>218-CL</t>
  </si>
  <si>
    <t>VSBO-CLE-CLE-d3040-IND</t>
  </si>
  <si>
    <t>ø30 x h40</t>
  </si>
  <si>
    <t>360-CL</t>
  </si>
  <si>
    <t>Bob high</t>
  </si>
  <si>
    <t>VSBO-CLE-CLE-d2060-IND</t>
  </si>
  <si>
    <t>Bogdan high</t>
  </si>
  <si>
    <t>ø20 x h60</t>
  </si>
  <si>
    <t>The Bogdan high in our VASES collection is a masterpiece of craftsmanship, offering both durability and aesthetic appeal.</t>
  </si>
  <si>
    <t>360-GR</t>
  </si>
  <si>
    <t>grey glass</t>
  </si>
  <si>
    <t>VSGR-CLE-CLE-d2060-IND</t>
  </si>
  <si>
    <t>gri glass</t>
  </si>
  <si>
    <t>gri glass is a showcase of excellence in VASES. It combines style, functionality, and unmatched quality.</t>
  </si>
  <si>
    <t>726-CL</t>
  </si>
  <si>
    <t>Kai</t>
  </si>
  <si>
    <t>VSCA-CLE-CLE-d850-IND</t>
  </si>
  <si>
    <t xml:space="preserve"> ø8 x h50</t>
  </si>
  <si>
    <t>Redefine elegance with the Carl, a pinnacle of our VASES series. Its design is both innovative and timeless.</t>
  </si>
  <si>
    <t>727-CL</t>
  </si>
  <si>
    <t>VSCA-CLE-CLE-d872-IND</t>
  </si>
  <si>
    <t>ø8 x h72</t>
  </si>
  <si>
    <t>Carl is a showcase of excellence in VASES. It combines style, functionality, and unmatched quality.</t>
  </si>
  <si>
    <t>5KAI-BP</t>
  </si>
  <si>
    <t>stone kai bluestone puré</t>
  </si>
  <si>
    <t>VSPI-STO-NAT-352020-IND</t>
  </si>
  <si>
    <t>Piatra Carl bluestone pure</t>
  </si>
  <si>
    <t>w35 x d20 x h20</t>
  </si>
  <si>
    <t xml:space="preserve">bluestone </t>
  </si>
  <si>
    <t>Redefine elegance with the Piatra Carl bluestone pure, a pinnacle of our VASES series. Its design is both innovative and timeless.</t>
  </si>
  <si>
    <t>CGL132</t>
  </si>
  <si>
    <t>stone kai lavastone</t>
  </si>
  <si>
    <t>Piatra Carl lavastone</t>
  </si>
  <si>
    <t>Experience unparalleled sophistication with the Piatra Carl lavastone from our VASES range. It's where design meets functionality.</t>
  </si>
  <si>
    <t>510-GR</t>
  </si>
  <si>
    <t>Bill</t>
  </si>
  <si>
    <t>VSVA-GRE-GRE-202025-IND</t>
  </si>
  <si>
    <t xml:space="preserve"> w20 x d20 x h25</t>
  </si>
  <si>
    <t>grey glass semi</t>
  </si>
  <si>
    <t>Vasile is a showcase of excellence in VASES. It combines style, functionality, and unmatched quality.</t>
  </si>
  <si>
    <t>41</t>
  </si>
  <si>
    <t>511-GR</t>
  </si>
  <si>
    <t>VSVA-GRE-GRE-202035-IND</t>
  </si>
  <si>
    <t>w20 x d20 x h35</t>
  </si>
  <si>
    <t>Redefine elegance with the Vasile, a pinnacle of our VASES series. Its design is both innovative and timeless.</t>
  </si>
  <si>
    <t>PG004-GRCR</t>
  </si>
  <si>
    <t>Eddy cracked square</t>
  </si>
  <si>
    <t>VSED-GRE-GRE-121212-IND</t>
  </si>
  <si>
    <t>w12 x d12 x h12</t>
  </si>
  <si>
    <t>grey glass cracked semi</t>
  </si>
  <si>
    <t>Eduard cracked square is a showcase of excellence in VASES. It combines style, functionality, and unmatched quality.</t>
  </si>
  <si>
    <t>PG004</t>
  </si>
  <si>
    <t>The Eduard cracked square in our VASES collection is a masterpiece of craftsmanship, offering both durability and aesthetic appeal.</t>
  </si>
  <si>
    <t>326-CL</t>
  </si>
  <si>
    <t>Maddy</t>
  </si>
  <si>
    <t>VSMA-CLE-CLE-d1626-IND</t>
  </si>
  <si>
    <t>ø16 x h26</t>
  </si>
  <si>
    <t>Discover the unique charm of Madalina in our VASES collection. It's not just a product; it's a lifestyle.</t>
  </si>
  <si>
    <t>327-CL</t>
  </si>
  <si>
    <t>VSMA-CLE-CLE-d1846-IND</t>
  </si>
  <si>
    <t xml:space="preserve"> ø18 x h46</t>
  </si>
  <si>
    <t>Redefine elegance with the Madalina, a pinnacle of our VASES series. Its design is both innovative and timeless.</t>
  </si>
  <si>
    <t>328-CL</t>
  </si>
  <si>
    <t>VSMA-CLE-CLE-d2476-IND</t>
  </si>
  <si>
    <t>ø24 x h76</t>
  </si>
  <si>
    <t>Madalina is a showcase of excellence in VASES. It combines style, functionality, and unmatched quality.</t>
  </si>
  <si>
    <t>587-CL</t>
  </si>
  <si>
    <t>Elli</t>
  </si>
  <si>
    <t>VSEL-CLE-CLE-25728-IND</t>
  </si>
  <si>
    <t>Elisabeta</t>
  </si>
  <si>
    <t>w25 x d7 x h28</t>
  </si>
  <si>
    <t>Elisabeta is a showcase of excellence in VASES. It combines style, functionality, and unmatched quality.</t>
  </si>
  <si>
    <t>587-GR</t>
  </si>
  <si>
    <t>VSEL-GRE-GRE-25728-IND</t>
  </si>
  <si>
    <t>Elisabeta Smoke</t>
  </si>
  <si>
    <t xml:space="preserve">w25 x d7 x h28 </t>
  </si>
  <si>
    <t>The Elisabeta in our VASES collection is a masterpiece of craftsmanship, offering both durability and aesthetic appeal.</t>
  </si>
  <si>
    <t>652-CL</t>
  </si>
  <si>
    <t>Ella</t>
  </si>
  <si>
    <t>VSEL-CLE-CLE-402050-IND</t>
  </si>
  <si>
    <t>Eleonora</t>
  </si>
  <si>
    <t>w40 x d20 x h50</t>
  </si>
  <si>
    <t>Experience unparalleled sophistication with the Eleonora from our VASES range. It's where design meets functionality.</t>
  </si>
  <si>
    <t>691-CL</t>
  </si>
  <si>
    <t>Ida</t>
  </si>
  <si>
    <t>VSIU-CLE-CLE-401040-IND</t>
  </si>
  <si>
    <t>Luliana</t>
  </si>
  <si>
    <t>w40 x d10 x h40</t>
  </si>
  <si>
    <t>Redefine elegance with the Iuliana, a pinnacle of our VASES series. Its design is both innovative and timeless.</t>
  </si>
  <si>
    <t>685-CL</t>
  </si>
  <si>
    <t>Romeo</t>
  </si>
  <si>
    <t>VSRO-CLE-CLE-d1245-IND</t>
  </si>
  <si>
    <t>Romano</t>
  </si>
  <si>
    <t>ø12 x h45</t>
  </si>
  <si>
    <t>Discover the unique charm of Romano in our VASES collection. It's not just a product; it's a lifestyle.</t>
  </si>
  <si>
    <t>4BSW</t>
  </si>
  <si>
    <t>VSBO-WOO-NAT--IND</t>
  </si>
  <si>
    <t>Wood</t>
  </si>
  <si>
    <t>Discover the unique charm of bottle stop wood in our VASES collection. It's not just a product; it's a lifestyle.</t>
  </si>
  <si>
    <t>45</t>
  </si>
  <si>
    <t>655-CL</t>
  </si>
  <si>
    <t>Cis</t>
  </si>
  <si>
    <t>VSCA-CLE-CLE-d2530-IND</t>
  </si>
  <si>
    <t>ø25 x h30</t>
  </si>
  <si>
    <t>Experience unparalleled sophistication with the Cassey from our VASES range. It's where design meets functionality.</t>
  </si>
  <si>
    <t xml:space="preserve">656-CL </t>
  </si>
  <si>
    <t>VSCA-CLE-CLE-d3035-IND</t>
  </si>
  <si>
    <t>ø30 x h35</t>
  </si>
  <si>
    <t>clear glass
semi</t>
  </si>
  <si>
    <t>Cassey is a showcase of excellence in VASES. It combines style, functionality, and unmatched quality.</t>
  </si>
  <si>
    <t>750-GRCL</t>
  </si>
  <si>
    <t>Mesh bowl</t>
  </si>
  <si>
    <t>VSPL-GRE-GRE-d97-IND</t>
  </si>
  <si>
    <t>ø9 x h7</t>
  </si>
  <si>
    <t>Plasa bowl is a showcase of excellence in VASES. It combines style, functionality, and unmatched quality.</t>
  </si>
  <si>
    <t>751-GRCL</t>
  </si>
  <si>
    <t>VSPL-GRE-GRE-d1612-IND</t>
  </si>
  <si>
    <t>ø16 x h12</t>
  </si>
  <si>
    <t>Redefine elegance with the Plasa bowl, a pinnacle of our VASES series. Its design is both innovative and timeless.</t>
  </si>
  <si>
    <t>752-GRCL</t>
  </si>
  <si>
    <t>VSPL-GRE-GRE-d2822-IND</t>
  </si>
  <si>
    <t>ø28 x h22</t>
  </si>
  <si>
    <t>663-CL</t>
  </si>
  <si>
    <t>Flez</t>
  </si>
  <si>
    <t>VSVA-CLE-CLE-d922 -IND</t>
  </si>
  <si>
    <t>ø9 x h22 - vol. 800 ml</t>
  </si>
  <si>
    <t>Experience unparalleled sophistication with the Varane from our VASES range. It's where design meets functionality.</t>
  </si>
  <si>
    <t>664-CL</t>
  </si>
  <si>
    <t>VSVA-CLE-CLE-d925 -IND</t>
  </si>
  <si>
    <t>ø9 x h25 - vol. 1.000 ml</t>
  </si>
  <si>
    <t>Redefine elegance with the Varane, a pinnacle of our VASES series. Its design is both innovative and timeless.</t>
  </si>
  <si>
    <t>665-CL</t>
  </si>
  <si>
    <t>VSVA-CLE-CLE-d930 -IND</t>
  </si>
  <si>
    <t>ø9 x h30 - vol. 1.400 ml</t>
  </si>
  <si>
    <t>The Varane in our VASES collection is a masterpiece of craftsmanship, offering both durability and aesthetic appeal.</t>
  </si>
  <si>
    <t>584-CL</t>
  </si>
  <si>
    <t>Marcel</t>
  </si>
  <si>
    <t>VSMA-CLE-CLE-101025-IND</t>
  </si>
  <si>
    <t>w10 x d10 x h25</t>
  </si>
  <si>
    <t>The Marco in our VASES collection is a masterpiece of craftsmanship, offering both durability and aesthetic appeal.</t>
  </si>
  <si>
    <t>584-GR</t>
  </si>
  <si>
    <t>VSMA-GRE-GRE-101026-IND</t>
  </si>
  <si>
    <t>w10 x d10 x h26</t>
  </si>
  <si>
    <t>844-GR</t>
  </si>
  <si>
    <t>Helena vase</t>
  </si>
  <si>
    <t>VSHA-GRE-GRE-d2120-IND</t>
  </si>
  <si>
    <t>ø21 x h20</t>
  </si>
  <si>
    <t>Redefine elegance with the Hailey vase, a pinnacle of our VASES series. Its design is both innovative and timeless.</t>
  </si>
  <si>
    <t>759-GR</t>
  </si>
  <si>
    <t>VSHA-GRE-GRE-d2135-IND</t>
  </si>
  <si>
    <t>ø21 x h35</t>
  </si>
  <si>
    <t>Hailey vase is a showcase of excellence in VASES. It combines style, functionality, and unmatched quality.</t>
  </si>
  <si>
    <t>760-GR</t>
  </si>
  <si>
    <t>VSHA-GRE-GRE-d2745-IND</t>
  </si>
  <si>
    <t>ø27 x h45</t>
  </si>
  <si>
    <t>Experience unparalleled sophistication with the Hailey vase from our VASES range. It's where design meets functionality.</t>
  </si>
  <si>
    <t>844-GRMT</t>
  </si>
  <si>
    <t>grey matte glass semi</t>
  </si>
  <si>
    <t>759-GRMT</t>
  </si>
  <si>
    <t xml:space="preserve">ø21 x h35 </t>
  </si>
  <si>
    <t>The Hailey vase in our VASES collection is a masterpiece of craftsmanship, offering both durability and aesthetic appeal.</t>
  </si>
  <si>
    <t>760-GRMT</t>
  </si>
  <si>
    <t>CGLVH30</t>
  </si>
  <si>
    <t>Helena vase stone</t>
  </si>
  <si>
    <t>VSHA-STO-NAT-d3030-IND</t>
  </si>
  <si>
    <t>ø30 x h30</t>
  </si>
  <si>
    <t>lavastone semi</t>
  </si>
  <si>
    <t>Hailey vase stone is a showcase of excellence in VASES. It combines style, functionality, and unmatched quality.</t>
  </si>
  <si>
    <t>CGLVH60</t>
  </si>
  <si>
    <t>VSHA-STO-NAT-d3560-IND</t>
  </si>
  <si>
    <t xml:space="preserve"> ø35 x h60</t>
  </si>
  <si>
    <t>Redefine elegance with the Hailey vase stone, a pinnacle of our VASES series. Its design is both innovative and timeless.</t>
  </si>
  <si>
    <t>540-CL</t>
  </si>
  <si>
    <t>Emmanuel</t>
  </si>
  <si>
    <t>VSSI-CLE-CLE-d3220-IND</t>
  </si>
  <si>
    <t xml:space="preserve"> ø32 x h20</t>
  </si>
  <si>
    <t>Silva is a showcase of excellence in VASES. It combines style, functionality, and unmatched quality.</t>
  </si>
  <si>
    <t>559-CL</t>
  </si>
  <si>
    <t>VSSI-CLE-CLE-d3740-IND</t>
  </si>
  <si>
    <t>ø37 x h40</t>
  </si>
  <si>
    <t>Experience unparalleled sophistication with the Silva from our VASES range. It's where design meets functionality.</t>
  </si>
  <si>
    <t>560-CL</t>
  </si>
  <si>
    <t>VSSI-CLE-CLE-d4060-IND</t>
  </si>
  <si>
    <t xml:space="preserve"> ø40 x h60</t>
  </si>
  <si>
    <t>Discover the unique charm of Silva in our VASES collection. It's not just a product; it's a lifestyle.</t>
  </si>
  <si>
    <t>560-GR</t>
  </si>
  <si>
    <t>VSSI-GRE-GRE-d4060-IND</t>
  </si>
  <si>
    <t xml:space="preserve">ø40 x h60 </t>
  </si>
  <si>
    <t>586-CL</t>
  </si>
  <si>
    <t>Sidonia pipe</t>
  </si>
  <si>
    <t>VSTE-CLE-CLE-d420 -IND</t>
  </si>
  <si>
    <t>ø4 x h20 - # 1</t>
  </si>
  <si>
    <t>Experience unparalleled sophistication with the Teava pipe from our VASES range. It's where design meets functionality.</t>
  </si>
  <si>
    <t>561-CL</t>
  </si>
  <si>
    <t>VSTE-CLE-CLE-d660 -IND</t>
  </si>
  <si>
    <t>ø6 x h60 - # 1</t>
  </si>
  <si>
    <t>Discover the unique charm of Teava pipe in our VASES collection. It's not just a product; it's a lifestyle.</t>
  </si>
  <si>
    <t>562-CL</t>
  </si>
  <si>
    <t>VSTE-CLE-CLE-d670 -IND</t>
  </si>
  <si>
    <t>ø6 x h70 - # 1</t>
  </si>
  <si>
    <t>Teava pipe is a showcase of excellence in VASES. It combines style, functionality, and unmatched quality.</t>
  </si>
  <si>
    <t>563-CL</t>
  </si>
  <si>
    <t>VSTE-CLE-CLE-d680 -IND</t>
  </si>
  <si>
    <t>ø6 x h80 - # 1</t>
  </si>
  <si>
    <t>561-GR</t>
  </si>
  <si>
    <t>VSTE-GRE-GRE-d660 -IND</t>
  </si>
  <si>
    <t xml:space="preserve">ø6 x h60 - # 1 </t>
  </si>
  <si>
    <t>Redefine elegance with the Teava pipe, a pinnacle of our VASES series. Its design is both innovative and timeless.</t>
  </si>
  <si>
    <t>562-GR</t>
  </si>
  <si>
    <t>VSTE-GRE-GRE-d670 -IND</t>
  </si>
  <si>
    <t>563-GR</t>
  </si>
  <si>
    <t>VSTE-GRE-GRE--IND</t>
  </si>
  <si>
    <t xml:space="preserve">
563-GR - ø</t>
  </si>
  <si>
    <t>grey glass
semi</t>
  </si>
  <si>
    <t>ORNAMENTS</t>
  </si>
  <si>
    <t>1VIT030030060-RR</t>
  </si>
  <si>
    <t>Iron frame with glass</t>
  </si>
  <si>
    <t>Decors &gt; Ornaments</t>
  </si>
  <si>
    <t>ORBO-FRA-RUS-303060-IND</t>
  </si>
  <si>
    <t>Boxano frame</t>
  </si>
  <si>
    <t>w30 x d30 x h60</t>
  </si>
  <si>
    <t>Redefine elegance with the Boxano frame with glass, a pinnacle of our ORNAMENTS series. Its design is both innovative and timeless.</t>
  </si>
  <si>
    <t>Glass, Cups &amp; Mugs</t>
  </si>
  <si>
    <t>4VIT030030030C-AO</t>
  </si>
  <si>
    <t>Vitrine with glass</t>
  </si>
  <si>
    <t>ORCU-WIT-NAT-303030-IND</t>
  </si>
  <si>
    <t>Cubo with glass</t>
  </si>
  <si>
    <t>w30 x d30 x h30</t>
  </si>
  <si>
    <t>aged oak</t>
  </si>
  <si>
    <t>Discover the unique charm of Cubo with glass in our ORNAMENTS collection. It's not just a product; it's a lifestyle.</t>
  </si>
  <si>
    <t>9HELLIO-BA</t>
  </si>
  <si>
    <t>Elli holder</t>
  </si>
  <si>
    <t>OREL-HOL-NAT-451010-IND</t>
  </si>
  <si>
    <t>w45 x d10 x h10</t>
  </si>
  <si>
    <t>bare outdoor</t>
  </si>
  <si>
    <t>Experience unparalleled sophistication with the Elisabeta holder from our ORNAMENTS range. It's where design meets functionality.</t>
  </si>
  <si>
    <t>Ornaments</t>
  </si>
  <si>
    <t>588-CL</t>
  </si>
  <si>
    <t>elli pipe clear</t>
  </si>
  <si>
    <t>OREL-PIP-CLE--IND</t>
  </si>
  <si>
    <t>Elisabeta pipe clear</t>
  </si>
  <si>
    <t>Clear Glass</t>
  </si>
  <si>
    <t>The Elisabeta pipe clear in our ORNAMENTS collection is a masterpiece of craftsmanship, offering both durability and aesthetic appeal.</t>
  </si>
  <si>
    <t>9HELLIC-BA</t>
  </si>
  <si>
    <t>Experience unparalleled sophistication with the Eli holder from our ORNAMENTS range. It's where design meets functionality.</t>
  </si>
  <si>
    <t>9TM</t>
  </si>
  <si>
    <t>Tree monument</t>
  </si>
  <si>
    <t>ORTR-MON-NAT-3030180-IND</t>
  </si>
  <si>
    <t>w30 x d30 x h180</t>
  </si>
  <si>
    <t>reclaimed teak outdoor</t>
  </si>
  <si>
    <t>Experience unparalleled sophistication with the Tree monument from our ORNAMENTS range. It's where design meets functionality.</t>
  </si>
  <si>
    <t>9TTS</t>
  </si>
  <si>
    <t>Tea tree on stand</t>
  </si>
  <si>
    <t>ORDR-TRE-NAT-6060100-IND</t>
  </si>
  <si>
    <t>Dried tree on stand</t>
  </si>
  <si>
    <t>w60 x d60 x h100</t>
  </si>
  <si>
    <t>tea tree outdoor</t>
  </si>
  <si>
    <t>Redefine elegance with the Dried tree on stand, a pinnacle of our ORNAMENTS series. Its design is both innovative and timeless.</t>
  </si>
  <si>
    <t>26</t>
  </si>
  <si>
    <t>9TT</t>
  </si>
  <si>
    <t>Tea tree</t>
  </si>
  <si>
    <t>Dried tree</t>
  </si>
  <si>
    <t>Dried tree is a showcase of excellence in ORNAMENTS. It combines style, functionality, and unmatched quality.</t>
  </si>
  <si>
    <t>CGL023S</t>
  </si>
  <si>
    <t>Statue lavastone</t>
  </si>
  <si>
    <t>ORSY-LAV-NAT-9920-IND</t>
  </si>
  <si>
    <t>w9 x d9 x h20</t>
  </si>
  <si>
    <t>lavastone outdoor</t>
  </si>
  <si>
    <t>Experience unparalleled sophistication with the Sylvester lavastone from our ORNAMENTS range. It's where design meets functionality.</t>
  </si>
  <si>
    <t>CGL023M</t>
  </si>
  <si>
    <t>ORSY-LAV-NAT-252545-IND</t>
  </si>
  <si>
    <t>w25 x d25 x h45</t>
  </si>
  <si>
    <t>Sylvester lavastone is a showcase of excellence in ORNAMENTS. It combines style, functionality, and unmatched quality.</t>
  </si>
  <si>
    <t>CGL023L</t>
  </si>
  <si>
    <t>ORSY-LAV-NAT-303060-IND</t>
  </si>
  <si>
    <t>Redefine elegance with the Sylvester lavastone, a pinnacle of our ORNAMENTS series. Its design is both innovative and timeless.</t>
  </si>
  <si>
    <t>CGL023XL</t>
  </si>
  <si>
    <t>ORSY-LAV-NAT-454580-IND</t>
  </si>
  <si>
    <t>w45 x d45 x h80</t>
  </si>
  <si>
    <t>CGL024</t>
  </si>
  <si>
    <t xml:space="preserve">Bowl lavastone </t>
  </si>
  <si>
    <t>ORJA-LAV-NAT-23197-IND</t>
  </si>
  <si>
    <t>Jacob lavastone</t>
  </si>
  <si>
    <t>w23 x d19 x h7</t>
  </si>
  <si>
    <t>Experience unparalleled sophistication with the Jacob lavastone from our ORNAMENTS range. It's where design meets functionality.</t>
  </si>
  <si>
    <t>Kai stone</t>
  </si>
  <si>
    <t>ORCA-STO-NAT-352020-IND</t>
  </si>
  <si>
    <t>bluestone puré outdoor</t>
  </si>
  <si>
    <t>The Carl stone in our ORNAMENTS collection is a masterpiece of craftsmanship, offering both durability and aesthetic appeal.</t>
  </si>
  <si>
    <t>Experience unparalleled sophistication with the Carl stone from our ORNAMENTS range. It's where design meets functionality.</t>
  </si>
  <si>
    <t>Kai medium clear</t>
  </si>
  <si>
    <t>ORCA-MED-CLE--IND</t>
  </si>
  <si>
    <t>Carl medium clear</t>
  </si>
  <si>
    <t>Discover the unique charm of Carl medium clear in our ORNAMENTS collection. It's not just a product; it's a lifestyle.</t>
  </si>
  <si>
    <t>Kai large clear</t>
  </si>
  <si>
    <t>ORCA-LAR-CLE--IND</t>
  </si>
  <si>
    <t>Carl large clear</t>
  </si>
  <si>
    <t>Redefine elegance with the Carl large clear, a pinnacle of our ORNAMENTS series. Its design is both innovative and timeless.</t>
  </si>
  <si>
    <t>CGLS505008</t>
  </si>
  <si>
    <t>Square plate lavastone</t>
  </si>
  <si>
    <t>ORMA-PLA-NAT-50508-IND</t>
  </si>
  <si>
    <t>w50 x d50 x h8</t>
  </si>
  <si>
    <t>Mason plate lavastone is a showcase of excellence in ORNAMENTS. It combines style, functionality, and unmatched quality.</t>
  </si>
  <si>
    <t>CGLS626208</t>
  </si>
  <si>
    <t>ORMA-PLA-NAT-62628-IND</t>
  </si>
  <si>
    <t>w62 x d62 x h8</t>
  </si>
  <si>
    <t>The Mason plate lavastone in our ORNAMENTS collection is a masterpiece of craftsmanship, offering both durability and aesthetic appeal.</t>
  </si>
  <si>
    <t>CGL106 + 4CGL106-RR</t>
  </si>
  <si>
    <t>Head multi cultural</t>
  </si>
  <si>
    <t>ORMU-MUL-NAT-151540-IND</t>
  </si>
  <si>
    <t>Mustaka multi cultural</t>
  </si>
  <si>
    <t>w15 x d15 x h40</t>
  </si>
  <si>
    <t>lavastone + rustic rust
outdoor</t>
  </si>
  <si>
    <t>The Mustaka multi cultural in our ORNAMENTS collection is a masterpiece of craftsmanship, offering both durability and aesthetic appeal.</t>
  </si>
  <si>
    <t>CGLS3205</t>
  </si>
  <si>
    <t>Round plate lavastone</t>
  </si>
  <si>
    <t>ORER-PLA-NAT-325-IND</t>
  </si>
  <si>
    <t>ø32 x h5</t>
  </si>
  <si>
    <t>Discover the unique charm of Erik plate lavastone in our ORNAMENTS collection. It's not just a product; it's a lifestyle.</t>
  </si>
  <si>
    <t>CGLS4208</t>
  </si>
  <si>
    <t>ORER-PLA-NAT-428-IND</t>
  </si>
  <si>
    <t>ø42 x h8</t>
  </si>
  <si>
    <t>CGLS5208</t>
  </si>
  <si>
    <t>ORER-PLA-NAT-528-IND</t>
  </si>
  <si>
    <t>ø52 x h8</t>
  </si>
  <si>
    <t>CGLS6208</t>
  </si>
  <si>
    <t>ORER-PLA-NAT-628-IND</t>
  </si>
  <si>
    <t>ø62 x h8</t>
  </si>
  <si>
    <t>The Erik plate lavastone in our ORNAMENTS collection is a masterpiece of craftsmanship, offering both durability and aesthetic appeal.</t>
  </si>
  <si>
    <t>CGLS7208</t>
  </si>
  <si>
    <t>ORER-PLA-NAT-728-IND</t>
  </si>
  <si>
    <t>ø72 x h8</t>
  </si>
  <si>
    <t>Experience unparalleled sophistication with the Erik plate lavastone from our ORNAMENTS range. It's where design meets functionality.</t>
  </si>
  <si>
    <t>CGL125</t>
  </si>
  <si>
    <t>Tuk</t>
  </si>
  <si>
    <t>ORMO--NAT-151520-IND</t>
  </si>
  <si>
    <t>Mod</t>
  </si>
  <si>
    <t>w15 x d15 x h20</t>
  </si>
  <si>
    <t>Mod is a showcase of excellence in ORNAMENTS. It combines style, functionality, and unmatched quality.</t>
  </si>
  <si>
    <t>FL661</t>
  </si>
  <si>
    <t>Harry</t>
  </si>
  <si>
    <t>ORHE--NAT-152050-IND</t>
  </si>
  <si>
    <t>Hetz</t>
  </si>
  <si>
    <t xml:space="preserve">w15 x d20 x h50 </t>
  </si>
  <si>
    <t>teak root semi</t>
  </si>
  <si>
    <t>The Hetz in our ORNAMENTS collection is a masterpiece of craftsmanship, offering both durability and aesthetic appeal.</t>
  </si>
  <si>
    <t>FL2585H</t>
  </si>
  <si>
    <t>Hanging ladder</t>
  </si>
  <si>
    <t>ORJI-LAD-NAT-6580157-IND</t>
  </si>
  <si>
    <t>Jim hanging ladder</t>
  </si>
  <si>
    <t>w65 x d80 x h157</t>
  </si>
  <si>
    <t>teak branches semi</t>
  </si>
  <si>
    <t>The Jim hanging ladder in our ORNAMENTS collection is a masterpiece of craftsmanship, offering both durability and aesthetic appeal.</t>
  </si>
  <si>
    <t>FL2585S</t>
  </si>
  <si>
    <t>Standing ladder</t>
  </si>
  <si>
    <t>Jim standing ladder</t>
  </si>
  <si>
    <t>teak branches
semi</t>
  </si>
  <si>
    <t>The Jim standing ladder in our ORNAMENTS collection is a masterpiece of craftsmanship, offering both durability and aesthetic appeal.</t>
  </si>
  <si>
    <t>FL003</t>
  </si>
  <si>
    <t>Hat holder</t>
  </si>
  <si>
    <t>ORBO-HOL-NAT-404017-IND</t>
  </si>
  <si>
    <t>Bond hat holder</t>
  </si>
  <si>
    <t>w40 x d40 x h17</t>
  </si>
  <si>
    <t>The Bond hat holder in our ORNAMENTS collection is a masterpiece of craftsmanship, offering both durability and aesthetic appeal.</t>
  </si>
  <si>
    <t>FL617</t>
  </si>
  <si>
    <t>Coat holder</t>
  </si>
  <si>
    <t>ORCO-HOL-NAT-30200-IND</t>
  </si>
  <si>
    <t>Conama coat holder</t>
  </si>
  <si>
    <t>ø30 x h200</t>
  </si>
  <si>
    <t>Redefine elegance with the Conama coat holder, a pinnacle of our ORNAMENTS series. Its design is both innovative and timeless.</t>
  </si>
  <si>
    <t>FL420</t>
  </si>
  <si>
    <t>Tree plate</t>
  </si>
  <si>
    <t>ORBE-PLA-NAT-70706-IND</t>
  </si>
  <si>
    <t>w70 x d70 x h6</t>
  </si>
  <si>
    <t>teak root outdoor</t>
  </si>
  <si>
    <t>Redefine elegance with the Becker tree plate, a pinnacle of our ORNAMENTS series. Its design is both innovative and timeless.</t>
  </si>
  <si>
    <t>FL420L</t>
  </si>
  <si>
    <t>ORBE-PLA-NAT-50506-IND</t>
  </si>
  <si>
    <t>w50 x d50 x h6</t>
  </si>
  <si>
    <t>Experience unparalleled sophistication with the Becker tree plate from our ORNAMENTS range. It's where design meets functionality.</t>
  </si>
  <si>
    <t>CGL148</t>
  </si>
  <si>
    <t>Heddy</t>
  </si>
  <si>
    <t>ORMO--NAT-637 --IND</t>
  </si>
  <si>
    <t>w6 x d3 x h7 - 1 piece</t>
  </si>
  <si>
    <t>lavastone indoor</t>
  </si>
  <si>
    <t>Experience unparalleled sophistication with the Moldy from our ORNAMENTS range. It's where design meets functionality.</t>
  </si>
  <si>
    <t>FL256-TF</t>
  </si>
  <si>
    <t>ORMO--NAT-5277-IND</t>
  </si>
  <si>
    <t>w52 x d7 x h7</t>
  </si>
  <si>
    <t>Redefine elegance with the Moldy, a pinnacle of our ORNAMENTS series. Its design is both innovative and timeless.</t>
  </si>
  <si>
    <t>9FRCH</t>
  </si>
  <si>
    <t>Francis coat hanger</t>
  </si>
  <si>
    <t>ORLA-COA-NAT-4030195-IND</t>
  </si>
  <si>
    <t>Latuna coat hanger</t>
  </si>
  <si>
    <t>w40 x d30 x h195</t>
  </si>
  <si>
    <t>teak original semi</t>
  </si>
  <si>
    <t>Latuna coat hanger is a showcase of excellence in ORNAMENTS. It combines style, functionality, and unmatched quality.</t>
  </si>
  <si>
    <t>FL413</t>
  </si>
  <si>
    <t>Tree stump</t>
  </si>
  <si>
    <t>ORWO-STU-NAT-710-IND</t>
  </si>
  <si>
    <t>ø7 x h10</t>
  </si>
  <si>
    <t>Redefine elegance with the Woody tree stump, a pinnacle of our ORNAMENTS series. Its design is both innovative and timeless.</t>
  </si>
  <si>
    <t>FL400</t>
  </si>
  <si>
    <t>ORWO-STU-NAT-128-IND</t>
  </si>
  <si>
    <t xml:space="preserve"> ø12 x H8</t>
  </si>
  <si>
    <t>The Woody tree stump in our ORNAMENTS collection is a masterpiece of craftsmanship, offering both durability and aesthetic appeal.</t>
  </si>
  <si>
    <t>FL401</t>
  </si>
  <si>
    <t>ORWO-STU-NAT-2018-IND</t>
  </si>
  <si>
    <t>ø20 x h18</t>
  </si>
  <si>
    <t>FL402</t>
  </si>
  <si>
    <t>ORWO-STU-NAT-3018-IND</t>
  </si>
  <si>
    <t xml:space="preserve"> ø30 x h18</t>
  </si>
  <si>
    <t>Woody tree stump is a showcase of excellence in ORNAMENTS. It combines style, functionality, and unmatched quality.</t>
  </si>
  <si>
    <t>FL249</t>
  </si>
  <si>
    <t>Rustic coat hanger</t>
  </si>
  <si>
    <t>ORPA-COA-NAT-402,4-IND</t>
  </si>
  <si>
    <t>Panama rustic coat hanger</t>
  </si>
  <si>
    <t xml:space="preserve">w40 x d2,4 </t>
  </si>
  <si>
    <t>Experience unparalleled sophistication with the Panama rustic coat hanger from our ORNAMENTS range. It's where design meets functionality.</t>
  </si>
  <si>
    <t>FL279</t>
  </si>
  <si>
    <t>Root coat hanger</t>
  </si>
  <si>
    <t>ORPA-COA-NAT-472,423-IND</t>
  </si>
  <si>
    <t>Panama root coat hanger</t>
  </si>
  <si>
    <t>w47 x d2,4 x h23</t>
  </si>
  <si>
    <t>Panama root coat hanger is a showcase of excellence in ORNAMENTS. It combines style, functionality, and unmatched quality.</t>
  </si>
  <si>
    <t>FL237</t>
  </si>
  <si>
    <t>Hanging hat holder</t>
  </si>
  <si>
    <t>ORLA-HAT-NAT-15077-IND</t>
  </si>
  <si>
    <t>Lasso hanging hat holder</t>
  </si>
  <si>
    <t xml:space="preserve">w150 x d7 x h7 </t>
  </si>
  <si>
    <t>Lasso hanging hat holder is a showcase of excellence in ORNAMENTS. It combines style, functionality, and unmatched quality.</t>
  </si>
  <si>
    <t>CGRNP</t>
  </si>
  <si>
    <t>Natural pot</t>
  </si>
  <si>
    <t>ORDR-POT-NAT-806035-IND</t>
  </si>
  <si>
    <t>Dreco natural pot</t>
  </si>
  <si>
    <t xml:space="preserve">w80 x d60 x h35 </t>
  </si>
  <si>
    <t>riverstone semi</t>
  </si>
  <si>
    <t>Dreco natural pot is a showcase of excellence in ORNAMENTS. It combines style, functionality, and unmatched quality.</t>
  </si>
  <si>
    <t>9SW-NT</t>
  </si>
  <si>
    <t>Outdoor swing</t>
  </si>
  <si>
    <t>ORLA-SWI-NAT-53235-IND</t>
  </si>
  <si>
    <t>Laila outdoor swing</t>
  </si>
  <si>
    <t>w53 x d23 x h5</t>
  </si>
  <si>
    <t>teak &amp; rope semi</t>
  </si>
  <si>
    <t>Redefine elegance with the Laila outdoor swing, a pinnacle of our ORNAMENTS series. Its design is both innovative and timeless.</t>
  </si>
  <si>
    <t>44</t>
  </si>
  <si>
    <t>CGGBATH</t>
  </si>
  <si>
    <t>Stone bath</t>
  </si>
  <si>
    <t>ORKE-BAT-NAT-18412685-IND</t>
  </si>
  <si>
    <t>Kemala stone bath</t>
  </si>
  <si>
    <t>w184 x d126 x h85</t>
  </si>
  <si>
    <t>The Kemala stone bath in our ORNAMENTS collection is a masterpiece of craftsmanship, offering both durability and aesthetic appeal.</t>
  </si>
  <si>
    <t>CGRVB</t>
  </si>
  <si>
    <t>Vessel bowl</t>
  </si>
  <si>
    <t>ORAN-BOW-NAT-857540-IND</t>
  </si>
  <si>
    <t>Andara vessel bowl</t>
  </si>
  <si>
    <t>w85 x d75 x h40</t>
  </si>
  <si>
    <t>The Andara vessel bowl in our ORNAMENTS collection is a masterpiece of craftsmanship, offering both durability and aesthetic appeal.</t>
  </si>
  <si>
    <t>CGLBWL</t>
  </si>
  <si>
    <t>Natural bowl</t>
  </si>
  <si>
    <t>ORSP-BOW-NAT-8030-IND</t>
  </si>
  <si>
    <t>Sparta natural bowl</t>
  </si>
  <si>
    <t>ø80 x h30</t>
  </si>
  <si>
    <t>Redefine elegance with the Sparta natural bowl, a pinnacle of our ORNAMENTS series. Its design is both innovative and timeless.</t>
  </si>
  <si>
    <t>FL278</t>
  </si>
  <si>
    <t>Room cleaning sign</t>
  </si>
  <si>
    <t>ORPI-CLE-NAT-81.5-IND</t>
  </si>
  <si>
    <t>Pico room cleaning sign</t>
  </si>
  <si>
    <t>ø8 x h1.5</t>
  </si>
  <si>
    <t>teak root + rope indoor</t>
  </si>
  <si>
    <t>The Pico room cleaning sign in our ORNAMENTS collection is a masterpiece of craftsmanship, offering both durability and aesthetic appeal.</t>
  </si>
  <si>
    <t>33004S</t>
  </si>
  <si>
    <t>Deco basket</t>
  </si>
  <si>
    <t>ORRI-BAS-NAT-2012-IND</t>
  </si>
  <si>
    <t>Ringo deco basket</t>
  </si>
  <si>
    <t>ø20 x h12</t>
  </si>
  <si>
    <t>abaca indoor</t>
  </si>
  <si>
    <t>Experience unparalleled sophistication with the Ringo deco basket from our ORNAMENTS range. It's where design meets functionality.</t>
  </si>
  <si>
    <t>CGL171</t>
  </si>
  <si>
    <t>Make-up mirror</t>
  </si>
  <si>
    <t>ORSU-MIR-NAT-27835-IND</t>
  </si>
  <si>
    <t>Suzanna make-up mirror</t>
  </si>
  <si>
    <t>w27 x d8 x h35</t>
  </si>
  <si>
    <t>lavastone &amp; mirror indoor</t>
  </si>
  <si>
    <t>Discover the unique charm of Suzanna make-up mirror in our ORNAMENTS collection. It's not just a product; it's a lifestyle.</t>
  </si>
  <si>
    <t>ARTS</t>
  </si>
  <si>
    <t>9MAV018008100-CSCF</t>
  </si>
  <si>
    <t>Hanging Maracaibo</t>
  </si>
  <si>
    <t>Decors &gt; Arts</t>
  </si>
  <si>
    <t>ATHA-TEA-FUM-188100-IND</t>
  </si>
  <si>
    <t>w18 x d8 x h100 (vertical)</t>
  </si>
  <si>
    <t>teak chainsaw cut fumé indoor</t>
  </si>
  <si>
    <t>Redefine elegance with the Hanging Kubo, a pinnacle of our ARTS series. Its design is both innovative and timeless.</t>
  </si>
  <si>
    <t>Arts</t>
  </si>
  <si>
    <t>9MAH018008100-CSCF</t>
  </si>
  <si>
    <t>w18 x d8 x h100 (horizontal)</t>
  </si>
  <si>
    <t>9MAD018008100-CSCF</t>
  </si>
  <si>
    <t>w18 x d8 x h100 (diagonal)</t>
  </si>
  <si>
    <t>Hanging Kubo is a showcase of excellence in ARTS. It combines style, functionality, and unmatched quality.</t>
  </si>
  <si>
    <t>9MAT040040-CSCF</t>
  </si>
  <si>
    <t>Maracaibo panel</t>
  </si>
  <si>
    <t>ATKU-TEA-FUM-40403-IND</t>
  </si>
  <si>
    <t>w40 x d40 x h3</t>
  </si>
  <si>
    <t>Experience unparalleled sophistication with the Kubo Panel from our ARTS range. It's where design meets functionality.</t>
  </si>
  <si>
    <t>9MAT060060-CSCF</t>
  </si>
  <si>
    <t>ATKU-TEA-FUM-60603-IND</t>
  </si>
  <si>
    <t xml:space="preserve">w60 x d60 x h3 </t>
  </si>
  <si>
    <t>Redefine elegance with the Kubo Panel, a pinnacle of our ARTS series. Its design is both innovative and timeless.</t>
  </si>
  <si>
    <t>9MAT220080-CSCF</t>
  </si>
  <si>
    <t>ATKU-TEA-FUM-220803-IND</t>
  </si>
  <si>
    <t>w220 x d80 x h3</t>
  </si>
  <si>
    <t>The Kubo Panel in our ARTS collection is a masterpiece of craftsmanship, offering both durability and aesthetic appeal.</t>
  </si>
  <si>
    <t>9MAVF018008180-CSCF</t>
  </si>
  <si>
    <t>Standing Maracaibo</t>
  </si>
  <si>
    <t>ATST-TEA-FUM-188180-IND</t>
  </si>
  <si>
    <t>w18 x d8 x h180 (vertical)</t>
  </si>
  <si>
    <t>Standing Kubo is a showcase of excellence in ARTS. It combines style, functionality, and unmatched quality.</t>
  </si>
  <si>
    <t>9MAHF018008180-CSCF</t>
  </si>
  <si>
    <t>ATST-TEA-FUM-188170-IND</t>
  </si>
  <si>
    <t>w18 x d8 x h170 (horizontal)</t>
  </si>
  <si>
    <t>9MADF018008180-CSCF</t>
  </si>
  <si>
    <t>w18 x d8 x h170 (diagonal)</t>
  </si>
  <si>
    <t>Redefine elegance with the Standing Kubo, a pinnacle of our ARTS series. Its design is both innovative and timeless.</t>
  </si>
  <si>
    <t>MIRRORS</t>
  </si>
  <si>
    <t>9FM200150008-CSC</t>
  </si>
  <si>
    <t>Gotcha mirror</t>
  </si>
  <si>
    <t>Decors &gt; Mirrors</t>
  </si>
  <si>
    <t>MRBE-TEA-CSC-1502008-IND</t>
  </si>
  <si>
    <t>Berbatov Mirror M</t>
  </si>
  <si>
    <t xml:space="preserve"> w150 x d200 x h8 </t>
  </si>
  <si>
    <t>Berbatov Mirror is a showcase of excellence in MIRRORS. It combines style, functionality, and unmatched quality.</t>
  </si>
  <si>
    <t>9FM180080008-CSC</t>
  </si>
  <si>
    <t>MRBE-TEA-CSC-801808-IND</t>
  </si>
  <si>
    <t>w80 x d180 x h8</t>
  </si>
  <si>
    <t>Discover the unique charm of Berbatov Mirror in our MIRRORS collection. It's not just a product; it's a lifestyle.</t>
  </si>
  <si>
    <t>9FM180100008(10)-CSC</t>
  </si>
  <si>
    <t>MRBE-TEA-CSC-801808 --IND</t>
  </si>
  <si>
    <t>w80 x d180 x h8 - frame 10</t>
  </si>
  <si>
    <t>Experience unparalleled sophistication with the Berbatov Mirror from our MIRRORS range. It's where design meets functionality.</t>
  </si>
  <si>
    <t>9FM180100008(18)-CSC</t>
  </si>
  <si>
    <t>w80 x d180 x h8 - frame 18</t>
  </si>
  <si>
    <t>The Berbatov Mirror in our MIRRORS collection is a masterpiece of craftsmanship, offering both durability and aesthetic appeal.</t>
  </si>
  <si>
    <t>9FM080080008-CSC</t>
  </si>
  <si>
    <t>MRBE-TEA-CSC-80808-IND</t>
  </si>
  <si>
    <t>Berbatov Mirror S</t>
  </si>
  <si>
    <t>w80 x d80 x h8</t>
  </si>
  <si>
    <t>4FM080080005-RUSP</t>
  </si>
  <si>
    <t>Mirror rustic skuduras plain</t>
  </si>
  <si>
    <t>MRMI-TEA-PLA-80580-IND</t>
  </si>
  <si>
    <t>w80 x d5 x h80</t>
  </si>
  <si>
    <t>skuduras plain indoor</t>
  </si>
  <si>
    <t>Discover the unique charm of Mirror rustic skuduras plain in our MIRRORS collection. It's not just a product; it's a lifestyle.</t>
  </si>
  <si>
    <t>22</t>
  </si>
  <si>
    <t>1FM080080005-RR</t>
  </si>
  <si>
    <t>Mirror rustic rust</t>
  </si>
  <si>
    <t>MRDE-TEA-RUS-80580-IND</t>
  </si>
  <si>
    <t>Decul mirror rustic rust</t>
  </si>
  <si>
    <t>Discover the unique charm of Decul mirror rustic rust in our MIRRORS collection. It's not just a product; it's a lifestyle.</t>
  </si>
  <si>
    <t>9FM080080005</t>
  </si>
  <si>
    <t>Mirror rustic</t>
  </si>
  <si>
    <t>teak rustic indoor</t>
  </si>
  <si>
    <t>Redefine elegance with the Decul mirror rustic, a pinnacle of our MIRRORS series. Its design is both innovative and timeless.</t>
  </si>
  <si>
    <t>9FM080080010</t>
  </si>
  <si>
    <t>MRDE-TEA-RUS-801080-IND</t>
  </si>
  <si>
    <t>w80 x d10 x h80</t>
  </si>
  <si>
    <t>teak rustic
indoor</t>
  </si>
  <si>
    <t>Decul mirror rustic is a showcase of excellence in MIRRORS. It combines style, functionality, and unmatched quality.</t>
  </si>
  <si>
    <t>9FM180080005</t>
  </si>
  <si>
    <t>MRDE-TEA-RUS-180580-IND</t>
  </si>
  <si>
    <t>w180 x d5 x h80</t>
  </si>
  <si>
    <t>The Decul mirror rustic in our MIRRORS collection is a masterpiece of craftsmanship, offering both durability and aesthetic appeal.</t>
  </si>
  <si>
    <t>9FM180080010</t>
  </si>
  <si>
    <t>MRDE-TEA-RUS-1801080-IND</t>
  </si>
  <si>
    <t>w180 x d10 x h80</t>
  </si>
  <si>
    <t>9FMSH50-EBE</t>
  </si>
  <si>
    <t>Mirror shazam</t>
  </si>
  <si>
    <t>MRMI-BAR-NAT-504-IND</t>
  </si>
  <si>
    <t xml:space="preserve"> ø50 x h4</t>
  </si>
  <si>
    <t>The Mirror Sivana in our MIRRORS collection is a masterpiece of craftsmanship, offering both durability and aesthetic appeal.</t>
  </si>
  <si>
    <t>9FMSH70-EBE</t>
  </si>
  <si>
    <t>MRMI-BAR-NAT-704-IND</t>
  </si>
  <si>
    <t>ø70 x h4</t>
  </si>
  <si>
    <t>Discover the unique charm of Mirror Sivana in our MIRRORS collection. It's not just a product; it's a lifestyle.</t>
  </si>
  <si>
    <t>9FMSH90-EBE</t>
  </si>
  <si>
    <t>MRMI-BAR-NAT-904-IND</t>
  </si>
  <si>
    <t>ø90 x h4</t>
  </si>
  <si>
    <t>Mirror Sivana is a showcase of excellence in MIRRORS. It combines style, functionality, and unmatched quality.</t>
  </si>
  <si>
    <t xml:space="preserve">9FMSH105-EBE </t>
  </si>
  <si>
    <t>MRMI-BAR-NAT-1054-IND</t>
  </si>
  <si>
    <t>ø105 x h4</t>
  </si>
  <si>
    <t>bare
indoor</t>
  </si>
  <si>
    <t>4FMG085078005-PAV</t>
  </si>
  <si>
    <t>Mirror Gaudi</t>
  </si>
  <si>
    <t>MRMI-TEA-VIN-85578-IND</t>
  </si>
  <si>
    <t>Mirror Jack</t>
  </si>
  <si>
    <t>w85 x d5 x h78</t>
  </si>
  <si>
    <t>paprika vintage indoor</t>
  </si>
  <si>
    <t>Redefine elegance with the Mirror Jack, a pinnacle of our MIRRORS series. Its design is both innovative and timeless.</t>
  </si>
  <si>
    <t>15</t>
  </si>
  <si>
    <t>DIVIDER</t>
  </si>
  <si>
    <t>9RD</t>
  </si>
  <si>
    <t>Rustic divider single</t>
  </si>
  <si>
    <t>Decors &gt; Divider</t>
  </si>
  <si>
    <t>DVRU-TEA-NAT-6020180-OUT</t>
  </si>
  <si>
    <t>w60 x d20 x h180</t>
  </si>
  <si>
    <t>Rustic divider single is a showcase of excellence in DIVIDERS. It combines style, functionality, and unmatched quality.</t>
  </si>
  <si>
    <t>Divider</t>
  </si>
  <si>
    <t>9RDD</t>
  </si>
  <si>
    <t>Rustic divider double</t>
  </si>
  <si>
    <t>DVRU-TEA-NAT-10020220-OUT</t>
  </si>
  <si>
    <t>w100 x d20 x h220</t>
  </si>
  <si>
    <t>The Rustic divider double in our DIVIDERS collection is a masterpiece of craftsmanship, offering both durability and aesthetic appeal.</t>
  </si>
  <si>
    <t>FL113</t>
  </si>
  <si>
    <t>Branch divider</t>
  </si>
  <si>
    <t>DVBR-TEA-NAT-7838200-SEM</t>
  </si>
  <si>
    <t>w78 x d38 x h200</t>
  </si>
  <si>
    <t>Experience unparalleled sophistication with the Branch divider from our DIVIDERS range. It's where design meets functionality.</t>
  </si>
  <si>
    <t>9SDS</t>
  </si>
  <si>
    <t>Santoku divider</t>
  </si>
  <si>
    <t>DVRO-BAR-NAT-6020180-OUT</t>
  </si>
  <si>
    <t>Rood Divider is a showcase of excellence in DIVIDERS. It combines style, functionality, and unmatched quality.</t>
  </si>
  <si>
    <t>9SDD</t>
  </si>
  <si>
    <t>DVRO-BAR-NAT-10023230-OUT</t>
  </si>
  <si>
    <t>w100 x d23 x h230</t>
  </si>
  <si>
    <t>FL281</t>
  </si>
  <si>
    <t>Cabang horizontal fence</t>
  </si>
  <si>
    <t>DVFR-TEA-NAT-1204100-OUT</t>
  </si>
  <si>
    <t>w120 x d4 x h100</t>
  </si>
  <si>
    <t>teak branches outdoor</t>
  </si>
  <si>
    <t>Redefine elegance with the Frank horizontal fence, a pinnacle of our DIVIDERS series. Its design is both innovative and timeless.</t>
  </si>
  <si>
    <t>FL280</t>
  </si>
  <si>
    <t>DVFR-TEA-NAT-2201150-OUT</t>
  </si>
  <si>
    <t>w220 x d1 x h150</t>
  </si>
  <si>
    <t>Frank horizontal fence is a showcase of excellence in DIVIDERS. It combines style, functionality, and unmatched quality.</t>
  </si>
  <si>
    <t>FL283</t>
  </si>
  <si>
    <t>Cabang vertical fence</t>
  </si>
  <si>
    <t>Frank vertical fence is a showcase of excellence in DIVIDERS. It combines style, functionality, and unmatched quality.</t>
  </si>
  <si>
    <t>FL282</t>
  </si>
  <si>
    <t>Discover the unique charm of Frank vertical fence in our DIVIDERS collection. It's not just a product; it's a lifestyle.</t>
  </si>
  <si>
    <t>POTS &amp; BASKETS</t>
  </si>
  <si>
    <t>Square basket high</t>
  </si>
  <si>
    <t>Decors &gt; Pots &amp; Baskets</t>
  </si>
  <si>
    <t>PBRO-KUB-NAT-282833-SEM</t>
  </si>
  <si>
    <t>Rob basket high</t>
  </si>
  <si>
    <t>w28 x d28 x h33</t>
  </si>
  <si>
    <t>kubu grey semi</t>
  </si>
  <si>
    <t>Redefine elegance with the Rob basket high, a pinnacle of our POTS &amp; BASKETS series. Its design is both innovative and timeless.</t>
  </si>
  <si>
    <t>Pots &amp; Baskets</t>
  </si>
  <si>
    <t>50930-3</t>
  </si>
  <si>
    <t>Cupboard rectangular</t>
  </si>
  <si>
    <t>PBDE-KUB-NAT-SET3-SEM</t>
  </si>
  <si>
    <t>Dean rectangular</t>
  </si>
  <si>
    <t>w40 x d30 x h29, w60 x d45 x h36, w50 x d39 x h30, set / 3</t>
  </si>
  <si>
    <t>Discover the unique charm of Dean rectangular in our POTS &amp; BASKETS collection. It's not just a product; it's a lifestyle.</t>
  </si>
  <si>
    <t>40286-3</t>
  </si>
  <si>
    <t>Cupboard basket</t>
  </si>
  <si>
    <t>Dean basket</t>
  </si>
  <si>
    <t>w30 x d30 x h20, w45 x d45 x h45, w40 x d40 x h40, set / 3</t>
  </si>
  <si>
    <t>Experience unparalleled sophistication with the Dean basket from our POTS &amp; BASKETS range. It's where design meets functionality.</t>
  </si>
  <si>
    <t>Box with cover</t>
  </si>
  <si>
    <t>PBDO-KUB-NAT-SET4-SEM</t>
  </si>
  <si>
    <t>Downy box with cover</t>
  </si>
  <si>
    <t>w31 x d21 x h17, w52 x d43 x h35, w45 x d36 x h30, w38 x d28 x h23, set / 4</t>
  </si>
  <si>
    <t>Downy box with cover is a showcase of excellence in POTS &amp; BASKETS. It combines style, functionality, and unmatched quality.</t>
  </si>
  <si>
    <t>998-3</t>
  </si>
  <si>
    <t>Box with cover high</t>
  </si>
  <si>
    <t>PBDO-KUB-NAT-SET3-SEM</t>
  </si>
  <si>
    <t>Downy box with cover high</t>
  </si>
  <si>
    <t>w32 x d32 x h51, w39 x d39 x h62, w25 x d25 x h40, set / 3</t>
  </si>
  <si>
    <t>Discover the unique charm of Downy box with cover high in our POTS &amp; BASKETS collection. It's not just a product; it's a lifestyle.</t>
  </si>
  <si>
    <t>830WM</t>
  </si>
  <si>
    <t>Umbrella basket</t>
  </si>
  <si>
    <t>PBMA-KUB-NAT-551557-SEM</t>
  </si>
  <si>
    <t>Marry umbrella basket</t>
  </si>
  <si>
    <t>w55 x d15 x h57</t>
  </si>
  <si>
    <t>Experience unparalleled sophistication with the Marry umbrella basket from our POTS &amp; BASKETS range. It's where design meets functionality.</t>
  </si>
  <si>
    <t>61606-2</t>
  </si>
  <si>
    <t>Rectangular basket wood</t>
  </si>
  <si>
    <t>PBBI-KUB-NAT-SET2-SEM</t>
  </si>
  <si>
    <t>Billy rectangular basket wood</t>
  </si>
  <si>
    <t>w70 x d40 x h48, w80 x d50 x h54, set / 2</t>
  </si>
  <si>
    <t>The Billy rectangular basket wood in our POTS &amp; BASKETS collection is a masterpiece of craftsmanship, offering both durability and aesthetic appeal.</t>
  </si>
  <si>
    <t>3005SB-S</t>
  </si>
  <si>
    <t>Round basket wood</t>
  </si>
  <si>
    <t>PBBI-KUB-NAT-d3847-SEM</t>
  </si>
  <si>
    <t>ø38 x h47</t>
  </si>
  <si>
    <t>Redefine elegance with the Billy round basket wood, a pinnacle of our POTS &amp; BASKETS series. Its design is both innovative and timeless.</t>
  </si>
  <si>
    <t>3005SB-M</t>
  </si>
  <si>
    <t>PBBI-KUB-NAT-d6060-SEM</t>
  </si>
  <si>
    <t>ø60 x h60</t>
  </si>
  <si>
    <t>3005SB-L</t>
  </si>
  <si>
    <t>PBBI-KUB-NAT-d4857-SEM</t>
  </si>
  <si>
    <t xml:space="preserve"> ø48 x h57</t>
  </si>
  <si>
    <t>Discover the unique charm of Billy round basket wood in our POTS &amp; BASKETS collection. It's not just a product; it's a lifestyle.</t>
  </si>
  <si>
    <t>Abaca round basket</t>
  </si>
  <si>
    <t>PBLE-ABA-NAT-SET2-IND</t>
  </si>
  <si>
    <t>Lea round basket</t>
  </si>
  <si>
    <t>ø43 x h39 , ø38 x h33, set / 2</t>
  </si>
  <si>
    <t>Abaca indoor</t>
  </si>
  <si>
    <t>Redefine elegance with the Lea round basket, a pinnacle of our POTS &amp; BASKETS series. Its design is both innovative and timeless.</t>
  </si>
  <si>
    <t>Millard laundry basket</t>
  </si>
  <si>
    <t>PBMO-KUB-NAT-604030-SEM</t>
  </si>
  <si>
    <t>Morino laundry basket</t>
  </si>
  <si>
    <t>w60 x d40 x h30</t>
  </si>
  <si>
    <t>Morino laundry basket is a showcase of excellence in POTS &amp; BASKETS. It combines style, functionality, and unmatched quality.</t>
  </si>
  <si>
    <t>Lyndon wood basket</t>
  </si>
  <si>
    <t>PBLI-KUB-NAT-453550-SEM</t>
  </si>
  <si>
    <t>Linda wood basket</t>
  </si>
  <si>
    <t>w45 x d35 x h50</t>
  </si>
  <si>
    <t>Discover the unique charm of Linda wood basket in our POTS &amp; BASKETS collection. It's not just a product; it's a lifestyle.</t>
  </si>
  <si>
    <t>Hubert umbrella holder</t>
  </si>
  <si>
    <t>PBGE-KUB-NAT-452045-SEM</t>
  </si>
  <si>
    <t>Gerald umbrella holder</t>
  </si>
  <si>
    <t>w45 x d20 x h45</t>
  </si>
  <si>
    <t>The Gerald umbrella holder in our POTS &amp; BASKETS collection is a masterpiece of craftsmanship, offering both durability and aesthetic appeal.</t>
  </si>
  <si>
    <t>33015S</t>
  </si>
  <si>
    <t>Levi round basket</t>
  </si>
  <si>
    <t>PBMO-ABA-NAT-d2525-SEM</t>
  </si>
  <si>
    <t>ø25 x h25</t>
  </si>
  <si>
    <t>abaca semi</t>
  </si>
  <si>
    <t>Mona round basket is a showcase of excellence in POTS &amp; BASKETS. It combines style, functionality, and unmatched quality.</t>
  </si>
  <si>
    <t>33015M</t>
  </si>
  <si>
    <t>PBMO-ABA-NAT-d3030-SEM</t>
  </si>
  <si>
    <t xml:space="preserve"> ø30 x h30</t>
  </si>
  <si>
    <t>Experience unparalleled sophistication with the Mona round basket from our POTS &amp; BASKETS range. It's where design meets functionality.</t>
  </si>
  <si>
    <t>BATHROOM</t>
  </si>
  <si>
    <t>FL097</t>
  </si>
  <si>
    <t>Towel rack</t>
  </si>
  <si>
    <t>Decors &gt; Bathroom</t>
  </si>
  <si>
    <t>BRWE-TEA-NAT-4540100-SEM</t>
  </si>
  <si>
    <t>w45 x d40 x h100</t>
  </si>
  <si>
    <t>Experience unparalleled sophistication with the Weenie towel rack from our BATHROOM range. It's where design meets functionality.</t>
  </si>
  <si>
    <t>Bathroom</t>
  </si>
  <si>
    <t>FL096</t>
  </si>
  <si>
    <t>BRWE-TEA-NAT-7040100-SEM</t>
  </si>
  <si>
    <t>w70 x d40 x h100</t>
  </si>
  <si>
    <t>The Weenie towel rack in our BATHROOM collection is a masterpiece of craftsmanship, offering both durability and aesthetic appeal.</t>
  </si>
  <si>
    <t>FL006</t>
  </si>
  <si>
    <t>BRWE-TEA-NAT-10040100-SEM</t>
  </si>
  <si>
    <t>W100 x D40 x H100</t>
  </si>
  <si>
    <t>Discover the unique charm of Weenie towel rack in our BATHROOM collection. It's not just a product; it's a lifestyle.</t>
  </si>
  <si>
    <t>FL122</t>
  </si>
  <si>
    <t>Towel rack straight</t>
  </si>
  <si>
    <t>Weenie towel rack straight</t>
  </si>
  <si>
    <t>w100 x d40 x h100</t>
  </si>
  <si>
    <t>The Weenie towel rack straight in our BATHROOM collection is a masterpiece of craftsmanship, offering both durability and aesthetic appeal.</t>
  </si>
  <si>
    <t>FL248</t>
  </si>
  <si>
    <t>Standing towel rack</t>
  </si>
  <si>
    <t>BRMA-TEA-NAT-10420120-SEM</t>
  </si>
  <si>
    <t>Marriot towel rack</t>
  </si>
  <si>
    <t>w104 x d20 x h120</t>
  </si>
  <si>
    <t>Experience unparalleled sophistication with the Marriot towel rack from our BATHROOM range. It's where design meets functionality.</t>
  </si>
  <si>
    <t>FL247</t>
  </si>
  <si>
    <t>Hanging towel rack</t>
  </si>
  <si>
    <t>BRWA-TEA-NAT-1046120-SEM</t>
  </si>
  <si>
    <t>Wally towel rack</t>
  </si>
  <si>
    <t>w104 x d6 x h120</t>
  </si>
  <si>
    <t>Discover the unique charm of Wally towel rack in our BATHROOM collection. It's not just a product; it's a lifestyle.</t>
  </si>
  <si>
    <t>BRHA-TEA-NAT-15077-SEM</t>
  </si>
  <si>
    <t>w150 x d7 x h7</t>
  </si>
  <si>
    <t>Redefine elegance with the Hanging hat holder, a pinnacle of our BATHROOM series. Its design is both innovative and timeless.</t>
  </si>
  <si>
    <t>Toiletpaper holder</t>
  </si>
  <si>
    <t>BRWA-KUB-GRE-d2250-SEM</t>
  </si>
  <si>
    <t>Washco toiletpaper holder</t>
  </si>
  <si>
    <t>ø22 x h50</t>
  </si>
  <si>
    <t>Experience unparalleled sophistication with the Washco toiletpaper holder from our BATHROOM range. It's where design meets functionality.</t>
  </si>
  <si>
    <t>FL245</t>
  </si>
  <si>
    <t>Hanging toilet paper holder</t>
  </si>
  <si>
    <t>BRWA-TEA-NAT-30820-SEM</t>
  </si>
  <si>
    <t>Washco hanging toiletpapaer holder</t>
  </si>
  <si>
    <t>w30 x d8 x h20</t>
  </si>
  <si>
    <t>Washco hanging toiletpapaer holder is a showcase of excellence in BATHROOM. It combines style, functionality, and unmatched quality.</t>
  </si>
  <si>
    <t>FL246</t>
  </si>
  <si>
    <t>Standing toilet paper holder</t>
  </si>
  <si>
    <t>BRWA-TEA-NAT-452060-SEM</t>
  </si>
  <si>
    <t>Washco standing toiletpaper holder</t>
  </si>
  <si>
    <t xml:space="preserve"> w45 x d20 x h60 </t>
  </si>
  <si>
    <t>The Washco standing toiletpaper holder in our BATHROOM collection is a masterpiece of craftsmanship, offering both durability and aesthetic appeal.</t>
  </si>
  <si>
    <t>FL258H</t>
  </si>
  <si>
    <t>BRJA-TEA-NAT-6580157H-SEM</t>
  </si>
  <si>
    <t>Jagra towel hanger Hanging</t>
  </si>
  <si>
    <t xml:space="preserve">w65 x d80 x h157 </t>
  </si>
  <si>
    <t>The Jagra towel hanger in our BATHROOM collection is a masterpiece of craftsmanship, offering both durability and aesthetic appeal.</t>
  </si>
  <si>
    <t>FL258S</t>
  </si>
  <si>
    <t>BRJA-TEA-NAT-6580157S-SEM</t>
  </si>
  <si>
    <t>Jagra towel hanger Standing</t>
  </si>
  <si>
    <t>Redefine elegance with the Jagra towel hanger, a pinnacle of our BATHROOM series. Its design is both innovative and timeless.</t>
  </si>
  <si>
    <t>BRIV-TEA-RUS-d2.440-SEM</t>
  </si>
  <si>
    <t>Ivan coat hanger rustic</t>
  </si>
  <si>
    <t>Experience unparalleled sophistication with the Ivan coat hanger from our BATHROOM range. It's where design meets functionality.</t>
  </si>
  <si>
    <t>BRIV-TEA-NAT-472,423-SEM</t>
  </si>
  <si>
    <t>Ivan coat hanger root</t>
  </si>
  <si>
    <t>Redefine elegance with the Ivan coat hanger, a pinnacle of our BATHROOM series. Its design is both innovative and timeless.</t>
  </si>
  <si>
    <t>Cloth hanger</t>
  </si>
  <si>
    <t>BRIV-RAT-NAT-44223-SEM</t>
  </si>
  <si>
    <t>Ivan cloth hanger</t>
  </si>
  <si>
    <t>w44 x d2 x h23</t>
  </si>
  <si>
    <t>cl &amp; rope semi</t>
  </si>
  <si>
    <t>Discover the unique charm of Ivan cloth hanger in our BATHROOM collection. It's not just a product; it's a lifestyle.</t>
  </si>
  <si>
    <t>36</t>
  </si>
  <si>
    <t>BRIV-TEA-NAT-4040176-SEM</t>
  </si>
  <si>
    <t>Ivan hat holder</t>
  </si>
  <si>
    <t xml:space="preserve"> w40 x d40 x h176</t>
  </si>
  <si>
    <t>Ivan hat holder is a showcase of excellence in BATHROOM. It combines style, functionality, and unmatched quality.</t>
  </si>
  <si>
    <t>BRIV-TEA-NAT-d30200-IND</t>
  </si>
  <si>
    <t>Ivan coat holder</t>
  </si>
  <si>
    <t>Redefine elegance with the Ivan coat holder, a pinnacle of our BATHROOM series. Its design is both innovative and timeless.</t>
  </si>
  <si>
    <t>BRIV-TEA-ORI-4030195-SEM</t>
  </si>
  <si>
    <t>Ivan coat hanger</t>
  </si>
  <si>
    <t xml:space="preserve">In house  </t>
  </si>
  <si>
    <t>Ivan coath hanger is a showcase of excellence in BATHROOM. It combines style, functionality, and unmatched quality.</t>
  </si>
  <si>
    <t>Sink Axel</t>
  </si>
  <si>
    <t>BRSI-STO-NAT-453615-OUT</t>
  </si>
  <si>
    <t>Sink Ferguson</t>
  </si>
  <si>
    <t>riverstone outdoor</t>
  </si>
  <si>
    <t>Redefine elegance with the Sink Ferguson, a pinnacle of our BATHROOM series. Its design is both innovative and timeless.</t>
  </si>
  <si>
    <t>CGRSJ070055020</t>
  </si>
  <si>
    <t>Sink Jefke</t>
  </si>
  <si>
    <t>BRSI-STO-NAT-705520-OUT</t>
  </si>
  <si>
    <t>Sink Kennedy</t>
  </si>
  <si>
    <t>w70 x d55 x h20</t>
  </si>
  <si>
    <t>The Sink Kennedy in our BATHROOM collection is a masterpiece of craftsmanship, offering both durability and aesthetic appeal.</t>
  </si>
  <si>
    <t>5SINK070040015-BSL</t>
  </si>
  <si>
    <t>Sink Sclype</t>
  </si>
  <si>
    <t>BRSI-STO-NAT-704015-OUT</t>
  </si>
  <si>
    <t>Sink Hercules</t>
  </si>
  <si>
    <t>w70 x d40 x h15</t>
  </si>
  <si>
    <t>bluestone outdoor</t>
  </si>
  <si>
    <t>The Sink Hercules in our BATHROOM collection is a masterpiece of craftsmanship, offering both durability and aesthetic appeal.</t>
  </si>
  <si>
    <t>Tissue box abaca</t>
  </si>
  <si>
    <t>BRCH-ABA-NAT-151515-IND</t>
  </si>
  <si>
    <t xml:space="preserve">w15 x d15 x h15 </t>
  </si>
  <si>
    <t>abaca square indoor</t>
  </si>
  <si>
    <t>The Charlie tissue box abaca in our BATHROOM collection is a masterpiece of craftsmanship, offering both durability and aesthetic appeal.</t>
  </si>
  <si>
    <t>BRCH-ABA-NAT-15258-IND</t>
  </si>
  <si>
    <t>w15 x d25 x h8</t>
  </si>
  <si>
    <t>Redefine elegance with the Charlie tissue box abaca, a pinnacle of our BATHROOM series. Its design is both innovative and timeless.</t>
  </si>
  <si>
    <t>Mirror with hanger</t>
  </si>
  <si>
    <t>BRDI-RAT-NAT-1005180-SEM</t>
  </si>
  <si>
    <t>Diana mirror with hanger</t>
  </si>
  <si>
    <t>w100 x d5 x h180</t>
  </si>
  <si>
    <t>rattan &amp; mirror semi</t>
  </si>
  <si>
    <t>Experience unparalleled sophistication with the Diana mirror with hanger from our BATHROOM range. It's where design meets functionality.</t>
  </si>
  <si>
    <t>33008S</t>
  </si>
  <si>
    <t>Adlai paper bin ratan</t>
  </si>
  <si>
    <t>BRRU-RAT-NAT-d2428-SEM</t>
  </si>
  <si>
    <t>Rudolfo paper bin ratan</t>
  </si>
  <si>
    <t>ø24 x h28</t>
  </si>
  <si>
    <t>rattan peel semi</t>
  </si>
  <si>
    <t>Experience unparalleled sophistication with the Rudolfo paper bin ratan from our BATHROOM range. It's where design meets functionality.</t>
  </si>
  <si>
    <t>33009S</t>
  </si>
  <si>
    <t>Filmore paper bin abaca</t>
  </si>
  <si>
    <t>BRMA-ABA-NAT-d2428-SEM</t>
  </si>
  <si>
    <t>Martin paper bin abaca</t>
  </si>
  <si>
    <t>Redefine elegance with the Martin paper bin abaca, a pinnacle of our BATHROOM series. Its design is both innovative and timeless.</t>
  </si>
  <si>
    <t>PLANTERS</t>
  </si>
  <si>
    <t>9BP60-WAX</t>
  </si>
  <si>
    <t>Palm pot wax</t>
  </si>
  <si>
    <t>Decors &gt; Planters</t>
  </si>
  <si>
    <t>PTAN-PAL-WAX-d6860-SEM</t>
  </si>
  <si>
    <t>Antony palm pot wax 60</t>
  </si>
  <si>
    <t>ø68 x h60</t>
  </si>
  <si>
    <t>palm semi</t>
  </si>
  <si>
    <t>Discover the unique charm of Antony palm pot wax in our PLANTERS collection. It's not just a product; it's a lifestyle.</t>
  </si>
  <si>
    <t>Planters</t>
  </si>
  <si>
    <t>9BP100-WAX</t>
  </si>
  <si>
    <t>PTAN-PAL-WAX-d60100-SEM</t>
  </si>
  <si>
    <t>Antony palm pot wax 100</t>
  </si>
  <si>
    <t>ø60 x h100</t>
  </si>
  <si>
    <t>Antony palm pot wax is a showcase of excellence in PLANTERS. It combines style, functionality, and unmatched quality.</t>
  </si>
  <si>
    <t>9120-WAX</t>
  </si>
  <si>
    <t>PTAN-PAL-WAX-d40120-SEM</t>
  </si>
  <si>
    <t>Antony palm pot wax 120</t>
  </si>
  <si>
    <t>ø40 x h120</t>
  </si>
  <si>
    <t>palm
semi</t>
  </si>
  <si>
    <t>Experience unparalleled sophistication with the Antony palm pot wax from our PLANTERS range. It's where design meets functionality.</t>
  </si>
  <si>
    <t>9180-WAX</t>
  </si>
  <si>
    <t>Palm pot wax_x000D_</t>
  </si>
  <si>
    <t>PTAN-PAL-WAX-d50180-SEM</t>
  </si>
  <si>
    <t>Antony palm pot wax 180</t>
  </si>
  <si>
    <t>ø50 x h180</t>
  </si>
  <si>
    <t>9BP60</t>
  </si>
  <si>
    <t>Palm pot 60 &amp; 100</t>
  </si>
  <si>
    <t>PTAN-PAL-FUM-d6860-SEM</t>
  </si>
  <si>
    <t>Antony palm pot 60</t>
  </si>
  <si>
    <t>Discover the unique charm of Antony palm pot 60 &amp; 100 in our PLANTERS collection. It's not just a product; it's a lifestyle.</t>
  </si>
  <si>
    <t>9BP100</t>
  </si>
  <si>
    <t>Palm pot 60 &amp; 101</t>
  </si>
  <si>
    <t>PTAN-PAL-FUM-d60100-SEM</t>
  </si>
  <si>
    <t>Antony palm pot 100</t>
  </si>
  <si>
    <t>The Antony palm pot 60 &amp; 101 in our PLANTERS collection is a masterpiece of craftsmanship, offering both durability and aesthetic appeal.</t>
  </si>
  <si>
    <t>Palm pot 120</t>
  </si>
  <si>
    <t>PTAN-PAL-FUM-d40120-SEM</t>
  </si>
  <si>
    <t>Antony Palm pot 120</t>
  </si>
  <si>
    <t>Discover the unique charm of Antony Palm pot 120 in our PLANTERS collection. It's not just a product; it's a lifestyle.</t>
  </si>
  <si>
    <t>9120-CURVED</t>
  </si>
  <si>
    <t>Palm pot 120-curved</t>
  </si>
  <si>
    <t>PTAN-PAL-CUR-d40120-SEM</t>
  </si>
  <si>
    <t>Antony palm pot 120 curved</t>
  </si>
  <si>
    <t>The Antony palm pot 120 curved in our PLANTERS collection is a masterpiece of craftsmanship, offering both durability and aesthetic appeal.</t>
  </si>
  <si>
    <t>9120-CADRE</t>
  </si>
  <si>
    <t>Palm pot 120-cadré</t>
  </si>
  <si>
    <t>PTAN-PAL-CAD-d40120-SEM</t>
  </si>
  <si>
    <t>Antony palm pot 120 cadre</t>
  </si>
  <si>
    <t>Redefine elegance with the Antony palm pot 120 cadre, a pinnacle of our PLANTERS series. Its design is both innovative and timeless.</t>
  </si>
  <si>
    <t>9120-LINIE</t>
  </si>
  <si>
    <t>Palm pot 120-linié</t>
  </si>
  <si>
    <t>PTAN-PAL-LIN-d40120-SEM</t>
  </si>
  <si>
    <t>Antony palm pot 120 linie</t>
  </si>
  <si>
    <t>Redefine elegance with the Antony palm pot 120 linie, a pinnacle of our PLANTERS series. Its design is both innovative and timeless.</t>
  </si>
  <si>
    <t>Palm pot 180</t>
  </si>
  <si>
    <t>PTAN-PAL-FUM-d50180-SEM</t>
  </si>
  <si>
    <t>Antony palm pot 180</t>
  </si>
  <si>
    <t>The Antony palm pot 180 in our PLANTERS collection is a masterpiece of craftsmanship, offering both durability and aesthetic appeal.</t>
  </si>
  <si>
    <t>9180-CURVED</t>
  </si>
  <si>
    <t>Palm pot 180-curved</t>
  </si>
  <si>
    <t>PTAN-PAL-CUR-d50180-SEM</t>
  </si>
  <si>
    <t>Antony palm pot 180 curved</t>
  </si>
  <si>
    <t>Redefine elegance with the Antony palm pot 180 curved, a pinnacle of our PLANTERS series. Its design is both innovative and timeless.</t>
  </si>
  <si>
    <t>9180-CADRE</t>
  </si>
  <si>
    <t>Palm pot 180-cadre</t>
  </si>
  <si>
    <t>PTAN-PAL-CAD-d50180-SEM</t>
  </si>
  <si>
    <t>Antony palm pot 180 cadre</t>
  </si>
  <si>
    <t>Experience unparalleled sophistication with the Antony palm pot 180 cadre from our PLANTERS range. It's where design meets functionality.</t>
  </si>
  <si>
    <t>9180-LINIE</t>
  </si>
  <si>
    <t>Palm pot 180-linie</t>
  </si>
  <si>
    <t>PTAN-PAL-LIN-d50180-SEM</t>
  </si>
  <si>
    <t>Antony palm pot 180 linie</t>
  </si>
  <si>
    <t>The Antony palm pot 180 linie in our PLANTERS collection is a masterpiece of craftsmanship, offering both durability and aesthetic appeal.</t>
  </si>
  <si>
    <t>9RO040034-BAC</t>
  </si>
  <si>
    <t>Romelu copper</t>
  </si>
  <si>
    <t>PTKE-BAR-NAT-d4034-OUT</t>
  </si>
  <si>
    <t>ø40 x h34</t>
  </si>
  <si>
    <t>bare with copper outdoor</t>
  </si>
  <si>
    <t>Redefine elegance with the Kevin copper, a pinnacle of our PLANTERS series. Its design is both innovative and timeless.</t>
  </si>
  <si>
    <t>9RO080069-BAC</t>
  </si>
  <si>
    <t>PTKE-BAR-NAT-d8069-OUT</t>
  </si>
  <si>
    <t xml:space="preserve"> ø80 x h69</t>
  </si>
  <si>
    <t>Experience unparalleled sophistication with the Kevin copper from our PLANTERS range. It's where design meets functionality.</t>
  </si>
  <si>
    <t>9RO120104-BAC</t>
  </si>
  <si>
    <t>PTKE-BAR-NAT-d120104-OUT</t>
  </si>
  <si>
    <t>ø120 x h104</t>
  </si>
  <si>
    <t>FL634</t>
  </si>
  <si>
    <t>Chip</t>
  </si>
  <si>
    <t>PTMU-TEA-NAT-15156-SEM</t>
  </si>
  <si>
    <t>w15 x d15 x h6</t>
  </si>
  <si>
    <t>Mufazza is a showcase of excellence in PLANTERS. It combines style, functionality, and unmatched quality.</t>
  </si>
  <si>
    <t>FL627</t>
  </si>
  <si>
    <t>PTMU-TEA-NAT-151511-SEM</t>
  </si>
  <si>
    <t>w15 x d15 x h11</t>
  </si>
  <si>
    <t>Discover the unique charm of Mufazza in our PLANTERS collection. It's not just a product; it's a lifestyle.</t>
  </si>
  <si>
    <t>FL628</t>
  </si>
  <si>
    <t>PTMU-TEA-NAT-401511-SEM</t>
  </si>
  <si>
    <t>w40 x d15 x h11</t>
  </si>
  <si>
    <t>Redefine elegance with the Mufazza, a pinnacle of our PLANTERS series. Its design is both innovative and timeless.</t>
  </si>
  <si>
    <t>FL632</t>
  </si>
  <si>
    <t>PTMU-TEA-NAT-50156-SEM</t>
  </si>
  <si>
    <t>w50 x d15 x h6</t>
  </si>
  <si>
    <t>FL630</t>
  </si>
  <si>
    <t>PTMU-TEA-NAT-502011-SEM</t>
  </si>
  <si>
    <t>w50 x d20 x h11</t>
  </si>
  <si>
    <t>The Mufazza in our PLANTERS collection is a masterpiece of craftsmanship, offering both durability and aesthetic appeal.</t>
  </si>
  <si>
    <t>FL633</t>
  </si>
  <si>
    <t>PTMU-TEA-NAT-50226-SEM</t>
  </si>
  <si>
    <t xml:space="preserve"> w50 x d22 x h6</t>
  </si>
  <si>
    <t>FL629</t>
  </si>
  <si>
    <t>PTMU-TEA-NAT-502211-SEM</t>
  </si>
  <si>
    <t>w50 x d22 x h11</t>
  </si>
  <si>
    <t>FL631</t>
  </si>
  <si>
    <t>PTMU-TEA-NAT-504711-SEM</t>
  </si>
  <si>
    <t>w50 x d47 x h11</t>
  </si>
  <si>
    <t>Round basket multi color</t>
  </si>
  <si>
    <t>PTJO-RAT-MUL-d6060-SEM</t>
  </si>
  <si>
    <t>Joe round basket multi color</t>
  </si>
  <si>
    <t>CL Multi Color Semi</t>
  </si>
  <si>
    <t>Redefine elegance with the Joe round basket multi color, a pinnacle of our PLANTERS series. Its design is both innovative and timeless.</t>
  </si>
  <si>
    <t>Romelu rattan</t>
  </si>
  <si>
    <t>PTFE-PUL-GRE-d2018-SEM</t>
  </si>
  <si>
    <t xml:space="preserve"> ø20 x h18</t>
  </si>
  <si>
    <t>pulut grey semi</t>
  </si>
  <si>
    <t>The Felix rattan in our PLANTERS collection is a masterpiece of craftsmanship, offering both durability and aesthetic appeal.</t>
  </si>
  <si>
    <t>PTFE-PUL-GRE-d3228-SEM</t>
  </si>
  <si>
    <t>ø32 x h28</t>
  </si>
  <si>
    <t>Discover the unique charm of Felix rattan in our PLANTERS collection. It's not just a product; it's a lifestyle.</t>
  </si>
  <si>
    <t>PTFE-PUL-GRE-d4539-SEM</t>
  </si>
  <si>
    <t>ø45 x h39</t>
  </si>
  <si>
    <t>Redefine elegance with the Felix rattan, a pinnacle of our PLANTERS series. Its design is both innovative and timeless.</t>
  </si>
  <si>
    <t>PTFE-PUL-GRE-d5043-SEM</t>
  </si>
  <si>
    <t>ø50 x h43</t>
  </si>
  <si>
    <t>Felix rattan is a showcase of excellence in PLANTERS. It combines style, functionality, and unmatched quality.</t>
  </si>
  <si>
    <t>PTFE-PUL-GRE-d6052-SEM</t>
  </si>
  <si>
    <t>ø60 x h52</t>
  </si>
  <si>
    <t>PTFE-PUL-GRE-d8069-SEM</t>
  </si>
  <si>
    <t>ø80 x h69</t>
  </si>
  <si>
    <t>PTFE-PUL-GRE-d10086-SEM</t>
  </si>
  <si>
    <t>ø100 x h86</t>
  </si>
  <si>
    <t>PTFE-PUL-GRE-d120103-SEM</t>
  </si>
  <si>
    <t>ø120 x h103</t>
  </si>
  <si>
    <t>Experience unparalleled sophistication with the Felix rattan from our PLANTERS range. It's where design meets functionality.</t>
  </si>
  <si>
    <t>PTFE-KUB-GRE-d3847-SEM</t>
  </si>
  <si>
    <t>The Feroni round basket wood in our PLANTERS collection is a masterpiece of craftsmanship, offering both durability and aesthetic appeal.</t>
  </si>
  <si>
    <t>PTFE-KUB-GRE-d4754-SEM</t>
  </si>
  <si>
    <t>ø47 x h54</t>
  </si>
  <si>
    <t>Redefine elegance with the Feroni round basket wood, a pinnacle of our PLANTERS series. Its design is both innovative and timeless.</t>
  </si>
  <si>
    <t>PTFE-KUB-GRE-d6060-SEM</t>
  </si>
  <si>
    <t xml:space="preserve"> ø60 x h60</t>
  </si>
  <si>
    <t>Basket rectangular wood</t>
  </si>
  <si>
    <t>PTFE-KUB-GRE-704048-SEM</t>
  </si>
  <si>
    <t>Ferona rectangular wood</t>
  </si>
  <si>
    <t>w70 x d40 x h48/w80 x d50 x h54</t>
  </si>
  <si>
    <t>kubu grey - semi - set / 2</t>
  </si>
  <si>
    <t>Discover the unique charm of Ferona rectangular woof in our PLANTERS collection. It's not just a product; it's a lifestyle.</t>
  </si>
  <si>
    <t>9IB-S</t>
  </si>
  <si>
    <t>Iron basket with chain_x000D_</t>
  </si>
  <si>
    <t>PTAR-IRO-RUS-d2532-SEM</t>
  </si>
  <si>
    <t xml:space="preserve"> ø25 x h32</t>
  </si>
  <si>
    <t>rustic rust semi</t>
  </si>
  <si>
    <t>The Arthur with chain in our PLANTERS collection is a masterpiece of craftsmanship, offering both durability and aesthetic appeal.</t>
  </si>
  <si>
    <t>9IB-M</t>
  </si>
  <si>
    <t>PTAR-IRO-RUS-d3542-SEM</t>
  </si>
  <si>
    <t>ø35 x h42</t>
  </si>
  <si>
    <t>9IB-L</t>
  </si>
  <si>
    <t>PTAR-IRO-RUS-d4552-SEM</t>
  </si>
  <si>
    <t>ø45 x h52</t>
  </si>
  <si>
    <t>Arthur with chain is a showcase of excellence in PLANTERS. It combines style, functionality, and unmatched quality.</t>
  </si>
  <si>
    <t>4IB500060042-RR</t>
  </si>
  <si>
    <t>Hanging trog planter</t>
  </si>
  <si>
    <t>PTON-IRO-RUS-5006042-SEM</t>
  </si>
  <si>
    <t>w500 x d60 x h42</t>
  </si>
  <si>
    <t>Discover the unique charm of Onana hanging trog planter in our PLANTERS collection. It's not just a product; it's a lifestyle.</t>
  </si>
  <si>
    <t>4IB635060042-RR</t>
  </si>
  <si>
    <t>Hanging trog planter_x000D_</t>
  </si>
  <si>
    <t>PTON-IRO-RUS-6356042-SEM</t>
  </si>
  <si>
    <t xml:space="preserve"> w635 x d60 x h42</t>
  </si>
  <si>
    <t>Onana hanging trog planter is a showcase of excellence in PLANTERS. It combines style, functionality, and unmatched quality.</t>
  </si>
  <si>
    <t>CGRPR016015</t>
  </si>
  <si>
    <t>Romelu stone</t>
  </si>
  <si>
    <t>PTFE-STO-NAT-d1615-OUT</t>
  </si>
  <si>
    <t>ø16 x h15</t>
  </si>
  <si>
    <t>Experience unparalleled sophistication with the Felix stone from our PLANTERS range. It's where design meets functionality.</t>
  </si>
  <si>
    <t>CGRPR030026</t>
  </si>
  <si>
    <t>PTFE-STO-NAT-d3026-OUT</t>
  </si>
  <si>
    <t>ø30 x h26</t>
  </si>
  <si>
    <t>Redefine elegance with the Felix stone, a pinnacle of our PLANTERS series. Its design is both innovative and timeless.</t>
  </si>
  <si>
    <t>CGRPR040035</t>
  </si>
  <si>
    <t>PTFE-STO-NAT-d4035-OUT</t>
  </si>
  <si>
    <t>ø40 x h35</t>
  </si>
  <si>
    <t>CGRPR060055</t>
  </si>
  <si>
    <t>PTFE-STO-NAT-d6055-OUT</t>
  </si>
  <si>
    <t xml:space="preserve">ø60 x h55
</t>
  </si>
  <si>
    <t>FIRE PITS</t>
  </si>
  <si>
    <t>1FBPR040050-RR</t>
  </si>
  <si>
    <t>Fire basket pyro</t>
  </si>
  <si>
    <t>Decors &gt; Fire Pits</t>
  </si>
  <si>
    <t>FPZU-IRO-RUS-d4050-OUT</t>
  </si>
  <si>
    <t>ø40 x h50</t>
  </si>
  <si>
    <t>rustic rust outdoor</t>
  </si>
  <si>
    <t>Redefine elegance with the Zuko fire basket, a pinnacle of our FIRE PITS series. Its design is both innovative and timeless.</t>
  </si>
  <si>
    <t>Fire Pits</t>
  </si>
  <si>
    <t>1FBPR065065-RR</t>
  </si>
  <si>
    <t>FPZU-IRO-RUS-d6565-OUT</t>
  </si>
  <si>
    <t>ø65 x h65</t>
  </si>
  <si>
    <t>1FBT065055-RR</t>
  </si>
  <si>
    <t>Fire basket</t>
  </si>
  <si>
    <t>FPDR-IRO-RUS-d6555-OUT</t>
  </si>
  <si>
    <t>ø65 x H55</t>
  </si>
  <si>
    <t>Experience unparalleled sophistication with the Draco fire basket from our FIRE PITS range. It's where design meets functionality.</t>
  </si>
  <si>
    <t>1FBT070095-RR</t>
  </si>
  <si>
    <t>FPDR-IRO-RUS-d7095-OUT</t>
  </si>
  <si>
    <t xml:space="preserve"> ø70 x h95</t>
  </si>
  <si>
    <t>Discover the unique charm of Draco fire basket in our FIRE PITS collection. It's not just a product; it's a lifestyle.</t>
  </si>
  <si>
    <t>1FBFOW070070010-RR</t>
  </si>
  <si>
    <t>FPDR-IRO-RUS-707010-OUT</t>
  </si>
  <si>
    <t>w70 x d70 x h10</t>
  </si>
  <si>
    <t>rustic rust on wheels outdoor</t>
  </si>
  <si>
    <t>1FIP100150-RR</t>
  </si>
  <si>
    <t>Fire pit with grill</t>
  </si>
  <si>
    <t>FPBA-IRO-RUS-d100150-OUT</t>
  </si>
  <si>
    <t>ø100 x h150</t>
  </si>
  <si>
    <t>The Bakar fire pit with grill in our FIRE PITS collection is a masterpiece of craftsmanship, offering both durability and aesthetic appeal.</t>
  </si>
  <si>
    <t>1FIPB100150-RR</t>
  </si>
  <si>
    <t>FPBA-IRO-RUS-d10020-OUT</t>
  </si>
  <si>
    <t xml:space="preserve"> ø100 x h20</t>
  </si>
  <si>
    <t>1FIPG100150-RR</t>
  </si>
  <si>
    <t>FPBA-IRO-RUS-d5030-OUT</t>
  </si>
  <si>
    <t xml:space="preserve"> ø50 x h30</t>
  </si>
  <si>
    <t>Discover the unique charm of Bakar fire pit with grill in our FIRE PITS collection. It's not just a product; it's a lifestyle.</t>
  </si>
  <si>
    <t>1FIPM100150-RR</t>
  </si>
  <si>
    <t>FPBA-IRO-RUS-d10040-OUT</t>
  </si>
  <si>
    <t>ø100 x h40</t>
  </si>
  <si>
    <t>Redefine elegance with the Bakar fire pit with grill, a pinnacle of our FIRE PITS series. Its design is both innovative and timeless.</t>
  </si>
  <si>
    <t>1FIPT100150-RR</t>
  </si>
  <si>
    <t>FPBA-IRO-RUS-d6080-OUT</t>
  </si>
  <si>
    <t>ø60 x h80</t>
  </si>
  <si>
    <t>1WIRAR036060-RR</t>
  </si>
  <si>
    <t>Wira round_x000D_</t>
  </si>
  <si>
    <t>FPGA-IRO-RUS-d3660-OUT</t>
  </si>
  <si>
    <t xml:space="preserve"> ø36 x h60</t>
  </si>
  <si>
    <t>Experience unparalleled sophistication with the Gani round from our FIRE PITS range. It's where design meets functionality.</t>
  </si>
  <si>
    <t>1WIRAR080020-RR</t>
  </si>
  <si>
    <t>FPGA-IRO-RUS-d8020-OUT</t>
  </si>
  <si>
    <t>ø80 x h20</t>
  </si>
  <si>
    <t>1WIRAR057090-RR</t>
  </si>
  <si>
    <t>FPGA-IRO-RUS-d5790-OUT</t>
  </si>
  <si>
    <t>ø57 x h90</t>
  </si>
  <si>
    <t>Redefine elegance with the Gani round, a pinnacle of our FIRE PITS series. Its design is both innovative and timeless.</t>
  </si>
  <si>
    <t>1WIRAC050060-RR</t>
  </si>
  <si>
    <t>Wira conic</t>
  </si>
  <si>
    <t>FPGA-IRO-RUS-d5060-OUT</t>
  </si>
  <si>
    <t>ø50 x h60</t>
  </si>
  <si>
    <t>Gani conic is a showcase of excellence in FIRE PITS. It combines style, functionality, and unmatched quality.</t>
  </si>
  <si>
    <t>1WIRAC090020-RR</t>
  </si>
  <si>
    <t>FPGA-IRO-RUS-d9020-OUT</t>
  </si>
  <si>
    <t>ø90 x h20</t>
  </si>
  <si>
    <t>Discover the unique charm of Gani conic in our FIRE PITS collection. It's not just a product; it's a lifestyle.</t>
  </si>
  <si>
    <t>1WIRAC077090-RR</t>
  </si>
  <si>
    <t>FPGA-IRO-RUS-d7790-OUT</t>
  </si>
  <si>
    <t>ø77 x h90</t>
  </si>
  <si>
    <t>Experience unparalleled sophistication with the Gani conic from our FIRE PITS range. It's where design meets functionality.</t>
  </si>
  <si>
    <t>1FBLS055066-RR</t>
  </si>
  <si>
    <t>Fire basket Loris small</t>
  </si>
  <si>
    <t>FPVE-IRO-RUS-d5566-OUT</t>
  </si>
  <si>
    <t>Vero basket small</t>
  </si>
  <si>
    <t>ø55 x h66</t>
  </si>
  <si>
    <t>Experience unparalleled sophistication with the Vero basket small from our FIRE PITS range. It's where design meets functionality.</t>
  </si>
  <si>
    <t>1FBLW120055-RR</t>
  </si>
  <si>
    <t>Fire basket Loris wide</t>
  </si>
  <si>
    <t>FPVE-IRO-RUS-d12055-OUT</t>
  </si>
  <si>
    <t>Vero basket wide</t>
  </si>
  <si>
    <t>ø120 x h55</t>
  </si>
  <si>
    <t>Discover the unique charm of Vero basket wide in our FIRE PITS collection. It's not just a product; it's a lifestyle.</t>
  </si>
  <si>
    <t>1FBLT095130-RR</t>
  </si>
  <si>
    <t>Fire basket Loris torch</t>
  </si>
  <si>
    <t>FPVE-IRO-RUS-d95130-OUT</t>
  </si>
  <si>
    <t>Vero basket torch</t>
  </si>
  <si>
    <t>ø95 x H130</t>
  </si>
  <si>
    <t>The Vero basket torch in our FIRE PITS collection is a masterpiece of craftsmanship, offering both durability and aesthetic appeal.</t>
  </si>
  <si>
    <t>BATHROOM LINEN</t>
  </si>
  <si>
    <t>LIHT042070-NOBL</t>
  </si>
  <si>
    <t>Hama Noga black hand towel</t>
  </si>
  <si>
    <t>Textiles &gt; Bathroom Linen</t>
  </si>
  <si>
    <t>BLMA-LIN-BLA-42370-IND</t>
  </si>
  <si>
    <t>Macarena black hand towel</t>
  </si>
  <si>
    <t>w42 x d3 x h70</t>
  </si>
  <si>
    <t>LINEN INDOOR SET OF 2</t>
  </si>
  <si>
    <t>Redefine elegance with the Macarena black hand towel, a pinnacle of our BATHROOM LINEN series. Its design is both innovative and timeless.</t>
  </si>
  <si>
    <t>Bathroom Linen</t>
  </si>
  <si>
    <t>09</t>
  </si>
  <si>
    <t>LIHT050070-TZSI</t>
  </si>
  <si>
    <t>Tzedek silver hand towel</t>
  </si>
  <si>
    <t>BLFE-LIN-SIL-42370-IND</t>
  </si>
  <si>
    <t>Feliani silver hand towel</t>
  </si>
  <si>
    <t>The Feliani silver hand towel in our BATHROOM LINEN collection is a masterpiece of craftsmanship, offering both durability and aesthetic appeal.</t>
  </si>
  <si>
    <t>LIHT045070-MABI</t>
  </si>
  <si>
    <t>Madim birch hand towel</t>
  </si>
  <si>
    <t>BLRE-LIN-BIR-42370-IND</t>
  </si>
  <si>
    <t>Reno birch hand towel</t>
  </si>
  <si>
    <t>Redefine elegance with the Reno birch hand towel, a pinnacle of our BATHROOM LINEN series. Its design is both innovative and timeless.</t>
  </si>
  <si>
    <t>LIBT100140-NOBL</t>
  </si>
  <si>
    <t xml:space="preserve">Hama Noga black bath towel
</t>
  </si>
  <si>
    <t>BLMA-LIN-BLA-1003140-IND</t>
  </si>
  <si>
    <t>Macarena black bath towel</t>
  </si>
  <si>
    <t>w100 x d3 x h140</t>
  </si>
  <si>
    <t>LINEN INDOOR</t>
  </si>
  <si>
    <t>Macarena black bath towel is a showcase of excellence in BATHROOM LINEN. It combines style, functionality, and unmatched quality.</t>
  </si>
  <si>
    <t>LIBT100160-TZSI</t>
  </si>
  <si>
    <t xml:space="preserve">Tzedek silver bath towel
</t>
  </si>
  <si>
    <t>BLFE-LIN-SIL-1003140-IND</t>
  </si>
  <si>
    <t>Feliani silver bath towel</t>
  </si>
  <si>
    <t xml:space="preserve">w100 x d3 x h140
</t>
  </si>
  <si>
    <t>The Feliani silver bath towel in our BATHROOM LINEN collection is a masterpiece of craftsmanship, offering both durability and aesthetic appeal.</t>
  </si>
  <si>
    <t>LIBT100160-MABI</t>
  </si>
  <si>
    <t>Madim birch bath towel</t>
  </si>
  <si>
    <t>BLRE-LIN-BIR-1003140-IND</t>
  </si>
  <si>
    <t>Reno birch bath towel</t>
  </si>
  <si>
    <t>Redefine elegance with the Reno birch bath towel, a pinnacle of our BATHROOM LINEN series. Its design is both innovative and timeless.</t>
  </si>
  <si>
    <t>TABLE LINEN</t>
  </si>
  <si>
    <t>LIPL035050-HANB</t>
  </si>
  <si>
    <t>Hama black placemat</t>
  </si>
  <si>
    <t>Textiles &gt; Table Linen</t>
  </si>
  <si>
    <t>TLNA-LIN-BLA-35350-IND</t>
  </si>
  <si>
    <t>Nakama black placemat</t>
  </si>
  <si>
    <t>w35 x d3 x h50</t>
  </si>
  <si>
    <t>Discover the unique charm of Nakama black placemat in our TABLE LINEN collection. It's not just a product; it's a lifestyle.</t>
  </si>
  <si>
    <t>Table Linen</t>
  </si>
  <si>
    <t>LIPL035050-HAGR</t>
  </si>
  <si>
    <t>Hama grey placemat</t>
  </si>
  <si>
    <t>TLNA-LIN-GRE-35350-IND</t>
  </si>
  <si>
    <t>Nakama grey placemat</t>
  </si>
  <si>
    <t>The Nakama grey placemat in our TABLE LINEN collection is a masterpiece of craftsmanship, offering both durability and aesthetic appeal.</t>
  </si>
  <si>
    <t>LIPL035050-HAOW</t>
  </si>
  <si>
    <t>Hama off white placemat</t>
  </si>
  <si>
    <t>TLNA-LIN-WHI-35350-IND</t>
  </si>
  <si>
    <t>Nakama off white placemat</t>
  </si>
  <si>
    <t>The Nakama off white placemat in our TABLE LINEN collection is a masterpiece of craftsmanship, offering both durability and aesthetic appeal.</t>
  </si>
  <si>
    <t>LITC140250-ERFRNA</t>
  </si>
  <si>
    <t>Eretz fringe natural tablecloth</t>
  </si>
  <si>
    <t>TLGA-LIN-NAT-1403250-IND</t>
  </si>
  <si>
    <t>Gamo fringe natural tablecloth</t>
  </si>
  <si>
    <t>w140 x d3 x h250_x000D_</t>
  </si>
  <si>
    <t>Redefine elegance with the Gamo fringe natural tablecloth, a pinnacle of our TABLE LINEN series. Its design is both innovative and timeless.</t>
  </si>
  <si>
    <t>LITC135250-NOBL</t>
  </si>
  <si>
    <t>Noga black tablecloth</t>
  </si>
  <si>
    <t>TLHI-LIN-BLA-1403250-IND</t>
  </si>
  <si>
    <t>Hiro black tablecloth</t>
  </si>
  <si>
    <t>w140 x d3 x h250</t>
  </si>
  <si>
    <t>Experience unparalleled sophistication with the Hiro black tablecloth from our TABLE LINEN range. It's where design meets functionality.</t>
  </si>
  <si>
    <t>LITC135250- HAOF</t>
  </si>
  <si>
    <t>Hama off white tablecloth</t>
  </si>
  <si>
    <t>TLNA-LIN-WHI-1403250-IND</t>
  </si>
  <si>
    <t>Nakama off white tablecloth</t>
  </si>
  <si>
    <t>The Nakama off tablecloth in our TABLE LINEN collection is a masterpiece of craftsmanship, offering both durability and aesthetic appeal.</t>
  </si>
  <si>
    <t>LINA042042-ERFRNA</t>
  </si>
  <si>
    <t>Eretz fringe natural napkin</t>
  </si>
  <si>
    <t>TLGA-LIN-NAT-42342-IND</t>
  </si>
  <si>
    <t>Gamo fringe natural napkin</t>
  </si>
  <si>
    <t>w42 x d3 x h42</t>
  </si>
  <si>
    <t>Discover the unique charm of Gamo fringe natural napkin in our TABLE LINEN collection. It's not just a product; it's a lifestyle.</t>
  </si>
  <si>
    <t>LINA042042-ERBL</t>
  </si>
  <si>
    <t>Eretz black napkin</t>
  </si>
  <si>
    <t>TLGA-LIN-BLA-42342-IND</t>
  </si>
  <si>
    <t>Gamo black napkin</t>
  </si>
  <si>
    <t>Gamo black napkin is a showcase of excellence in TABLE LINEN. It combines style, functionality, and unmatched quality.</t>
  </si>
  <si>
    <t>LINA042042-HAOF</t>
  </si>
  <si>
    <t>Hama off white napkin</t>
  </si>
  <si>
    <t>TLNA-LIN-WHI-42342-IND</t>
  </si>
  <si>
    <t>Nakama off white napkin</t>
  </si>
  <si>
    <t>Experience unparalleled sophistication with the Nakama off white napkin from our TABLE LINEN range. It's where design meets functionality.</t>
  </si>
  <si>
    <t>LINA042042-HANA</t>
  </si>
  <si>
    <t>Hama natural napkin_x000D_</t>
  </si>
  <si>
    <t>TLNA-LIN-NAT-42342-IND</t>
  </si>
  <si>
    <t>Nakama natural napkin</t>
  </si>
  <si>
    <t>Nakama natural napkin is a showcase of excellence in TABLE LINEN. It combines style, functionality, and unmatched quality.</t>
  </si>
  <si>
    <t>LINA042042-NOBL</t>
  </si>
  <si>
    <t>Noga black napkin_x000D_</t>
  </si>
  <si>
    <t>TLHI-LIN-BLA-42342-IND</t>
  </si>
  <si>
    <t>Hiro black napkin</t>
  </si>
  <si>
    <t xml:space="preserve"> w42 x d3 x h42</t>
  </si>
  <si>
    <t>Experience unparalleled sophistication with the Hiro black napkin from our TABLE LINEN range. It's where design meets functionality.</t>
  </si>
  <si>
    <t>LITT047070-HANA</t>
  </si>
  <si>
    <t>Hama natural tea towel_x000D_</t>
  </si>
  <si>
    <t>TLNA-LIN-TEA-47370-IND</t>
  </si>
  <si>
    <t>Nakama natural tea towel</t>
  </si>
  <si>
    <t>w47 x d3 x h70</t>
  </si>
  <si>
    <t>Discover the unique charm of Nakama natural tea towel in our TABLE LINEN collection. It's not just a product; it's a lifestyle.</t>
  </si>
  <si>
    <t>LITT047070-SHBL</t>
  </si>
  <si>
    <t>Shabtay black tea towel</t>
  </si>
  <si>
    <t>TLOM-LIN-TEA-47370-IND</t>
  </si>
  <si>
    <t>Omura black tea towel</t>
  </si>
  <si>
    <t>Redefine elegance with the Omura black tea towel, a pinnacle of our TABLE LINEN series. Its design is both innovative and timeless.</t>
  </si>
  <si>
    <t>PLAIDS &amp; PILLOWS</t>
  </si>
  <si>
    <t>PLAID140100-MOFR</t>
  </si>
  <si>
    <t xml:space="preserve">Plaid Moonga fringe </t>
  </si>
  <si>
    <t>Textiles &gt; Plaids &amp; Pillows</t>
  </si>
  <si>
    <t>PPPL-LIN-FRI-1403100-IND</t>
  </si>
  <si>
    <t>w140 x d3 x h100</t>
  </si>
  <si>
    <t>linen indoor</t>
  </si>
  <si>
    <t>Redefine elegance with the Plaid Moonga fringe , a pinnacle of our PLAIDS &amp; PILLOWS series. Its design is both innovative and timeless.</t>
  </si>
  <si>
    <t>Plaids &amp; Pillows</t>
  </si>
  <si>
    <t>PLAID140100-INSTFR</t>
  </si>
  <si>
    <t>Plaid Indicolite striped fringe</t>
  </si>
  <si>
    <t>PPPL-LIN-STR-1403100-IND</t>
  </si>
  <si>
    <t>Discover the unique charm of Plaid Indicolite striped fringe in our PLAIDS &amp; PILLOWS collection. It's not just a product; it's a lifestyle.</t>
  </si>
  <si>
    <t>PLAID140100-OBFR</t>
  </si>
  <si>
    <t xml:space="preserve">Plaid Obsidian fringe </t>
  </si>
  <si>
    <t>Plaid Obsidian fringe  is a showcase of excellence in PLAIDS &amp; PILLOWS. It combines style, functionality, and unmatched quality.</t>
  </si>
  <si>
    <t>Woven pillow</t>
  </si>
  <si>
    <t>PPRU-SEA-NAT-501050-IND</t>
  </si>
  <si>
    <t>Rumbana pillow</t>
  </si>
  <si>
    <t>w50 x d10 x h50</t>
  </si>
  <si>
    <t>seagrass indoor</t>
  </si>
  <si>
    <t>Redefine elegance with the Rumbana pillow, a pinnacle of our PLAIDS &amp; PILLOWS series. Its design is both innovative and timeless.</t>
  </si>
  <si>
    <t>DPS4040-P336</t>
  </si>
  <si>
    <t>Deco pillow soufflé</t>
  </si>
  <si>
    <t>PPWI-FAB-NAT-401040-IND</t>
  </si>
  <si>
    <t xml:space="preserve"> w40 x d10 x h40</t>
  </si>
  <si>
    <t>Redefine elegance with the Wiro pillow, a pinnacle of our PLAIDS &amp; PILLOWS series. Its design is both innovative and timeless.</t>
  </si>
  <si>
    <t>DPS4545-P336</t>
  </si>
  <si>
    <t>PPWI-FAB-NAT-451045-IND</t>
  </si>
  <si>
    <t>w45 x d10 x h45</t>
  </si>
  <si>
    <t>Discover the unique charm of Wiro pillow souffle in our PLAIDS &amp; PILLOWS collection. It's not just a product; it's a lifestyle.</t>
  </si>
  <si>
    <t>DPS5050</t>
  </si>
  <si>
    <t>PPWI-FAB-NAT-501050-IND</t>
  </si>
  <si>
    <t>Redefine elegance with the Wiro pillow souffle, a pinnacle of our PLAIDS &amp; PILLOWS series. Its design is both innovative and timeless.</t>
  </si>
  <si>
    <t>DPS6060</t>
  </si>
  <si>
    <t>PPWI-FAB-NAT-601060-IND</t>
  </si>
  <si>
    <t>w60 x d10 x h60</t>
  </si>
  <si>
    <t>Experience unparalleled sophistication with the Wiro pillow souffle from our PLAIDS &amp; PILLOWS range. It's where design meets functionality.</t>
  </si>
  <si>
    <t>DPZ4040-P336</t>
  </si>
  <si>
    <t>Deco pillow</t>
  </si>
  <si>
    <t>Wiro pillow is a showcase of excellence in PLAIDS &amp; PILLOWS. It combines style, functionality, and unmatched quality.</t>
  </si>
  <si>
    <t>DPZ5050-P336</t>
  </si>
  <si>
    <t xml:space="preserve"> w50 x d10 x h50</t>
  </si>
  <si>
    <t>Discover the unique charm of Wiro pillow in our PLAIDS &amp; PILLOWS collection. It's not just a product; it's a lifestyle.</t>
  </si>
  <si>
    <t>DPZ6060-P336</t>
  </si>
  <si>
    <t>The Wiro pillow in our PLAIDS &amp; PILLOWS collection is a masterpiece of craftsmanship, offering both durability and aesthetic appeal.</t>
  </si>
  <si>
    <t>DPZ7035-P336</t>
  </si>
  <si>
    <t>PPWI-FAB-NAT-701035-IND</t>
  </si>
  <si>
    <t>w70 x d10 x h35</t>
  </si>
  <si>
    <t>GLASSES, CUPS, &amp; MUGS</t>
  </si>
  <si>
    <t>677-CL</t>
  </si>
  <si>
    <t>Pinok</t>
  </si>
  <si>
    <t>Kitchen &amp; Dining &gt; Glasses, Cups &amp; Mugs</t>
  </si>
  <si>
    <t>GCSH-GLA-CLE-d1212 100-IND</t>
  </si>
  <si>
    <t>Shelena</t>
  </si>
  <si>
    <t>semi - ø12 x h12 - vol. 200 ml</t>
  </si>
  <si>
    <t>clear glass # 6</t>
  </si>
  <si>
    <t>Shelena is a showcase of excellence in GLASSES, CUPS &amp; MUGS. It combines style, functionality, and unmatched quality.</t>
  </si>
  <si>
    <t>678-CL</t>
  </si>
  <si>
    <t>Martini</t>
  </si>
  <si>
    <t>GCJE-GLA-CLE-d1115 100-IND</t>
  </si>
  <si>
    <t>Jenny</t>
  </si>
  <si>
    <t>semi - ø11 x h15 - vol. 100 ml</t>
  </si>
  <si>
    <t>The Jenny in our GLASSES, CUPS &amp; MUGS collection is a masterpiece of craftsmanship, offering both durability and aesthetic appeal.</t>
  </si>
  <si>
    <t>679-CL</t>
  </si>
  <si>
    <t>Margarita</t>
  </si>
  <si>
    <t>GCGL-GLA-CLE-d1215 100-IND</t>
  </si>
  <si>
    <t>Glammy</t>
  </si>
  <si>
    <t>semi - ø12 x h15 - vol. 200 ml</t>
  </si>
  <si>
    <t>Glammy is a showcase of excellence in GLASSES, CUPS &amp; MUGS. It combines style, functionality, and unmatched quality.</t>
  </si>
  <si>
    <t>680-CL</t>
  </si>
  <si>
    <t>Limoncello</t>
  </si>
  <si>
    <t>GCGR-GLA-CLE-d618 100-IND</t>
  </si>
  <si>
    <t>Gracieni</t>
  </si>
  <si>
    <t>semi - ø6 x h18 - vol. 50 ml</t>
  </si>
  <si>
    <t>Discover the unique charm of Gracieni in our GLASSES, CUPS &amp; MUGS collection. It's not just a product; it's a lifestyle.</t>
  </si>
  <si>
    <t>681-CL</t>
  </si>
  <si>
    <t>Renato</t>
  </si>
  <si>
    <t>GCMO-GLA-CLE-d1221 120-IND</t>
  </si>
  <si>
    <t>semi - ø12 x h21 - vol. 500 ml</t>
  </si>
  <si>
    <t>Redefine elegance with the Monata, a pinnacle of our GLASSES, CUPS &amp; MUGS series. Its design is both innovative and timeless.</t>
  </si>
  <si>
    <t>728-CL</t>
  </si>
  <si>
    <t>GCMO-GLA-CLE-d1230 120-IND</t>
  </si>
  <si>
    <t>ø12 x h30 - vol. 550 ml</t>
  </si>
  <si>
    <t>Discover the unique charm of Monata in our GLASSES, CUPS &amp; MUGS collection. It's not just a product; it's a lifestyle.</t>
  </si>
  <si>
    <t>788-CL</t>
  </si>
  <si>
    <t>Marma</t>
  </si>
  <si>
    <t>GCGR-GLA-CLE-d69 -7-IND</t>
  </si>
  <si>
    <t>semi - ø6 x h9 - vol. 100 ml</t>
  </si>
  <si>
    <t>Discover the unique charm of Gresconi in our GLASSES, CUPS &amp; MUGS collection. It's not just a product; it's a lifestyle.</t>
  </si>
  <si>
    <t>730-CL</t>
  </si>
  <si>
    <t>GCGR-GLA-CLE-d710 -IND</t>
  </si>
  <si>
    <t>ø7 x h10 - vol. 200 ml</t>
  </si>
  <si>
    <t>Gresconi is a showcase of excellence in GLASSES, CUPS &amp; MUGS. It combines style, functionality, and unmatched quality.</t>
  </si>
  <si>
    <t>729-CL</t>
  </si>
  <si>
    <t>GCGR-GLA-CLE-d712 20-IND</t>
  </si>
  <si>
    <t>ø7 x h12 - vol. 300 ml</t>
  </si>
  <si>
    <t>731-CL</t>
  </si>
  <si>
    <t>GCGR-GLA-CLE-d616 60-IND</t>
  </si>
  <si>
    <t>ø6 x h16 - vol. 300 ml</t>
  </si>
  <si>
    <t>Experience unparalleled sophistication with the Gresconi from our GLASSES, CUPS &amp; MUGS range. It's where design meets functionality.</t>
  </si>
  <si>
    <t>795-CL</t>
  </si>
  <si>
    <t>GCGR-GLA-CLE-d1127 157-IND</t>
  </si>
  <si>
    <t>ø11 x h27 - vol. 1.300 ml</t>
  </si>
  <si>
    <t>Redefine elegance with the Gresconi, a pinnacle of our GLASSES, CUPS &amp; MUGS series. Its design is both innovative and timeless.</t>
  </si>
  <si>
    <t xml:space="preserve">795-CR </t>
  </si>
  <si>
    <t>Champagne coupe</t>
  </si>
  <si>
    <t>GCAX-GLA-CLE-d915 157-IND</t>
  </si>
  <si>
    <t>semi - ø9 x h15 - vol. 150 ml</t>
  </si>
  <si>
    <t>Redefine elegance with the Axello champagne coupe, a pinnacle of our GLASSES, CUPS &amp; MUGS series. Its design is both innovative and timeless.</t>
  </si>
  <si>
    <t xml:space="preserve">795-SN </t>
  </si>
  <si>
    <t>GCAX-GLA-CLE-d915 -IND</t>
  </si>
  <si>
    <t>clear glass cracked
# 6</t>
  </si>
  <si>
    <t>Discover the unique charm of Axello champagne coupe in our GLASSES, CUPS &amp; MUGS collection. It's not just a product; it's a lifestyle.</t>
  </si>
  <si>
    <t>796-CL</t>
  </si>
  <si>
    <t>GCAX-GLA-CLE-d915 23-IND</t>
  </si>
  <si>
    <t>clear glass snow
# 6</t>
  </si>
  <si>
    <t>796-CR</t>
  </si>
  <si>
    <t>Wine glass low</t>
  </si>
  <si>
    <t>GCPI-GLA-CLE-d9,520 23-IND</t>
  </si>
  <si>
    <t>semi - ø9,5 x h20 - vol. 350 ml</t>
  </si>
  <si>
    <t>The Pinot glass low in our GLASSES, CUPS &amp; MUGS collection is a masterpiece of craftsmanship, offering both durability and aesthetic appeal.</t>
  </si>
  <si>
    <t>796-SN</t>
  </si>
  <si>
    <t>GCPI-GLA-CLE-d9,520 176-IND</t>
  </si>
  <si>
    <t>clear glass cracked # 6</t>
  </si>
  <si>
    <t>Experience unparalleled sophistication with the Pinot glass low from our GLASSES, CUPS &amp; MUGS range. It's where design meets functionality.</t>
  </si>
  <si>
    <t>797-CL</t>
  </si>
  <si>
    <t>GCPI-GLA-CLE-d9,520 -IND</t>
  </si>
  <si>
    <t>797-CR</t>
  </si>
  <si>
    <t>Wine glass high</t>
  </si>
  <si>
    <t>GCPI-GLA-CLE-d1025 195-IND</t>
  </si>
  <si>
    <t>semi - ø10 x h25 - vol. 500 ml</t>
  </si>
  <si>
    <t>Pinot glass high is a showcase of excellence in GLASSES, CUPS &amp; MUGS. It combines style, functionality, and unmatched quality.</t>
  </si>
  <si>
    <t>797-SN</t>
  </si>
  <si>
    <t>GCPI-GLA-CLE-d1025 15-IND</t>
  </si>
  <si>
    <t>Redefine elegance with the Pinot glass high, a pinnacle of our GLASSES, CUPS &amp; MUGS series. Its design is both innovative and timeless.</t>
  </si>
  <si>
    <t>332M-CL</t>
  </si>
  <si>
    <t>GCPI-GLA-CLE-d1025 20-IND</t>
  </si>
  <si>
    <t>The Pinot glass high in our GLASSES, CUPS &amp; MUGS collection is a masterpiece of craftsmanship, offering both durability and aesthetic appeal.</t>
  </si>
  <si>
    <t>332L-CL</t>
  </si>
  <si>
    <t>Champagne</t>
  </si>
  <si>
    <t>GCNO-GLA-CLE-d725-15-IND</t>
  </si>
  <si>
    <t>semi - ø7 x h25- vol. 100 ml</t>
  </si>
  <si>
    <t>Discover the unique charm of Noel in our GLASSES, CUPS &amp; MUGS collection. It's not just a product; it's a lifestyle.</t>
  </si>
  <si>
    <t>672-CL</t>
  </si>
  <si>
    <t>GCNO-GLA-CLE-d830 15-IND</t>
  </si>
  <si>
    <t>ø8 x h30 - vol. 200 ml</t>
  </si>
  <si>
    <t>Redefine elegance with the Noel, a pinnacle of our GLASSES, CUPS &amp; MUGS series. Its design is both innovative and timeless.</t>
  </si>
  <si>
    <t>673-CL</t>
  </si>
  <si>
    <t>Milva</t>
  </si>
  <si>
    <t>GCME-GLA-CLE- d110 8-IND</t>
  </si>
  <si>
    <t>semi - ø12 x h10 - vol. 600 ml</t>
  </si>
  <si>
    <t>Redefine elegance with the Melvin, a pinnacle of our GLASSES, CUPS &amp; MUGS series. Its design is both innovative and timeless.</t>
  </si>
  <si>
    <t>675-CL</t>
  </si>
  <si>
    <t>GCME-GLA-CLE-d1214 180-IND</t>
  </si>
  <si>
    <t>ø12 x h14 - vol. 550 ml (on foot)</t>
  </si>
  <si>
    <t>Discover the unique charm of Melvin in our GLASSES, CUPS &amp; MUGS collection. It's not just a product; it's a lifestyle.</t>
  </si>
  <si>
    <t>676-CL</t>
  </si>
  <si>
    <t>Brandy</t>
  </si>
  <si>
    <t>GCBA-GLA-CLE- d115 -IND</t>
  </si>
  <si>
    <t>semi - ø12 x h15 - vol. 700 ml</t>
  </si>
  <si>
    <t>Discover the unique charm of Barbera in our GLASSES, CUPS &amp; MUGS collection. It's not just a product; it's a lifestyle.</t>
  </si>
  <si>
    <t>902-CL</t>
  </si>
  <si>
    <t>GCBA-GLA-CLE-d1417 -IND</t>
  </si>
  <si>
    <t>ø14 x h17 - vol. 1.000 ml</t>
  </si>
  <si>
    <t>The Barbera in our GLASSES, CUPS &amp; MUGS collection is a masterpiece of craftsmanship, offering both durability and aesthetic appeal.</t>
  </si>
  <si>
    <t>843-CL</t>
  </si>
  <si>
    <t>Helena shot clear</t>
  </si>
  <si>
    <t>GCYE-GLA-CLE-d55 --IND</t>
  </si>
  <si>
    <t>ø5 x h5 - vol. 20 ml</t>
  </si>
  <si>
    <t>The Yelena shot clear in our GLASSES, CUPS &amp; MUGS collection is a masterpiece of craftsmanship, offering both durability and aesthetic appeal.</t>
  </si>
  <si>
    <t>902-CLMT</t>
  </si>
  <si>
    <t>GCYE-GLA-CLE-d67 --IND</t>
  </si>
  <si>
    <t xml:space="preserve"> ø6 x h7 - vol. 70 ml - # 6</t>
  </si>
  <si>
    <t>Discover the unique charm of Yelena shot clear in our GLASSES, CUPS &amp; MUGS collection. It's not just a product; it's a lifestyle.</t>
  </si>
  <si>
    <t>843-CLMT</t>
  </si>
  <si>
    <t>Helena shot clear matte</t>
  </si>
  <si>
    <t>Redefine elegance with the Yelena shot clear matte, a pinnacle of our GLASSES, CUPS &amp; MUGS series. Its design is both innovative and timeless.</t>
  </si>
  <si>
    <t>902-SNCL</t>
  </si>
  <si>
    <t xml:space="preserve"> ø6 x h7 - vol. 70 ml</t>
  </si>
  <si>
    <t>The Yelena shot clear matte in our GLASSES, CUPS &amp; MUGS collection is a masterpiece of craftsmanship, offering both durability and aesthetic appeal.</t>
  </si>
  <si>
    <t>843-SNCL</t>
  </si>
  <si>
    <t>Helena shot clear snow</t>
  </si>
  <si>
    <t xml:space="preserve">ø5 x h5 - vol. 20 </t>
  </si>
  <si>
    <t>Discover the unique charm of Yelena shot clear snow in our GLASSES, CUPS &amp; MUGS collection. It's not just a product; it's a lifestyle.</t>
  </si>
  <si>
    <t>902-CR</t>
  </si>
  <si>
    <t>ø6 x h7 - vol. 70 ml</t>
  </si>
  <si>
    <t>843-CR</t>
  </si>
  <si>
    <t>Helena shot crackle</t>
  </si>
  <si>
    <t>ø5 x h5 - vol. 20 m</t>
  </si>
  <si>
    <t>clear crackle glass #6</t>
  </si>
  <si>
    <t>The Yelena shot crackle in our GLASSES, CUPS &amp; MUGS collection is a masterpiece of craftsmanship, offering both durability and aesthetic appeal.</t>
  </si>
  <si>
    <t>37</t>
  </si>
  <si>
    <t>761-CL</t>
  </si>
  <si>
    <t>Discover the unique charm of Yelena shot crackle in our GLASSES, CUPS &amp; MUGS collection. It's not just a product; it's a lifestyle.</t>
  </si>
  <si>
    <t>762-CL</t>
  </si>
  <si>
    <t>Helena cup clear</t>
  </si>
  <si>
    <t>GCYE-GLA-CLE-d88 --IND</t>
  </si>
  <si>
    <t xml:space="preserve"> ø8 x h8 - vol. 200 ml</t>
  </si>
  <si>
    <t>Yelena cup clear is a showcase of excellence in GLASSES, CUPS &amp; MUGS. It combines style, functionality, and unmatched quality.</t>
  </si>
  <si>
    <t>763-CL</t>
  </si>
  <si>
    <t>GCYE-GLA-CLE-d812 -IND</t>
  </si>
  <si>
    <t xml:space="preserve"> ø8 x h12 - vol. 400 ml</t>
  </si>
  <si>
    <t>Discover the unique charm of Yelena cup clear in our GLASSES, CUPS &amp; MUGS collection. It's not just a product; it's a lifestyle.</t>
  </si>
  <si>
    <t>761-SNCL</t>
  </si>
  <si>
    <t>GCYE-GLA-CLE-d816 -IND</t>
  </si>
  <si>
    <t>ø8 x h16 - vol. 600 ml</t>
  </si>
  <si>
    <t>762-SNCL</t>
  </si>
  <si>
    <t>Helena cup clear snow</t>
  </si>
  <si>
    <t>ø8 x h8 - vol. 200 ml</t>
  </si>
  <si>
    <t>clear snow glass # 6</t>
  </si>
  <si>
    <t>Yelena cup clear snow is a showcase of excellence in GLASSES, CUPS &amp; MUGS. It combines style, functionality, and unmatched quality.</t>
  </si>
  <si>
    <t>763-SNCL</t>
  </si>
  <si>
    <t>ø8 x h12 - vol. 400 ml</t>
  </si>
  <si>
    <t>Experience unparalleled sophistication with the Yelena cup clear snow from our GLASSES, CUPS &amp; MUGS range. It's where design meets functionality.</t>
  </si>
  <si>
    <t>761-CR</t>
  </si>
  <si>
    <t>The Yelena cup clear snow in our GLASSES, CUPS &amp; MUGS collection is a masterpiece of craftsmanship, offering both durability and aesthetic appeal.</t>
  </si>
  <si>
    <t>762-CR</t>
  </si>
  <si>
    <t>Helena cup crackle</t>
  </si>
  <si>
    <t>clear crackle glass # 6</t>
  </si>
  <si>
    <t>Redefine elegance with the Yelena cup crackle, a pinnacle of our GLASSES, CUPS &amp; MUGS series. Its design is both innovative and timeless.</t>
  </si>
  <si>
    <t>763-CR</t>
  </si>
  <si>
    <t>575-CL</t>
  </si>
  <si>
    <t xml:space="preserve"> ø8 x h16 - vol. 600 ml</t>
  </si>
  <si>
    <t>The Yelena cup crackle in our GLASSES, CUPS &amp; MUGS collection is a masterpiece of craftsmanship, offering both durability and aesthetic appeal.</t>
  </si>
  <si>
    <t>576-CL</t>
  </si>
  <si>
    <t>Whiskey cracked</t>
  </si>
  <si>
    <t>GCLO-GLA-CLE- d78 --IND</t>
  </si>
  <si>
    <t>semi - ø7 x h8 - vol. 100 ml</t>
  </si>
  <si>
    <t>Experience unparalleled sophistication with the Looney cracked from our GLASSES, CUPS &amp; MUGS range. It's where design meets functionality.</t>
  </si>
  <si>
    <t>577-CL</t>
  </si>
  <si>
    <t>GCLO-GLA-CLE-d89 --IND</t>
  </si>
  <si>
    <t>ø8 x h9 - vol. 200 ml</t>
  </si>
  <si>
    <t>Discover the unique charm of Looney cracked in our GLASSES, CUPS &amp; MUGS collection. It's not just a product; it's a lifestyle.</t>
  </si>
  <si>
    <t>933-CL</t>
  </si>
  <si>
    <t>GCLO-GLA-CLE-d98 --IND</t>
  </si>
  <si>
    <t>ø9 x h8 - vol. 250 ml</t>
  </si>
  <si>
    <t>The Looney cracked in our GLASSES, CUPS &amp; MUGS collection is a masterpiece of craftsmanship, offering both durability and aesthetic appeal.</t>
  </si>
  <si>
    <t>934-CL</t>
  </si>
  <si>
    <t>Zion cup on foot</t>
  </si>
  <si>
    <t>GCHE-GLA-CLE- d811 -IND</t>
  </si>
  <si>
    <t>semi - ø8.5 x h11 - vol. 50 ml</t>
  </si>
  <si>
    <t>Hena cup on foot is a showcase of excellence in GLASSES, CUPS &amp; MUGS. It combines style, functionality, and unmatched quality.</t>
  </si>
  <si>
    <t>935-CL</t>
  </si>
  <si>
    <t>GCHE-GLA-CLE-d8.515 -IND</t>
  </si>
  <si>
    <t>ø8.5 x h15 - vol. 75 ml</t>
  </si>
  <si>
    <t>936-CL</t>
  </si>
  <si>
    <t>GCHE-GLA-CLE-d717 -IND</t>
  </si>
  <si>
    <t>ø7 x h17 - vol. 75 ml</t>
  </si>
  <si>
    <t>The Hena cup on foot in our GLASSES, CUPS &amp; MUGS collection is a masterpiece of craftsmanship, offering both durability and aesthetic appeal.</t>
  </si>
  <si>
    <t>816-CL</t>
  </si>
  <si>
    <t>GCHE-GLA-CLE-d719 -IND</t>
  </si>
  <si>
    <t>ø7 x h19 - vol. 100 ml</t>
  </si>
  <si>
    <t>937-CL</t>
  </si>
  <si>
    <t>Benedictus</t>
  </si>
  <si>
    <t>GCPA-GLA-CLE- d115 -IND</t>
  </si>
  <si>
    <t>Pablo</t>
  </si>
  <si>
    <t>semi - ø10 x h15 - vol. 330 ml</t>
  </si>
  <si>
    <t>clear glass</t>
  </si>
  <si>
    <t>The Pablo in our GLASSES, CUPS &amp; MUGS collection is a masterpiece of craftsmanship, offering both durability and aesthetic appeal.</t>
  </si>
  <si>
    <t>938-CL</t>
  </si>
  <si>
    <t>Tess</t>
  </si>
  <si>
    <t>GCNE-GLA-CLE- d66 --IND</t>
  </si>
  <si>
    <t>semi - ø6 x h6 - vol. 50 ml</t>
  </si>
  <si>
    <t>clear glass - stackable # 6</t>
  </si>
  <si>
    <t>Redefine elegance with the Ness, a pinnacle of our GLASSES, CUPS &amp; MUGS series. Its design is both innovative and timeless.</t>
  </si>
  <si>
    <t>939-CL</t>
  </si>
  <si>
    <t>GCNE-GLA-CLE-d68 --IND</t>
  </si>
  <si>
    <t>ø6 x h8 - vol. 100 ml</t>
  </si>
  <si>
    <t>Ness is a showcase of excellence in GLASSES, CUPS &amp; MUGS. It combines style, functionality, and unmatched quality.</t>
  </si>
  <si>
    <t>940-CL</t>
  </si>
  <si>
    <t>GCNE-GLA-CLE-d610 -IND</t>
  </si>
  <si>
    <t>ø6 x h10 - vol. 100 ml</t>
  </si>
  <si>
    <t>The Ness in our GLASSES, CUPS &amp; MUGS collection is a masterpiece of craftsmanship, offering both durability and aesthetic appeal.</t>
  </si>
  <si>
    <t>941-CL</t>
  </si>
  <si>
    <t>GCNE-GLA-CLE-d611 -IND</t>
  </si>
  <si>
    <t>ø6 x h11 - vol. 250 ml</t>
  </si>
  <si>
    <t>942-CL</t>
  </si>
  <si>
    <t>GCNE-GLA-CLE-d614 -IND</t>
  </si>
  <si>
    <t>ø6 x h14 - vol. 500 ml</t>
  </si>
  <si>
    <t>Discover the unique charm of Ness in our GLASSES, CUPS &amp; MUGS collection. It's not just a product; it's a lifestyle.</t>
  </si>
  <si>
    <t>943-CL</t>
  </si>
  <si>
    <t>Ben</t>
  </si>
  <si>
    <t>GCSA-GLA-CLE- d55 --IND</t>
  </si>
  <si>
    <t>semi - ø5 x h5 - vol. 50 ml</t>
  </si>
  <si>
    <t>The Sam in our GLASSES, CUPS &amp; MUGS collection is a masterpiece of craftsmanship, offering both durability and aesthetic appeal.</t>
  </si>
  <si>
    <t>944-CL</t>
  </si>
  <si>
    <t>GCSA-GLA-CLE-d88 --IND</t>
  </si>
  <si>
    <t>ø8 x h8 - vol. 100 ml</t>
  </si>
  <si>
    <t>Experience unparalleled sophistication with the Sam from our GLASSES, CUPS &amp; MUGS range. It's where design meets functionality.</t>
  </si>
  <si>
    <t>945-CL</t>
  </si>
  <si>
    <t>GCSA-GLA-CLE-d511 -IND</t>
  </si>
  <si>
    <t>ø5 x h11 - vol. 100 ml</t>
  </si>
  <si>
    <t>Discover the unique charm of Sam in our GLASSES, CUPS &amp; MUGS collection. It's not just a product; it's a lifestyle.</t>
  </si>
  <si>
    <t>946-CL</t>
  </si>
  <si>
    <t>GCSA-GLA-CLE-d911 -IND</t>
  </si>
  <si>
    <t>ø9 x h11 - vol. 250 ml</t>
  </si>
  <si>
    <t>910-CL</t>
  </si>
  <si>
    <t>GCSA-GLA-CLE-d913 -IND</t>
  </si>
  <si>
    <t>ø9 x h13 - vol. 500 ml</t>
  </si>
  <si>
    <t>798-CL</t>
  </si>
  <si>
    <t>Zion cup clear</t>
  </si>
  <si>
    <t>GCHE-GLA-CLE- d555 -IND</t>
  </si>
  <si>
    <t>semi - ø5 x h55 - vol. 45 ml</t>
  </si>
  <si>
    <t>clear glass
# 6</t>
  </si>
  <si>
    <t>The Hena cup clear in our GLASSES, CUPS &amp; MUGS collection is a masterpiece of craftsmanship, offering both durability and aesthetic appeal.</t>
  </si>
  <si>
    <t>799-CL</t>
  </si>
  <si>
    <t>GCHE-GLA-CLE-d66 --IND</t>
  </si>
  <si>
    <t>ø6 x h6 - vol. 50 ml</t>
  </si>
  <si>
    <t>818-CL</t>
  </si>
  <si>
    <t>GCHE-GLA-CLE-d86 --IND</t>
  </si>
  <si>
    <t>ø8 x h6 - vol. 100 ml</t>
  </si>
  <si>
    <t>Experience unparalleled sophistication with the Hena cup clear from our GLASSES, CUPS &amp; MUGS range. It's where design meets functionality.</t>
  </si>
  <si>
    <t>801-CL</t>
  </si>
  <si>
    <t>GCHE-GLA-CLE-d6,57 --IND</t>
  </si>
  <si>
    <t>ø6,5 x h7 - vol. 120 ml</t>
  </si>
  <si>
    <t>Discover the unique charm of Hena cup clear in our GLASSES, CUPS &amp; MUGS collection. It's not just a product; it's a lifestyle.</t>
  </si>
  <si>
    <t>800-CL</t>
  </si>
  <si>
    <t>GCHE-GLA-CLE-d88 --IND</t>
  </si>
  <si>
    <t>ø8 x h8 - vol. 150 ml</t>
  </si>
  <si>
    <t>802-CL</t>
  </si>
  <si>
    <t>GCHE-GLA-CLE-d6,510 -IND</t>
  </si>
  <si>
    <t>ø6,5 x h10 - vol. 100 ml</t>
  </si>
  <si>
    <t>Redefine elegance with the Hena cup clear, a pinnacle of our GLASSES, CUPS &amp; MUGS series. Its design is both innovative and timeless.</t>
  </si>
  <si>
    <t>803-CL</t>
  </si>
  <si>
    <t>GCHE-GLA-CLE-d812 -IND</t>
  </si>
  <si>
    <t>ø8 x h12 - vol. 250 ml</t>
  </si>
  <si>
    <t>817-CL</t>
  </si>
  <si>
    <t>GCHE-GLA-CLE-d713 -IND</t>
  </si>
  <si>
    <t>ø7 x h13 - vol. 400 ml</t>
  </si>
  <si>
    <t>910-CLMT</t>
  </si>
  <si>
    <t>GCHE-GLA-CLE-d816 -IND</t>
  </si>
  <si>
    <t>ø8 x h16 - vol. 370 ml</t>
  </si>
  <si>
    <t>798-CLMT</t>
  </si>
  <si>
    <t>Zion cup clear matte</t>
  </si>
  <si>
    <t>GCHE-GLA-MAT- d555 -IND</t>
  </si>
  <si>
    <t>clear matte glass
# 6</t>
  </si>
  <si>
    <t>Experience unparalleled sophistication with the Hena cup clear matte from our GLASSES, CUPS &amp; MUGS range. It's where design meets functionality.</t>
  </si>
  <si>
    <t>799-CLMT</t>
  </si>
  <si>
    <t>GCHE-GLA-MAT-d66 --IND</t>
  </si>
  <si>
    <t>clear matte glass # 6</t>
  </si>
  <si>
    <t>Hena cup clear matte is a showcase of excellence in GLASSES, CUPS &amp; MUGS. It combines style, functionality, and unmatched quality.</t>
  </si>
  <si>
    <t>818-CLMT</t>
  </si>
  <si>
    <t>GCHE-GLA-MAT-d86 --IND</t>
  </si>
  <si>
    <t>Redefine elegance with the Hena cup clear matte, a pinnacle of our GLASSES, CUPS &amp; MUGS series. Its design is both innovative and timeless.</t>
  </si>
  <si>
    <t>801-CLMT</t>
  </si>
  <si>
    <t>GCHE-GLA-MAT-d6,57 --IND</t>
  </si>
  <si>
    <t>The Hena cup clear matte in our GLASSES, CUPS &amp; MUGS collection is a masterpiece of craftsmanship, offering both durability and aesthetic appeal.</t>
  </si>
  <si>
    <t>800-CLMT</t>
  </si>
  <si>
    <t>GCHE-GLA-MAT-d88 --IND</t>
  </si>
  <si>
    <t>802-CLMT</t>
  </si>
  <si>
    <t>GCHE-GLA-MAT-d6,510 -IND</t>
  </si>
  <si>
    <t>Discover the unique charm of Hena cup clear matte in our GLASSES, CUPS &amp; MUGS collection. It's not just a product; it's a lifestyle.</t>
  </si>
  <si>
    <t>803-CLMT</t>
  </si>
  <si>
    <t>GCHE-GLA-MAT-d812 -IND</t>
  </si>
  <si>
    <t>817-CLMT</t>
  </si>
  <si>
    <t>GCHE-GLA-MAT-d713 -IND</t>
  </si>
  <si>
    <t>910-SNCL</t>
  </si>
  <si>
    <t>GCHE-GLA-MAT-d816 -IND</t>
  </si>
  <si>
    <t>798-SNCL</t>
  </si>
  <si>
    <t>Zion cup clear snow</t>
  </si>
  <si>
    <t>GCHE-GLA-SNO- d555 -IND</t>
  </si>
  <si>
    <t>clear snow glass
# 6</t>
  </si>
  <si>
    <t>Hena cup clear snow is a showcase of excellence in GLASSES, CUPS &amp; MUGS. It combines style, functionality, and unmatched quality.</t>
  </si>
  <si>
    <t>799-SNCL</t>
  </si>
  <si>
    <t>GCHE-GLA-SNO-d66 --IND</t>
  </si>
  <si>
    <t>The Hena cup clear snow in our GLASSES, CUPS &amp; MUGS collection is a masterpiece of craftsmanship, offering both durability and aesthetic appeal.</t>
  </si>
  <si>
    <t>818-SNCL</t>
  </si>
  <si>
    <t>GCHE-GLA-SNO-d86 --IND</t>
  </si>
  <si>
    <t>801-SNCL</t>
  </si>
  <si>
    <t>GCHE-GLA-SNO-d6,57 --IND</t>
  </si>
  <si>
    <t>800-SNCL</t>
  </si>
  <si>
    <t>GCHE-GLA-SNO-d88 --IND</t>
  </si>
  <si>
    <t>Experience unparalleled sophistication with the Hena cup clear snow from our GLASSES, CUPS &amp; MUGS range. It's where design meets functionality.</t>
  </si>
  <si>
    <t>802-SNCL</t>
  </si>
  <si>
    <t>GCHE-GLA-SNO-d6,510 -IND</t>
  </si>
  <si>
    <t>803-SNCL</t>
  </si>
  <si>
    <t>GCHE-GLA-SNO-d812 -IND</t>
  </si>
  <si>
    <t>817-SNCL</t>
  </si>
  <si>
    <t>GCHE-GLA-SNO-d713 -IND</t>
  </si>
  <si>
    <t>910-CR</t>
  </si>
  <si>
    <t>GCHE-GLA-SNO-d816 -IND</t>
  </si>
  <si>
    <t>798-CR</t>
  </si>
  <si>
    <t>Zion cup crackle</t>
  </si>
  <si>
    <t>GCHE-GLA-CRA- d555 -IND</t>
  </si>
  <si>
    <t>clear crackled glass
# 6</t>
  </si>
  <si>
    <t>The Hena cup crackle in our GLASSES, CUPS &amp; MUGS collection is a masterpiece of craftsmanship, offering both durability and aesthetic appeal.</t>
  </si>
  <si>
    <t>799-CR</t>
  </si>
  <si>
    <t>GCHE-GLA-CRA-d66 --IND</t>
  </si>
  <si>
    <t>Discover the unique charm of Hena cup crackle in our GLASSES, CUPS &amp; MUGS collection. It's not just a product; it's a lifestyle.</t>
  </si>
  <si>
    <t>818-CR</t>
  </si>
  <si>
    <t>GCHE-GLA-CRA-d86 --IND</t>
  </si>
  <si>
    <t>801-CR</t>
  </si>
  <si>
    <t>GCHE-GLA-CRA-d6,57 --IND</t>
  </si>
  <si>
    <t>Hena cup crackle is a showcase of excellence in GLASSES, CUPS &amp; MUGS. It combines style, functionality, and unmatched quality.</t>
  </si>
  <si>
    <t>800-CR</t>
  </si>
  <si>
    <t>GCHE-GLA-CRA-d88 --IND</t>
  </si>
  <si>
    <t>802-CR</t>
  </si>
  <si>
    <t>GCHE-GLA-CRA-d6,510 -IND</t>
  </si>
  <si>
    <t>Redefine elegance with the Hena cup crackle, a pinnacle of our GLASSES, CUPS &amp; MUGS series. Its design is both innovative and timeless.</t>
  </si>
  <si>
    <t>803-CR</t>
  </si>
  <si>
    <t>GCHE-GLA-CRA-d812 -IND</t>
  </si>
  <si>
    <t>817-CR</t>
  </si>
  <si>
    <t>GCHE-GLA-CRA-d713 -IND</t>
  </si>
  <si>
    <t>910-GR</t>
  </si>
  <si>
    <t>GCHE-GLA-CRA-d816 -IND</t>
  </si>
  <si>
    <t>798-GR</t>
  </si>
  <si>
    <t>Zion cup grey</t>
  </si>
  <si>
    <t>GCHE-GLA-GRE- d555 -IND</t>
  </si>
  <si>
    <t>grey clear glass
# 6</t>
  </si>
  <si>
    <t>Hena cup grey is a showcase of excellence in GLASSES, CUPS &amp; MUGS. It combines style, functionality, and unmatched quality.</t>
  </si>
  <si>
    <t>799-GR</t>
  </si>
  <si>
    <t>GCHE-GLA-GRE-d66 --IND</t>
  </si>
  <si>
    <t>grey clear glass # 6</t>
  </si>
  <si>
    <t>818-GR</t>
  </si>
  <si>
    <t>GCHE-GLA-GRE-d86 --IND</t>
  </si>
  <si>
    <t>Experience unparalleled sophistication with the Hena cup grey from our GLASSES, CUPS &amp; MUGS range. It's where design meets functionality.</t>
  </si>
  <si>
    <t>801-GR</t>
  </si>
  <si>
    <t>GCHE-GLA-GRE-d6,57 --IND</t>
  </si>
  <si>
    <t>Redefine elegance with the Hena cup grey, a pinnacle of our GLASSES, CUPS &amp; MUGS series. Its design is both innovative and timeless.</t>
  </si>
  <si>
    <t>800-GR</t>
  </si>
  <si>
    <t>GCHE-GLA-GRE-d88 --IND</t>
  </si>
  <si>
    <t>802-GR</t>
  </si>
  <si>
    <t>GCHE-GLA-GRE-d6,510 -IND</t>
  </si>
  <si>
    <t>803-GR</t>
  </si>
  <si>
    <t>GCHE-GLA-GRE-d812 -IND</t>
  </si>
  <si>
    <t>The Hena cup grey in our GLASSES, CUPS &amp; MUGS collection is a masterpiece of craftsmanship, offering both durability and aesthetic appeal.</t>
  </si>
  <si>
    <t>817-GR</t>
  </si>
  <si>
    <t>GCHE-GLA-GRE-d713 -IND</t>
  </si>
  <si>
    <t>910-SNGR</t>
  </si>
  <si>
    <t>GCHE-GLA-GRE-d816 -IND</t>
  </si>
  <si>
    <t>Discover the unique charm of Hena cup grey in our GLASSES, CUPS &amp; MUGS collection. It's not just a product; it's a lifestyle.</t>
  </si>
  <si>
    <t>798-SNGR</t>
  </si>
  <si>
    <t>Zion cup grey snow</t>
  </si>
  <si>
    <t>grey snow glass
# 6</t>
  </si>
  <si>
    <t>Experience unparalleled sophistication with the Hena cup grey snow from our GLASSES, CUPS &amp; MUGS range. It's where design meets functionality.</t>
  </si>
  <si>
    <t>799-SNGR</t>
  </si>
  <si>
    <t>grey snow glass # 6</t>
  </si>
  <si>
    <t>Discover the unique charm of Hena cup grey snow in our GLASSES, CUPS &amp; MUGS collection. It's not just a product; it's a lifestyle.</t>
  </si>
  <si>
    <t>818-SNGR</t>
  </si>
  <si>
    <t>801-SNGR</t>
  </si>
  <si>
    <t>800-SNGR</t>
  </si>
  <si>
    <t>802-SNGR</t>
  </si>
  <si>
    <t>The Hena cup grey snow in our GLASSES, CUPS &amp; MUGS collection is a masterpiece of craftsmanship, offering both durability and aesthetic appeal.</t>
  </si>
  <si>
    <t>803-SNGR</t>
  </si>
  <si>
    <t>Redefine elegance with the Hena cup grey snow, a pinnacle of our GLASSES, CUPS &amp; MUGS series. Its design is both innovative and timeless.</t>
  </si>
  <si>
    <t>817-SNGR</t>
  </si>
  <si>
    <t>910-GRMT</t>
  </si>
  <si>
    <t>798-GRMT</t>
  </si>
  <si>
    <t>Zion cup grey matte</t>
  </si>
  <si>
    <t>grey matte glass
# 6</t>
  </si>
  <si>
    <t>Experience unparalleled sophistication with the Hena cup grey matte from our GLASSES, CUPS &amp; MUGS range. It's where design meets functionality.</t>
  </si>
  <si>
    <t>799-GRMT</t>
  </si>
  <si>
    <t>grey matte glass # 6</t>
  </si>
  <si>
    <t>818-GRMT</t>
  </si>
  <si>
    <t>Discover the unique charm of Hena cup grey matte in our GLASSES, CUPS &amp; MUGS collection. It's not just a product; it's a lifestyle.</t>
  </si>
  <si>
    <t>801-GRMT</t>
  </si>
  <si>
    <t>The Hena cup grey matte in our GLASSES, CUPS &amp; MUGS collection is a masterpiece of craftsmanship, offering both durability and aesthetic appeal.</t>
  </si>
  <si>
    <t>800-GRMT</t>
  </si>
  <si>
    <t>Redefine elegance with the Hena cup grey matte, a pinnacle of our GLASSES, CUPS &amp; MUGS series. Its design is both innovative and timeless.</t>
  </si>
  <si>
    <t>802-GRMT</t>
  </si>
  <si>
    <t>803-GRMT</t>
  </si>
  <si>
    <t>817-GRMT</t>
  </si>
  <si>
    <t>PP021-WH</t>
  </si>
  <si>
    <t>PP022-WH</t>
  </si>
  <si>
    <t>Zion cup white</t>
  </si>
  <si>
    <t>GCHE-STO-WHI-n -6-IND</t>
  </si>
  <si>
    <t>in - ø6 x h6</t>
  </si>
  <si>
    <t>stoneware white # 4</t>
  </si>
  <si>
    <t>Hena cup white is a showcase of excellence in GLASSES, CUPS &amp; MUGS. It combines style, functionality, and unmatched quality.</t>
  </si>
  <si>
    <t>24</t>
  </si>
  <si>
    <t>PP011-WH</t>
  </si>
  <si>
    <t>GCHE-STO-WHI-d86-IND</t>
  </si>
  <si>
    <t>ø8 x h6</t>
  </si>
  <si>
    <t>Redefine elegance with the Hena cup white, a pinnacle of our GLASSES, CUPS &amp; MUGS series. Its design is both innovative and timeless.</t>
  </si>
  <si>
    <t>PP012-WH</t>
  </si>
  <si>
    <t>GCHE-STO-WHI-d98-IND</t>
  </si>
  <si>
    <t>ø9 x h8</t>
  </si>
  <si>
    <t>PP021-BL</t>
  </si>
  <si>
    <t>GCHE-STO-WHI-d812-IND</t>
  </si>
  <si>
    <t>ø8 x h12</t>
  </si>
  <si>
    <t>The Hena cup white in our GLASSES, CUPS &amp; MUGS collection is a masterpiece of craftsmanship, offering both durability and aesthetic appeal.</t>
  </si>
  <si>
    <t>PP022-BL</t>
  </si>
  <si>
    <t>Zion cup black</t>
  </si>
  <si>
    <t>GCHE-STO-BLA-n -6-IND</t>
  </si>
  <si>
    <t>stoneware black # 4</t>
  </si>
  <si>
    <t>Redefine elegance with the Hena cup black, a pinnacle of our GLASSES, CUPS &amp; MUGS series. Its design is both innovative and timeless.</t>
  </si>
  <si>
    <t>PP011-BL</t>
  </si>
  <si>
    <t>GCHE-STO-BLA-d86-IND</t>
  </si>
  <si>
    <t>Experience unparalleled sophistication with the Hena cup black from our GLASSES, CUPS &amp; MUGS range. It's where design meets functionality.</t>
  </si>
  <si>
    <t>PP012-BL</t>
  </si>
  <si>
    <t>GCHE-STO-BLA-d98-IND</t>
  </si>
  <si>
    <t>PP039-WH</t>
  </si>
  <si>
    <t>GCHE-STO-BLA-d812-IND</t>
  </si>
  <si>
    <t>Discover the unique charm of Hena cup black in our GLASSES, CUPS &amp; MUGS collection. It's not just a product; it's a lifestyle.</t>
  </si>
  <si>
    <t>PP040-WH</t>
  </si>
  <si>
    <t>Zion cup with handle white</t>
  </si>
  <si>
    <t>in - ø8 x h6</t>
  </si>
  <si>
    <t>stoneware # 4</t>
  </si>
  <si>
    <t>Experience unparalleled sophistication with the Hena cup with handle white from our GLASSES, CUPS &amp; MUGS range. It's where design meets functionality.</t>
  </si>
  <si>
    <t>PP041-WH</t>
  </si>
  <si>
    <t>PP042-WH</t>
  </si>
  <si>
    <t>GCHE-STO-WHI-d8,512-IND</t>
  </si>
  <si>
    <t>ø8,5 x h12</t>
  </si>
  <si>
    <t>Redefine elegance with the Hena cup with handle white, a pinnacle of our GLASSES, CUPS &amp; MUGS series. Its design is both innovative and timeless.</t>
  </si>
  <si>
    <t>PP039-BL</t>
  </si>
  <si>
    <t>GCHE-STO-WHI-d138-IND</t>
  </si>
  <si>
    <t>ø13 x h8</t>
  </si>
  <si>
    <t>PP040-BL</t>
  </si>
  <si>
    <t>Zion cup with handle black</t>
  </si>
  <si>
    <t>Hena cup with handle white is a showcase of excellence in GLASSES, CUPS &amp; MUGS. It combines style, functionality, and unmatched quality.</t>
  </si>
  <si>
    <t>PP041-BL</t>
  </si>
  <si>
    <t>PP042-BL</t>
  </si>
  <si>
    <t>Discover the unique charm of Hena cup with handle white in our GLASSES, CUPS &amp; MUGS collection. It's not just a product; it's a lifestyle.</t>
  </si>
  <si>
    <t>JUGS &amp; CARAFES</t>
  </si>
  <si>
    <t>699-CL</t>
  </si>
  <si>
    <t>Nick</t>
  </si>
  <si>
    <t>Kitchen &amp; Dining &gt; Jugs &amp; Carafes</t>
  </si>
  <si>
    <t>JCTR-GLA-CLE-d1130 -SEM</t>
  </si>
  <si>
    <t xml:space="preserve"> ø11 x h30 - vol. 1.100 ml</t>
  </si>
  <si>
    <t>The Tre in our JUGS &amp; CARAFES collection is a masterpiece of craftsmanship, offering both durability and aesthetic appeal.</t>
  </si>
  <si>
    <t>Jugs &amp; Carafes</t>
  </si>
  <si>
    <t>699-CR</t>
  </si>
  <si>
    <t>JCTR-GLA-CRA-d1130 -SEM</t>
  </si>
  <si>
    <t xml:space="preserve">crackle semi </t>
  </si>
  <si>
    <t>Redefine elegance with the Tre, a pinnacle of our JUGS &amp; CARAFES series. Its design is both innovative and timeless.</t>
  </si>
  <si>
    <t>739-CL</t>
  </si>
  <si>
    <t>Persa</t>
  </si>
  <si>
    <t>JCGR-GLA-CLE-d2435-SEM</t>
  </si>
  <si>
    <t>ø24 x h35</t>
  </si>
  <si>
    <t>The Greta in our JUGS &amp; CARAFES collection is a masterpiece of craftsmanship, offering both durability and aesthetic appeal.</t>
  </si>
  <si>
    <t>738-CL</t>
  </si>
  <si>
    <t>JCGR-GLA-CLE-d2450-SEM</t>
  </si>
  <si>
    <t xml:space="preserve"> ø24 x h50</t>
  </si>
  <si>
    <t>Experience unparalleled sophistication with the Greta from our JUGS &amp; CARAFES range. It's where design meets functionality.</t>
  </si>
  <si>
    <t>737-CL</t>
  </si>
  <si>
    <t>JCGR-GLA-CLE-d1852-SEM</t>
  </si>
  <si>
    <t>ø18 x h52</t>
  </si>
  <si>
    <t>Discover the unique charm of Greta in our JUGS &amp; CARAFES collection. It's not just a product; it's a lifestyle.</t>
  </si>
  <si>
    <t>739-GR</t>
  </si>
  <si>
    <t>JCGR-GLA-GRE-d2435-SEM</t>
  </si>
  <si>
    <t>738-GR</t>
  </si>
  <si>
    <t>JCGR-GLA-GRE-d2450-SEM</t>
  </si>
  <si>
    <t>ø24 x H50</t>
  </si>
  <si>
    <t>Greta is a showcase of excellence in JUGS &amp; CARAFES. It combines style, functionality, and unmatched quality.</t>
  </si>
  <si>
    <t>737-GR</t>
  </si>
  <si>
    <t>JCGR-GLA-GRE-d1852-SEM</t>
  </si>
  <si>
    <t xml:space="preserve"> ø18 x h52</t>
  </si>
  <si>
    <t>821-CLPS</t>
  </si>
  <si>
    <t>Persa carafe</t>
  </si>
  <si>
    <t>JCGR-GLA-CLE-d1230-SEM</t>
  </si>
  <si>
    <t>ø12 x h30</t>
  </si>
  <si>
    <t>Redefine elegance with the Greta carafe, a pinnacle of our JUGS &amp; CARAFES series. Its design is both innovative and timeless.</t>
  </si>
  <si>
    <t>210-CL</t>
  </si>
  <si>
    <t>Bistro carafe</t>
  </si>
  <si>
    <t>JCGR-GLA-CLE-d1227 -SEM</t>
  </si>
  <si>
    <t>ø12 x h27 - vol. 1.200 ml</t>
  </si>
  <si>
    <t>The Greta carafe in our JUGS &amp; CARAFES collection is a masterpiece of craftsmanship, offering both durability and aesthetic appeal.</t>
  </si>
  <si>
    <t>591-CL</t>
  </si>
  <si>
    <t>Edward</t>
  </si>
  <si>
    <t>JCHA-GLA-CLE-d1230 -SEM</t>
  </si>
  <si>
    <t>ø12 x h30 - vol. 1.000 ml</t>
  </si>
  <si>
    <t>Discover the unique charm of Hansen in our JUGS &amp; CARAFES collection. It's not just a product; it's a lifestyle.</t>
  </si>
  <si>
    <t>591-CR</t>
  </si>
  <si>
    <t>JCHA-GLA-CRA-d1230 -SEM</t>
  </si>
  <si>
    <t>Redefine elegance with the Hansen, a pinnacle of our JUGS &amp; CARAFES series. Its design is both innovative and timeless.</t>
  </si>
  <si>
    <t>153-CL</t>
  </si>
  <si>
    <t>Carafe</t>
  </si>
  <si>
    <t>JCBA-GLA-CLE-d1712 -SEM</t>
  </si>
  <si>
    <t>ø17 x h12 - vol. 600 ml</t>
  </si>
  <si>
    <t>Experience unparalleled sophistication with the Bareno from our JUGS &amp; CARAFES range. It's where design meets functionality.</t>
  </si>
  <si>
    <t>114-CL</t>
  </si>
  <si>
    <t>JCBA-GLA-CLE-d1618 -SEM</t>
  </si>
  <si>
    <t xml:space="preserve"> ø16 x h18 - vol. 1.200 ml</t>
  </si>
  <si>
    <t>Redefine elegance with the Bareno, a pinnacle of our JUGS &amp; CARAFES series. Its design is both innovative and timeless.</t>
  </si>
  <si>
    <t>114-GR</t>
  </si>
  <si>
    <t>ø16 x h18 - vol. 1.200 ml</t>
  </si>
  <si>
    <t>Discover the unique charm of Bareno in our JUGS &amp; CARAFES collection. It's not just a product; it's a lifestyle.</t>
  </si>
  <si>
    <t>JCMA-GLA-CLE-d922 -SEM</t>
  </si>
  <si>
    <t>Maldini is a showcase of excellence in JUGS &amp; CARAFES. It combines style, functionality, and unmatched quality.</t>
  </si>
  <si>
    <t>JCMA-GLA-CLE-d925 -SEM</t>
  </si>
  <si>
    <t>The Maldini in our JUGS &amp; CARAFES collection is a masterpiece of craftsmanship, offering both durability and aesthetic appeal.</t>
  </si>
  <si>
    <t>JCMA-GLA-CLE-d930 -SEM</t>
  </si>
  <si>
    <t>620-CL</t>
  </si>
  <si>
    <t>Edmon</t>
  </si>
  <si>
    <t>JCAU-GLA-CLE-d1925 -SEM</t>
  </si>
  <si>
    <t>Audrey</t>
  </si>
  <si>
    <t>ø19 x h25 - vol. 1.500 ml</t>
  </si>
  <si>
    <t>Redefine elegance with the Audrey, a pinnacle of our JUGS &amp; CARAFES series. Its design is both innovative and timeless.</t>
  </si>
  <si>
    <t>686-CL</t>
  </si>
  <si>
    <t>JCSH-GLA-CLE-d1250-SEM</t>
  </si>
  <si>
    <t>ø12 x h50</t>
  </si>
  <si>
    <t>Redefine elegance with the Shaw, a pinnacle of our JUGS &amp; CARAFES series. Its design is both innovative and timeless.</t>
  </si>
  <si>
    <t>JCSH-GLA-CLE-d1245-SEM</t>
  </si>
  <si>
    <t>Shaw is a showcase of excellence in JUGS &amp; CARAFES. It combines style, functionality, and unmatched quality.</t>
  </si>
  <si>
    <t xml:space="preserve">4BSW </t>
  </si>
  <si>
    <t xml:space="preserve"> bottle stop wood</t>
  </si>
  <si>
    <t>JCBO-WOO-0---</t>
  </si>
  <si>
    <t>Experience unparalleled sophistication with the  bottle stop wood from our JUGS &amp; CARAFES range. It's where design meets functionality.</t>
  </si>
  <si>
    <t>854-CL</t>
  </si>
  <si>
    <t>Helena carafe</t>
  </si>
  <si>
    <t>JCYE-GLA-CLE-d713,-SEM</t>
  </si>
  <si>
    <t>ø7 x h13,5</t>
  </si>
  <si>
    <t>Yelena carafe is a showcase of excellence in JUGS &amp; CARAFES. It combines style, functionality, and unmatched quality.</t>
  </si>
  <si>
    <t>855-CL</t>
  </si>
  <si>
    <t>JCYE-GLA-CLE-d7,515-SEM</t>
  </si>
  <si>
    <t>ø7,5 x h15</t>
  </si>
  <si>
    <t>Experience unparalleled sophistication with the Yelena carafe from our JUGS &amp; CARAFES range. It's where design meets functionality.</t>
  </si>
  <si>
    <t>850-CL</t>
  </si>
  <si>
    <t>JCYE-GLA-CLE-d918-SEM</t>
  </si>
  <si>
    <t>ø9 x h18</t>
  </si>
  <si>
    <t>Redefine elegance with the Yelena carafe, a pinnacle of our JUGS &amp; CARAFES series. Its design is both innovative and timeless.</t>
  </si>
  <si>
    <t>856-CL</t>
  </si>
  <si>
    <t>JCYE-GLA-CLE-d1224-SEM</t>
  </si>
  <si>
    <t xml:space="preserve">ø12 x h24 </t>
  </si>
  <si>
    <t>PLATES, BOWLS, &amp; TRAYS</t>
  </si>
  <si>
    <t>61411-2</t>
  </si>
  <si>
    <t>Round tray lombok</t>
  </si>
  <si>
    <t>Kitchen &amp; Dining &gt; Plates, Bowls, &amp; Trays</t>
  </si>
  <si>
    <t>PBIN-KUB-NAT-SET2--SEM</t>
  </si>
  <si>
    <t>Ingke</t>
  </si>
  <si>
    <t>ø43 x h9, ø49 x h10</t>
  </si>
  <si>
    <t>kubu - set / 2 semi</t>
  </si>
  <si>
    <t>Redefine elegance with the Ingke, a pinnacle of our PLATES, BOWLS &amp; TRAYS series. Its design is both innovative and timeless.</t>
  </si>
  <si>
    <t>5T015010002-BAR</t>
  </si>
  <si>
    <t>Top bluestone antique rocky</t>
  </si>
  <si>
    <t>PBRA-STO-ROC-15102-OUT</t>
  </si>
  <si>
    <t>Rambo top bluestone</t>
  </si>
  <si>
    <t>w15 x d10 x h2</t>
  </si>
  <si>
    <t>bluestone antique rocky outdoor</t>
  </si>
  <si>
    <t>Rambo top bluestone is a showcase of excellence in PLATES, BOWLS &amp; TRAYS. It combines style, functionality, and unmatched quality.</t>
  </si>
  <si>
    <t>CGRS12</t>
  </si>
  <si>
    <t>Helena plate riverstone</t>
  </si>
  <si>
    <t>PBYE-STO-NAT-8121-IND</t>
  </si>
  <si>
    <t>w8 x d12 x h1</t>
  </si>
  <si>
    <t>riverstone indoor</t>
  </si>
  <si>
    <t>Yelena plate riverstone is a showcase of excellence in PLATES, BOWLS &amp; TRAYS. It combines style, functionality, and unmatched quality.</t>
  </si>
  <si>
    <t>CGRS18</t>
  </si>
  <si>
    <t>PBYE-STO-NAT-12181-IND</t>
  </si>
  <si>
    <t>w12 x d18 x h1</t>
  </si>
  <si>
    <t>Redefine elegance with the Yelena plate riverstone, a pinnacle of our PLATES, BOWLS &amp; TRAYS series. Its design is both innovative and timeless.</t>
  </si>
  <si>
    <t>CGRS22</t>
  </si>
  <si>
    <t>PBYE-STO-NAT-19221-IND</t>
  </si>
  <si>
    <t>w19 x d22 x h1</t>
  </si>
  <si>
    <t>Discover the unique charm of Yelena plate riverstone in our PLATES, BOWLS &amp; TRAYS collection. It's not just a product; it's a lifestyle.</t>
  </si>
  <si>
    <t>CGRS27</t>
  </si>
  <si>
    <t>PBYE-STO-NAT-20271-IND</t>
  </si>
  <si>
    <t>w20 x d27 x h1</t>
  </si>
  <si>
    <t>The Yelena plate riverstone in our PLATES, BOWLS &amp; TRAYS collection is a masterpiece of craftsmanship, offering both durability and aesthetic appeal.</t>
  </si>
  <si>
    <t>CGRS34</t>
  </si>
  <si>
    <t>PBYE-STO-NAT-24341-IND</t>
  </si>
  <si>
    <t>w24 x d34 x h1</t>
  </si>
  <si>
    <t>CGRSB13</t>
  </si>
  <si>
    <t>Bob plate riverstone</t>
  </si>
  <si>
    <t>PBHA-STO-NAT-d132-IND</t>
  </si>
  <si>
    <t>ø13 x h2</t>
  </si>
  <si>
    <t>Experience unparalleled sophistication with the Han plate riverstone from our PLATES, BOWLS &amp; TRAYS range. It's where design meets functionality.</t>
  </si>
  <si>
    <t>CGRSB18</t>
  </si>
  <si>
    <t>PBHA-STO-NAT-d182-IND</t>
  </si>
  <si>
    <t>ø18 x h2</t>
  </si>
  <si>
    <t>The Han plate riverstone in our PLATES, BOWLS &amp; TRAYS collection is a masterpiece of craftsmanship, offering both durability and aesthetic appeal.</t>
  </si>
  <si>
    <t>CGRSB22</t>
  </si>
  <si>
    <t>PBHA-STO-NAT-d222-IND</t>
  </si>
  <si>
    <t>ø22 x h2</t>
  </si>
  <si>
    <t>CGRSB27</t>
  </si>
  <si>
    <t>PBHA-STO-NAT-d272-IND</t>
  </si>
  <si>
    <t>ø27 x h2</t>
  </si>
  <si>
    <t>CGRSB32</t>
  </si>
  <si>
    <t>PBHA-STO-NAT-d322-IND</t>
  </si>
  <si>
    <t>ø32 x h2</t>
  </si>
  <si>
    <t>CGRSP17</t>
  </si>
  <si>
    <t>Shot plate</t>
  </si>
  <si>
    <t>PBKA-STO-NAT-13,171 --OUT</t>
  </si>
  <si>
    <t>w13,5 x d17 x h1 - 2 shots</t>
  </si>
  <si>
    <t>Experience unparalleled sophistication with the Kabochi from our PLATES, BOWLS &amp; TRAYS range. It's where design meets functionality.</t>
  </si>
  <si>
    <t>CGRSP23</t>
  </si>
  <si>
    <t>PBKA-STO-NAT-13231 --OUT</t>
  </si>
  <si>
    <t>w13 x d23 x h1 - 4 shots</t>
  </si>
  <si>
    <t>The Kabochi in our PLATES, BOWLS &amp; TRAYS collection is a masterpiece of craftsmanship, offering both durability and aesthetic appeal.</t>
  </si>
  <si>
    <t>CGRSP27</t>
  </si>
  <si>
    <t>PBKA-STO-NAT-13291 --OUT</t>
  </si>
  <si>
    <t>w13 x d29 x h1 - 6 shots</t>
  </si>
  <si>
    <t>Kabochi is a showcase of excellence in PLATES, BOWLS &amp; TRAYS. It combines style, functionality, and unmatched quality.</t>
  </si>
  <si>
    <t>CGQLA25</t>
  </si>
  <si>
    <t>PBKR-STO-NAT-d252-OUT</t>
  </si>
  <si>
    <t>ø25 x h2</t>
  </si>
  <si>
    <t>Krasak round plate is a showcase of excellence in PLATES, BOWLS &amp; TRAYS. It combines style, functionality, and unmatched quality.</t>
  </si>
  <si>
    <t>CGQLA30</t>
  </si>
  <si>
    <t>PBKR-STO-NAT-d302-OUT</t>
  </si>
  <si>
    <t>ø30 x h2</t>
  </si>
  <si>
    <t>Discover the unique charm of Krasak round plate in our PLATES, BOWLS &amp; TRAYS collection. It's not just a product; it's a lifestyle.</t>
  </si>
  <si>
    <t>CGQLA32</t>
  </si>
  <si>
    <t>PBKR-STO-NAT-d322-OUT</t>
  </si>
  <si>
    <t xml:space="preserve"> ø32 x h2</t>
  </si>
  <si>
    <t>Experience unparalleled sophistication with the Krasak round plate from our PLATES, BOWLS &amp; TRAYS range. It's where design meets functionality.</t>
  </si>
  <si>
    <t>PBGA-TEA-NAT-12126-OUT</t>
  </si>
  <si>
    <t>The Gamora square in our PLATES, BOWLS &amp; TRAYS collection is a masterpiece of craftsmanship, offering both durability and aesthetic appeal.</t>
  </si>
  <si>
    <t>PBGA-TEA-NAT-18186-OUT</t>
  </si>
  <si>
    <t>Discover the unique charm of Gamora square in our PLATES, BOWLS &amp; TRAYS collection. It's not just a product; it's a lifestyle.</t>
  </si>
  <si>
    <t>PBGA-TEA-NAT-28286-OUT</t>
  </si>
  <si>
    <t>Experience unparalleled sophistication with the Gamora square from our PLATES, BOWLS &amp; TRAYS range. It's where design meets functionality.</t>
  </si>
  <si>
    <t>PBGA-TEA-NAT-24166-OUT</t>
  </si>
  <si>
    <t>Redefine elegance with the Gamora rectangular, a pinnacle of our PLATES, BOWLS &amp; TRAYS series. Its design is both innovative and timeless.</t>
  </si>
  <si>
    <t>PBGA-TEA-NAT-40306-OUT</t>
  </si>
  <si>
    <t>Discover the unique charm of Gamora rectangular in our PLATES, BOWLS &amp; TRAYS collection. It's not just a product; it's a lifestyle.</t>
  </si>
  <si>
    <t>PBGA-TEA-NAT-60226-OUT</t>
  </si>
  <si>
    <t>PBGA-TEA-NAT-d186-OUT</t>
  </si>
  <si>
    <t>ø18 x h6</t>
  </si>
  <si>
    <t>Redefine elegance with the Gamora round, a pinnacle of our PLATES, BOWLS &amp; TRAYS series. Its design is both innovative and timeless.</t>
  </si>
  <si>
    <t>PBGA-TEA-NAT-d266-OUT</t>
  </si>
  <si>
    <t>ø26 x h6</t>
  </si>
  <si>
    <t>The Gamora round in our PLATES, BOWLS &amp; TRAYS collection is a masterpiece of craftsmanship, offering both durability and aesthetic appeal.</t>
  </si>
  <si>
    <t>FL665</t>
  </si>
  <si>
    <t>Tulsa bowl</t>
  </si>
  <si>
    <t>PBMA-TEA-NAT-32165-IND</t>
  </si>
  <si>
    <t>Malacia bowl</t>
  </si>
  <si>
    <t>w32 x d16 x h5</t>
  </si>
  <si>
    <t>The Malacia bowl in our PLATES, BOWLS &amp; TRAYS collection is a masterpiece of craftsmanship, offering both durability and aesthetic appeal.</t>
  </si>
  <si>
    <t>FL652</t>
  </si>
  <si>
    <t>Gabby serving board</t>
  </si>
  <si>
    <t>PBVA-TEA-NAT-30204-IND</t>
  </si>
  <si>
    <t xml:space="preserve">w30 x d20 x h4 </t>
  </si>
  <si>
    <t>Discover the unique charm of Vania serving board in our PLATES, BOWLS &amp; TRAYS collection. It's not just a product; it's a lifestyle.</t>
  </si>
  <si>
    <t>FL653</t>
  </si>
  <si>
    <t>PBVA-TEA-NAT-37204-IND</t>
  </si>
  <si>
    <t>w37 x d20 x h4</t>
  </si>
  <si>
    <t>FL654</t>
  </si>
  <si>
    <t>PBVA-TEA-NAT-45254-IND</t>
  </si>
  <si>
    <t xml:space="preserve">w45 x d25 x h4 </t>
  </si>
  <si>
    <t>Experience unparalleled sophistication with the Vania serving board from our PLATES, BOWLS &amp; TRAYS range. It's where design meets functionality.</t>
  </si>
  <si>
    <t>FL655</t>
  </si>
  <si>
    <t>PBVA-TEA-NAT-60254-IND</t>
  </si>
  <si>
    <t xml:space="preserve">w60 x d25 x h4 </t>
  </si>
  <si>
    <t>The Vania serving board in our PLATES, BOWLS &amp; TRAYS collection is a masterpiece of craftsmanship, offering both durability and aesthetic appeal.</t>
  </si>
  <si>
    <t>FL184</t>
  </si>
  <si>
    <t>Plate with rope</t>
  </si>
  <si>
    <t>PBAN-TEA-NAT-121210-OUT</t>
  </si>
  <si>
    <t>w12 x d12 x h10</t>
  </si>
  <si>
    <t>Discover the unique charm of Angeline in our PLATES, BOWLS &amp; TRAYS collection. It's not just a product; it's a lifestyle.</t>
  </si>
  <si>
    <t>FL185</t>
  </si>
  <si>
    <t>PBAN-TEA-NAT-151210-OUT</t>
  </si>
  <si>
    <t>w15 x d12 x h10</t>
  </si>
  <si>
    <t>The Angeline in our PLATES, BOWLS &amp; TRAYS collection is a masterpiece of craftsmanship, offering both durability and aesthetic appeal.</t>
  </si>
  <si>
    <t>FL186</t>
  </si>
  <si>
    <t>PBAN-TEA-NAT-201210-OUT</t>
  </si>
  <si>
    <t>w20 x d12 x h10</t>
  </si>
  <si>
    <t>Angeline is a showcase of excellence in PLATES, BOWLS &amp; TRAYS. It combines style, functionality, and unmatched quality.</t>
  </si>
  <si>
    <t>FL187</t>
  </si>
  <si>
    <t>PBAN-TEA-NAT-301210-OUT</t>
  </si>
  <si>
    <t>w30 x d12 x h10</t>
  </si>
  <si>
    <t>Experience unparalleled sophistication with the Angeline from our PLATES, BOWLS &amp; TRAYS range. It's where design meets functionality.</t>
  </si>
  <si>
    <t>FL188</t>
  </si>
  <si>
    <t>PBAN-TEA-NAT-401210-OUT</t>
  </si>
  <si>
    <t>w40 x d12 x h10</t>
  </si>
  <si>
    <t>FL535</t>
  </si>
  <si>
    <t>Plate teak</t>
  </si>
  <si>
    <t>PBMA-TEA-NAT-851-IND</t>
  </si>
  <si>
    <t>w8 x d5 x h1</t>
  </si>
  <si>
    <t>The Marina plate teak in our PLATES, BOWLS &amp; TRAYS collection is a masterpiece of craftsmanship, offering both durability and aesthetic appeal.</t>
  </si>
  <si>
    <t>FL536</t>
  </si>
  <si>
    <t>PBMA-TEA-NAT-870,3-IND</t>
  </si>
  <si>
    <t>w8 x d7 x h0,3</t>
  </si>
  <si>
    <t>Redefine elegance with the Marina plate teak, a pinnacle of our PLATES, BOWLS &amp; TRAYS series. Its design is both innovative and timeless.</t>
  </si>
  <si>
    <t>FL537</t>
  </si>
  <si>
    <t>PBMA-TEA-NAT-15100,3-IND</t>
  </si>
  <si>
    <t>w15 x d10 x h0,3</t>
  </si>
  <si>
    <t>Discover the unique charm of Marina plate teak in our PLATES, BOWLS &amp; TRAYS collection. It's not just a product; it's a lifestyle.</t>
  </si>
  <si>
    <t>FL538</t>
  </si>
  <si>
    <t>PBMA-TEA-NAT-40300,3-IND</t>
  </si>
  <si>
    <t>w40 x d30 x h0,3</t>
  </si>
  <si>
    <t>FL539</t>
  </si>
  <si>
    <t>Plate round root</t>
  </si>
  <si>
    <t>PBGR-TEA-NAT-d181-IND</t>
  </si>
  <si>
    <t>ø18 x h1</t>
  </si>
  <si>
    <t>Discover the unique charm of Grany plate in our PLATES, BOWLS &amp; TRAYS collection. It's not just a product; it's a lifestyle.</t>
  </si>
  <si>
    <t>FL540</t>
  </si>
  <si>
    <t>PBGR-TEA-NAT-d241-IND</t>
  </si>
  <si>
    <t>ø24 x h1</t>
  </si>
  <si>
    <t>FL541</t>
  </si>
  <si>
    <t>PBGR-TEA-NAT-d271-IND</t>
  </si>
  <si>
    <t>ø27 x h1</t>
  </si>
  <si>
    <t>The Grany plate in our PLATES, BOWLS &amp; TRAYS collection is a masterpiece of craftsmanship, offering both durability and aesthetic appeal.</t>
  </si>
  <si>
    <t>FL542</t>
  </si>
  <si>
    <t>PBGR-TEA-NAT-d321-IND</t>
  </si>
  <si>
    <t>ø32 x h1</t>
  </si>
  <si>
    <t>Grany plate is a showcase of excellence in PLATES, BOWLS &amp; TRAYS. It combines style, functionality, and unmatched quality.</t>
  </si>
  <si>
    <t>FL505</t>
  </si>
  <si>
    <t>Saucer</t>
  </si>
  <si>
    <t>PBBI-TEA-NAT-d142-OUT</t>
  </si>
  <si>
    <t>Bierhoff</t>
  </si>
  <si>
    <t>ø14 x h2</t>
  </si>
  <si>
    <t>Redefine elegance with the Bierhoff, a pinnacle of our PLATES, BOWLS &amp; TRAYS series. Its design is both innovative and timeless.</t>
  </si>
  <si>
    <t>FL510</t>
  </si>
  <si>
    <t>Tray</t>
  </si>
  <si>
    <t>PBRE-TEA-NAT-25204-OUT</t>
  </si>
  <si>
    <t>w25 x d20 x h4</t>
  </si>
  <si>
    <t>Experience unparalleled sophistication with the Regina Tray from our PLATES, BOWLS &amp; TRAYS range. It's where design meets functionality.</t>
  </si>
  <si>
    <t>FL509</t>
  </si>
  <si>
    <t>PBRE-TEA-NAT-40304-OUT</t>
  </si>
  <si>
    <t>w40 x d30 x h4</t>
  </si>
  <si>
    <t>Discover the unique charm of Regina Tray in our PLATES, BOWLS &amp; TRAYS collection. It's not just a product; it's a lifestyle.</t>
  </si>
  <si>
    <t>FL512</t>
  </si>
  <si>
    <t>Oval server</t>
  </si>
  <si>
    <t>PBNA-TEA-NAT-3055-OUT</t>
  </si>
  <si>
    <t>w30 x d5 x h5</t>
  </si>
  <si>
    <t>Redefine elegance with the Nada oval server, a pinnacle of our PLATES, BOWLS &amp; TRAYS series. Its design is both innovative and timeless.</t>
  </si>
  <si>
    <t>FL511</t>
  </si>
  <si>
    <t>PBNA-TEA-NAT-301510-OUT</t>
  </si>
  <si>
    <t>w30 x d15 x h10</t>
  </si>
  <si>
    <t>FL189</t>
  </si>
  <si>
    <t>Egg plate with rope set/2</t>
  </si>
  <si>
    <t>PBHU-TEA-NAT-122050-OUT</t>
  </si>
  <si>
    <t>Humpty plate with rope set_2</t>
  </si>
  <si>
    <t>w12 x d20 x h50</t>
  </si>
  <si>
    <t>The Humpty plate with rope set/2 in our PLATES, BOWLS &amp; TRAYS collection is a masterpiece of craftsmanship, offering both durability and aesthetic appeal.</t>
  </si>
  <si>
    <t>FL190</t>
  </si>
  <si>
    <t>Egg plate with rope set/3</t>
  </si>
  <si>
    <t>PBHU-TEA-NAT-122550-OUT</t>
  </si>
  <si>
    <t>Humpty plate with rope set_3</t>
  </si>
  <si>
    <t>w12 x d25 x h50</t>
  </si>
  <si>
    <t>Humpty plate with rope set/3 is a showcase of excellence in PLATES, BOWLS &amp; TRAYS. It combines style, functionality, and unmatched quality.</t>
  </si>
  <si>
    <t>FL191</t>
  </si>
  <si>
    <t>Egg plate with rope set/4</t>
  </si>
  <si>
    <t>PBHU-TEA-NAT-123550-OUT</t>
  </si>
  <si>
    <t>Humpty plate with rope set_5</t>
  </si>
  <si>
    <t>w12 x d35 x h50</t>
  </si>
  <si>
    <t>Discover the unique charm of Humpty plate with rope set/4 in our PLATES, BOWLS &amp; TRAYS collection. It's not just a product; it's a lifestyle.</t>
  </si>
  <si>
    <t>FL192</t>
  </si>
  <si>
    <t>Egg plate with rope set/5</t>
  </si>
  <si>
    <t>PBHU-TEA-NAT-125050-OUT</t>
  </si>
  <si>
    <t>Humpty plate with rope set_8</t>
  </si>
  <si>
    <t>w12 x d50 x h50</t>
  </si>
  <si>
    <t>Redefine elegance with the Humpty plate with rope set/5, a pinnacle of our PLATES, BOWLS &amp; TRAYS series. Its design is both innovative and timeless.</t>
  </si>
  <si>
    <t>FL193</t>
  </si>
  <si>
    <t>Egg plate with rope set/6</t>
  </si>
  <si>
    <t>PBHU-TEA-NAT-127050-OUT</t>
  </si>
  <si>
    <t>Humpty plate with rope set_12</t>
  </si>
  <si>
    <t>w12 x d70 x h50</t>
  </si>
  <si>
    <t>Humpty plate with rope set/6 is a showcase of excellence in PLATES, BOWLS &amp; TRAYS. It combines style, functionality, and unmatched quality.</t>
  </si>
  <si>
    <t>FL515</t>
  </si>
  <si>
    <t>Romelu bowl</t>
  </si>
  <si>
    <t>PBFE-TEA-NAT-d4020-OUT</t>
  </si>
  <si>
    <t>Felix Bowl</t>
  </si>
  <si>
    <t>ø40 x h20</t>
  </si>
  <si>
    <t>teak root - limited edition outdoor</t>
  </si>
  <si>
    <t>The Felix Bowl in our PLATES, BOWLS &amp; TRAYS collection is a masterpiece of craftsmanship, offering both durability and aesthetic appeal.</t>
  </si>
  <si>
    <t>RA008</t>
  </si>
  <si>
    <t>Franklin oval bowl</t>
  </si>
  <si>
    <t>PBJE-TEA-NAT-256025-OUT</t>
  </si>
  <si>
    <t>Jerome oval bowl</t>
  </si>
  <si>
    <t>w25 x d60 x h25</t>
  </si>
  <si>
    <t>Redefine elegance with the Jerome oval bowl, a pinnacle of our PLATES, BOWLS &amp; TRAYS series. Its design is both innovative and timeless.</t>
  </si>
  <si>
    <t>RA009</t>
  </si>
  <si>
    <t>Theodore big bowl</t>
  </si>
  <si>
    <t>PBHA-TEA-NAT-d6015-OUT</t>
  </si>
  <si>
    <t>Habibie big bowl</t>
  </si>
  <si>
    <t>ø60 x h15</t>
  </si>
  <si>
    <t>Redefine elegance with the Habibie big bowl, a pinnacle of our PLATES, BOWLS &amp; TRAYS series. Its design is both innovative and timeless.</t>
  </si>
  <si>
    <t>AJ908</t>
  </si>
  <si>
    <t>Fruit bowl</t>
  </si>
  <si>
    <t>PBCH-TEA-NAT-404030-OUT</t>
  </si>
  <si>
    <t>Cheeta fruit bowl</t>
  </si>
  <si>
    <t>w40 x d40 x h30</t>
  </si>
  <si>
    <t>Experience unparalleled sophistication with the Cheeta fruit bowl from our PLATES, BOWLS &amp; TRAYS range. It's where design meets functionality.</t>
  </si>
  <si>
    <t>Tray basket</t>
  </si>
  <si>
    <t>PBEV-RAT-NAT-45278-IND</t>
  </si>
  <si>
    <t>Eve Tray basket</t>
  </si>
  <si>
    <t>w45 x d27 x h8</t>
  </si>
  <si>
    <t>rattan indoor</t>
  </si>
  <si>
    <t>The Eve Tray basket in our PLATES, BOWLS &amp; TRAYS collection is a masterpiece of craftsmanship, offering both durability and aesthetic appeal.</t>
  </si>
  <si>
    <t>PP029-WH</t>
  </si>
  <si>
    <t>Bob plate flat white</t>
  </si>
  <si>
    <t>PBTO-STO-WHI-d131,5-IND</t>
  </si>
  <si>
    <t>ø13 x h1,5</t>
  </si>
  <si>
    <t>stoneware indoor</t>
  </si>
  <si>
    <t>Redefine elegance with the Tom plate flat white, a pinnacle of our PLATES, BOWLS &amp; TRAYS series. Its design is both innovative and timeless.</t>
  </si>
  <si>
    <t>PP001-WH</t>
  </si>
  <si>
    <t>PBTO-STO-WHI-d181,5-IND</t>
  </si>
  <si>
    <t>ø18 x h1,5</t>
  </si>
  <si>
    <t>Experience unparalleled sophistication with the Tom plate flat white from our PLATES, BOWLS &amp; TRAYS range. It's where design meets functionality.</t>
  </si>
  <si>
    <t>PP002-WH</t>
  </si>
  <si>
    <t>PBTO-STO-WHI-d241,5-IND</t>
  </si>
  <si>
    <t>ø24 x h1,5</t>
  </si>
  <si>
    <t>Discover the unique charm of Tom plate flat white in our PLATES, BOWLS &amp; TRAYS collection. It's not just a product; it's a lifestyle.</t>
  </si>
  <si>
    <t>PP003-WH</t>
  </si>
  <si>
    <t>PBTO-STO-WHI-d271,5-IND</t>
  </si>
  <si>
    <t>ø27 x h1,5</t>
  </si>
  <si>
    <t>The Tom plate flat white in our PLATES, BOWLS &amp; TRAYS collection is a masterpiece of craftsmanship, offering both durability and aesthetic appeal.</t>
  </si>
  <si>
    <t>PP004-WH</t>
  </si>
  <si>
    <t>PBTO-STO-WHI-d321,5-IND</t>
  </si>
  <si>
    <t>ø32 x h1,5</t>
  </si>
  <si>
    <t>PP030-WH</t>
  </si>
  <si>
    <t>Bob plate soft curved white</t>
  </si>
  <si>
    <t>The Tom plate soft curved white in our PLATES, BOWLS &amp; TRAYS collection is a masterpiece of craftsmanship, offering both durability and aesthetic appeal.</t>
  </si>
  <si>
    <t>PP017-WH</t>
  </si>
  <si>
    <t>Tom plate soft curved white is a showcase of excellence in PLATES, BOWLS &amp; TRAYS. It combines style, functionality, and unmatched quality.</t>
  </si>
  <si>
    <t>PP018-WH</t>
  </si>
  <si>
    <t>Experience unparalleled sophistication with the Tom plate soft curved white from our PLATES, BOWLS &amp; TRAYS range. It's where design meets functionality.</t>
  </si>
  <si>
    <t>PP019-WH</t>
  </si>
  <si>
    <t>PBTO-STO-WHI--IND</t>
  </si>
  <si>
    <t xml:space="preserve">
ø27 x h1,5</t>
  </si>
  <si>
    <t>stoneware
indoor
# 4</t>
  </si>
  <si>
    <t>PP020-WH</t>
  </si>
  <si>
    <t>Redefine elegance with the Tom plate soft curved white, a pinnacle of our PLATES, BOWLS &amp; TRAYS series. Its design is both innovative and timeless.</t>
  </si>
  <si>
    <t>PP031-WH</t>
  </si>
  <si>
    <t>Bob plate high curved white</t>
  </si>
  <si>
    <t>PBTO-STO-WHI-d133-IND</t>
  </si>
  <si>
    <t>ø13 x h3</t>
  </si>
  <si>
    <t>The Tom plate high curved white in our PLATES, BOWLS &amp; TRAYS collection is a masterpiece of craftsmanship, offering both durability and aesthetic appeal.</t>
  </si>
  <si>
    <t>PP005-WH</t>
  </si>
  <si>
    <t>PBTO-STO-WHI-d203-IND</t>
  </si>
  <si>
    <t>ø20 x h3</t>
  </si>
  <si>
    <t>Redefine elegance with the Tom plate high curved white, a pinnacle of our PLATES, BOWLS &amp; TRAYS series. Its design is both innovative and timeless.</t>
  </si>
  <si>
    <t>PP014-WH</t>
  </si>
  <si>
    <t>PBTO-STO-WHI-d223-IND</t>
  </si>
  <si>
    <t>ø22 x h3</t>
  </si>
  <si>
    <t>PP015-WH</t>
  </si>
  <si>
    <t>PBTO-STO-WHI-d273-IND</t>
  </si>
  <si>
    <t>ø27 x h3</t>
  </si>
  <si>
    <t>PP016-WH</t>
  </si>
  <si>
    <t>PBTO-STO-WHI-d323-IND</t>
  </si>
  <si>
    <t>ø32 x h3</t>
  </si>
  <si>
    <t>Tom plate high curved white is a showcase of excellence in PLATES, BOWLS &amp; TRAYS. It combines style, functionality, and unmatched quality.</t>
  </si>
  <si>
    <t>PP029-BL</t>
  </si>
  <si>
    <t>Bob plate flat black</t>
  </si>
  <si>
    <t>PBTO-STO-BLA-d131,5-IND</t>
  </si>
  <si>
    <t>Experience unparalleled sophistication with the Tom plate flat black from our PLATES, BOWLS &amp; TRAYS range. It's where design meets functionality.</t>
  </si>
  <si>
    <t>PP001 -BL</t>
  </si>
  <si>
    <t>PBTO-STO-BLA-d181,5-IND</t>
  </si>
  <si>
    <t>Tom plate flat black is a showcase of excellence in PLATES, BOWLS &amp; TRAYS. It combines style, functionality, and unmatched quality.</t>
  </si>
  <si>
    <t>PP002-BL</t>
  </si>
  <si>
    <t>PBTO-STO-BLA-d241,5-IND</t>
  </si>
  <si>
    <t>Discover the unique charm of Tom plate flat black in our PLATES, BOWLS &amp; TRAYS collection. It's not just a product; it's a lifestyle.</t>
  </si>
  <si>
    <t>PP003-BL</t>
  </si>
  <si>
    <t>PBTO-STO-BLA-d271,5-IND</t>
  </si>
  <si>
    <t>PP004-BL</t>
  </si>
  <si>
    <t>PBTO-STO-BLA-d321,5-IND</t>
  </si>
  <si>
    <t>The Tom plate flat black in our PLATES, BOWLS &amp; TRAYS collection is a masterpiece of craftsmanship, offering both durability and aesthetic appeal.</t>
  </si>
  <si>
    <t>PP030-BL</t>
  </si>
  <si>
    <t>Bob plate soft curved blac</t>
  </si>
  <si>
    <t>Experience unparalleled sophistication with the Tom plate soft curved black from our PLATES, BOWLS &amp; TRAYS range. It's where design meets functionality.</t>
  </si>
  <si>
    <t>PP017-BL</t>
  </si>
  <si>
    <t>Redefine elegance with the Tom plate soft curved black, a pinnacle of our PLATES, BOWLS &amp; TRAYS series. Its design is both innovative and timeless.</t>
  </si>
  <si>
    <t>PP018-BL</t>
  </si>
  <si>
    <t>Tom plate soft curved black is a showcase of excellence in PLATES, BOWLS &amp; TRAYS. It combines style, functionality, and unmatched quality.</t>
  </si>
  <si>
    <t>PP019 -BL</t>
  </si>
  <si>
    <t>Discover the unique charm of Tom plate soft curved black in our PLATES, BOWLS &amp; TRAYS collection. It's not just a product; it's a lifestyle.</t>
  </si>
  <si>
    <t>PP020-BL</t>
  </si>
  <si>
    <t>PP031-BL</t>
  </si>
  <si>
    <t>Bob plate high curved black</t>
  </si>
  <si>
    <t>PBTO-STO-BLA-d133-IND</t>
  </si>
  <si>
    <t>Tom plate high curved black is a showcase of excellence in PLATES, BOWLS &amp; TRAYS. It combines style, functionality, and unmatched quality.</t>
  </si>
  <si>
    <t>PP005-BL</t>
  </si>
  <si>
    <t>PBTO-STO-BLA-d203-IND</t>
  </si>
  <si>
    <t>PP014-BL</t>
  </si>
  <si>
    <t>PBTO-STO-BLA-d223-IND</t>
  </si>
  <si>
    <t>Redefine elegance with the Tom plate high curved black, a pinnacle of our PLATES, BOWLS &amp; TRAYS series. Its design is both innovative and timeless.</t>
  </si>
  <si>
    <t>PP015-BL</t>
  </si>
  <si>
    <t>PBTO-STO-BLA-d273-IND</t>
  </si>
  <si>
    <t>Discover the unique charm of Tom plate high curved black in our PLATES, BOWLS &amp; TRAYS collection. It's not just a product; it's a lifestyle.</t>
  </si>
  <si>
    <t>PP016 -BL</t>
  </si>
  <si>
    <t>PBTO-STO-BLA-d323-IND</t>
  </si>
  <si>
    <t>Experience unparalleled sophistication with the Tom plate high curved black from our PLATES, BOWLS &amp; TRAYS range. It's where design meets functionality.</t>
  </si>
  <si>
    <t>PP006-WH</t>
  </si>
  <si>
    <t>Zion bowl white</t>
  </si>
  <si>
    <t>PBHE-STO-WHI-d84-IND</t>
  </si>
  <si>
    <t>ø8 x h4</t>
  </si>
  <si>
    <t>Hena bowl white is a showcase of excellence in PLATES, BOWLS &amp; TRAYS. It combines style, functionality, and unmatched quality.</t>
  </si>
  <si>
    <t>PP025-WH</t>
  </si>
  <si>
    <t>PBHE-STO-WHI-d126-IND</t>
  </si>
  <si>
    <t>ø12 x h6</t>
  </si>
  <si>
    <t>PP007-WH</t>
  </si>
  <si>
    <t>PBHE-STO-WHI-d124-IND</t>
  </si>
  <si>
    <t>ø12 x h4</t>
  </si>
  <si>
    <t>PP013-WH</t>
  </si>
  <si>
    <t>PBHE-STO-WHI-d13,55-IND</t>
  </si>
  <si>
    <t>ø13,5 x h5</t>
  </si>
  <si>
    <t>Discover the unique charm of Hena bowl white in our PLATES, BOWLS &amp; TRAYS collection. It's not just a product; it's a lifestyle.</t>
  </si>
  <si>
    <t>PBHE-STO-WHI-d268-IND</t>
  </si>
  <si>
    <t>ø26 x h8</t>
  </si>
  <si>
    <t>PP008-WH</t>
  </si>
  <si>
    <t>PBHE-STO-WHI-d1610-IND</t>
  </si>
  <si>
    <t>ø16 x h10</t>
  </si>
  <si>
    <t>PP023-WH</t>
  </si>
  <si>
    <t>PBHE-STO-WHI-d175-IND</t>
  </si>
  <si>
    <t>ø17 x h5</t>
  </si>
  <si>
    <t>Experience unparalleled sophistication with the Hena bowl white from our PLATES, BOWLS &amp; TRAYS range. It's where design meets functionality.</t>
  </si>
  <si>
    <t>PP024-WH</t>
  </si>
  <si>
    <t>PBHE-STO-WHI-d205-IND</t>
  </si>
  <si>
    <t>ø20 x K5</t>
  </si>
  <si>
    <t>The Hena bowl white in our PLATES, BOWLS &amp; TRAYS collection is a masterpiece of craftsmanship, offering both durability and aesthetic appeal.</t>
  </si>
  <si>
    <t>PP027-WH</t>
  </si>
  <si>
    <t>PBHE-STO-WHI-d208-IND</t>
  </si>
  <si>
    <t xml:space="preserve"> ø20 x h8</t>
  </si>
  <si>
    <t>PP028-WH</t>
  </si>
  <si>
    <t>PBHE-STO-WHI-d258-IND</t>
  </si>
  <si>
    <t>ø25 x h8</t>
  </si>
  <si>
    <t>Redefine elegance with the Hena bowl white, a pinnacle of our PLATES, BOWLS &amp; TRAYS series. Its design is both innovative and timeless.</t>
  </si>
  <si>
    <t>PP009-WH</t>
  </si>
  <si>
    <t>PBHE-STO-WHI-d2514-IND</t>
  </si>
  <si>
    <t>ø25 x h14</t>
  </si>
  <si>
    <t>PP010-WH</t>
  </si>
  <si>
    <t>PBHE-STO-WHI-d348-IND</t>
  </si>
  <si>
    <t xml:space="preserve"> ø34 x h8</t>
  </si>
  <si>
    <t>PP035-WH</t>
  </si>
  <si>
    <t>Zen bowl white</t>
  </si>
  <si>
    <t>PBHE-STO-WHI-d136,5-IND</t>
  </si>
  <si>
    <t>ø13 x h6,5</t>
  </si>
  <si>
    <t>PP038-WH</t>
  </si>
  <si>
    <t>PBHE-STO-WHI-d168-IND</t>
  </si>
  <si>
    <t>ø16 x h8</t>
  </si>
  <si>
    <t>PP036-WH</t>
  </si>
  <si>
    <t>PBHE-STO-WHI-d19,59,5-IND</t>
  </si>
  <si>
    <t>ø19,5 x h9,5</t>
  </si>
  <si>
    <t>PP037-WH</t>
  </si>
  <si>
    <t>PBHE-STO-WHI-d2613-IND</t>
  </si>
  <si>
    <t>ø26 x h13</t>
  </si>
  <si>
    <t>PP043-WH</t>
  </si>
  <si>
    <t>Helena plate white</t>
  </si>
  <si>
    <t>PBYE-STO-WHI-8121.5-IND</t>
  </si>
  <si>
    <t>w8 x d12 x h1.5</t>
  </si>
  <si>
    <t>Yelena plate white is a showcase of excellence in PLATES, BOWLS &amp; TRAYS. It combines style, functionality, and unmatched quality.</t>
  </si>
  <si>
    <t>PP044-WH</t>
  </si>
  <si>
    <t>PBYE-STO-WHI-18121,5-IND</t>
  </si>
  <si>
    <t>w18 x d12 x h1,5</t>
  </si>
  <si>
    <t>Redefine elegance with the Yelena plate white, a pinnacle of our PLATES, BOWLS &amp; TRAYS series. Its design is both innovative and timeless.</t>
  </si>
  <si>
    <t>PP045-WH</t>
  </si>
  <si>
    <t>PBYE-STO-WHI-27201,5-IND</t>
  </si>
  <si>
    <t>w27 x d20 x h1,5</t>
  </si>
  <si>
    <t>PP046-WH</t>
  </si>
  <si>
    <t>PBYE-STO-WHI-34241,5-IND</t>
  </si>
  <si>
    <t>w34 x d24 x h1,5</t>
  </si>
  <si>
    <t>Discover the unique charm of Yelena plate white in our PLATES, BOWLS &amp; TRAYS collection. It's not just a product; it's a lifestyle.</t>
  </si>
  <si>
    <t>PP047-WH</t>
  </si>
  <si>
    <t>PBYE-STO-WHI-42271,5-IND</t>
  </si>
  <si>
    <t>w42 x d27 x h1,5</t>
  </si>
  <si>
    <t>PP006-BL</t>
  </si>
  <si>
    <t>Zion bowl black</t>
  </si>
  <si>
    <t>PBHE-STO-BLA-d84-IND</t>
  </si>
  <si>
    <t>Redefine elegance with the Hena bowl black, a pinnacle of our PLATES, BOWLS &amp; TRAYS series. Its design is both innovative and timeless.</t>
  </si>
  <si>
    <t>PP025-BL</t>
  </si>
  <si>
    <t>PBHE-STO-BLA-d126-IND</t>
  </si>
  <si>
    <t>Discover the unique charm of Hena bowl black in our PLATES, BOWLS &amp; TRAYS collection. It's not just a product; it's a lifestyle.</t>
  </si>
  <si>
    <t>PP007-BL</t>
  </si>
  <si>
    <t>PBHE-STO-BLA-d124-IND</t>
  </si>
  <si>
    <t>PP013-BL</t>
  </si>
  <si>
    <t>PBHE-STO-BLA-d13,55-IND</t>
  </si>
  <si>
    <t>The Hena bowl black in our PLATES, BOWLS &amp; TRAYS collection is a masterpiece of craftsmanship, offering both durability and aesthetic appeal.</t>
  </si>
  <si>
    <t>PP026-BL</t>
  </si>
  <si>
    <t>PBHE-STO-BLA-d268-IND</t>
  </si>
  <si>
    <t>PP008-BL</t>
  </si>
  <si>
    <t>PBHE-STO-BLA-d1610-IND</t>
  </si>
  <si>
    <t>PP023-BL</t>
  </si>
  <si>
    <t>PBHE-STO-BLA-d175-IND</t>
  </si>
  <si>
    <t>Hena bowl black is a showcase of excellence in PLATES, BOWLS &amp; TRAYS. It combines style, functionality, and unmatched quality.</t>
  </si>
  <si>
    <t>PP024-BL</t>
  </si>
  <si>
    <t>PP027-BL</t>
  </si>
  <si>
    <t>PBHE-STO-BLA-d208-IND</t>
  </si>
  <si>
    <t>PP028-BL</t>
  </si>
  <si>
    <t>PBHE-STO-BLA-d258-IND</t>
  </si>
  <si>
    <t>Experience unparalleled sophistication with the Hena bowl black from our PLATES, BOWLS &amp; TRAYS range. It's where design meets functionality.</t>
  </si>
  <si>
    <t>PP009-BL</t>
  </si>
  <si>
    <t>PBHE-STO-BLA-d2514-IND</t>
  </si>
  <si>
    <t>PP010-BL</t>
  </si>
  <si>
    <t>PBHE-STO-BLA-d348-IND</t>
  </si>
  <si>
    <t>PP035-BL</t>
  </si>
  <si>
    <t>Zen bowl</t>
  </si>
  <si>
    <t>PBHE-STO-BLA-d136,5-IND</t>
  </si>
  <si>
    <t>Hena bowl is a showcase of excellence in PLATES, BOWLS &amp; TRAYS. It combines style, functionality, and unmatched quality.</t>
  </si>
  <si>
    <t>PP038-BL</t>
  </si>
  <si>
    <t>PBHE-STO-BLA-d168-IND</t>
  </si>
  <si>
    <t>PP036-BL</t>
  </si>
  <si>
    <t>PBHE-STO-BLA-d19,59,5-IND</t>
  </si>
  <si>
    <t>Redefine elegance with the Hena bowl, a pinnacle of our PLATES, BOWLS &amp; TRAYS series. Its design is both innovative and timeless.</t>
  </si>
  <si>
    <t>PP037-BL</t>
  </si>
  <si>
    <t>PBHE-STO-BLA-d2613-IND</t>
  </si>
  <si>
    <t>The Hena bowl in our PLATES, BOWLS &amp; TRAYS collection is a masterpiece of craftsmanship, offering both durability and aesthetic appeal.</t>
  </si>
  <si>
    <t>PP043-BL</t>
  </si>
  <si>
    <t>Helena plate black</t>
  </si>
  <si>
    <t>PBYE-STO-BLA-8121.5-IND</t>
  </si>
  <si>
    <t>stoneware indoor # 6</t>
  </si>
  <si>
    <t>The Yelena plate black in our PLATES, BOWLS &amp; TRAYS collection is a masterpiece of craftsmanship, offering both durability and aesthetic appeal.</t>
  </si>
  <si>
    <t>PP044-BL</t>
  </si>
  <si>
    <t>PBYE-STO-BLA-18121,5-IND</t>
  </si>
  <si>
    <t>Yelena plate black is a showcase of excellence in PLATES, BOWLS &amp; TRAYS. It combines style, functionality, and unmatched quality.</t>
  </si>
  <si>
    <t>PP045-BL</t>
  </si>
  <si>
    <t>PBYE-STO-BLA-27201,5-IND</t>
  </si>
  <si>
    <t>Experience unparalleled sophistication with the Yelena plate black from our PLATES, BOWLS &amp; TRAYS range. It's where design meets functionality.</t>
  </si>
  <si>
    <t>PP046-BL</t>
  </si>
  <si>
    <t>PBYE-STO-BLA-34241,5-IND</t>
  </si>
  <si>
    <t>PP047-BL</t>
  </si>
  <si>
    <t>PBYE-STO-BLA-42271,5-IND</t>
  </si>
  <si>
    <t>Redefine elegance with the Yelena plate black, a pinnacle of our PLATES, BOWLS &amp; TRAYS series. Its design is both innovative and timeless.</t>
  </si>
  <si>
    <t>764-CL</t>
  </si>
  <si>
    <t>Helena bowl clear</t>
  </si>
  <si>
    <t>PBYE-GLA-CLE-d94-SEM</t>
  </si>
  <si>
    <t>ø9 x h4</t>
  </si>
  <si>
    <t>clear glass semi # 6</t>
  </si>
  <si>
    <t>Discover the unique charm of Yelena bowl clear in our PLATES, BOWLS &amp; TRAYS collection. It's not just a product; it's a lifestyle.</t>
  </si>
  <si>
    <t>765-CL</t>
  </si>
  <si>
    <t>PBYE-GLA-CLE-d155-SEM</t>
  </si>
  <si>
    <t>ø15 x h5</t>
  </si>
  <si>
    <t>Experience unparalleled sophistication with the Yelena bowl clear from our PLATES, BOWLS &amp; TRAYS range. It's where design meets functionality.</t>
  </si>
  <si>
    <t>896-CL</t>
  </si>
  <si>
    <t>PBYE-GLA-CLE-d166-SEM</t>
  </si>
  <si>
    <t xml:space="preserve"> ø16 x h6</t>
  </si>
  <si>
    <t>Yelena bowl clear is a showcase of excellence in PLATES, BOWLS &amp; TRAYS. It combines style, functionality, and unmatched quality.</t>
  </si>
  <si>
    <t>766-CL</t>
  </si>
  <si>
    <t>PBYE-GLA-CLE-d175-SEM</t>
  </si>
  <si>
    <t>Redefine elegance with the Yelena bowl clear, a pinnacle of our PLATES, BOWLS &amp; TRAYS series. Its design is both innovative and timeless.</t>
  </si>
  <si>
    <t>897-CL</t>
  </si>
  <si>
    <t>PBYE-GLA-CLE-d206-SEM</t>
  </si>
  <si>
    <t>ø20 x h6</t>
  </si>
  <si>
    <t>The Yelena bowl clear in our PLATES, BOWLS &amp; TRAYS collection is a masterpiece of craftsmanship, offering both durability and aesthetic appeal.</t>
  </si>
  <si>
    <t>898-CL</t>
  </si>
  <si>
    <t>PBYE-GLA-CLE-d209-SEM</t>
  </si>
  <si>
    <t xml:space="preserve"> ø20 x h9</t>
  </si>
  <si>
    <t>845-CL</t>
  </si>
  <si>
    <t>PBYE-GLA-CLE-d286-SEM</t>
  </si>
  <si>
    <t>ø28 x h6</t>
  </si>
  <si>
    <t>899-CL</t>
  </si>
  <si>
    <t>PBYE-GLA-CLE-d289-SEM</t>
  </si>
  <si>
    <t>ø28 x h9</t>
  </si>
  <si>
    <t>764-CLMT</t>
  </si>
  <si>
    <t>Helena bowl clear matte</t>
  </si>
  <si>
    <t>clear matte glass semi # 6</t>
  </si>
  <si>
    <t>Discover the unique charm of Yelena bowl clear matte in our PLATES, BOWLS &amp; TRAYS collection. It's not just a product; it's a lifestyle.</t>
  </si>
  <si>
    <t>765-CLMT</t>
  </si>
  <si>
    <t xml:space="preserve"> ø15 x h5</t>
  </si>
  <si>
    <t>Redefine elegance with the Yelena bowl clear matte, a pinnacle of our PLATES, BOWLS &amp; TRAYS series. Its design is both innovative and timeless.</t>
  </si>
  <si>
    <t>766-CLMT</t>
  </si>
  <si>
    <t>Yelena bowl clear matte is a showcase of excellence in PLATES, BOWLS &amp; TRAYS. It combines style, functionality, and unmatched quality.</t>
  </si>
  <si>
    <t>896-CLMT</t>
  </si>
  <si>
    <t>ø16 x h6</t>
  </si>
  <si>
    <t>The Yelena bowl clear matte in our PLATES, BOWLS &amp; TRAYS collection is a masterpiece of craftsmanship, offering both durability and aesthetic appeal.</t>
  </si>
  <si>
    <t>897-CLMT</t>
  </si>
  <si>
    <t>764-GR</t>
  </si>
  <si>
    <t>Helena bowl grey</t>
  </si>
  <si>
    <t>PBYE-GLA-GRE-d94-SEM</t>
  </si>
  <si>
    <t>grey glass semi # 6</t>
  </si>
  <si>
    <t>The Yelena bowl grey in our PLATES, BOWLS &amp; TRAYS collection is a masterpiece of craftsmanship, offering both durability and aesthetic appeal.</t>
  </si>
  <si>
    <t>765-GR</t>
  </si>
  <si>
    <t>PBYE-GLA-GRE-d155-SEM</t>
  </si>
  <si>
    <t>Experience unparalleled sophistication with the Yelena bowl grey from our PLATES, BOWLS &amp; TRAYS range. It's where design meets functionality.</t>
  </si>
  <si>
    <t>766-GR</t>
  </si>
  <si>
    <t>PBYE-GLA-GRE-d175-SEM</t>
  </si>
  <si>
    <t>764-GRMT</t>
  </si>
  <si>
    <t>Helena bowl grey matte</t>
  </si>
  <si>
    <t>PBYE-GLA-MAT-d94-SEM</t>
  </si>
  <si>
    <t>grey matte glass semi # 6</t>
  </si>
  <si>
    <t>Experience unparalleled sophistication with the Yelena bowl grey matte from our PLATES, BOWLS &amp; TRAYS range. It's where design meets functionality.</t>
  </si>
  <si>
    <t>765-GRMT</t>
  </si>
  <si>
    <t>PBYE-GLA-MAT-d155-SEM</t>
  </si>
  <si>
    <t>Discover the unique charm of Yelena bowl grey matte in our PLATES, BOWLS &amp; TRAYS collection. It's not just a product; it's a lifestyle.</t>
  </si>
  <si>
    <t>896-GRMT</t>
  </si>
  <si>
    <t>PBYE-GLA-MAT-d166-SEM</t>
  </si>
  <si>
    <t>The Yelena bowl grey matte in our PLATES, BOWLS &amp; TRAYS collection is a masterpiece of craftsmanship, offering both durability and aesthetic appeal.</t>
  </si>
  <si>
    <t>766-GRMT</t>
  </si>
  <si>
    <t>PBYE-GLA-MAT-d175-SEM</t>
  </si>
  <si>
    <t>Redefine elegance with the Yelena bowl grey matte, a pinnacle of our PLATES, BOWLS &amp; TRAYS series. Its design is both innovative and timeless.</t>
  </si>
  <si>
    <t>897-GRMT</t>
  </si>
  <si>
    <t>PBYE-GLA-MAT-d206-SEM</t>
  </si>
  <si>
    <t>899-GRMT</t>
  </si>
  <si>
    <t>PBYE-GLA-MAT-d289-SEM</t>
  </si>
  <si>
    <t>Yelena bowl grey matte is a showcase of excellence in PLATES, BOWLS &amp; TRAYS. It combines style, functionality, and unmatched quality.</t>
  </si>
  <si>
    <t>Cis punch bowl</t>
  </si>
  <si>
    <t>PBRA-GLA-CLE-d2530-SEM</t>
  </si>
  <si>
    <t>Discover the unique charm of Ran punch bowl in our PLATES, BOWLS &amp; TRAYS collection. It's not just a product; it's a lifestyle.</t>
  </si>
  <si>
    <t>656-CL</t>
  </si>
  <si>
    <t>PBRA-GLA-CLE-d3035-SEM</t>
  </si>
  <si>
    <t>Ran punch bowl is a showcase of excellence in PLATES, BOWLS &amp; TRAYS. It combines style, functionality, and unmatched quality.</t>
  </si>
  <si>
    <t>811-CL</t>
  </si>
  <si>
    <t>Zion punch bowl</t>
  </si>
  <si>
    <t>PBHE-GLA-CLE-d3030-SEM</t>
  </si>
  <si>
    <t>Hena punch bowl</t>
  </si>
  <si>
    <t>Experience unparalleled sophistication with the Hena punch bowl from our PLATES, BOWLS &amp; TRAYS range. It's where design meets functionality.</t>
  </si>
  <si>
    <t>615-CL</t>
  </si>
  <si>
    <t>Jorgen</t>
  </si>
  <si>
    <t>PBKL-GLA-CLE-d127-SEM</t>
  </si>
  <si>
    <t>ø12 x h7</t>
  </si>
  <si>
    <t>Redefine elegance with the Klopp, a pinnacle of our PLATES, BOWLS &amp; TRAYS series. Its design is both innovative and timeless.</t>
  </si>
  <si>
    <t>616-CL</t>
  </si>
  <si>
    <t>PBKL-GLA-CLE-d158-SEM</t>
  </si>
  <si>
    <t>ø15 x h8</t>
  </si>
  <si>
    <t>Experience unparalleled sophistication with the Klopp from our PLATES, BOWLS &amp; TRAYS range. It's where design meets functionality.</t>
  </si>
  <si>
    <t>617-CL</t>
  </si>
  <si>
    <t>PBKL-GLA-CLE-d2011-SEM</t>
  </si>
  <si>
    <t>ø20 x h11</t>
  </si>
  <si>
    <t>618-CL</t>
  </si>
  <si>
    <t>PBKL-GLA-CLE-d2715-SEM</t>
  </si>
  <si>
    <t>ø27 x h15</t>
  </si>
  <si>
    <t>Discover the unique charm of Klopp in our PLATES, BOWLS &amp; TRAYS collection. It's not just a product; it's a lifestyle.</t>
  </si>
  <si>
    <t>261-CL</t>
  </si>
  <si>
    <t>Max</t>
  </si>
  <si>
    <t>PBDA-GLA-CLE-d144-SEM</t>
  </si>
  <si>
    <t>ø14 x h4</t>
  </si>
  <si>
    <t>Redefine elegance with the Dan, a pinnacle of our PLATES, BOWLS &amp; TRAYS series. Its design is both innovative and timeless.</t>
  </si>
  <si>
    <t>262-CL</t>
  </si>
  <si>
    <t>PBDA-GLA-CLE-d175-SEM</t>
  </si>
  <si>
    <t xml:space="preserve"> ø17 x h5</t>
  </si>
  <si>
    <t>The Dan in our PLATES, BOWLS &amp; TRAYS collection is a masterpiece of craftsmanship, offering both durability and aesthetic appeal.</t>
  </si>
  <si>
    <t>263-CL</t>
  </si>
  <si>
    <t>PBDA-GLA-CLE-d185-SEM</t>
  </si>
  <si>
    <t>ø18 x h5</t>
  </si>
  <si>
    <t>299-CL</t>
  </si>
  <si>
    <t>Breakfast</t>
  </si>
  <si>
    <t>PBPE-GLA-CLE-d128-SEM</t>
  </si>
  <si>
    <t>ø12 x h8</t>
  </si>
  <si>
    <t>Discover the unique charm of Peni in our PLATES, BOWLS &amp; TRAYS collection. It's not just a product; it's a lifestyle.</t>
  </si>
  <si>
    <t>299-GR</t>
  </si>
  <si>
    <t>PBPE-GLA-GRE-d128-SEM</t>
  </si>
  <si>
    <t>Experience unparalleled sophistication with the Peni from our PLATES, BOWLS &amp; TRAYS range. It's where design meets functionality.</t>
  </si>
  <si>
    <t>223-CL</t>
  </si>
  <si>
    <t>Bob with lid</t>
  </si>
  <si>
    <t>PBTO-GLA-GRE-d89,5-SEM</t>
  </si>
  <si>
    <t>ø8 x h9,5</t>
  </si>
  <si>
    <t>Tom with lid is a showcase of excellence in PLATES, BOWLS &amp; TRAYS. It combines style, functionality, and unmatched quality.</t>
  </si>
  <si>
    <t>223-GR</t>
  </si>
  <si>
    <t>The Tom with lid in our PLATES, BOWLS &amp; TRAYS collection is a masterpiece of craftsmanship, offering both durability and aesthetic appeal.</t>
  </si>
  <si>
    <t>272-CL</t>
  </si>
  <si>
    <t>Bob with lid low</t>
  </si>
  <si>
    <t>PBTO-GLA-CLE-d11,58,5-SEM</t>
  </si>
  <si>
    <t>ø11,5 x h8,5</t>
  </si>
  <si>
    <t>Redefine elegance with the Tom with lid low, a pinnacle of our PLATES, BOWLS &amp; TRAYS series. Its design is both innovative and timeless.</t>
  </si>
  <si>
    <t>273-CL</t>
  </si>
  <si>
    <t>PBTO-GLA-CLE-d16,58,5-SEM</t>
  </si>
  <si>
    <t xml:space="preserve"> ø16,5 x h8,5</t>
  </si>
  <si>
    <t>Tom with lid low is a showcase of excellence in PLATES, BOWLS &amp; TRAYS. It combines style, functionality, and unmatched quality.</t>
  </si>
  <si>
    <t>274-CL</t>
  </si>
  <si>
    <t>PBTO-GLA-CLE-d298,5-SEM</t>
  </si>
  <si>
    <t>ø29 x h8,5</t>
  </si>
  <si>
    <t>Discover the unique charm of Tom with lid low in our PLATES, BOWLS &amp; TRAYS collection. It's not just a product; it's a lifestyle.</t>
  </si>
  <si>
    <t>267-CL</t>
  </si>
  <si>
    <t>Bob with lid high</t>
  </si>
  <si>
    <t>PBTO-GLA-CLE-d1515-SEM</t>
  </si>
  <si>
    <t>ø15 x H15</t>
  </si>
  <si>
    <t>Tom with lid high is a showcase of excellence in PLATES, BOWLS &amp; TRAYS. It combines style, functionality, and unmatched quality.</t>
  </si>
  <si>
    <t>268-CL</t>
  </si>
  <si>
    <t>PBTO-GLA-CLE-d1519-SEM</t>
  </si>
  <si>
    <t>ø15 x h19</t>
  </si>
  <si>
    <t>269-CL</t>
  </si>
  <si>
    <t>PBTO-GLA-CLE-d1525-SEM</t>
  </si>
  <si>
    <t xml:space="preserve"> ø15 x h25</t>
  </si>
  <si>
    <t>Experience unparalleled sophistication with the Tom with lid high from our PLATES, BOWLS &amp; TRAYS range. It's where design meets functionality.</t>
  </si>
  <si>
    <t>270-CL</t>
  </si>
  <si>
    <t>PBTO-GLA-CLE-d1529-SEM</t>
  </si>
  <si>
    <t>ø15 x h29</t>
  </si>
  <si>
    <t>The Tom with lid high in our PLATES, BOWLS &amp; TRAYS collection is a masterpiece of craftsmanship, offering both durability and aesthetic appeal.</t>
  </si>
  <si>
    <t>ACCESSORIES</t>
  </si>
  <si>
    <t>FL625-ST</t>
  </si>
  <si>
    <t>Zion stick wood</t>
  </si>
  <si>
    <t>Kitchen &amp; Dining &gt; Accessories</t>
  </si>
  <si>
    <t>ACHE-TEA-NAT-d312-IND</t>
  </si>
  <si>
    <t>Hena stick wood</t>
  </si>
  <si>
    <t>ø3 x h12</t>
  </si>
  <si>
    <t>teak root
indoor</t>
  </si>
  <si>
    <t>The Hena stick wood in our ACCESSORIES collection is a masterpiece of craftsmanship, offering both durability and aesthetic appeal.</t>
  </si>
  <si>
    <t>Accessories</t>
  </si>
  <si>
    <t>FL626-ST</t>
  </si>
  <si>
    <t>Romelu stick wood</t>
  </si>
  <si>
    <t>ACFE-TEA-NAT-d3,515,-IND</t>
  </si>
  <si>
    <t>Felix stick wood</t>
  </si>
  <si>
    <t>ø3,5 x h15,5</t>
  </si>
  <si>
    <t>Redefine elegance with the Felix stick wood, a pinnacle of our ACCESSORIES series. Its design is both innovative and timeless.</t>
  </si>
  <si>
    <t>FL625-BOWL</t>
  </si>
  <si>
    <t>Bob mortar wood</t>
  </si>
  <si>
    <t>ACTO-TEA-NAT-d1710-IND</t>
  </si>
  <si>
    <t>Tom mortar wood</t>
  </si>
  <si>
    <t>ø17 x h10</t>
  </si>
  <si>
    <t>Experience unparalleled sophistication with the Tom mortar wood from our ACCESSORIES range. It's where design meets functionality.</t>
  </si>
  <si>
    <t>FL626-BOWL</t>
  </si>
  <si>
    <t>Romelu mortar wood</t>
  </si>
  <si>
    <t>ACFE-TEA-NAT-d1210-IND</t>
  </si>
  <si>
    <t>Felix mortar wood</t>
  </si>
  <si>
    <t>ø12 x h10</t>
  </si>
  <si>
    <t>Discover the unique charm of Felix mortar wood in our ACCESSORIES collection. It's not just a product; it's a lifestyle.</t>
  </si>
  <si>
    <t>FL624-BOWL</t>
  </si>
  <si>
    <t>Zion mortar wood</t>
  </si>
  <si>
    <t>ACHE-TEA-NAT-d1710-IND</t>
  </si>
  <si>
    <t>Hena mortar wood</t>
  </si>
  <si>
    <t>Discover the unique charm of Hena mortar wood in our ACCESSORIES collection. It's not just a product; it's a lifestyle.</t>
  </si>
  <si>
    <t>CGLMB017010-ST</t>
  </si>
  <si>
    <t>Bob stick stone</t>
  </si>
  <si>
    <t>ACTO-STO-NAT-d4,516-IND</t>
  </si>
  <si>
    <t>Tom stick stone</t>
  </si>
  <si>
    <t>ø4,5 x h16</t>
  </si>
  <si>
    <t>Redefine elegance with the Tom stick stone, a pinnacle of our ACCESSORIES series. Its design is both innovative and timeless.</t>
  </si>
  <si>
    <t>CGLMR012007-ST</t>
  </si>
  <si>
    <t xml:space="preserve">Romelu stick stone </t>
  </si>
  <si>
    <t>ACFE-STO-NAT-d3,516-IND</t>
  </si>
  <si>
    <t>Felix stick stone</t>
  </si>
  <si>
    <t>ø3,5 x h16</t>
  </si>
  <si>
    <t>Redefine elegance with the Felix stick stone, a pinnacle of our ACCESSORIES series. Its design is both innovative and timeless.</t>
  </si>
  <si>
    <t>CGLMB017010-BOWL</t>
  </si>
  <si>
    <t>Bob mortar stone</t>
  </si>
  <si>
    <t>ACTO-STO-NAT-d1710-IND</t>
  </si>
  <si>
    <t>Tom mortar stone</t>
  </si>
  <si>
    <t>ø17 x H10</t>
  </si>
  <si>
    <t>Discover the unique charm of Tom mortar stone in our ACCESSORIES collection. It's not just a product; it's a lifestyle.</t>
  </si>
  <si>
    <t>CGLMR012007-BOWL</t>
  </si>
  <si>
    <t>Romelu mortar stone</t>
  </si>
  <si>
    <t>ACFE-STO-NAT-d127-IND</t>
  </si>
  <si>
    <t>Felix mortar stone</t>
  </si>
  <si>
    <t>Discover the unique charm of Felix mortar stone in our ACCESSORIES collection. It's not just a product; it's a lifestyle.</t>
  </si>
  <si>
    <t>CGLMZ017010-BOWL</t>
  </si>
  <si>
    <t>Zion mortar stone</t>
  </si>
  <si>
    <t>ACHE-STO-NAT-d1710-IND</t>
  </si>
  <si>
    <t>Hena mortar stone</t>
  </si>
  <si>
    <t>Experience unparalleled sophistication with the Hena mortar stone from our ACCESSORIES range. It's where design meets functionality.</t>
  </si>
  <si>
    <t>CGRSAK13</t>
  </si>
  <si>
    <t>Sake server</t>
  </si>
  <si>
    <t>ACNO-STO-NAT-13137-OUT</t>
  </si>
  <si>
    <t>w13 x d13 x h7</t>
  </si>
  <si>
    <t>The nomi sake server in our ACCESSORIES collection is a masterpiece of craftsmanship, offering both durability and aesthetic appeal.</t>
  </si>
  <si>
    <t>CGRSAK17</t>
  </si>
  <si>
    <t>ACNO-STO-NAT-17177-OUT</t>
  </si>
  <si>
    <t>w17 x d17 x h7</t>
  </si>
  <si>
    <t>Discover the unique charm of nomi sake server in our ACCESSORIES collection. It's not just a product; it's a lifestyle.</t>
  </si>
  <si>
    <t>CGL163</t>
  </si>
  <si>
    <t>Salt &amp; pepper holder</t>
  </si>
  <si>
    <t>ACRA-STO-NAT-6,555-OUT</t>
  </si>
  <si>
    <t>Rano salt &amp; pepper holder</t>
  </si>
  <si>
    <t>w6,5 x d5x h5</t>
  </si>
  <si>
    <t>riverstone rough outside, polished inside outdoor</t>
  </si>
  <si>
    <t>Experience unparalleled sophistication with the Rano salt &amp; pepper holder from our ACCESSORIES range. It's where design meets functionality.</t>
  </si>
  <si>
    <t>Kai server</t>
  </si>
  <si>
    <t>ACRY-STO-NAT-11115-OUT</t>
  </si>
  <si>
    <t>Ryu server is a showcase of excellence in ACCESSORIES. It combines style, functionality, and unmatched quality.</t>
  </si>
  <si>
    <t>ACRY-STO-NAT-14145-OUT</t>
  </si>
  <si>
    <t>The Ryu server in our ACCESSORIES collection is a masterpiece of craftsmanship, offering both durability and aesthetic appeal.</t>
  </si>
  <si>
    <t>ACRY-STO-NAT-20205-OUT</t>
  </si>
  <si>
    <t>w20 x d20 x h5</t>
  </si>
  <si>
    <t>Experience unparalleled sophistication with the Ryu server from our ACCESSORIES range. It's where design meets functionality.</t>
  </si>
  <si>
    <t>CGL172</t>
  </si>
  <si>
    <t>Chopstick holder</t>
  </si>
  <si>
    <t>ACHA-STO-NAT-d2.52-IND</t>
  </si>
  <si>
    <t>Hashi</t>
  </si>
  <si>
    <t>ø2.5 x h2</t>
  </si>
  <si>
    <t>Discover the unique charm of Hashi in our ACCESSORIES collection. It's not just a product; it's a lifestyle.</t>
  </si>
  <si>
    <t>FL244</t>
  </si>
  <si>
    <t>Jute cupholders</t>
  </si>
  <si>
    <t>ACDI-JUT-NAT-d104,5-IND</t>
  </si>
  <si>
    <t>Diogo cupholders</t>
  </si>
  <si>
    <t>ø10 x h4,5</t>
  </si>
  <si>
    <t>jute indoor</t>
  </si>
  <si>
    <t>Discover the unique charm of Diogo cupholders in our ACCESSORIES collection. It's not just a product; it's a lifestyle.</t>
  </si>
  <si>
    <t>06</t>
  </si>
  <si>
    <t>CGL173</t>
  </si>
  <si>
    <t>Riverstone coasters</t>
  </si>
  <si>
    <t>ACKR-STO-NAT-d111,5-IND</t>
  </si>
  <si>
    <t>Krasak coasters</t>
  </si>
  <si>
    <t>ø11 x h1,5</t>
  </si>
  <si>
    <t>Discover the unique charm of Krasak coasters in our ACCESSORIES collection. It's not just a product; it's a lifestyle.</t>
  </si>
  <si>
    <t>FL252</t>
  </si>
  <si>
    <t>Wind stone</t>
  </si>
  <si>
    <t>ACGA-STO-NAT-d6-86-8-IND</t>
  </si>
  <si>
    <t>Ganjle wind stone</t>
  </si>
  <si>
    <t>ø6-8 x h6-8</t>
  </si>
  <si>
    <t>stone with rope indoor</t>
  </si>
  <si>
    <t>Experience unparalleled sophistication with the Ganjle wind stone from our ACCESSORIES range. It's where design meets functionality.</t>
  </si>
  <si>
    <t>Basket with handles</t>
  </si>
  <si>
    <t>ACNA-ABA-NAT-d3030-IND</t>
  </si>
  <si>
    <t>Naomi basket with handles</t>
  </si>
  <si>
    <t>The Naomi basket with handles in our ACCESSORIES collection is a masterpiece of craftsmanship, offering both durability and aesthetic appeal.</t>
  </si>
  <si>
    <t>Drinking coaster</t>
  </si>
  <si>
    <t>ACFU-TEA-NAT-d111.5-IND</t>
  </si>
  <si>
    <t>Fujiko drinking coaster</t>
  </si>
  <si>
    <t>ø11 x h1.5 per coaster</t>
  </si>
  <si>
    <t>The Fujiko drinking coaster in our ACCESSORIES collection is a masterpiece of craftsmanship, offering both durability and aesthetic appeal.</t>
  </si>
  <si>
    <t>Plate coaster</t>
  </si>
  <si>
    <t>ACTA-KUB-NAT-d373-IND</t>
  </si>
  <si>
    <t>Tatag plate coaster</t>
  </si>
  <si>
    <t>ø37 x h3</t>
  </si>
  <si>
    <t>kubu indoor</t>
  </si>
  <si>
    <t>The Tatag plate coaster in our ACCESSORIES collection is a masterpiece of craftsmanship, offering both durability and aesthetic appeal.</t>
  </si>
  <si>
    <t>Drinking coaste</t>
  </si>
  <si>
    <t>ACGL-KUB-NAT-d113-IND</t>
  </si>
  <si>
    <t>Glam drinking coaster</t>
  </si>
  <si>
    <t>ø11 x h3</t>
  </si>
  <si>
    <t>Glam drinking coaster is a showcase of excellence in ACCESSORIES. It combines style, functionality, and unmatched quality.</t>
  </si>
  <si>
    <t>kode sub</t>
  </si>
  <si>
    <t>A</t>
  </si>
  <si>
    <t>Furniture</t>
  </si>
  <si>
    <t>Set Table</t>
  </si>
  <si>
    <t>B</t>
  </si>
  <si>
    <t>Decors</t>
  </si>
  <si>
    <t>Mirrors</t>
  </si>
  <si>
    <t>C</t>
  </si>
  <si>
    <t>Kitchen &amp; Dining</t>
  </si>
  <si>
    <t>Sun &amp; Shades</t>
  </si>
  <si>
    <t>Sunbed</t>
  </si>
  <si>
    <t>E</t>
  </si>
  <si>
    <t>Textiles</t>
  </si>
  <si>
    <t>IMPORTANT DETAIL</t>
  </si>
  <si>
    <t>In order to insert the PivotTable you selected, we had to organise your data in columns with a single header row.</t>
  </si>
  <si>
    <t>Field4</t>
  </si>
  <si>
    <t>teak chainsaw cut
indoor</t>
  </si>
  <si>
    <t>oak tiré
indoor</t>
  </si>
  <si>
    <t>oak cadré
indoor</t>
  </si>
  <si>
    <t>oak sculpted
indoor</t>
  </si>
  <si>
    <t>natural teak outoor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</si>
</sst>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&quot;Rp&quot;* #,##0.00_-;\-&quot;Rp&quot;* #,##0.00_-;_-&quot;Rp&quot;* &quot;-&quot;??_-;_-@_-"/>
    <numFmt numFmtId="165" formatCode="_([$€-2]\ * #,##0.00_);_([$€-2]\ * \(#,##0.00\);_([$€-2]\ * &quot;-&quot;??_);_(@_)"/>
    <numFmt numFmtId="166" formatCode="_-[$Rp-3809]* #,##0.00_-;\-[$Rp-3809]* #,##0.00_-;_-[$Rp-3809]* &quot;-&quot;??_-;_-@_-"/>
    <numFmt numFmtId="167" formatCode="_-[$€-2]\ * #,##0.00_-;\-[$€-2]\ * #,##0.00_-;_-[$€-2]\ * &quot;-&quot;??_-;_-@_-"/>
    <numFmt numFmtId="168" formatCode="_(\$* #,##0.00_);_(\$* \(#,##0.00\);_(\$* \-??_);_(@_)"/>
  </numFmts>
  <fonts count="1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7"/>
      <name val="Calibri"/>
      <family val="2"/>
      <scheme val="minor"/>
    </font>
    <font>
      <sz val="12"/>
      <color theme="7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Arial"/>
      <family val="2"/>
    </font>
    <font>
      <sz val="10"/>
      <name val="Trebuchet MS"/>
      <family val="2"/>
      <charset val="1"/>
    </font>
    <font>
      <sz val="8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4472C4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9" fontId="6" fillId="0" borderId="0" applyFont="0" applyFill="0" applyBorder="0" applyAlignment="0" applyProtection="0"/>
    <xf numFmtId="0" fontId="7" fillId="0" borderId="0"/>
    <xf numFmtId="168" fontId="8" fillId="0" borderId="0" applyBorder="0" applyProtection="0"/>
  </cellStyleXfs>
  <cellXfs count="103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1" xfId="0" applyFont="1" applyFill="1" applyBorder="1"/>
    <xf numFmtId="165" fontId="2" fillId="2" borderId="1" xfId="0" applyNumberFormat="1" applyFont="1" applyFill="1" applyBorder="1" applyAlignment="1">
      <alignment horizontal="left"/>
    </xf>
    <xf numFmtId="166" fontId="2" fillId="2" borderId="1" xfId="0" applyNumberFormat="1" applyFont="1" applyFill="1" applyBorder="1" applyAlignment="1">
      <alignment horizontal="left"/>
    </xf>
    <xf numFmtId="166" fontId="2" fillId="2" borderId="1" xfId="0" applyNumberFormat="1" applyFont="1" applyFill="1" applyBorder="1"/>
    <xf numFmtId="164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/>
    <xf numFmtId="9" fontId="2" fillId="2" borderId="1" xfId="1" applyFont="1" applyFill="1" applyBorder="1" applyAlignment="1">
      <alignment horizontal="left"/>
    </xf>
    <xf numFmtId="164" fontId="2" fillId="2" borderId="1" xfId="1" applyNumberFormat="1" applyFont="1" applyFill="1" applyBorder="1" applyAlignment="1">
      <alignment horizontal="left"/>
    </xf>
    <xf numFmtId="9" fontId="2" fillId="3" borderId="0" xfId="0" applyNumberFormat="1" applyFont="1" applyFill="1" applyAlignment="1">
      <alignment horizontal="center"/>
    </xf>
    <xf numFmtId="2" fontId="2" fillId="3" borderId="0" xfId="1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/>
    </xf>
    <xf numFmtId="9" fontId="2" fillId="3" borderId="1" xfId="1" applyFont="1" applyFill="1" applyBorder="1" applyAlignment="1">
      <alignment horizontal="center"/>
    </xf>
    <xf numFmtId="2" fontId="2" fillId="3" borderId="1" xfId="1" applyNumberFormat="1" applyFont="1" applyFill="1" applyBorder="1" applyAlignment="1">
      <alignment horizontal="center"/>
    </xf>
    <xf numFmtId="0" fontId="2" fillId="3" borderId="1" xfId="0" applyFont="1" applyFill="1" applyBorder="1"/>
    <xf numFmtId="165" fontId="2" fillId="3" borderId="1" xfId="1" applyNumberFormat="1" applyFont="1" applyFill="1" applyBorder="1" applyAlignment="1">
      <alignment horizontal="center"/>
    </xf>
    <xf numFmtId="167" fontId="2" fillId="3" borderId="1" xfId="1" applyNumberFormat="1" applyFont="1" applyFill="1" applyBorder="1" applyAlignment="1">
      <alignment horizontal="center"/>
    </xf>
    <xf numFmtId="165" fontId="10" fillId="4" borderId="1" xfId="1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5" borderId="0" xfId="0" applyFont="1" applyFill="1" applyAlignment="1">
      <alignment horizontal="left"/>
    </xf>
    <xf numFmtId="0" fontId="2" fillId="5" borderId="0" xfId="0" applyFont="1" applyFill="1"/>
    <xf numFmtId="165" fontId="2" fillId="5" borderId="0" xfId="0" applyNumberFormat="1" applyFont="1" applyFill="1" applyAlignment="1">
      <alignment horizontal="left"/>
    </xf>
    <xf numFmtId="9" fontId="2" fillId="5" borderId="0" xfId="1" applyFont="1" applyFill="1" applyAlignment="1">
      <alignment horizontal="center"/>
    </xf>
    <xf numFmtId="0" fontId="3" fillId="5" borderId="0" xfId="0" applyFont="1" applyFill="1" applyAlignment="1">
      <alignment horizontal="left"/>
    </xf>
    <xf numFmtId="0" fontId="3" fillId="5" borderId="0" xfId="0" applyFont="1" applyFill="1"/>
    <xf numFmtId="165" fontId="3" fillId="5" borderId="0" xfId="0" applyNumberFormat="1" applyFont="1" applyFill="1" applyAlignment="1">
      <alignment horizontal="left"/>
    </xf>
    <xf numFmtId="0" fontId="4" fillId="5" borderId="0" xfId="0" applyFont="1" applyFill="1" applyAlignment="1">
      <alignment horizontal="left"/>
    </xf>
    <xf numFmtId="0" fontId="4" fillId="5" borderId="0" xfId="0" applyFont="1" applyFill="1"/>
    <xf numFmtId="165" fontId="4" fillId="5" borderId="0" xfId="0" applyNumberFormat="1" applyFont="1" applyFill="1" applyAlignment="1">
      <alignment horizontal="left"/>
    </xf>
    <xf numFmtId="9" fontId="2" fillId="5" borderId="1" xfId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2" fillId="2" borderId="0" xfId="0" applyFont="1" applyFill="1"/>
    <xf numFmtId="164" fontId="2" fillId="2" borderId="0" xfId="0" applyNumberFormat="1" applyFont="1" applyFill="1"/>
    <xf numFmtId="166" fontId="2" fillId="2" borderId="0" xfId="0" applyNumberFormat="1" applyFont="1" applyFill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left"/>
    </xf>
    <xf numFmtId="166" fontId="3" fillId="2" borderId="2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6" fontId="4" fillId="2" borderId="0" xfId="0" applyNumberFormat="1" applyFont="1" applyFill="1" applyAlignment="1">
      <alignment horizontal="center"/>
    </xf>
    <xf numFmtId="166" fontId="9" fillId="2" borderId="3" xfId="3" applyNumberFormat="1" applyFont="1" applyFill="1" applyBorder="1" applyAlignment="1" applyProtection="1">
      <alignment vertical="center"/>
    </xf>
    <xf numFmtId="2" fontId="2" fillId="3" borderId="0" xfId="1" applyNumberFormat="1" applyFont="1" applyFill="1" applyAlignment="1">
      <alignment horizontal="center"/>
    </xf>
    <xf numFmtId="9" fontId="2" fillId="3" borderId="0" xfId="1" applyFont="1" applyFill="1" applyAlignment="1">
      <alignment horizontal="center"/>
    </xf>
    <xf numFmtId="0" fontId="3" fillId="3" borderId="2" xfId="0" applyFont="1" applyFill="1" applyBorder="1" applyAlignment="1">
      <alignment horizontal="center"/>
    </xf>
    <xf numFmtId="9" fontId="3" fillId="3" borderId="2" xfId="1" applyFont="1" applyFill="1" applyBorder="1" applyAlignment="1">
      <alignment horizontal="center"/>
    </xf>
    <xf numFmtId="167" fontId="3" fillId="3" borderId="2" xfId="1" applyNumberFormat="1" applyFont="1" applyFill="1" applyBorder="1" applyAlignment="1">
      <alignment horizontal="center"/>
    </xf>
    <xf numFmtId="167" fontId="1" fillId="3" borderId="3" xfId="2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2" fontId="2" fillId="4" borderId="0" xfId="1" applyNumberFormat="1" applyFont="1" applyFill="1" applyBorder="1" applyAlignment="1">
      <alignment horizontal="center"/>
    </xf>
    <xf numFmtId="9" fontId="2" fillId="4" borderId="1" xfId="1" applyFont="1" applyFill="1" applyBorder="1" applyAlignment="1">
      <alignment horizontal="center"/>
    </xf>
    <xf numFmtId="167" fontId="2" fillId="4" borderId="1" xfId="1" applyNumberFormat="1" applyFont="1" applyFill="1" applyBorder="1" applyAlignment="1">
      <alignment horizontal="center"/>
    </xf>
    <xf numFmtId="2" fontId="3" fillId="3" borderId="2" xfId="1" applyNumberFormat="1" applyFont="1" applyFill="1" applyBorder="1" applyAlignment="1">
      <alignment horizontal="center"/>
    </xf>
    <xf numFmtId="0" fontId="4" fillId="0" borderId="0" xfId="0" applyFont="1"/>
    <xf numFmtId="167" fontId="11" fillId="4" borderId="2" xfId="1" applyNumberFormat="1" applyFont="1" applyFill="1" applyBorder="1" applyAlignment="1">
      <alignment horizontal="center"/>
    </xf>
    <xf numFmtId="0" fontId="4" fillId="6" borderId="0" xfId="0" applyFont="1" applyFill="1" applyAlignment="1">
      <alignment horizontal="left"/>
    </xf>
    <xf numFmtId="0" fontId="4" fillId="6" borderId="0" xfId="0" applyFont="1" applyFill="1"/>
    <xf numFmtId="165" fontId="4" fillId="6" borderId="0" xfId="0" applyNumberFormat="1" applyFont="1" applyFill="1" applyAlignment="1">
      <alignment horizontal="left"/>
    </xf>
    <xf numFmtId="0" fontId="4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164" fontId="4" fillId="6" borderId="0" xfId="0" applyNumberFormat="1" applyFont="1" applyFill="1" applyAlignment="1">
      <alignment horizontal="left"/>
    </xf>
    <xf numFmtId="166" fontId="4" fillId="6" borderId="0" xfId="0" applyNumberFormat="1" applyFont="1" applyFill="1" applyAlignment="1">
      <alignment horizontal="left"/>
    </xf>
    <xf numFmtId="9" fontId="4" fillId="6" borderId="0" xfId="1" applyFont="1" applyFill="1" applyAlignment="1">
      <alignment horizontal="center"/>
    </xf>
    <xf numFmtId="9" fontId="12" fillId="6" borderId="0" xfId="1" applyFont="1" applyFill="1" applyAlignment="1">
      <alignment horizontal="center"/>
    </xf>
    <xf numFmtId="2" fontId="4" fillId="6" borderId="0" xfId="1" applyNumberFormat="1" applyFont="1" applyFill="1" applyAlignment="1">
      <alignment horizontal="center"/>
    </xf>
    <xf numFmtId="9" fontId="2" fillId="6" borderId="1" xfId="1" applyFont="1" applyFill="1" applyBorder="1" applyAlignment="1">
      <alignment horizontal="center"/>
    </xf>
    <xf numFmtId="164" fontId="4" fillId="6" borderId="0" xfId="0" applyNumberFormat="1" applyFont="1" applyFill="1" applyAlignment="1">
      <alignment horizontal="center"/>
    </xf>
    <xf numFmtId="166" fontId="4" fillId="6" borderId="0" xfId="0" applyNumberFormat="1" applyFont="1" applyFill="1" applyAlignment="1">
      <alignment horizontal="center"/>
    </xf>
    <xf numFmtId="165" fontId="2" fillId="6" borderId="1" xfId="0" applyNumberFormat="1" applyFont="1" applyFill="1" applyBorder="1" applyAlignment="1">
      <alignment horizontal="left"/>
    </xf>
    <xf numFmtId="2" fontId="2" fillId="6" borderId="1" xfId="1" applyNumberFormat="1" applyFont="1" applyFill="1" applyBorder="1" applyAlignment="1">
      <alignment horizontal="center"/>
    </xf>
    <xf numFmtId="0" fontId="13" fillId="0" borderId="0" xfId="0" applyFont="1"/>
    <xf numFmtId="0" fontId="14" fillId="0" borderId="0" xfId="0" applyFont="1"/>
    <xf numFmtId="9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0" fontId="2" fillId="0" borderId="0" xfId="0" quotePrefix="1" applyFont="1"/>
    <xf numFmtId="49" fontId="2" fillId="0" borderId="0" xfId="0" applyNumberFormat="1" applyFont="1"/>
    <xf numFmtId="0" fontId="2" fillId="7" borderId="0" xfId="0" applyFont="1" applyFill="1"/>
    <xf numFmtId="0" fontId="3" fillId="7" borderId="0" xfId="0" applyFont="1" applyFill="1"/>
    <xf numFmtId="0" fontId="4" fillId="7" borderId="0" xfId="0" applyFont="1" applyFill="1"/>
    <xf numFmtId="49" fontId="0" fillId="7" borderId="0" xfId="0" applyNumberFormat="1" applyFill="1" applyAlignment="1">
      <alignment horizontal="center" vertical="center"/>
    </xf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49" fontId="2" fillId="3" borderId="0" xfId="0" applyNumberFormat="1" applyFont="1" applyFill="1"/>
    <xf numFmtId="0" fontId="2" fillId="8" borderId="0" xfId="0" applyFont="1" applyFill="1"/>
    <xf numFmtId="0" fontId="3" fillId="8" borderId="0" xfId="0" applyFont="1" applyFill="1"/>
    <xf numFmtId="0" fontId="15" fillId="8" borderId="0" xfId="0" applyFont="1" applyFill="1"/>
    <xf numFmtId="49" fontId="2" fillId="8" borderId="0" xfId="0" applyNumberFormat="1" applyFont="1" applyFill="1"/>
  </cellXfs>
  <cellStyles count="4">
    <cellStyle name="Currency 2" xfId="3" xr:uid="{3ABF50EF-1017-4BC4-A338-39AF0768BCB9}"/>
    <cellStyle name="Normal" xfId="0" builtinId="0"/>
    <cellStyle name="Normal 5" xfId="2" xr:uid="{76CA0CC0-E72C-4D3D-9D0B-CB798991AF1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2095F-9C38-4B10-911A-3D710897E2B5}">
  <dimension ref="A1:IW1169"/>
  <sheetViews>
    <sheetView showGridLines="0" tabSelected="1" zoomScale="105" zoomScaleNormal="100" workbookViewId="0">
      <selection activeCell="AH223" sqref="AH223"/>
    </sheetView>
  </sheetViews>
  <sheetFormatPr defaultColWidth="8.7109375" defaultRowHeight="11.25" customHeight="1"/>
  <cols>
    <col min="1" max="1" width="8.7109375" style="26" customWidth="1"/>
    <col min="2" max="2" width="8.7109375" style="27" customWidth="1"/>
    <col min="3" max="4" width="15.140625" style="28" customWidth="1"/>
    <col min="5" max="5" width="25.85546875" style="22" customWidth="1"/>
    <col min="6" max="6" width="27.7109375" style="22" customWidth="1"/>
    <col min="7" max="7" width="24.5703125" style="22" customWidth="1"/>
    <col min="8" max="8" width="8.7109375" style="22" customWidth="1"/>
    <col min="9" max="9" width="8.7109375" style="23" customWidth="1"/>
    <col min="10" max="10" width="8.7109375" style="22" customWidth="1"/>
    <col min="11" max="13" width="8.7109375" style="23" customWidth="1"/>
    <col min="14" max="14" width="8.7109375" style="3" customWidth="1"/>
    <col min="15" max="15" width="15.42578125" style="3" customWidth="1"/>
    <col min="16" max="16" width="13.42578125" style="8" customWidth="1"/>
    <col min="17" max="17" width="15.5703125" style="8" customWidth="1"/>
    <col min="18" max="18" width="16.85546875" style="6" customWidth="1"/>
    <col min="19" max="19" width="16.85546875" style="3" customWidth="1"/>
    <col min="20" max="21" width="16.85546875" style="16" customWidth="1"/>
    <col min="22" max="22" width="13.28515625" style="14" customWidth="1"/>
    <col min="23" max="23" width="13.28515625" style="18" customWidth="1"/>
    <col min="24" max="24" width="20.28515625" style="61" customWidth="1"/>
    <col min="25" max="25" width="17.42578125" style="61" customWidth="1"/>
    <col min="26" max="26" width="28.5703125" style="15" customWidth="1"/>
    <col min="27" max="27" width="85.42578125" style="22" customWidth="1"/>
    <col min="28" max="32" width="8.7109375" style="1" customWidth="1"/>
    <col min="33" max="33" width="8.7109375" style="91" customWidth="1"/>
    <col min="34" max="35" width="8.7109375" style="1" customWidth="1"/>
    <col min="36" max="36" width="16.5703125" style="1" customWidth="1"/>
    <col min="37" max="42" width="8.7109375" style="1" hidden="1" customWidth="1"/>
    <col min="43" max="49" width="8.7109375" style="1" customWidth="1"/>
    <col min="50" max="50" width="13.85546875" style="95" customWidth="1"/>
    <col min="51" max="51" width="18" style="99" customWidth="1"/>
    <col min="52" max="60" width="8.7109375" style="1" customWidth="1"/>
    <col min="61" max="61" width="8.42578125" style="1" customWidth="1"/>
    <col min="62" max="63" width="8.7109375" style="1" hidden="1" customWidth="1"/>
    <col min="64" max="64" width="19.42578125" style="1" hidden="1" customWidth="1"/>
    <col min="65" max="65" width="8.7109375" style="1" hidden="1" customWidth="1"/>
    <col min="66" max="16373" width="8.7109375" style="1" customWidth="1"/>
    <col min="16374" max="16384" width="8.7109375" style="1"/>
  </cols>
  <sheetData>
    <row r="1" spans="1:257" ht="11.25" customHeight="1">
      <c r="D1" s="29">
        <v>0.5</v>
      </c>
      <c r="E1" s="1"/>
      <c r="F1" s="1"/>
      <c r="G1" s="1"/>
      <c r="H1" s="1"/>
      <c r="I1" s="21"/>
      <c r="J1" s="1"/>
      <c r="K1" s="21"/>
      <c r="L1" s="21"/>
      <c r="M1" s="21"/>
      <c r="N1" s="42"/>
      <c r="O1" s="42"/>
      <c r="P1" s="43"/>
      <c r="Q1" s="43"/>
      <c r="R1" s="44"/>
      <c r="S1" s="42"/>
      <c r="T1" s="11">
        <v>0.3</v>
      </c>
      <c r="U1" s="11">
        <v>0.5</v>
      </c>
      <c r="V1" s="53"/>
      <c r="W1" s="52">
        <v>2</v>
      </c>
      <c r="X1" s="59"/>
      <c r="Y1" s="59"/>
      <c r="Z1" s="12"/>
      <c r="AA1" s="1"/>
    </row>
    <row r="2" spans="1:257" s="2" customFormat="1" ht="12">
      <c r="A2" s="30" t="s">
        <v>0</v>
      </c>
      <c r="B2" s="31" t="s">
        <v>1</v>
      </c>
      <c r="C2" s="32" t="s">
        <v>2</v>
      </c>
      <c r="D2" s="32"/>
      <c r="E2" s="37" t="s">
        <v>3</v>
      </c>
      <c r="F2" s="37" t="s">
        <v>4</v>
      </c>
      <c r="G2" s="37" t="s">
        <v>5</v>
      </c>
      <c r="H2" s="37" t="s">
        <v>6</v>
      </c>
      <c r="I2" s="38" t="s">
        <v>7</v>
      </c>
      <c r="J2" s="37" t="s">
        <v>8</v>
      </c>
      <c r="K2" s="38" t="s">
        <v>9</v>
      </c>
      <c r="L2" s="38" t="s">
        <v>10</v>
      </c>
      <c r="M2" s="38" t="s">
        <v>11</v>
      </c>
      <c r="N2" s="45" t="s">
        <v>12</v>
      </c>
      <c r="O2" s="46" t="s">
        <v>13</v>
      </c>
      <c r="P2" s="45" t="s">
        <v>14</v>
      </c>
      <c r="Q2" s="45" t="s">
        <v>15</v>
      </c>
      <c r="R2" s="47" t="s">
        <v>16</v>
      </c>
      <c r="S2" s="45" t="s">
        <v>17</v>
      </c>
      <c r="T2" s="54" t="s">
        <v>18</v>
      </c>
      <c r="U2" s="54" t="s">
        <v>19</v>
      </c>
      <c r="V2" s="55" t="s">
        <v>20</v>
      </c>
      <c r="W2" s="56" t="s">
        <v>21</v>
      </c>
      <c r="X2" s="64" t="s">
        <v>22</v>
      </c>
      <c r="Y2" s="64" t="s">
        <v>23</v>
      </c>
      <c r="Z2" s="62" t="s">
        <v>24</v>
      </c>
      <c r="AA2" s="37" t="s">
        <v>25</v>
      </c>
      <c r="AG2" s="92" t="s">
        <v>26</v>
      </c>
      <c r="AH2" s="2" t="s">
        <v>27</v>
      </c>
      <c r="AI2" s="2" t="s">
        <v>28</v>
      </c>
      <c r="AJ2" s="2" t="s">
        <v>29</v>
      </c>
      <c r="AK2" s="2" t="s">
        <v>30</v>
      </c>
      <c r="AL2" s="2" t="s">
        <v>31</v>
      </c>
      <c r="AM2" s="2" t="s">
        <v>32</v>
      </c>
      <c r="AQ2" s="2" t="s">
        <v>26</v>
      </c>
      <c r="AR2" s="2" t="s">
        <v>33</v>
      </c>
      <c r="AS2" s="2" t="s">
        <v>34</v>
      </c>
      <c r="AT2" s="2" t="s">
        <v>35</v>
      </c>
      <c r="AU2" s="2" t="s">
        <v>36</v>
      </c>
      <c r="AX2" s="96" t="s">
        <v>37</v>
      </c>
      <c r="AY2" s="100" t="s">
        <v>38</v>
      </c>
      <c r="BA2" s="2" t="s">
        <v>39</v>
      </c>
    </row>
    <row r="3" spans="1:257" s="63" customFormat="1" ht="15.75">
      <c r="A3" s="65" t="s">
        <v>40</v>
      </c>
      <c r="B3" s="66"/>
      <c r="C3" s="67"/>
      <c r="D3" s="67"/>
      <c r="E3" s="68"/>
      <c r="F3" s="69"/>
      <c r="G3" s="68"/>
      <c r="H3" s="68"/>
      <c r="I3" s="65"/>
      <c r="J3" s="68"/>
      <c r="K3" s="65"/>
      <c r="L3" s="65"/>
      <c r="M3" s="65"/>
      <c r="N3" s="68"/>
      <c r="O3" s="65"/>
      <c r="P3" s="70"/>
      <c r="Q3" s="70"/>
      <c r="R3" s="71"/>
      <c r="S3" s="65"/>
      <c r="T3" s="65"/>
      <c r="U3" s="65"/>
      <c r="V3" s="72"/>
      <c r="W3" s="72"/>
      <c r="X3" s="73"/>
      <c r="Y3" s="73"/>
      <c r="Z3" s="74"/>
      <c r="AA3" s="68"/>
      <c r="AB3" s="66"/>
      <c r="AC3" s="66"/>
      <c r="AD3" s="66"/>
      <c r="AE3" s="66"/>
      <c r="AF3" s="66"/>
      <c r="AG3" s="93"/>
      <c r="AX3" s="97"/>
      <c r="AY3" s="101" t="s">
        <v>41</v>
      </c>
      <c r="BC3" s="63" t="s">
        <v>42</v>
      </c>
      <c r="BE3" s="63" t="s">
        <v>43</v>
      </c>
      <c r="BF3" s="63" t="s">
        <v>43</v>
      </c>
    </row>
    <row r="4" spans="1:257" ht="11.25" customHeight="1">
      <c r="A4" s="26" t="s">
        <v>44</v>
      </c>
      <c r="B4" s="27" t="s">
        <v>45</v>
      </c>
      <c r="C4" s="28">
        <v>3409.99</v>
      </c>
      <c r="D4" s="28">
        <f>C4*$D$1</f>
        <v>1704.9949999999999</v>
      </c>
      <c r="E4" s="22" t="s">
        <v>40</v>
      </c>
      <c r="F4" s="22" t="s">
        <v>46</v>
      </c>
      <c r="G4" s="22" t="s">
        <v>47</v>
      </c>
      <c r="H4" s="22" t="s">
        <v>48</v>
      </c>
      <c r="I4" s="23" t="s">
        <v>49</v>
      </c>
      <c r="J4" s="22" t="s">
        <v>50</v>
      </c>
      <c r="K4" s="23">
        <v>260</v>
      </c>
      <c r="L4" s="23">
        <v>85</v>
      </c>
      <c r="M4" s="23">
        <v>75</v>
      </c>
      <c r="N4" s="3">
        <f>(IF(ISBLANK(K4),(L4*L4*M4),(K4*L4*M4)))/1000000</f>
        <v>1.6575</v>
      </c>
      <c r="O4" s="4" t="e">
        <f>(C4-(C4*#REF!))-((C4-(C4*#REF!))*#REF!)</f>
        <v>#REF!</v>
      </c>
      <c r="P4" s="7"/>
      <c r="Q4" s="7"/>
      <c r="R4" s="5">
        <f>P4+Q4</f>
        <v>0</v>
      </c>
      <c r="S4" s="4">
        <f>R4/15000</f>
        <v>0</v>
      </c>
      <c r="T4" s="13">
        <f>C4-(C4*$T$1)</f>
        <v>2386.9929999999999</v>
      </c>
      <c r="U4" s="13">
        <f>T4-(T4*$U$1)</f>
        <v>1193.4965</v>
      </c>
      <c r="V4" s="14">
        <f>U4/C4</f>
        <v>0.35000000000000003</v>
      </c>
      <c r="W4" s="17"/>
      <c r="X4" s="19">
        <f t="shared" ref="X4:X67" si="0">IF(ISBLANK(W4),U4, W4)</f>
        <v>1193.4965</v>
      </c>
      <c r="Y4" s="19">
        <f t="shared" ref="Y4:Y67" si="1">X4*2</f>
        <v>2386.9929999999999</v>
      </c>
      <c r="Z4" s="15" t="e">
        <f t="shared" ref="Z4:Z25" si="2">U4/S4</f>
        <v>#DIV/0!</v>
      </c>
      <c r="AA4" s="22" t="s">
        <v>51</v>
      </c>
      <c r="AG4" s="94" t="s">
        <v>52</v>
      </c>
      <c r="AH4" s="89" t="str">
        <f>VLOOKUP(AG4,Sheet1!$B$3:$D$36,2,FALSE)</f>
        <v>Furniture</v>
      </c>
      <c r="AI4" s="89" t="s">
        <v>53</v>
      </c>
      <c r="AJ4" s="1" t="str">
        <f>TRIM(G4)</f>
        <v>Boris rectangular</v>
      </c>
      <c r="AK4" s="1" t="str">
        <f>TRIM(H4)</f>
        <v>w260 x d85 x h75 x bh70</v>
      </c>
      <c r="AL4" s="1" t="str">
        <f>I4</f>
        <v>Natural teak indoor</v>
      </c>
      <c r="AM4" s="1" t="str">
        <f>I4</f>
        <v>Natural teak indoor</v>
      </c>
      <c r="AN4" s="1" t="str">
        <f>SUBSTITUTE(AL4,"indoor","")</f>
        <v xml:space="preserve">Natural teak </v>
      </c>
      <c r="AO4" s="1" t="s">
        <v>54</v>
      </c>
      <c r="AQ4" s="1" t="str">
        <f>IF(TRIM(AG4)="01","A",IF(TRIM(AG4)="02","B",IF(TRIM(AG4)="03","C",IF(TRIM(AG4)="04","D",IF(TRIM(AG4)="05","E","F")))))</f>
        <v>A</v>
      </c>
      <c r="AR4" s="1" t="str">
        <f>VLOOKUP(TRIM(AI4),Sheet1!$D$3:$E$36,2,FALSE)</f>
        <v>01</v>
      </c>
      <c r="AS4" s="90" t="str">
        <f>IF(LEN(BD4)=1,"0"&amp;BD4,BD4)</f>
        <v>01</v>
      </c>
      <c r="AT4" s="1" t="str">
        <f>IF(LEN(BF4)=1,"0"&amp;BF4,BF4)</f>
        <v>01</v>
      </c>
      <c r="AU4" s="90" t="s">
        <v>55</v>
      </c>
      <c r="AV4" s="90"/>
      <c r="AW4" s="90"/>
      <c r="AX4" s="95" t="str">
        <f>AQ4&amp;AR4&amp;AS4&amp;"-"&amp;AT4&amp;AU4&amp;BA4</f>
        <v>A0101-0110IND</v>
      </c>
      <c r="AY4" s="99" t="str">
        <f>AQ4&amp;AR4&amp;AS4&amp;"-"&amp;AT4&amp;BA4</f>
        <v>A0101-01IND</v>
      </c>
      <c r="AZ4" s="90"/>
      <c r="BA4" s="1" t="str">
        <f>IF(AO4="","",UPPER(LEFT(AO4,3)))</f>
        <v>IND</v>
      </c>
      <c r="BC4" s="1">
        <f>IF(AJ3&lt;&gt;AJ4,1,"")</f>
        <v>1</v>
      </c>
      <c r="BD4" s="90">
        <f>IF(BC4=1,1,BD3+1)</f>
        <v>1</v>
      </c>
      <c r="BE4" s="1">
        <f>IF(AK3&lt;&gt;AK4,1,"")</f>
        <v>1</v>
      </c>
      <c r="BF4" s="1">
        <f>IF(BE4=1,1,BF3+1)</f>
        <v>1</v>
      </c>
    </row>
    <row r="5" spans="1:257" ht="11.25" customHeight="1">
      <c r="A5" s="26" t="s">
        <v>56</v>
      </c>
      <c r="B5" s="27" t="s">
        <v>45</v>
      </c>
      <c r="C5" s="28">
        <v>3619.99</v>
      </c>
      <c r="D5" s="28">
        <f t="shared" ref="D5:D68" si="3">C5*$D$1</f>
        <v>1809.9949999999999</v>
      </c>
      <c r="E5" s="22" t="s">
        <v>40</v>
      </c>
      <c r="F5" s="22" t="s">
        <v>57</v>
      </c>
      <c r="G5" s="22" t="s">
        <v>47</v>
      </c>
      <c r="H5" s="22" t="s">
        <v>48</v>
      </c>
      <c r="I5" s="23" t="s">
        <v>58</v>
      </c>
      <c r="J5" s="22" t="s">
        <v>50</v>
      </c>
      <c r="K5" s="23">
        <v>260</v>
      </c>
      <c r="L5" s="23">
        <v>85</v>
      </c>
      <c r="M5" s="23">
        <v>75</v>
      </c>
      <c r="N5" s="3">
        <f t="shared" ref="N5:N68" si="4">(IF(ISBLANK(K5),(L5*L5*M5),(K5*L5*M5)))/1000000</f>
        <v>1.6575</v>
      </c>
      <c r="O5" s="4" t="e">
        <f>(C5-(C5*#REF!))-((C5-(C5*#REF!))*#REF!)</f>
        <v>#REF!</v>
      </c>
      <c r="P5" s="7"/>
      <c r="Q5" s="7"/>
      <c r="R5" s="5">
        <f t="shared" ref="R5:R68" si="5">P5+Q5</f>
        <v>0</v>
      </c>
      <c r="S5" s="4">
        <f t="shared" ref="S5:S68" si="6">R5/15000</f>
        <v>0</v>
      </c>
      <c r="T5" s="13">
        <f t="shared" ref="T5:T68" si="7">C5-(C5*$T$1)</f>
        <v>2533.9929999999999</v>
      </c>
      <c r="U5" s="13">
        <f>T5-(T5*$U$1)</f>
        <v>1266.9965</v>
      </c>
      <c r="V5" s="14">
        <f>U5/C5</f>
        <v>0.35000000000000003</v>
      </c>
      <c r="W5" s="14"/>
      <c r="X5" s="19">
        <f t="shared" si="0"/>
        <v>1266.9965</v>
      </c>
      <c r="Y5" s="19">
        <f t="shared" si="1"/>
        <v>2533.9929999999999</v>
      </c>
      <c r="Z5" s="15" t="e">
        <f t="shared" si="2"/>
        <v>#DIV/0!</v>
      </c>
      <c r="AA5" s="22" t="s">
        <v>51</v>
      </c>
      <c r="AG5" s="94" t="s">
        <v>52</v>
      </c>
      <c r="AH5" s="89" t="str">
        <f>VLOOKUP(AG5,Sheet1!$B$3:$D$36,2,FALSE)</f>
        <v>Furniture</v>
      </c>
      <c r="AI5" s="89" t="s">
        <v>53</v>
      </c>
      <c r="AJ5" s="1" t="str">
        <f>TRIM(G5)</f>
        <v>Boris rectangular</v>
      </c>
      <c r="AK5" s="1" t="str">
        <f t="shared" ref="AK5:AK68" si="8">TRIM(H5)</f>
        <v>w260 x d85 x h75 x bh70</v>
      </c>
      <c r="AL5" s="1" t="str">
        <f>I5</f>
        <v>Natural teak outdoor</v>
      </c>
      <c r="AM5" s="1" t="str">
        <f t="shared" ref="AM5:AM68" si="9">I5</f>
        <v>Natural teak outdoor</v>
      </c>
      <c r="AN5" s="1" t="str">
        <f>SUBSTITUTE(AL5,"outdoor","")</f>
        <v xml:space="preserve">Natural teak </v>
      </c>
      <c r="AO5" s="1" t="s">
        <v>59</v>
      </c>
      <c r="AQ5" s="1" t="str">
        <f t="shared" ref="AQ5:AQ68" si="10">IF(TRIM(AG5)="01","A",IF(TRIM(AG5)="02","B",IF(TRIM(AG5)="03","C",IF(TRIM(AG5)="04","D",IF(TRIM(AG5)="05","E","F")))))</f>
        <v>A</v>
      </c>
      <c r="AR5" s="1" t="str">
        <f>VLOOKUP(TRIM(AI5),Sheet1!$D$3:$E$36,2,FALSE)</f>
        <v>01</v>
      </c>
      <c r="AS5" s="90" t="str">
        <f t="shared" ref="AS5:AS68" si="11">IF(LEN(BD5)=1,"0"&amp;BD5,BD5)</f>
        <v>02</v>
      </c>
      <c r="AT5" s="1" t="str">
        <f t="shared" ref="AT5:AT68" si="12">IF(LEN(BF5)=1,"0"&amp;BF5,BF5)</f>
        <v>02</v>
      </c>
      <c r="AU5" s="90" t="s">
        <v>55</v>
      </c>
      <c r="AV5" s="90"/>
      <c r="AW5" s="90"/>
      <c r="AX5" s="95" t="str">
        <f>AQ5&amp;AR5&amp;AS5&amp;"-"&amp;AT5&amp;AU5&amp;BA5</f>
        <v>A0102-0210OUT</v>
      </c>
      <c r="AY5" s="99" t="str">
        <f>AQ5&amp;AR5&amp;AS5&amp;"-"&amp;AT5&amp;BA5</f>
        <v>A0102-02OUT</v>
      </c>
      <c r="AZ5" s="90"/>
      <c r="BA5" s="1" t="str">
        <f t="shared" ref="BA5:BA68" si="13">IF(AO5="","",UPPER(LEFT(AO5,3)))</f>
        <v>OUT</v>
      </c>
      <c r="BC5" s="1" t="str">
        <f>IF(AJ4&lt;&gt;AJ5,1,"")</f>
        <v/>
      </c>
      <c r="BD5" s="90">
        <f t="shared" ref="BD5:BD40" si="14">IF(BC5=1,1,BD4+1)</f>
        <v>2</v>
      </c>
      <c r="BE5" s="1" t="str">
        <f t="shared" ref="BE5:BE12" si="15">IF(AK4&lt;&gt;AK5,1,"")</f>
        <v/>
      </c>
      <c r="BF5" s="1">
        <f t="shared" ref="BF5:BF14" si="16">IF(BE5=1,1,BF4+1)</f>
        <v>2</v>
      </c>
    </row>
    <row r="6" spans="1:257" ht="11.25" customHeight="1">
      <c r="A6" s="26" t="s">
        <v>60</v>
      </c>
      <c r="B6" s="27" t="s">
        <v>45</v>
      </c>
      <c r="C6" s="28">
        <v>3759.99</v>
      </c>
      <c r="D6" s="28">
        <f t="shared" si="3"/>
        <v>1879.9949999999999</v>
      </c>
      <c r="E6" s="22" t="s">
        <v>40</v>
      </c>
      <c r="F6" s="22" t="s">
        <v>61</v>
      </c>
      <c r="G6" s="22" t="s">
        <v>47</v>
      </c>
      <c r="H6" s="22" t="s">
        <v>62</v>
      </c>
      <c r="I6" s="23" t="s">
        <v>49</v>
      </c>
      <c r="J6" s="22" t="s">
        <v>50</v>
      </c>
      <c r="K6" s="23">
        <v>300</v>
      </c>
      <c r="L6" s="23">
        <v>90</v>
      </c>
      <c r="M6" s="23">
        <v>75</v>
      </c>
      <c r="N6" s="3">
        <f t="shared" si="4"/>
        <v>2.0249999999999999</v>
      </c>
      <c r="O6" s="4" t="e">
        <f>(C6-(C6*#REF!))-((C6-(C6*#REF!))*#REF!)</f>
        <v>#REF!</v>
      </c>
      <c r="P6" s="7"/>
      <c r="Q6" s="7"/>
      <c r="R6" s="5">
        <f t="shared" si="5"/>
        <v>0</v>
      </c>
      <c r="S6" s="4">
        <f t="shared" si="6"/>
        <v>0</v>
      </c>
      <c r="T6" s="13">
        <f t="shared" si="7"/>
        <v>2631.9929999999999</v>
      </c>
      <c r="U6" s="13">
        <f t="shared" ref="U6:U69" si="17">T6-(T6*$U$1)</f>
        <v>1315.9965</v>
      </c>
      <c r="V6" s="14">
        <f>U6/C6</f>
        <v>0.35000000000000003</v>
      </c>
      <c r="W6" s="14"/>
      <c r="X6" s="19">
        <f t="shared" si="0"/>
        <v>1315.9965</v>
      </c>
      <c r="Y6" s="19">
        <f t="shared" si="1"/>
        <v>2631.9929999999999</v>
      </c>
      <c r="Z6" s="15" t="e">
        <f t="shared" si="2"/>
        <v>#DIV/0!</v>
      </c>
      <c r="AA6" s="22" t="s">
        <v>51</v>
      </c>
      <c r="AG6" s="94" t="s">
        <v>52</v>
      </c>
      <c r="AH6" s="89" t="str">
        <f>VLOOKUP(AG6,Sheet1!$B$3:$D$36,2,FALSE)</f>
        <v>Furniture</v>
      </c>
      <c r="AI6" s="89" t="s">
        <v>53</v>
      </c>
      <c r="AJ6" s="1" t="str">
        <f t="shared" ref="AJ6:AJ38" si="18">TRIM(G6)</f>
        <v>Boris rectangular</v>
      </c>
      <c r="AK6" s="1" t="str">
        <f t="shared" si="8"/>
        <v>w300 x d90 x h75 x bh70</v>
      </c>
      <c r="AL6" s="1" t="str">
        <f t="shared" ref="AL6:AL68" si="19">I6</f>
        <v>Natural teak indoor</v>
      </c>
      <c r="AM6" s="1" t="str">
        <f t="shared" si="9"/>
        <v>Natural teak indoor</v>
      </c>
      <c r="AN6" s="1" t="str">
        <f>SUBSTITUTE(AL6,"indoor","")</f>
        <v xml:space="preserve">Natural teak </v>
      </c>
      <c r="AO6" s="1" t="s">
        <v>54</v>
      </c>
      <c r="AQ6" s="1" t="str">
        <f t="shared" si="10"/>
        <v>A</v>
      </c>
      <c r="AR6" s="1" t="str">
        <f>VLOOKUP(TRIM(AI6),Sheet1!$D$3:$E$36,2,FALSE)</f>
        <v>01</v>
      </c>
      <c r="AS6" s="90" t="str">
        <f t="shared" si="11"/>
        <v>03</v>
      </c>
      <c r="AT6" s="1" t="str">
        <f t="shared" si="12"/>
        <v>01</v>
      </c>
      <c r="AU6" s="90" t="s">
        <v>55</v>
      </c>
      <c r="AV6" s="90"/>
      <c r="AW6" s="90"/>
      <c r="AX6" s="95" t="str">
        <f>AQ6&amp;AR6&amp;AS6&amp;"-"&amp;AT6&amp;AU6&amp;BA6</f>
        <v>A0103-0110IND</v>
      </c>
      <c r="AY6" s="99" t="str">
        <f>AQ6&amp;AR6&amp;AS6&amp;"-"&amp;AT6&amp;BA6</f>
        <v>A0103-01IND</v>
      </c>
      <c r="AZ6" s="90"/>
      <c r="BA6" s="1" t="str">
        <f t="shared" si="13"/>
        <v>IND</v>
      </c>
      <c r="BC6" s="1" t="str">
        <f>IF(AJ5&lt;&gt;AJ6,1,"")</f>
        <v/>
      </c>
      <c r="BD6" s="90">
        <f t="shared" si="14"/>
        <v>3</v>
      </c>
      <c r="BE6" s="1">
        <f t="shared" si="15"/>
        <v>1</v>
      </c>
      <c r="BF6" s="1">
        <f t="shared" si="16"/>
        <v>1</v>
      </c>
      <c r="BJ6" t="s">
        <v>29</v>
      </c>
      <c r="BK6" t="s">
        <v>63</v>
      </c>
      <c r="BL6"/>
    </row>
    <row r="7" spans="1:257" ht="11.25" customHeight="1">
      <c r="A7" s="26" t="s">
        <v>64</v>
      </c>
      <c r="B7" s="27" t="s">
        <v>45</v>
      </c>
      <c r="C7" s="28">
        <v>4119.99</v>
      </c>
      <c r="D7" s="28">
        <f t="shared" si="3"/>
        <v>2059.9949999999999</v>
      </c>
      <c r="E7" s="22" t="s">
        <v>40</v>
      </c>
      <c r="F7" s="22" t="s">
        <v>65</v>
      </c>
      <c r="G7" s="22" t="s">
        <v>47</v>
      </c>
      <c r="H7" s="22" t="s">
        <v>62</v>
      </c>
      <c r="I7" s="23" t="s">
        <v>58</v>
      </c>
      <c r="J7" s="22" t="s">
        <v>50</v>
      </c>
      <c r="K7" s="23">
        <v>300</v>
      </c>
      <c r="L7" s="23">
        <v>90</v>
      </c>
      <c r="M7" s="23">
        <v>75</v>
      </c>
      <c r="N7" s="3">
        <f t="shared" si="4"/>
        <v>2.0249999999999999</v>
      </c>
      <c r="O7" s="4" t="e">
        <f>(C7-(C7*#REF!))-((C7-(C7*#REF!))*#REF!)</f>
        <v>#REF!</v>
      </c>
      <c r="P7" s="7"/>
      <c r="Q7" s="7"/>
      <c r="R7" s="5">
        <f t="shared" si="5"/>
        <v>0</v>
      </c>
      <c r="S7" s="4">
        <f t="shared" si="6"/>
        <v>0</v>
      </c>
      <c r="T7" s="13">
        <f t="shared" si="7"/>
        <v>2883.9929999999999</v>
      </c>
      <c r="U7" s="13">
        <f t="shared" si="17"/>
        <v>1441.9965</v>
      </c>
      <c r="V7" s="14">
        <f>U7/C7</f>
        <v>0.35000000000000003</v>
      </c>
      <c r="W7" s="14"/>
      <c r="X7" s="19">
        <f t="shared" si="0"/>
        <v>1441.9965</v>
      </c>
      <c r="Y7" s="19">
        <f t="shared" si="1"/>
        <v>2883.9929999999999</v>
      </c>
      <c r="Z7" s="15" t="e">
        <f t="shared" si="2"/>
        <v>#DIV/0!</v>
      </c>
      <c r="AA7" s="22" t="s">
        <v>51</v>
      </c>
      <c r="AG7" s="94" t="s">
        <v>52</v>
      </c>
      <c r="AH7" s="89" t="str">
        <f>VLOOKUP(AG7,Sheet1!$B$3:$D$36,2,FALSE)</f>
        <v>Furniture</v>
      </c>
      <c r="AI7" s="89" t="s">
        <v>53</v>
      </c>
      <c r="AJ7" s="1" t="str">
        <f t="shared" si="18"/>
        <v>Boris rectangular</v>
      </c>
      <c r="AK7" s="1" t="str">
        <f t="shared" si="8"/>
        <v>w300 x d90 x h75 x bh70</v>
      </c>
      <c r="AL7" s="1" t="str">
        <f t="shared" si="19"/>
        <v>Natural teak outdoor</v>
      </c>
      <c r="AM7" s="1" t="str">
        <f t="shared" si="9"/>
        <v>Natural teak outdoor</v>
      </c>
      <c r="AN7" s="1" t="str">
        <f>SUBSTITUTE(AL7,"outdoor","")</f>
        <v xml:space="preserve">Natural teak </v>
      </c>
      <c r="AO7" s="1" t="s">
        <v>59</v>
      </c>
      <c r="AQ7" s="1" t="str">
        <f t="shared" si="10"/>
        <v>A</v>
      </c>
      <c r="AR7" s="1" t="str">
        <f>VLOOKUP(TRIM(AI7),Sheet1!$D$3:$E$36,2,FALSE)</f>
        <v>01</v>
      </c>
      <c r="AS7" s="90" t="str">
        <f t="shared" si="11"/>
        <v>04</v>
      </c>
      <c r="AT7" s="1" t="str">
        <f t="shared" si="12"/>
        <v>02</v>
      </c>
      <c r="AU7" s="90" t="s">
        <v>55</v>
      </c>
      <c r="AV7" s="90"/>
      <c r="AW7" s="90"/>
      <c r="AX7" s="95" t="str">
        <f>AQ7&amp;AR7&amp;AS7&amp;"-"&amp;AT7&amp;AU7&amp;BA7</f>
        <v>A0104-0210OUT</v>
      </c>
      <c r="AY7" s="99" t="str">
        <f>AQ7&amp;AR7&amp;AS7&amp;"-"&amp;AT7&amp;BA7</f>
        <v>A0104-02OUT</v>
      </c>
      <c r="AZ7" s="90"/>
      <c r="BA7" s="1" t="str">
        <f t="shared" si="13"/>
        <v>OUT</v>
      </c>
      <c r="BC7" s="1" t="str">
        <f>IF(AJ6&lt;&gt;AJ7,1,"")</f>
        <v/>
      </c>
      <c r="BD7" s="90">
        <f t="shared" si="14"/>
        <v>4</v>
      </c>
      <c r="BE7" s="1" t="str">
        <f t="shared" si="15"/>
        <v/>
      </c>
      <c r="BF7" s="1">
        <f t="shared" si="16"/>
        <v>2</v>
      </c>
      <c r="BJ7" t="s">
        <v>66</v>
      </c>
      <c r="BK7" s="1">
        <v>2</v>
      </c>
      <c r="BL7"/>
      <c r="BM7" t="str">
        <f>REPT(BJ7&amp;"-",BK7)</f>
        <v>Adare bluestone FL107-Adare bluestone FL107-</v>
      </c>
      <c r="FI7" s="63"/>
      <c r="GT7" s="63"/>
      <c r="HJ7" s="63"/>
      <c r="HV7" s="63"/>
      <c r="IW7" s="63"/>
    </row>
    <row r="8" spans="1:257" ht="11.25" customHeight="1">
      <c r="A8" s="26" t="s">
        <v>67</v>
      </c>
      <c r="B8" s="27" t="s">
        <v>68</v>
      </c>
      <c r="C8" s="28">
        <v>1009.99</v>
      </c>
      <c r="D8" s="28">
        <f t="shared" si="3"/>
        <v>504.995</v>
      </c>
      <c r="E8" s="22" t="s">
        <v>40</v>
      </c>
      <c r="F8" s="22" t="s">
        <v>69</v>
      </c>
      <c r="G8" s="22" t="s">
        <v>70</v>
      </c>
      <c r="H8" s="22" t="s">
        <v>71</v>
      </c>
      <c r="I8" s="23" t="s">
        <v>49</v>
      </c>
      <c r="J8" s="22" t="s">
        <v>50</v>
      </c>
      <c r="L8" s="23">
        <v>70</v>
      </c>
      <c r="M8" s="23">
        <v>75</v>
      </c>
      <c r="N8" s="3">
        <f t="shared" si="4"/>
        <v>0.36749999999999999</v>
      </c>
      <c r="O8" s="4" t="e">
        <f>(C8-(C8*#REF!))-((C8-(C8*#REF!))*#REF!)</f>
        <v>#REF!</v>
      </c>
      <c r="P8" s="7"/>
      <c r="Q8" s="7"/>
      <c r="R8" s="5">
        <f t="shared" si="5"/>
        <v>0</v>
      </c>
      <c r="S8" s="4">
        <f t="shared" si="6"/>
        <v>0</v>
      </c>
      <c r="T8" s="13">
        <f t="shared" si="7"/>
        <v>706.99299999999994</v>
      </c>
      <c r="U8" s="13">
        <f t="shared" si="17"/>
        <v>353.49649999999997</v>
      </c>
      <c r="V8" s="14">
        <f>U8/C8</f>
        <v>0.35</v>
      </c>
      <c r="W8" s="14"/>
      <c r="X8" s="19">
        <f t="shared" si="0"/>
        <v>353.49649999999997</v>
      </c>
      <c r="Y8" s="19">
        <f t="shared" si="1"/>
        <v>706.99299999999994</v>
      </c>
      <c r="Z8" s="15" t="e">
        <f t="shared" si="2"/>
        <v>#DIV/0!</v>
      </c>
      <c r="AA8" s="22" t="s">
        <v>72</v>
      </c>
      <c r="AG8" s="94" t="s">
        <v>52</v>
      </c>
      <c r="AH8" s="89" t="str">
        <f>VLOOKUP(AG8,Sheet1!$B$3:$D$36,2,FALSE)</f>
        <v>Furniture</v>
      </c>
      <c r="AI8" s="89" t="s">
        <v>53</v>
      </c>
      <c r="AJ8" s="1" t="str">
        <f t="shared" si="18"/>
        <v>Veliko round</v>
      </c>
      <c r="AK8" s="1" t="str">
        <f t="shared" si="8"/>
        <v>d70 x h75 x bh71</v>
      </c>
      <c r="AL8" s="1" t="str">
        <f t="shared" si="19"/>
        <v>Natural teak indoor</v>
      </c>
      <c r="AM8" s="1" t="str">
        <f t="shared" si="9"/>
        <v>Natural teak indoor</v>
      </c>
      <c r="AN8" s="1" t="str">
        <f>SUBSTITUTE(AL8,"indoor","")</f>
        <v xml:space="preserve">Natural teak </v>
      </c>
      <c r="AO8" s="1" t="s">
        <v>54</v>
      </c>
      <c r="AQ8" s="1" t="str">
        <f t="shared" si="10"/>
        <v>A</v>
      </c>
      <c r="AR8" s="1" t="str">
        <f>VLOOKUP(TRIM(AI8),Sheet1!$D$3:$E$36,2,FALSE)</f>
        <v>01</v>
      </c>
      <c r="AS8" s="90" t="str">
        <f t="shared" si="11"/>
        <v>01</v>
      </c>
      <c r="AT8" s="1" t="str">
        <f t="shared" si="12"/>
        <v>01</v>
      </c>
      <c r="AU8" s="90" t="s">
        <v>55</v>
      </c>
      <c r="AV8" s="90"/>
      <c r="AW8" s="90"/>
      <c r="AX8" s="95" t="str">
        <f>AQ8&amp;AR8&amp;AS8&amp;"-"&amp;AT8&amp;AU8&amp;BA8</f>
        <v>A0101-0110IND</v>
      </c>
      <c r="AY8" s="99" t="str">
        <f>AQ8&amp;AR8&amp;AS8&amp;"-"&amp;AT8&amp;BA8</f>
        <v>A0101-01IND</v>
      </c>
      <c r="AZ8" s="90"/>
      <c r="BA8" s="1" t="str">
        <f t="shared" si="13"/>
        <v>IND</v>
      </c>
      <c r="BC8" s="1">
        <f>IF(AJ7&lt;&gt;AJ8,1,"")</f>
        <v>1</v>
      </c>
      <c r="BD8" s="90">
        <f t="shared" si="14"/>
        <v>1</v>
      </c>
      <c r="BE8" s="1">
        <f t="shared" si="15"/>
        <v>1</v>
      </c>
      <c r="BF8" s="1">
        <f t="shared" si="16"/>
        <v>1</v>
      </c>
      <c r="BJ8" t="s">
        <v>73</v>
      </c>
      <c r="BK8" s="1">
        <v>5</v>
      </c>
      <c r="BL8"/>
      <c r="BM8" t="str">
        <f>REPT(BJ8&amp;"-",BK8)</f>
        <v>Angeline-Angeline-Angeline-Angeline-Angeline-</v>
      </c>
      <c r="FI8" s="63"/>
      <c r="GT8" s="63"/>
      <c r="HJ8" s="63"/>
      <c r="HV8" s="63"/>
      <c r="IW8" s="63"/>
    </row>
    <row r="9" spans="1:257" ht="11.25" customHeight="1">
      <c r="A9" s="26" t="s">
        <v>74</v>
      </c>
      <c r="B9" s="27" t="s">
        <v>68</v>
      </c>
      <c r="C9" s="28">
        <v>1079.99</v>
      </c>
      <c r="D9" s="28">
        <f t="shared" si="3"/>
        <v>539.995</v>
      </c>
      <c r="E9" s="22" t="s">
        <v>40</v>
      </c>
      <c r="F9" s="22" t="s">
        <v>75</v>
      </c>
      <c r="G9" s="22" t="s">
        <v>70</v>
      </c>
      <c r="H9" s="22" t="s">
        <v>71</v>
      </c>
      <c r="I9" s="23" t="s">
        <v>58</v>
      </c>
      <c r="J9" s="22" t="s">
        <v>50</v>
      </c>
      <c r="L9" s="23">
        <v>70</v>
      </c>
      <c r="M9" s="23">
        <v>75</v>
      </c>
      <c r="N9" s="3">
        <f t="shared" si="4"/>
        <v>0.36749999999999999</v>
      </c>
      <c r="O9" s="4" t="e">
        <f>(C9-(C9*#REF!))-((C9-(C9*#REF!))*#REF!)</f>
        <v>#REF!</v>
      </c>
      <c r="P9" s="7"/>
      <c r="Q9" s="7"/>
      <c r="R9" s="5">
        <f t="shared" si="5"/>
        <v>0</v>
      </c>
      <c r="S9" s="4">
        <f t="shared" si="6"/>
        <v>0</v>
      </c>
      <c r="T9" s="13">
        <f t="shared" si="7"/>
        <v>755.99299999999994</v>
      </c>
      <c r="U9" s="13">
        <f t="shared" si="17"/>
        <v>377.99649999999997</v>
      </c>
      <c r="V9" s="14">
        <f>U9/C9</f>
        <v>0.35</v>
      </c>
      <c r="W9" s="14"/>
      <c r="X9" s="19">
        <f t="shared" si="0"/>
        <v>377.99649999999997</v>
      </c>
      <c r="Y9" s="19">
        <f t="shared" si="1"/>
        <v>755.99299999999994</v>
      </c>
      <c r="Z9" s="15" t="e">
        <f t="shared" si="2"/>
        <v>#DIV/0!</v>
      </c>
      <c r="AA9" s="22" t="s">
        <v>76</v>
      </c>
      <c r="AG9" s="94" t="s">
        <v>52</v>
      </c>
      <c r="AH9" s="89" t="str">
        <f>VLOOKUP(AG9,Sheet1!$B$3:$D$36,2,FALSE)</f>
        <v>Furniture</v>
      </c>
      <c r="AI9" s="89" t="s">
        <v>53</v>
      </c>
      <c r="AJ9" s="1" t="str">
        <f t="shared" si="18"/>
        <v>Veliko round</v>
      </c>
      <c r="AK9" s="1" t="str">
        <f t="shared" si="8"/>
        <v>d70 x h75 x bh71</v>
      </c>
      <c r="AL9" s="1" t="str">
        <f t="shared" si="19"/>
        <v>Natural teak outdoor</v>
      </c>
      <c r="AM9" s="1" t="str">
        <f t="shared" si="9"/>
        <v>Natural teak outdoor</v>
      </c>
      <c r="AN9" s="1" t="str">
        <f>SUBSTITUTE(AL9,"outdoor","")</f>
        <v xml:space="preserve">Natural teak </v>
      </c>
      <c r="AO9" s="1" t="s">
        <v>59</v>
      </c>
      <c r="AQ9" s="1" t="str">
        <f t="shared" si="10"/>
        <v>A</v>
      </c>
      <c r="AR9" s="1" t="str">
        <f>VLOOKUP(TRIM(AI9),Sheet1!$D$3:$E$36,2,FALSE)</f>
        <v>01</v>
      </c>
      <c r="AS9" s="90" t="str">
        <f t="shared" si="11"/>
        <v>02</v>
      </c>
      <c r="AT9" s="1" t="str">
        <f t="shared" si="12"/>
        <v>02</v>
      </c>
      <c r="AU9" s="90" t="s">
        <v>55</v>
      </c>
      <c r="AV9" s="90"/>
      <c r="AW9" s="90"/>
      <c r="AX9" s="95" t="str">
        <f>AQ9&amp;AR9&amp;AS9&amp;"-"&amp;AT9&amp;AU9&amp;BA9</f>
        <v>A0102-0210OUT</v>
      </c>
      <c r="AY9" s="99" t="str">
        <f>AQ9&amp;AR9&amp;AS9&amp;"-"&amp;AT9&amp;BA9</f>
        <v>A0102-02OUT</v>
      </c>
      <c r="AZ9" s="90"/>
      <c r="BA9" s="1" t="str">
        <f t="shared" si="13"/>
        <v>OUT</v>
      </c>
      <c r="BC9" s="1" t="str">
        <f>IF(AJ8&lt;&gt;AJ9,1,"")</f>
        <v/>
      </c>
      <c r="BD9" s="90">
        <f t="shared" si="14"/>
        <v>2</v>
      </c>
      <c r="BE9" s="1" t="str">
        <f t="shared" si="15"/>
        <v/>
      </c>
      <c r="BF9" s="1">
        <f t="shared" si="16"/>
        <v>2</v>
      </c>
      <c r="BJ9" t="s">
        <v>77</v>
      </c>
      <c r="BK9" s="1">
        <v>3</v>
      </c>
      <c r="BL9"/>
      <c r="BM9" t="str">
        <f t="shared" ref="BM9:BM72" si="20">REPT(BJ9&amp;"-",BK9)</f>
        <v>Arthur with chain-Arthur with chain-Arthur with chain-</v>
      </c>
      <c r="FI9" s="63"/>
      <c r="GT9" s="63"/>
      <c r="HJ9" s="63"/>
      <c r="HV9" s="63"/>
      <c r="IW9" s="63"/>
    </row>
    <row r="10" spans="1:257" ht="11.25" customHeight="1">
      <c r="A10" s="26" t="s">
        <v>78</v>
      </c>
      <c r="B10" s="27" t="s">
        <v>68</v>
      </c>
      <c r="C10" s="28">
        <v>1249.99</v>
      </c>
      <c r="D10" s="28">
        <f t="shared" si="3"/>
        <v>624.995</v>
      </c>
      <c r="E10" s="22" t="s">
        <v>40</v>
      </c>
      <c r="F10" s="22" t="s">
        <v>79</v>
      </c>
      <c r="G10" s="22" t="s">
        <v>70</v>
      </c>
      <c r="H10" s="22" t="s">
        <v>80</v>
      </c>
      <c r="I10" s="23" t="s">
        <v>49</v>
      </c>
      <c r="J10" s="22" t="s">
        <v>50</v>
      </c>
      <c r="L10" s="23">
        <v>90</v>
      </c>
      <c r="M10" s="23">
        <v>75</v>
      </c>
      <c r="N10" s="3">
        <f t="shared" si="4"/>
        <v>0.60750000000000004</v>
      </c>
      <c r="O10" s="4" t="e">
        <f>(C10-(C10*#REF!))-((C10-(C10*#REF!))*#REF!)</f>
        <v>#REF!</v>
      </c>
      <c r="P10" s="7"/>
      <c r="Q10" s="7"/>
      <c r="R10" s="5">
        <f t="shared" si="5"/>
        <v>0</v>
      </c>
      <c r="S10" s="4">
        <f>R10/15000</f>
        <v>0</v>
      </c>
      <c r="T10" s="13">
        <f t="shared" si="7"/>
        <v>874.99299999999994</v>
      </c>
      <c r="U10" s="13">
        <f t="shared" si="17"/>
        <v>437.49649999999997</v>
      </c>
      <c r="V10" s="14">
        <f>U10/C10</f>
        <v>0.35</v>
      </c>
      <c r="W10" s="14"/>
      <c r="X10" s="19">
        <f t="shared" si="0"/>
        <v>437.49649999999997</v>
      </c>
      <c r="Y10" s="19">
        <f t="shared" si="1"/>
        <v>874.99299999999994</v>
      </c>
      <c r="Z10" s="15" t="e">
        <f t="shared" si="2"/>
        <v>#DIV/0!</v>
      </c>
      <c r="AA10" s="22" t="s">
        <v>81</v>
      </c>
      <c r="AG10" s="94" t="s">
        <v>52</v>
      </c>
      <c r="AH10" s="89" t="str">
        <f>VLOOKUP(AG10,Sheet1!$B$3:$D$36,2,FALSE)</f>
        <v>Furniture</v>
      </c>
      <c r="AI10" s="89" t="s">
        <v>53</v>
      </c>
      <c r="AJ10" s="1" t="str">
        <f t="shared" si="18"/>
        <v>Veliko round</v>
      </c>
      <c r="AK10" s="1" t="str">
        <f t="shared" si="8"/>
        <v>d90 x h75 x bh71</v>
      </c>
      <c r="AL10" s="1" t="str">
        <f t="shared" si="19"/>
        <v>Natural teak indoor</v>
      </c>
      <c r="AM10" s="1" t="str">
        <f t="shared" si="9"/>
        <v>Natural teak indoor</v>
      </c>
      <c r="AN10" s="1" t="str">
        <f>SUBSTITUTE(AL10,"indoor","")</f>
        <v xml:space="preserve">Natural teak </v>
      </c>
      <c r="AO10" s="1" t="s">
        <v>54</v>
      </c>
      <c r="AQ10" s="1" t="str">
        <f t="shared" si="10"/>
        <v>A</v>
      </c>
      <c r="AR10" s="1" t="str">
        <f>VLOOKUP(TRIM(AI10),Sheet1!$D$3:$E$36,2,FALSE)</f>
        <v>01</v>
      </c>
      <c r="AS10" s="90" t="str">
        <f t="shared" si="11"/>
        <v>03</v>
      </c>
      <c r="AT10" s="1" t="str">
        <f t="shared" si="12"/>
        <v>01</v>
      </c>
      <c r="AU10" s="90" t="s">
        <v>55</v>
      </c>
      <c r="AV10" s="90"/>
      <c r="AW10" s="90"/>
      <c r="AX10" s="95" t="str">
        <f>AQ10&amp;AR10&amp;AS10&amp;"-"&amp;AT10&amp;AU10&amp;BA10</f>
        <v>A0103-0110IND</v>
      </c>
      <c r="AY10" s="99" t="str">
        <f>AQ10&amp;AR10&amp;AS10&amp;"-"&amp;AT10&amp;BA10</f>
        <v>A0103-01IND</v>
      </c>
      <c r="AZ10" s="90"/>
      <c r="BA10" s="1" t="str">
        <f t="shared" si="13"/>
        <v>IND</v>
      </c>
      <c r="BC10" s="1" t="str">
        <f>IF(AJ9&lt;&gt;AJ10,1,"")</f>
        <v/>
      </c>
      <c r="BD10" s="90">
        <f t="shared" si="14"/>
        <v>3</v>
      </c>
      <c r="BE10" s="1">
        <f t="shared" si="15"/>
        <v>1</v>
      </c>
      <c r="BF10" s="1">
        <f t="shared" si="16"/>
        <v>1</v>
      </c>
      <c r="BJ10" t="s">
        <v>82</v>
      </c>
      <c r="BK10" s="1">
        <v>4</v>
      </c>
      <c r="BL10"/>
      <c r="BM10" t="str">
        <f t="shared" si="20"/>
        <v>Asen round-Asen round-Asen round-Asen round-</v>
      </c>
      <c r="FI10" s="63"/>
      <c r="GT10" s="63"/>
      <c r="HJ10" s="63"/>
      <c r="HV10" s="63"/>
      <c r="IW10" s="63"/>
    </row>
    <row r="11" spans="1:257" ht="11.25" customHeight="1">
      <c r="A11" s="26" t="s">
        <v>83</v>
      </c>
      <c r="B11" s="27" t="s">
        <v>68</v>
      </c>
      <c r="C11" s="28">
        <v>1329.99</v>
      </c>
      <c r="D11" s="28">
        <f t="shared" si="3"/>
        <v>664.995</v>
      </c>
      <c r="E11" s="22" t="s">
        <v>40</v>
      </c>
      <c r="F11" s="22" t="s">
        <v>84</v>
      </c>
      <c r="G11" s="22" t="s">
        <v>70</v>
      </c>
      <c r="H11" s="22" t="s">
        <v>80</v>
      </c>
      <c r="I11" s="23" t="s">
        <v>58</v>
      </c>
      <c r="J11" s="22" t="s">
        <v>50</v>
      </c>
      <c r="L11" s="23">
        <v>90</v>
      </c>
      <c r="M11" s="23">
        <v>75</v>
      </c>
      <c r="N11" s="3">
        <f t="shared" si="4"/>
        <v>0.60750000000000004</v>
      </c>
      <c r="O11" s="4" t="e">
        <f>(C11-(C11*#REF!))-((C11-(C11*#REF!))*#REF!)</f>
        <v>#REF!</v>
      </c>
      <c r="P11" s="7"/>
      <c r="Q11" s="7"/>
      <c r="R11" s="5">
        <f t="shared" si="5"/>
        <v>0</v>
      </c>
      <c r="S11" s="4">
        <f t="shared" si="6"/>
        <v>0</v>
      </c>
      <c r="T11" s="13">
        <f t="shared" si="7"/>
        <v>930.99299999999994</v>
      </c>
      <c r="U11" s="13">
        <f t="shared" si="17"/>
        <v>465.49649999999997</v>
      </c>
      <c r="V11" s="14">
        <f>U11/C11</f>
        <v>0.35</v>
      </c>
      <c r="W11" s="14"/>
      <c r="X11" s="19">
        <f t="shared" si="0"/>
        <v>465.49649999999997</v>
      </c>
      <c r="Y11" s="19">
        <f t="shared" si="1"/>
        <v>930.99299999999994</v>
      </c>
      <c r="Z11" s="15" t="e">
        <f t="shared" si="2"/>
        <v>#DIV/0!</v>
      </c>
      <c r="AA11" s="22" t="s">
        <v>81</v>
      </c>
      <c r="AG11" s="94" t="s">
        <v>52</v>
      </c>
      <c r="AH11" s="89" t="str">
        <f>VLOOKUP(AG11,Sheet1!$B$3:$D$36,2,FALSE)</f>
        <v>Furniture</v>
      </c>
      <c r="AI11" s="89" t="s">
        <v>53</v>
      </c>
      <c r="AJ11" s="1" t="str">
        <f t="shared" si="18"/>
        <v>Veliko round</v>
      </c>
      <c r="AK11" s="1" t="str">
        <f t="shared" si="8"/>
        <v>d90 x h75 x bh71</v>
      </c>
      <c r="AL11" s="1" t="str">
        <f t="shared" si="19"/>
        <v>Natural teak outdoor</v>
      </c>
      <c r="AM11" s="1" t="str">
        <f t="shared" si="9"/>
        <v>Natural teak outdoor</v>
      </c>
      <c r="AN11" s="1" t="str">
        <f>SUBSTITUTE(AL11,"outdoor","")</f>
        <v xml:space="preserve">Natural teak </v>
      </c>
      <c r="AO11" s="1" t="s">
        <v>59</v>
      </c>
      <c r="AQ11" s="1" t="str">
        <f t="shared" si="10"/>
        <v>A</v>
      </c>
      <c r="AR11" s="1" t="str">
        <f>VLOOKUP(TRIM(AI11),Sheet1!$D$3:$E$36,2,FALSE)</f>
        <v>01</v>
      </c>
      <c r="AS11" s="90" t="str">
        <f t="shared" si="11"/>
        <v>04</v>
      </c>
      <c r="AT11" s="1" t="str">
        <f t="shared" si="12"/>
        <v>02</v>
      </c>
      <c r="AU11" s="90" t="s">
        <v>55</v>
      </c>
      <c r="AV11" s="90"/>
      <c r="AW11" s="90"/>
      <c r="AX11" s="95" t="str">
        <f>AQ11&amp;AR11&amp;AS11&amp;"-"&amp;AT11&amp;AU11&amp;BA11</f>
        <v>A0104-0210OUT</v>
      </c>
      <c r="AY11" s="99" t="str">
        <f>AQ11&amp;AR11&amp;AS11&amp;"-"&amp;AT11&amp;BA11</f>
        <v>A0104-02OUT</v>
      </c>
      <c r="AZ11" s="90"/>
      <c r="BA11" s="1" t="str">
        <f t="shared" si="13"/>
        <v>OUT</v>
      </c>
      <c r="BC11" s="1" t="str">
        <f>IF(AJ10&lt;&gt;AJ11,1,"")</f>
        <v/>
      </c>
      <c r="BD11" s="90">
        <f t="shared" si="14"/>
        <v>4</v>
      </c>
      <c r="BE11" s="1" t="str">
        <f t="shared" si="15"/>
        <v/>
      </c>
      <c r="BF11" s="1">
        <f t="shared" si="16"/>
        <v>2</v>
      </c>
      <c r="BJ11" t="s">
        <v>85</v>
      </c>
      <c r="BK11" s="1">
        <v>3</v>
      </c>
      <c r="BL11"/>
      <c r="BM11" t="str">
        <f t="shared" si="20"/>
        <v>Axello champagne coupe-Axello champagne coupe-Axello champagne coupe-</v>
      </c>
      <c r="FI11" s="63"/>
      <c r="GT11" s="63"/>
      <c r="HJ11" s="63"/>
      <c r="HV11" s="63"/>
      <c r="IW11" s="63"/>
    </row>
    <row r="12" spans="1:257" ht="11.25" customHeight="1">
      <c r="A12" s="26" t="s">
        <v>86</v>
      </c>
      <c r="B12" s="27" t="s">
        <v>68</v>
      </c>
      <c r="C12" s="28">
        <v>2169.9899999999998</v>
      </c>
      <c r="D12" s="28">
        <f t="shared" si="3"/>
        <v>1084.9949999999999</v>
      </c>
      <c r="E12" s="22" t="s">
        <v>40</v>
      </c>
      <c r="F12" s="22" t="s">
        <v>87</v>
      </c>
      <c r="G12" s="22" t="s">
        <v>70</v>
      </c>
      <c r="H12" s="22" t="s">
        <v>88</v>
      </c>
      <c r="I12" s="23" t="s">
        <v>49</v>
      </c>
      <c r="J12" s="22" t="s">
        <v>50</v>
      </c>
      <c r="L12" s="23">
        <v>130</v>
      </c>
      <c r="M12" s="23">
        <v>75</v>
      </c>
      <c r="N12" s="3">
        <f t="shared" si="4"/>
        <v>1.2675000000000001</v>
      </c>
      <c r="O12" s="4" t="e">
        <f>(C12-(C12*#REF!))-((C12-(C12*#REF!))*#REF!)</f>
        <v>#REF!</v>
      </c>
      <c r="P12" s="7"/>
      <c r="Q12" s="7"/>
      <c r="R12" s="5">
        <f t="shared" si="5"/>
        <v>0</v>
      </c>
      <c r="S12" s="4">
        <f t="shared" si="6"/>
        <v>0</v>
      </c>
      <c r="T12" s="13">
        <f t="shared" si="7"/>
        <v>1518.9929999999999</v>
      </c>
      <c r="U12" s="13">
        <f t="shared" si="17"/>
        <v>759.49649999999997</v>
      </c>
      <c r="V12" s="14">
        <f>U12/C12</f>
        <v>0.35000000000000003</v>
      </c>
      <c r="W12" s="14"/>
      <c r="X12" s="19">
        <f t="shared" si="0"/>
        <v>759.49649999999997</v>
      </c>
      <c r="Y12" s="19">
        <f t="shared" si="1"/>
        <v>1518.9929999999999</v>
      </c>
      <c r="Z12" s="15" t="e">
        <f t="shared" si="2"/>
        <v>#DIV/0!</v>
      </c>
      <c r="AA12" s="22" t="s">
        <v>89</v>
      </c>
      <c r="AG12" s="94" t="s">
        <v>52</v>
      </c>
      <c r="AH12" s="89" t="str">
        <f>VLOOKUP(AG12,Sheet1!$B$3:$D$36,2,FALSE)</f>
        <v>Furniture</v>
      </c>
      <c r="AI12" s="89" t="s">
        <v>53</v>
      </c>
      <c r="AJ12" s="1" t="str">
        <f t="shared" si="18"/>
        <v>Veliko round</v>
      </c>
      <c r="AK12" s="1" t="str">
        <f t="shared" si="8"/>
        <v>d130 x h75 x bh70</v>
      </c>
      <c r="AL12" s="1" t="str">
        <f t="shared" si="19"/>
        <v>Natural teak indoor</v>
      </c>
      <c r="AM12" s="1" t="str">
        <f t="shared" si="9"/>
        <v>Natural teak indoor</v>
      </c>
      <c r="AN12" s="1" t="str">
        <f>SUBSTITUTE(AL12,"indoor","")</f>
        <v xml:space="preserve">Natural teak </v>
      </c>
      <c r="AO12" s="1" t="s">
        <v>54</v>
      </c>
      <c r="AQ12" s="1" t="str">
        <f t="shared" si="10"/>
        <v>A</v>
      </c>
      <c r="AR12" s="1" t="str">
        <f>VLOOKUP(TRIM(AI12),Sheet1!$D$3:$E$36,2,FALSE)</f>
        <v>01</v>
      </c>
      <c r="AS12" s="90" t="str">
        <f t="shared" si="11"/>
        <v>05</v>
      </c>
      <c r="AT12" s="1" t="str">
        <f t="shared" si="12"/>
        <v>01</v>
      </c>
      <c r="AU12" s="90" t="s">
        <v>55</v>
      </c>
      <c r="AV12" s="90"/>
      <c r="AW12" s="90"/>
      <c r="AX12" s="95" t="str">
        <f>AQ12&amp;AR12&amp;AS12&amp;"-"&amp;AT12&amp;AU12&amp;BA12</f>
        <v>A0105-0110IND</v>
      </c>
      <c r="AY12" s="99" t="str">
        <f>AQ12&amp;AR12&amp;AS12&amp;"-"&amp;AT12&amp;BA12</f>
        <v>A0105-01IND</v>
      </c>
      <c r="AZ12" s="90"/>
      <c r="BA12" s="1" t="str">
        <f t="shared" si="13"/>
        <v>IND</v>
      </c>
      <c r="BC12" s="1" t="str">
        <f>IF(AJ11&lt;&gt;AJ12,1,"")</f>
        <v/>
      </c>
      <c r="BD12" s="90">
        <f t="shared" si="14"/>
        <v>5</v>
      </c>
      <c r="BE12" s="1">
        <f t="shared" si="15"/>
        <v>1</v>
      </c>
      <c r="BF12" s="1">
        <f t="shared" si="16"/>
        <v>1</v>
      </c>
      <c r="BJ12" t="s">
        <v>90</v>
      </c>
      <c r="BK12" s="1">
        <v>2</v>
      </c>
      <c r="BL12"/>
      <c r="BM12" t="str">
        <f t="shared" si="20"/>
        <v>Bains rectangular console-Bains rectangular console-</v>
      </c>
      <c r="FI12" s="63"/>
      <c r="GT12" s="63"/>
      <c r="HJ12" s="63"/>
      <c r="HV12" s="63"/>
      <c r="IW12" s="63"/>
    </row>
    <row r="13" spans="1:257" ht="11.25" customHeight="1">
      <c r="A13" s="26" t="s">
        <v>91</v>
      </c>
      <c r="B13" s="27" t="s">
        <v>68</v>
      </c>
      <c r="C13" s="28">
        <v>2299.9899999999998</v>
      </c>
      <c r="D13" s="28">
        <f t="shared" si="3"/>
        <v>1149.9949999999999</v>
      </c>
      <c r="E13" s="22" t="s">
        <v>40</v>
      </c>
      <c r="F13" s="22" t="s">
        <v>92</v>
      </c>
      <c r="G13" s="22" t="s">
        <v>70</v>
      </c>
      <c r="H13" s="22" t="s">
        <v>88</v>
      </c>
      <c r="I13" s="23" t="s">
        <v>58</v>
      </c>
      <c r="J13" s="22" t="s">
        <v>50</v>
      </c>
      <c r="L13" s="23">
        <v>130</v>
      </c>
      <c r="M13" s="23">
        <v>75</v>
      </c>
      <c r="N13" s="3">
        <f t="shared" si="4"/>
        <v>1.2675000000000001</v>
      </c>
      <c r="O13" s="4" t="e">
        <f>(C13-(C13*#REF!))-((C13-(C13*#REF!))*#REF!)</f>
        <v>#REF!</v>
      </c>
      <c r="P13" s="7"/>
      <c r="Q13" s="7"/>
      <c r="R13" s="5">
        <f t="shared" si="5"/>
        <v>0</v>
      </c>
      <c r="S13" s="4">
        <f t="shared" si="6"/>
        <v>0</v>
      </c>
      <c r="T13" s="13">
        <f t="shared" si="7"/>
        <v>1609.9929999999999</v>
      </c>
      <c r="U13" s="13">
        <f t="shared" si="17"/>
        <v>804.99649999999997</v>
      </c>
      <c r="V13" s="14">
        <f>U13/C13</f>
        <v>0.35000000000000003</v>
      </c>
      <c r="W13" s="14"/>
      <c r="X13" s="19">
        <f t="shared" si="0"/>
        <v>804.99649999999997</v>
      </c>
      <c r="Y13" s="19">
        <f t="shared" si="1"/>
        <v>1609.9929999999999</v>
      </c>
      <c r="Z13" s="15" t="e">
        <f t="shared" si="2"/>
        <v>#DIV/0!</v>
      </c>
      <c r="AA13" s="22" t="s">
        <v>76</v>
      </c>
      <c r="AG13" s="94" t="s">
        <v>52</v>
      </c>
      <c r="AH13" s="89" t="str">
        <f>VLOOKUP(AG13,Sheet1!$B$3:$D$36,2,FALSE)</f>
        <v>Furniture</v>
      </c>
      <c r="AI13" s="89" t="s">
        <v>53</v>
      </c>
      <c r="AJ13" s="1" t="str">
        <f t="shared" si="18"/>
        <v>Veliko round</v>
      </c>
      <c r="AK13" s="1" t="str">
        <f t="shared" si="8"/>
        <v>d130 x h75 x bh70</v>
      </c>
      <c r="AL13" s="1" t="str">
        <f t="shared" si="19"/>
        <v>Natural teak outdoor</v>
      </c>
      <c r="AM13" s="1" t="str">
        <f t="shared" si="9"/>
        <v>Natural teak outdoor</v>
      </c>
      <c r="AN13" s="1" t="str">
        <f>SUBSTITUTE(AL13,"outdoor","")</f>
        <v xml:space="preserve">Natural teak </v>
      </c>
      <c r="AO13" s="1" t="s">
        <v>59</v>
      </c>
      <c r="AQ13" s="1" t="str">
        <f t="shared" si="10"/>
        <v>A</v>
      </c>
      <c r="AR13" s="1" t="str">
        <f>VLOOKUP(TRIM(AI13),Sheet1!$D$3:$E$36,2,FALSE)</f>
        <v>01</v>
      </c>
      <c r="AS13" s="90" t="str">
        <f t="shared" si="11"/>
        <v>06</v>
      </c>
      <c r="AT13" s="1" t="str">
        <f t="shared" si="12"/>
        <v>02</v>
      </c>
      <c r="AU13" s="90" t="s">
        <v>55</v>
      </c>
      <c r="AV13" s="90"/>
      <c r="AW13" s="90"/>
      <c r="AX13" s="95" t="str">
        <f>AQ13&amp;AR13&amp;AS13&amp;"-"&amp;AT13&amp;AU13&amp;BA13</f>
        <v>A0106-0210OUT</v>
      </c>
      <c r="AY13" s="99" t="str">
        <f>AQ13&amp;AR13&amp;AS13&amp;"-"&amp;AT13&amp;BA13</f>
        <v>A0106-02OUT</v>
      </c>
      <c r="AZ13" s="90"/>
      <c r="BA13" s="1" t="str">
        <f t="shared" si="13"/>
        <v>OUT</v>
      </c>
      <c r="BC13" s="1" t="str">
        <f>IF(AJ12&lt;&gt;AJ13,1,"")</f>
        <v/>
      </c>
      <c r="BD13" s="90">
        <f t="shared" si="14"/>
        <v>6</v>
      </c>
      <c r="BE13" s="1" t="str">
        <f t="shared" ref="BE13:BE76" si="21">IF(AK12&lt;&gt;AK13,1,"")</f>
        <v/>
      </c>
      <c r="BF13" s="1">
        <f t="shared" ref="BF13:BF76" si="22">IF(BE13=1,1,BF12+1)</f>
        <v>2</v>
      </c>
      <c r="BJ13" t="s">
        <v>93</v>
      </c>
      <c r="BK13" s="1">
        <v>5</v>
      </c>
      <c r="BL13"/>
      <c r="BM13" t="str">
        <f t="shared" si="20"/>
        <v>Bakar fire pit with grill-Bakar fire pit with grill-Bakar fire pit with grill-Bakar fire pit with grill-Bakar fire pit with grill-</v>
      </c>
      <c r="FI13" s="63"/>
      <c r="GT13" s="63"/>
      <c r="HJ13" s="63"/>
      <c r="HV13" s="63"/>
      <c r="IW13" s="63"/>
    </row>
    <row r="14" spans="1:257" ht="11.25" customHeight="1">
      <c r="A14" s="26" t="s">
        <v>94</v>
      </c>
      <c r="B14" s="27" t="s">
        <v>95</v>
      </c>
      <c r="C14" s="28">
        <v>3649.99</v>
      </c>
      <c r="D14" s="28">
        <f t="shared" si="3"/>
        <v>1824.9949999999999</v>
      </c>
      <c r="E14" s="22" t="s">
        <v>40</v>
      </c>
      <c r="F14" s="22" t="s">
        <v>96</v>
      </c>
      <c r="G14" s="22" t="s">
        <v>97</v>
      </c>
      <c r="H14" s="22" t="s">
        <v>98</v>
      </c>
      <c r="I14" s="23" t="s">
        <v>49</v>
      </c>
      <c r="J14" s="22" t="s">
        <v>50</v>
      </c>
      <c r="K14" s="23">
        <v>250</v>
      </c>
      <c r="L14" s="23">
        <v>100</v>
      </c>
      <c r="M14" s="23">
        <v>75</v>
      </c>
      <c r="N14" s="3">
        <f t="shared" si="4"/>
        <v>1.875</v>
      </c>
      <c r="O14" s="4" t="e">
        <f>(C14-(C14*#REF!))-((C14-(C14*#REF!))*#REF!)</f>
        <v>#REF!</v>
      </c>
      <c r="P14" s="7">
        <v>5932953.5362493182</v>
      </c>
      <c r="Q14" s="7">
        <v>0</v>
      </c>
      <c r="R14" s="5">
        <f t="shared" si="5"/>
        <v>5932953.5362493182</v>
      </c>
      <c r="S14" s="4">
        <f t="shared" si="6"/>
        <v>395.53023574995456</v>
      </c>
      <c r="T14" s="13">
        <f t="shared" si="7"/>
        <v>2554.9929999999999</v>
      </c>
      <c r="U14" s="13">
        <f t="shared" si="17"/>
        <v>1277.4965</v>
      </c>
      <c r="V14" s="14">
        <f>U14/C14</f>
        <v>0.35000000000000003</v>
      </c>
      <c r="W14" s="14"/>
      <c r="X14" s="19">
        <f t="shared" si="0"/>
        <v>1277.4965</v>
      </c>
      <c r="Y14" s="19">
        <f t="shared" si="1"/>
        <v>2554.9929999999999</v>
      </c>
      <c r="Z14" s="15">
        <f t="shared" si="2"/>
        <v>3.2298327271435321</v>
      </c>
      <c r="AA14" s="22" t="s">
        <v>99</v>
      </c>
      <c r="AG14" s="94" t="s">
        <v>52</v>
      </c>
      <c r="AH14" s="89" t="str">
        <f>VLOOKUP(AG14,Sheet1!$B$3:$D$36,2,FALSE)</f>
        <v>Furniture</v>
      </c>
      <c r="AI14" s="89" t="s">
        <v>53</v>
      </c>
      <c r="AJ14" s="1" t="str">
        <f t="shared" si="18"/>
        <v>Pirin rectangular</v>
      </c>
      <c r="AK14" s="1" t="str">
        <f t="shared" si="8"/>
        <v xml:space="preserve">
w250 x d100 x h75 x bh70</v>
      </c>
      <c r="AL14" s="1" t="str">
        <f t="shared" si="19"/>
        <v>Natural teak indoor</v>
      </c>
      <c r="AM14" s="1" t="str">
        <f t="shared" si="9"/>
        <v>Natural teak indoor</v>
      </c>
      <c r="AN14" s="1" t="str">
        <f>SUBSTITUTE(AL14,"indoor","")</f>
        <v xml:space="preserve">Natural teak </v>
      </c>
      <c r="AO14" s="1" t="s">
        <v>54</v>
      </c>
      <c r="AQ14" s="1" t="str">
        <f t="shared" si="10"/>
        <v>A</v>
      </c>
      <c r="AR14" s="1" t="str">
        <f>VLOOKUP(TRIM(AI14),Sheet1!$D$3:$E$36,2,FALSE)</f>
        <v>01</v>
      </c>
      <c r="AS14" s="90" t="str">
        <f t="shared" si="11"/>
        <v>01</v>
      </c>
      <c r="AT14" s="1" t="str">
        <f t="shared" si="12"/>
        <v>01</v>
      </c>
      <c r="AU14" s="90" t="s">
        <v>55</v>
      </c>
      <c r="AV14" s="90"/>
      <c r="AW14" s="90"/>
      <c r="AX14" s="95" t="str">
        <f>AQ14&amp;AR14&amp;AS14&amp;"-"&amp;AT14&amp;AU14&amp;BA14</f>
        <v>A0101-0110IND</v>
      </c>
      <c r="AY14" s="99" t="str">
        <f>AQ14&amp;AR14&amp;AS14&amp;"-"&amp;AT14&amp;BA14</f>
        <v>A0101-01IND</v>
      </c>
      <c r="AZ14" s="90"/>
      <c r="BA14" s="1" t="str">
        <f t="shared" si="13"/>
        <v>IND</v>
      </c>
      <c r="BC14" s="1">
        <f>IF(AJ13&lt;&gt;AJ14,1,"")</f>
        <v>1</v>
      </c>
      <c r="BD14" s="90">
        <f t="shared" si="14"/>
        <v>1</v>
      </c>
      <c r="BE14" s="1">
        <f t="shared" si="21"/>
        <v>1</v>
      </c>
      <c r="BF14" s="1">
        <f t="shared" si="22"/>
        <v>1</v>
      </c>
      <c r="BJ14" t="s">
        <v>100</v>
      </c>
      <c r="BK14" s="1">
        <v>2</v>
      </c>
      <c r="BL14"/>
      <c r="BM14" t="str">
        <f t="shared" si="20"/>
        <v>Bansko rectangular-Bansko rectangular-</v>
      </c>
      <c r="FI14" s="63"/>
      <c r="GT14" s="63"/>
      <c r="HJ14" s="63"/>
      <c r="HV14" s="63"/>
      <c r="IW14" s="63"/>
    </row>
    <row r="15" spans="1:257" ht="11.25" customHeight="1">
      <c r="A15" s="26" t="s">
        <v>101</v>
      </c>
      <c r="B15" s="27" t="s">
        <v>95</v>
      </c>
      <c r="C15" s="28">
        <v>3869.99</v>
      </c>
      <c r="D15" s="28">
        <f t="shared" si="3"/>
        <v>1934.9949999999999</v>
      </c>
      <c r="E15" s="22" t="s">
        <v>40</v>
      </c>
      <c r="F15" s="22" t="s">
        <v>102</v>
      </c>
      <c r="G15" s="22" t="s">
        <v>97</v>
      </c>
      <c r="H15" s="22" t="s">
        <v>98</v>
      </c>
      <c r="I15" s="23" t="s">
        <v>58</v>
      </c>
      <c r="J15" s="22" t="s">
        <v>50</v>
      </c>
      <c r="K15" s="23">
        <v>250</v>
      </c>
      <c r="L15" s="23">
        <v>100</v>
      </c>
      <c r="M15" s="23">
        <v>75</v>
      </c>
      <c r="N15" s="3">
        <f t="shared" si="4"/>
        <v>1.875</v>
      </c>
      <c r="O15" s="4" t="e">
        <f>(C15-(C15*#REF!))-((C15-(C15*#REF!))*#REF!)</f>
        <v>#REF!</v>
      </c>
      <c r="P15" s="7">
        <v>5508697.2862493182</v>
      </c>
      <c r="Q15" s="7">
        <v>0</v>
      </c>
      <c r="R15" s="5">
        <f t="shared" si="5"/>
        <v>5508697.2862493182</v>
      </c>
      <c r="S15" s="4">
        <f t="shared" si="6"/>
        <v>367.24648574995456</v>
      </c>
      <c r="T15" s="13">
        <f t="shared" si="7"/>
        <v>2708.9929999999999</v>
      </c>
      <c r="U15" s="13">
        <f t="shared" si="17"/>
        <v>1354.4965</v>
      </c>
      <c r="V15" s="14">
        <f>U15/C15</f>
        <v>0.35000000000000003</v>
      </c>
      <c r="W15" s="14"/>
      <c r="X15" s="19">
        <f t="shared" si="0"/>
        <v>1354.4965</v>
      </c>
      <c r="Y15" s="19">
        <f t="shared" si="1"/>
        <v>2708.9929999999999</v>
      </c>
      <c r="Z15" s="15">
        <f t="shared" si="2"/>
        <v>3.6882490440554681</v>
      </c>
      <c r="AA15" s="22" t="s">
        <v>103</v>
      </c>
      <c r="AG15" s="94" t="s">
        <v>52</v>
      </c>
      <c r="AH15" s="89" t="str">
        <f>VLOOKUP(AG15,Sheet1!$B$3:$D$36,2,FALSE)</f>
        <v>Furniture</v>
      </c>
      <c r="AI15" s="89" t="s">
        <v>53</v>
      </c>
      <c r="AJ15" s="1" t="str">
        <f t="shared" si="18"/>
        <v>Pirin rectangular</v>
      </c>
      <c r="AK15" s="1" t="str">
        <f t="shared" si="8"/>
        <v xml:space="preserve">
w250 x d100 x h75 x bh70</v>
      </c>
      <c r="AL15" s="1" t="str">
        <f t="shared" si="19"/>
        <v>Natural teak outdoor</v>
      </c>
      <c r="AM15" s="1" t="str">
        <f t="shared" si="9"/>
        <v>Natural teak outdoor</v>
      </c>
      <c r="AN15" s="1" t="str">
        <f>SUBSTITUTE(AL15,"outdoor","")</f>
        <v xml:space="preserve">Natural teak </v>
      </c>
      <c r="AO15" s="1" t="s">
        <v>59</v>
      </c>
      <c r="AQ15" s="1" t="str">
        <f t="shared" si="10"/>
        <v>A</v>
      </c>
      <c r="AR15" s="1" t="str">
        <f>VLOOKUP(TRIM(AI15),Sheet1!$D$3:$E$36,2,FALSE)</f>
        <v>01</v>
      </c>
      <c r="AS15" s="90" t="str">
        <f t="shared" si="11"/>
        <v>02</v>
      </c>
      <c r="AT15" s="1" t="str">
        <f t="shared" si="12"/>
        <v>02</v>
      </c>
      <c r="AU15" s="90" t="s">
        <v>55</v>
      </c>
      <c r="AV15" s="90"/>
      <c r="AW15" s="90"/>
      <c r="AX15" s="95" t="str">
        <f>AQ15&amp;AR15&amp;AS15&amp;"-"&amp;AT15&amp;AU15&amp;BA15</f>
        <v>A0102-0210OUT</v>
      </c>
      <c r="AY15" s="99" t="str">
        <f>AQ15&amp;AR15&amp;AS15&amp;"-"&amp;AT15&amp;BA15</f>
        <v>A0102-02OUT</v>
      </c>
      <c r="AZ15" s="90"/>
      <c r="BA15" s="1" t="str">
        <f t="shared" si="13"/>
        <v>OUT</v>
      </c>
      <c r="BC15" s="1" t="str">
        <f>IF(AJ14&lt;&gt;AJ15,1,"")</f>
        <v/>
      </c>
      <c r="BD15" s="90">
        <f t="shared" si="14"/>
        <v>2</v>
      </c>
      <c r="BE15" s="1" t="str">
        <f t="shared" si="21"/>
        <v/>
      </c>
      <c r="BF15" s="1">
        <f t="shared" si="22"/>
        <v>2</v>
      </c>
      <c r="BJ15" t="s">
        <v>104</v>
      </c>
      <c r="BK15" s="1">
        <v>2</v>
      </c>
      <c r="BL15"/>
      <c r="BM15" t="str">
        <f t="shared" si="20"/>
        <v>Barbera-Barbera-</v>
      </c>
      <c r="FI15" s="63"/>
      <c r="GT15" s="63"/>
      <c r="HJ15" s="63"/>
      <c r="HV15" s="63"/>
      <c r="IW15" s="63"/>
    </row>
    <row r="16" spans="1:257" ht="11.25" customHeight="1">
      <c r="A16" s="26" t="s">
        <v>105</v>
      </c>
      <c r="B16" s="27" t="s">
        <v>95</v>
      </c>
      <c r="C16" s="28">
        <v>4439.99</v>
      </c>
      <c r="D16" s="28">
        <f t="shared" si="3"/>
        <v>2219.9949999999999</v>
      </c>
      <c r="E16" s="22" t="s">
        <v>40</v>
      </c>
      <c r="F16" s="22" t="s">
        <v>106</v>
      </c>
      <c r="G16" s="22" t="s">
        <v>97</v>
      </c>
      <c r="H16" s="22" t="s">
        <v>107</v>
      </c>
      <c r="I16" s="23" t="s">
        <v>49</v>
      </c>
      <c r="J16" s="22" t="s">
        <v>50</v>
      </c>
      <c r="K16" s="23">
        <v>300</v>
      </c>
      <c r="L16" s="23">
        <v>110</v>
      </c>
      <c r="M16" s="23">
        <v>75</v>
      </c>
      <c r="N16" s="3">
        <f t="shared" si="4"/>
        <v>2.4750000000000001</v>
      </c>
      <c r="O16" s="4" t="e">
        <f>(C16-(C16*#REF!))-((C16-(C16*#REF!))*#REF!)</f>
        <v>#REF!</v>
      </c>
      <c r="P16" s="7">
        <v>6817133.9873353792</v>
      </c>
      <c r="Q16" s="7">
        <v>0</v>
      </c>
      <c r="R16" s="5">
        <f t="shared" si="5"/>
        <v>6817133.9873353792</v>
      </c>
      <c r="S16" s="4">
        <f t="shared" si="6"/>
        <v>454.47559915569195</v>
      </c>
      <c r="T16" s="13">
        <f t="shared" si="7"/>
        <v>3107.9929999999999</v>
      </c>
      <c r="U16" s="13">
        <f t="shared" si="17"/>
        <v>1553.9965</v>
      </c>
      <c r="V16" s="14">
        <f>U16/C16</f>
        <v>0.35000000000000003</v>
      </c>
      <c r="W16" s="14"/>
      <c r="X16" s="19">
        <f t="shared" si="0"/>
        <v>1553.9965</v>
      </c>
      <c r="Y16" s="19">
        <f t="shared" si="1"/>
        <v>3107.9929999999999</v>
      </c>
      <c r="Z16" s="15">
        <f t="shared" si="2"/>
        <v>3.4193177871088292</v>
      </c>
      <c r="AA16" s="22" t="s">
        <v>108</v>
      </c>
      <c r="AG16" s="94" t="s">
        <v>52</v>
      </c>
      <c r="AH16" s="89" t="str">
        <f>VLOOKUP(AG16,Sheet1!$B$3:$D$36,2,FALSE)</f>
        <v>Furniture</v>
      </c>
      <c r="AI16" s="89" t="s">
        <v>53</v>
      </c>
      <c r="AJ16" s="1" t="str">
        <f t="shared" si="18"/>
        <v>Pirin rectangular</v>
      </c>
      <c r="AK16" s="1" t="str">
        <f t="shared" si="8"/>
        <v>w300 x d110 x h75 x bh70</v>
      </c>
      <c r="AL16" s="1" t="str">
        <f t="shared" si="19"/>
        <v>Natural teak indoor</v>
      </c>
      <c r="AM16" s="1" t="str">
        <f t="shared" si="9"/>
        <v>Natural teak indoor</v>
      </c>
      <c r="AN16" s="1" t="str">
        <f>SUBSTITUTE(AL16,"indoor","")</f>
        <v xml:space="preserve">Natural teak </v>
      </c>
      <c r="AO16" s="1" t="s">
        <v>54</v>
      </c>
      <c r="AQ16" s="1" t="str">
        <f t="shared" si="10"/>
        <v>A</v>
      </c>
      <c r="AR16" s="1" t="str">
        <f>VLOOKUP(TRIM(AI16),Sheet1!$D$3:$E$36,2,FALSE)</f>
        <v>01</v>
      </c>
      <c r="AS16" s="90" t="str">
        <f t="shared" si="11"/>
        <v>03</v>
      </c>
      <c r="AT16" s="1" t="str">
        <f t="shared" si="12"/>
        <v>01</v>
      </c>
      <c r="AU16" s="90" t="s">
        <v>55</v>
      </c>
      <c r="AV16" s="90"/>
      <c r="AW16" s="90"/>
      <c r="AX16" s="95" t="str">
        <f>AQ16&amp;AR16&amp;AS16&amp;"-"&amp;AT16&amp;AU16&amp;BA16</f>
        <v>A0103-0110IND</v>
      </c>
      <c r="AY16" s="99" t="str">
        <f>AQ16&amp;AR16&amp;AS16&amp;"-"&amp;AT16&amp;BA16</f>
        <v>A0103-01IND</v>
      </c>
      <c r="AZ16" s="90"/>
      <c r="BA16" s="1" t="str">
        <f t="shared" si="13"/>
        <v>IND</v>
      </c>
      <c r="BC16" s="1" t="str">
        <f>IF(AJ15&lt;&gt;AJ16,1,"")</f>
        <v/>
      </c>
      <c r="BD16" s="90">
        <f t="shared" si="14"/>
        <v>3</v>
      </c>
      <c r="BE16" s="1">
        <f t="shared" si="21"/>
        <v>1</v>
      </c>
      <c r="BF16" s="1">
        <f t="shared" si="22"/>
        <v>1</v>
      </c>
      <c r="BJ16" t="s">
        <v>109</v>
      </c>
      <c r="BK16" s="1">
        <v>3</v>
      </c>
      <c r="BL16"/>
      <c r="BM16" t="str">
        <f t="shared" si="20"/>
        <v>Bareno-Bareno-Bareno-</v>
      </c>
      <c r="FI16" s="63"/>
      <c r="GT16" s="63"/>
      <c r="HJ16" s="63"/>
      <c r="HV16" s="63"/>
      <c r="IW16" s="63"/>
    </row>
    <row r="17" spans="1:257" ht="11.25" customHeight="1">
      <c r="A17" s="26" t="s">
        <v>110</v>
      </c>
      <c r="B17" s="27" t="s">
        <v>95</v>
      </c>
      <c r="C17" s="28">
        <v>4699.99</v>
      </c>
      <c r="D17" s="28">
        <f t="shared" si="3"/>
        <v>2349.9949999999999</v>
      </c>
      <c r="E17" s="22" t="s">
        <v>40</v>
      </c>
      <c r="F17" s="22" t="s">
        <v>111</v>
      </c>
      <c r="G17" s="22" t="s">
        <v>97</v>
      </c>
      <c r="H17" s="22" t="s">
        <v>107</v>
      </c>
      <c r="I17" s="23" t="s">
        <v>58</v>
      </c>
      <c r="J17" s="22" t="s">
        <v>50</v>
      </c>
      <c r="K17" s="23">
        <v>300</v>
      </c>
      <c r="L17" s="23">
        <v>110</v>
      </c>
      <c r="M17" s="23">
        <v>75</v>
      </c>
      <c r="N17" s="3">
        <f t="shared" si="4"/>
        <v>2.4750000000000001</v>
      </c>
      <c r="O17" s="4" t="e">
        <f>(C17-(C17*#REF!))-((C17-(C17*#REF!))*#REF!)</f>
        <v>#REF!</v>
      </c>
      <c r="P17" s="7">
        <v>6586074.9377983417</v>
      </c>
      <c r="Q17" s="7">
        <v>0</v>
      </c>
      <c r="R17" s="5">
        <f t="shared" si="5"/>
        <v>6586074.9377983417</v>
      </c>
      <c r="S17" s="4">
        <f t="shared" si="6"/>
        <v>439.07166251988946</v>
      </c>
      <c r="T17" s="13">
        <f t="shared" si="7"/>
        <v>3289.9929999999999</v>
      </c>
      <c r="U17" s="13">
        <f t="shared" si="17"/>
        <v>1644.9965</v>
      </c>
      <c r="V17" s="14">
        <f>U17/C17</f>
        <v>0.35000000000000003</v>
      </c>
      <c r="W17" s="14"/>
      <c r="X17" s="19">
        <f t="shared" si="0"/>
        <v>1644.9965</v>
      </c>
      <c r="Y17" s="19">
        <f t="shared" si="1"/>
        <v>3289.9929999999999</v>
      </c>
      <c r="Z17" s="15">
        <f t="shared" si="2"/>
        <v>3.7465330615033339</v>
      </c>
      <c r="AA17" s="22" t="s">
        <v>99</v>
      </c>
      <c r="AG17" s="94" t="s">
        <v>52</v>
      </c>
      <c r="AH17" s="89" t="str">
        <f>VLOOKUP(AG17,Sheet1!$B$3:$D$36,2,FALSE)</f>
        <v>Furniture</v>
      </c>
      <c r="AI17" s="89" t="s">
        <v>53</v>
      </c>
      <c r="AJ17" s="1" t="str">
        <f t="shared" si="18"/>
        <v>Pirin rectangular</v>
      </c>
      <c r="AK17" s="1" t="str">
        <f t="shared" si="8"/>
        <v>w300 x d110 x h75 x bh70</v>
      </c>
      <c r="AL17" s="1" t="str">
        <f t="shared" si="19"/>
        <v>Natural teak outdoor</v>
      </c>
      <c r="AM17" s="1" t="str">
        <f t="shared" si="9"/>
        <v>Natural teak outdoor</v>
      </c>
      <c r="AN17" s="1" t="str">
        <f>SUBSTITUTE(AL17,"outdoor","")</f>
        <v xml:space="preserve">Natural teak </v>
      </c>
      <c r="AO17" s="1" t="s">
        <v>59</v>
      </c>
      <c r="AQ17" s="1" t="str">
        <f t="shared" si="10"/>
        <v>A</v>
      </c>
      <c r="AR17" s="1" t="str">
        <f>VLOOKUP(TRIM(AI17),Sheet1!$D$3:$E$36,2,FALSE)</f>
        <v>01</v>
      </c>
      <c r="AS17" s="90" t="str">
        <f t="shared" si="11"/>
        <v>04</v>
      </c>
      <c r="AT17" s="1" t="str">
        <f t="shared" si="12"/>
        <v>02</v>
      </c>
      <c r="AU17" s="90" t="s">
        <v>55</v>
      </c>
      <c r="AV17" s="90"/>
      <c r="AW17" s="90"/>
      <c r="AX17" s="95" t="str">
        <f>AQ17&amp;AR17&amp;AS17&amp;"-"&amp;AT17&amp;AU17&amp;BA17</f>
        <v>A0104-0210OUT</v>
      </c>
      <c r="AY17" s="99" t="str">
        <f>AQ17&amp;AR17&amp;AS17&amp;"-"&amp;AT17&amp;BA17</f>
        <v>A0104-02OUT</v>
      </c>
      <c r="AZ17" s="90"/>
      <c r="BA17" s="1" t="str">
        <f t="shared" si="13"/>
        <v>OUT</v>
      </c>
      <c r="BC17" s="1" t="str">
        <f>IF(AJ16&lt;&gt;AJ17,1,"")</f>
        <v/>
      </c>
      <c r="BD17" s="90">
        <f t="shared" si="14"/>
        <v>4</v>
      </c>
      <c r="BE17" s="1" t="str">
        <f t="shared" si="21"/>
        <v/>
      </c>
      <c r="BF17" s="1">
        <f t="shared" si="22"/>
        <v>2</v>
      </c>
      <c r="BJ17" t="s">
        <v>112</v>
      </c>
      <c r="BK17" s="1">
        <v>2</v>
      </c>
      <c r="BL17"/>
      <c r="BM17" t="str">
        <f t="shared" si="20"/>
        <v>Becker tree plate-Becker tree plate-</v>
      </c>
      <c r="FI17" s="63"/>
      <c r="GT17" s="63"/>
      <c r="HJ17" s="63"/>
      <c r="HV17" s="63"/>
      <c r="IW17" s="63"/>
    </row>
    <row r="18" spans="1:257" ht="11.25" customHeight="1">
      <c r="B18" s="27" t="s">
        <v>113</v>
      </c>
      <c r="D18" s="28">
        <f t="shared" si="3"/>
        <v>0</v>
      </c>
      <c r="E18" s="22" t="s">
        <v>40</v>
      </c>
      <c r="F18" s="22" t="s">
        <v>114</v>
      </c>
      <c r="G18" s="22" t="s">
        <v>115</v>
      </c>
      <c r="H18" s="22" t="s">
        <v>116</v>
      </c>
      <c r="I18" s="23" t="s">
        <v>117</v>
      </c>
      <c r="J18" s="22" t="s">
        <v>50</v>
      </c>
      <c r="K18" s="23">
        <v>330</v>
      </c>
      <c r="L18" s="23">
        <v>75</v>
      </c>
      <c r="M18" s="23">
        <v>76</v>
      </c>
      <c r="N18" s="3">
        <f t="shared" si="4"/>
        <v>1.881</v>
      </c>
      <c r="O18" s="4" t="e">
        <f>(C18-(C18*#REF!))-((C18-(C18*#REF!))*#REF!)</f>
        <v>#REF!</v>
      </c>
      <c r="P18" s="7"/>
      <c r="Q18" s="7"/>
      <c r="R18" s="5">
        <f t="shared" si="5"/>
        <v>0</v>
      </c>
      <c r="S18" s="4">
        <f t="shared" si="6"/>
        <v>0</v>
      </c>
      <c r="T18" s="13">
        <f t="shared" si="7"/>
        <v>0</v>
      </c>
      <c r="U18" s="13">
        <f t="shared" si="17"/>
        <v>0</v>
      </c>
      <c r="V18" s="14" t="e">
        <f>U18/C18</f>
        <v>#DIV/0!</v>
      </c>
      <c r="W18" s="14"/>
      <c r="X18" s="19">
        <f t="shared" si="0"/>
        <v>0</v>
      </c>
      <c r="Y18" s="19">
        <f t="shared" si="1"/>
        <v>0</v>
      </c>
      <c r="Z18" s="15" t="e">
        <f t="shared" si="2"/>
        <v>#DIV/0!</v>
      </c>
      <c r="AA18" s="22" t="s">
        <v>118</v>
      </c>
      <c r="AG18" s="94" t="s">
        <v>52</v>
      </c>
      <c r="AH18" s="89" t="str">
        <f>VLOOKUP(AG18,Sheet1!$B$3:$D$36,2,FALSE)</f>
        <v>Furniture</v>
      </c>
      <c r="AI18" s="89" t="s">
        <v>53</v>
      </c>
      <c r="AJ18" s="1" t="str">
        <f t="shared" si="18"/>
        <v>Rousse rectangular rustic</v>
      </c>
      <c r="AK18" s="1" t="str">
        <f t="shared" si="8"/>
        <v>w330 x d75 x h76 x bh66</v>
      </c>
      <c r="AL18" s="1" t="str">
        <f t="shared" si="19"/>
        <v>Teak Original indoor</v>
      </c>
      <c r="AM18" s="1" t="str">
        <f t="shared" si="9"/>
        <v>Teak Original indoor</v>
      </c>
      <c r="AN18" s="1" t="str">
        <f>SUBSTITUTE(AL18,"indoor","")</f>
        <v xml:space="preserve">Teak Original </v>
      </c>
      <c r="AO18" s="1" t="s">
        <v>54</v>
      </c>
      <c r="AQ18" s="1" t="str">
        <f t="shared" si="10"/>
        <v>A</v>
      </c>
      <c r="AR18" s="1" t="str">
        <f>VLOOKUP(TRIM(AI18),Sheet1!$D$3:$E$36,2,FALSE)</f>
        <v>01</v>
      </c>
      <c r="AS18" s="90" t="str">
        <f t="shared" si="11"/>
        <v>01</v>
      </c>
      <c r="AT18" s="1" t="str">
        <f t="shared" si="12"/>
        <v>01</v>
      </c>
      <c r="AU18" s="90" t="s">
        <v>119</v>
      </c>
      <c r="AV18" s="90"/>
      <c r="AW18" s="90"/>
      <c r="AX18" s="95" t="str">
        <f>AQ18&amp;AR18&amp;AS18&amp;"-"&amp;AT18&amp;AU18&amp;BA18</f>
        <v>A0101-0130IND</v>
      </c>
      <c r="AY18" s="99" t="str">
        <f>AQ18&amp;AR18&amp;AS18&amp;"-"&amp;AT18&amp;BA18</f>
        <v>A0101-01IND</v>
      </c>
      <c r="AZ18" s="90"/>
      <c r="BA18" s="1" t="str">
        <f t="shared" si="13"/>
        <v>IND</v>
      </c>
      <c r="BC18" s="1">
        <f>IF(AJ17&lt;&gt;AJ18,1,"")</f>
        <v>1</v>
      </c>
      <c r="BD18" s="90">
        <f t="shared" si="14"/>
        <v>1</v>
      </c>
      <c r="BE18" s="1">
        <f t="shared" si="21"/>
        <v>1</v>
      </c>
      <c r="BF18" s="1">
        <f t="shared" si="22"/>
        <v>1</v>
      </c>
      <c r="BJ18" t="s">
        <v>120</v>
      </c>
      <c r="BK18" s="1">
        <v>3</v>
      </c>
      <c r="BL18"/>
      <c r="BM18" t="str">
        <f t="shared" si="20"/>
        <v>Berbatov Mirror L-Berbatov Mirror L-Berbatov Mirror L-</v>
      </c>
      <c r="FI18" s="63"/>
      <c r="GT18" s="63"/>
      <c r="HJ18" s="63"/>
      <c r="HV18" s="63"/>
      <c r="IW18" s="63"/>
    </row>
    <row r="19" spans="1:257" ht="11.25" customHeight="1">
      <c r="A19" s="26" t="s">
        <v>121</v>
      </c>
      <c r="B19" s="27" t="s">
        <v>113</v>
      </c>
      <c r="C19" s="28">
        <v>6509.99</v>
      </c>
      <c r="D19" s="28">
        <f t="shared" si="3"/>
        <v>3254.9949999999999</v>
      </c>
      <c r="E19" s="22" t="s">
        <v>40</v>
      </c>
      <c r="F19" s="22" t="s">
        <v>122</v>
      </c>
      <c r="G19" s="22" t="s">
        <v>115</v>
      </c>
      <c r="H19" s="22" t="s">
        <v>116</v>
      </c>
      <c r="I19" s="23" t="s">
        <v>123</v>
      </c>
      <c r="J19" s="22" t="s">
        <v>50</v>
      </c>
      <c r="K19" s="23">
        <v>330</v>
      </c>
      <c r="L19" s="23">
        <v>75</v>
      </c>
      <c r="M19" s="23">
        <v>76</v>
      </c>
      <c r="N19" s="3">
        <f t="shared" si="4"/>
        <v>1.881</v>
      </c>
      <c r="O19" s="4" t="e">
        <f>(C19-(C19*#REF!))-((C19-(C19*#REF!))*#REF!)</f>
        <v>#REF!</v>
      </c>
      <c r="P19" s="7"/>
      <c r="Q19" s="7"/>
      <c r="R19" s="5">
        <f t="shared" si="5"/>
        <v>0</v>
      </c>
      <c r="S19" s="4">
        <f t="shared" si="6"/>
        <v>0</v>
      </c>
      <c r="T19" s="13">
        <f t="shared" si="7"/>
        <v>4556.9930000000004</v>
      </c>
      <c r="U19" s="13">
        <f t="shared" si="17"/>
        <v>2278.4965000000002</v>
      </c>
      <c r="V19" s="14">
        <f>U19/C19</f>
        <v>0.35000000000000003</v>
      </c>
      <c r="W19" s="14"/>
      <c r="X19" s="19">
        <f t="shared" si="0"/>
        <v>2278.4965000000002</v>
      </c>
      <c r="Y19" s="19">
        <f t="shared" si="1"/>
        <v>4556.9930000000004</v>
      </c>
      <c r="Z19" s="15" t="e">
        <f t="shared" si="2"/>
        <v>#DIV/0!</v>
      </c>
      <c r="AA19" s="22" t="s">
        <v>124</v>
      </c>
      <c r="AG19" s="94" t="s">
        <v>52</v>
      </c>
      <c r="AH19" s="89" t="str">
        <f>VLOOKUP(AG19,Sheet1!$B$3:$D$36,2,FALSE)</f>
        <v>Furniture</v>
      </c>
      <c r="AI19" s="89" t="s">
        <v>53</v>
      </c>
      <c r="AJ19" s="1" t="str">
        <f t="shared" si="18"/>
        <v>Rousse rectangular rustic</v>
      </c>
      <c r="AK19" s="1" t="str">
        <f t="shared" si="8"/>
        <v>w330 x d75 x h76 x bh66</v>
      </c>
      <c r="AL19" s="1" t="str">
        <f t="shared" si="19"/>
        <v>Teak Original outdoor</v>
      </c>
      <c r="AM19" s="1" t="str">
        <f t="shared" si="9"/>
        <v>Teak Original outdoor</v>
      </c>
      <c r="AN19" s="1" t="str">
        <f>SUBSTITUTE(AL19,"outdoor","")</f>
        <v xml:space="preserve">Teak Original </v>
      </c>
      <c r="AO19" s="1" t="s">
        <v>59</v>
      </c>
      <c r="AQ19" s="1" t="str">
        <f t="shared" si="10"/>
        <v>A</v>
      </c>
      <c r="AR19" s="1" t="str">
        <f>VLOOKUP(TRIM(AI19),Sheet1!$D$3:$E$36,2,FALSE)</f>
        <v>01</v>
      </c>
      <c r="AS19" s="90" t="str">
        <f t="shared" si="11"/>
        <v>02</v>
      </c>
      <c r="AT19" s="1" t="str">
        <f t="shared" si="12"/>
        <v>02</v>
      </c>
      <c r="AU19" s="90" t="s">
        <v>119</v>
      </c>
      <c r="AV19" s="90"/>
      <c r="AW19" s="90"/>
      <c r="AX19" s="95" t="str">
        <f>AQ19&amp;AR19&amp;AS19&amp;"-"&amp;AT19&amp;AU19&amp;BA19</f>
        <v>A0102-0230OUT</v>
      </c>
      <c r="AY19" s="99" t="str">
        <f>AQ19&amp;AR19&amp;AS19&amp;"-"&amp;AT19&amp;BA19</f>
        <v>A0102-02OUT</v>
      </c>
      <c r="AZ19" s="90"/>
      <c r="BA19" s="1" t="str">
        <f t="shared" si="13"/>
        <v>OUT</v>
      </c>
      <c r="BC19" s="1" t="str">
        <f>IF(AJ18&lt;&gt;AJ19,1,"")</f>
        <v/>
      </c>
      <c r="BD19" s="90">
        <f t="shared" si="14"/>
        <v>2</v>
      </c>
      <c r="BE19" s="1" t="str">
        <f t="shared" si="21"/>
        <v/>
      </c>
      <c r="BF19" s="1">
        <f t="shared" si="22"/>
        <v>2</v>
      </c>
      <c r="BJ19" t="s">
        <v>125</v>
      </c>
      <c r="BK19" s="1">
        <v>2</v>
      </c>
      <c r="BL19"/>
      <c r="BM19" t="str">
        <f t="shared" si="20"/>
        <v>Bibury oval bar-Bibury oval bar-</v>
      </c>
      <c r="FI19" s="63"/>
      <c r="GT19" s="63"/>
      <c r="HJ19" s="63"/>
      <c r="HV19" s="63"/>
      <c r="IW19" s="63"/>
    </row>
    <row r="20" spans="1:257" ht="11.25" customHeight="1">
      <c r="A20" s="26" t="s">
        <v>126</v>
      </c>
      <c r="B20" s="27" t="s">
        <v>127</v>
      </c>
      <c r="C20" s="28">
        <v>3469.99</v>
      </c>
      <c r="D20" s="28">
        <f t="shared" si="3"/>
        <v>1734.9949999999999</v>
      </c>
      <c r="E20" s="22" t="s">
        <v>40</v>
      </c>
      <c r="F20" s="22" t="s">
        <v>128</v>
      </c>
      <c r="G20" s="22" t="s">
        <v>129</v>
      </c>
      <c r="H20" s="22" t="s">
        <v>130</v>
      </c>
      <c r="I20" s="23" t="s">
        <v>49</v>
      </c>
      <c r="J20" s="22" t="s">
        <v>50</v>
      </c>
      <c r="K20" s="23">
        <v>280</v>
      </c>
      <c r="L20" s="23">
        <v>85</v>
      </c>
      <c r="M20" s="23">
        <v>78</v>
      </c>
      <c r="N20" s="3">
        <f t="shared" si="4"/>
        <v>1.8564000000000001</v>
      </c>
      <c r="O20" s="4" t="e">
        <f>(C20-(C20*#REF!))-((C20-(C20*#REF!))*#REF!)</f>
        <v>#REF!</v>
      </c>
      <c r="P20" s="7"/>
      <c r="Q20" s="7"/>
      <c r="R20" s="5">
        <f t="shared" si="5"/>
        <v>0</v>
      </c>
      <c r="S20" s="4">
        <f t="shared" si="6"/>
        <v>0</v>
      </c>
      <c r="T20" s="13">
        <f t="shared" si="7"/>
        <v>2428.9929999999999</v>
      </c>
      <c r="U20" s="13">
        <f t="shared" si="17"/>
        <v>1214.4965</v>
      </c>
      <c r="V20" s="14">
        <f>U20/C20</f>
        <v>0.35000000000000003</v>
      </c>
      <c r="W20" s="14"/>
      <c r="X20" s="19">
        <f t="shared" si="0"/>
        <v>1214.4965</v>
      </c>
      <c r="Y20" s="19">
        <f t="shared" si="1"/>
        <v>2428.9929999999999</v>
      </c>
      <c r="Z20" s="15" t="e">
        <f t="shared" si="2"/>
        <v>#DIV/0!</v>
      </c>
      <c r="AA20" s="22" t="s">
        <v>131</v>
      </c>
      <c r="AG20" s="94" t="s">
        <v>52</v>
      </c>
      <c r="AH20" s="89" t="str">
        <f>VLOOKUP(AG20,Sheet1!$B$3:$D$36,2,FALSE)</f>
        <v>Furniture</v>
      </c>
      <c r="AI20" s="89" t="s">
        <v>53</v>
      </c>
      <c r="AJ20" s="1" t="str">
        <f t="shared" si="18"/>
        <v>Rousse rectangular</v>
      </c>
      <c r="AK20" s="1" t="str">
        <f t="shared" si="8"/>
        <v>w280 x d85 x h78 x bh70</v>
      </c>
      <c r="AL20" s="1" t="str">
        <f t="shared" si="19"/>
        <v>Natural teak indoor</v>
      </c>
      <c r="AM20" s="1" t="str">
        <f t="shared" si="9"/>
        <v>Natural teak indoor</v>
      </c>
      <c r="AN20" s="1" t="str">
        <f>SUBSTITUTE(AL20,"indoor","")</f>
        <v xml:space="preserve">Natural teak </v>
      </c>
      <c r="AO20" s="1" t="s">
        <v>54</v>
      </c>
      <c r="AQ20" s="1" t="str">
        <f t="shared" si="10"/>
        <v>A</v>
      </c>
      <c r="AR20" s="1" t="str">
        <f>VLOOKUP(TRIM(AI20),Sheet1!$D$3:$E$36,2,FALSE)</f>
        <v>01</v>
      </c>
      <c r="AS20" s="90" t="str">
        <f t="shared" si="11"/>
        <v>01</v>
      </c>
      <c r="AT20" s="1" t="str">
        <f t="shared" si="12"/>
        <v>01</v>
      </c>
      <c r="AU20" s="90" t="s">
        <v>55</v>
      </c>
      <c r="AV20" s="90"/>
      <c r="AW20" s="90"/>
      <c r="AX20" s="95" t="str">
        <f>AQ20&amp;AR20&amp;AS20&amp;"-"&amp;AT20&amp;AU20&amp;BA20</f>
        <v>A0101-0110IND</v>
      </c>
      <c r="AY20" s="99" t="str">
        <f>AQ20&amp;AR20&amp;AS20&amp;"-"&amp;AT20&amp;BA20</f>
        <v>A0101-01IND</v>
      </c>
      <c r="AZ20" s="90"/>
      <c r="BA20" s="1" t="str">
        <f t="shared" si="13"/>
        <v>IND</v>
      </c>
      <c r="BC20" s="1">
        <f>IF(AJ19&lt;&gt;AJ20,1,"")</f>
        <v>1</v>
      </c>
      <c r="BD20" s="90">
        <f t="shared" si="14"/>
        <v>1</v>
      </c>
      <c r="BE20" s="1">
        <f t="shared" si="21"/>
        <v>1</v>
      </c>
      <c r="BF20" s="1">
        <f t="shared" si="22"/>
        <v>1</v>
      </c>
      <c r="BJ20" t="s">
        <v>132</v>
      </c>
      <c r="BK20" s="1">
        <v>3</v>
      </c>
      <c r="BL20"/>
      <c r="BM20" t="str">
        <f t="shared" si="20"/>
        <v>Billy round basket wood-Billy round basket wood-Billy round basket wood-</v>
      </c>
      <c r="FI20" s="63"/>
      <c r="GT20" s="63"/>
      <c r="HJ20" s="63"/>
      <c r="HV20" s="63"/>
      <c r="IW20" s="63"/>
    </row>
    <row r="21" spans="1:257" ht="11.25" customHeight="1">
      <c r="A21" s="26" t="s">
        <v>133</v>
      </c>
      <c r="B21" s="27" t="s">
        <v>127</v>
      </c>
      <c r="C21" s="28">
        <v>3619.99</v>
      </c>
      <c r="D21" s="28">
        <f t="shared" si="3"/>
        <v>1809.9949999999999</v>
      </c>
      <c r="E21" s="22" t="s">
        <v>40</v>
      </c>
      <c r="F21" s="22" t="s">
        <v>134</v>
      </c>
      <c r="G21" s="22" t="s">
        <v>129</v>
      </c>
      <c r="H21" s="22" t="s">
        <v>130</v>
      </c>
      <c r="I21" s="23" t="s">
        <v>58</v>
      </c>
      <c r="J21" s="22" t="s">
        <v>50</v>
      </c>
      <c r="K21" s="23">
        <v>280</v>
      </c>
      <c r="L21" s="23">
        <v>85</v>
      </c>
      <c r="M21" s="23">
        <v>78</v>
      </c>
      <c r="N21" s="3">
        <f t="shared" si="4"/>
        <v>1.8564000000000001</v>
      </c>
      <c r="O21" s="4" t="e">
        <f>(C21-(C21*#REF!))-((C21-(C21*#REF!))*#REF!)</f>
        <v>#REF!</v>
      </c>
      <c r="P21" s="7"/>
      <c r="Q21" s="7"/>
      <c r="R21" s="5">
        <f t="shared" si="5"/>
        <v>0</v>
      </c>
      <c r="S21" s="4">
        <f t="shared" si="6"/>
        <v>0</v>
      </c>
      <c r="T21" s="13">
        <f t="shared" si="7"/>
        <v>2533.9929999999999</v>
      </c>
      <c r="U21" s="13">
        <f t="shared" si="17"/>
        <v>1266.9965</v>
      </c>
      <c r="V21" s="14">
        <f>U21/C21</f>
        <v>0.35000000000000003</v>
      </c>
      <c r="W21" s="14"/>
      <c r="X21" s="19">
        <f t="shared" si="0"/>
        <v>1266.9965</v>
      </c>
      <c r="Y21" s="19">
        <f t="shared" si="1"/>
        <v>2533.9929999999999</v>
      </c>
      <c r="Z21" s="15" t="e">
        <f t="shared" si="2"/>
        <v>#DIV/0!</v>
      </c>
      <c r="AA21" s="22" t="s">
        <v>131</v>
      </c>
      <c r="AG21" s="94" t="s">
        <v>52</v>
      </c>
      <c r="AH21" s="89" t="str">
        <f>VLOOKUP(AG21,Sheet1!$B$3:$D$36,2,FALSE)</f>
        <v>Furniture</v>
      </c>
      <c r="AI21" s="89" t="s">
        <v>53</v>
      </c>
      <c r="AJ21" s="1" t="str">
        <f t="shared" si="18"/>
        <v>Rousse rectangular</v>
      </c>
      <c r="AK21" s="1" t="str">
        <f t="shared" si="8"/>
        <v>w280 x d85 x h78 x bh70</v>
      </c>
      <c r="AL21" s="1" t="str">
        <f t="shared" si="19"/>
        <v>Natural teak outdoor</v>
      </c>
      <c r="AM21" s="1" t="str">
        <f t="shared" si="9"/>
        <v>Natural teak outdoor</v>
      </c>
      <c r="AN21" s="1" t="str">
        <f>SUBSTITUTE(AL21,"outdoor","")</f>
        <v xml:space="preserve">Natural teak </v>
      </c>
      <c r="AO21" s="1" t="s">
        <v>59</v>
      </c>
      <c r="AQ21" s="1" t="str">
        <f t="shared" si="10"/>
        <v>A</v>
      </c>
      <c r="AR21" s="1" t="str">
        <f>VLOOKUP(TRIM(AI21),Sheet1!$D$3:$E$36,2,FALSE)</f>
        <v>01</v>
      </c>
      <c r="AS21" s="90" t="str">
        <f t="shared" si="11"/>
        <v>02</v>
      </c>
      <c r="AT21" s="1" t="str">
        <f t="shared" si="12"/>
        <v>02</v>
      </c>
      <c r="AU21" s="90" t="s">
        <v>55</v>
      </c>
      <c r="AV21" s="90"/>
      <c r="AW21" s="90"/>
      <c r="AX21" s="95" t="str">
        <f>AQ21&amp;AR21&amp;AS21&amp;"-"&amp;AT21&amp;AU21&amp;BA21</f>
        <v>A0102-0210OUT</v>
      </c>
      <c r="AY21" s="99" t="str">
        <f>AQ21&amp;AR21&amp;AS21&amp;"-"&amp;AT21&amp;BA21</f>
        <v>A0102-02OUT</v>
      </c>
      <c r="AZ21" s="90"/>
      <c r="BA21" s="1" t="str">
        <f t="shared" si="13"/>
        <v>OUT</v>
      </c>
      <c r="BC21" s="1" t="str">
        <f>IF(AJ20&lt;&gt;AJ21,1,"")</f>
        <v/>
      </c>
      <c r="BD21" s="90">
        <f t="shared" si="14"/>
        <v>2</v>
      </c>
      <c r="BE21" s="1" t="str">
        <f t="shared" si="21"/>
        <v/>
      </c>
      <c r="BF21" s="1">
        <f t="shared" si="22"/>
        <v>2</v>
      </c>
      <c r="BJ21" t="s">
        <v>135</v>
      </c>
      <c r="BK21" s="1">
        <v>2</v>
      </c>
      <c r="BL21"/>
      <c r="BM21" t="str">
        <f t="shared" si="20"/>
        <v>Bogdan dia 15 cm-Bogdan dia 15 cm-</v>
      </c>
      <c r="FI21" s="63"/>
      <c r="GT21" s="63"/>
      <c r="HJ21" s="63"/>
      <c r="HV21" s="63"/>
      <c r="IW21" s="63"/>
    </row>
    <row r="22" spans="1:257" ht="11.25" customHeight="1">
      <c r="A22" s="26" t="s">
        <v>136</v>
      </c>
      <c r="B22" s="27" t="s">
        <v>127</v>
      </c>
      <c r="C22" s="28">
        <v>6959.99</v>
      </c>
      <c r="D22" s="28">
        <f t="shared" si="3"/>
        <v>3479.9949999999999</v>
      </c>
      <c r="E22" s="22" t="s">
        <v>40</v>
      </c>
      <c r="F22" s="22" t="s">
        <v>137</v>
      </c>
      <c r="G22" s="22" t="s">
        <v>129</v>
      </c>
      <c r="H22" s="22" t="s">
        <v>138</v>
      </c>
      <c r="I22" s="23" t="s">
        <v>49</v>
      </c>
      <c r="J22" s="22" t="s">
        <v>50</v>
      </c>
      <c r="K22" s="23">
        <v>320</v>
      </c>
      <c r="L22" s="23">
        <v>90</v>
      </c>
      <c r="M22" s="23">
        <v>78</v>
      </c>
      <c r="N22" s="3">
        <f t="shared" si="4"/>
        <v>2.2464</v>
      </c>
      <c r="O22" s="4" t="e">
        <f>(C22-(C22*#REF!))-((C22-(C22*#REF!))*#REF!)</f>
        <v>#REF!</v>
      </c>
      <c r="P22" s="7"/>
      <c r="Q22" s="7"/>
      <c r="R22" s="5">
        <f t="shared" si="5"/>
        <v>0</v>
      </c>
      <c r="S22" s="4">
        <f t="shared" si="6"/>
        <v>0</v>
      </c>
      <c r="T22" s="13">
        <f t="shared" si="7"/>
        <v>4871.9930000000004</v>
      </c>
      <c r="U22" s="13">
        <f t="shared" si="17"/>
        <v>2435.9965000000002</v>
      </c>
      <c r="V22" s="14">
        <f>U22/C22</f>
        <v>0.35000000000000003</v>
      </c>
      <c r="W22" s="14"/>
      <c r="X22" s="19">
        <f t="shared" si="0"/>
        <v>2435.9965000000002</v>
      </c>
      <c r="Y22" s="19">
        <f t="shared" si="1"/>
        <v>4871.9930000000004</v>
      </c>
      <c r="Z22" s="15" t="e">
        <f t="shared" si="2"/>
        <v>#DIV/0!</v>
      </c>
      <c r="AA22" s="22" t="s">
        <v>139</v>
      </c>
      <c r="AG22" s="94" t="s">
        <v>52</v>
      </c>
      <c r="AH22" s="89" t="str">
        <f>VLOOKUP(AG22,Sheet1!$B$3:$D$36,2,FALSE)</f>
        <v>Furniture</v>
      </c>
      <c r="AI22" s="89" t="s">
        <v>53</v>
      </c>
      <c r="AJ22" s="1" t="str">
        <f t="shared" si="18"/>
        <v>Rousse rectangular</v>
      </c>
      <c r="AK22" s="1" t="str">
        <f t="shared" si="8"/>
        <v>w320 x d90 x h78 x bh70</v>
      </c>
      <c r="AL22" s="1" t="str">
        <f t="shared" si="19"/>
        <v>Natural teak indoor</v>
      </c>
      <c r="AM22" s="1" t="str">
        <f t="shared" si="9"/>
        <v>Natural teak indoor</v>
      </c>
      <c r="AN22" s="1" t="str">
        <f>SUBSTITUTE(AL22,"indoor","")</f>
        <v xml:space="preserve">Natural teak </v>
      </c>
      <c r="AO22" s="1" t="s">
        <v>54</v>
      </c>
      <c r="AQ22" s="1" t="str">
        <f t="shared" si="10"/>
        <v>A</v>
      </c>
      <c r="AR22" s="1" t="str">
        <f>VLOOKUP(TRIM(AI22),Sheet1!$D$3:$E$36,2,FALSE)</f>
        <v>01</v>
      </c>
      <c r="AS22" s="90" t="str">
        <f t="shared" si="11"/>
        <v>03</v>
      </c>
      <c r="AT22" s="1" t="str">
        <f t="shared" si="12"/>
        <v>01</v>
      </c>
      <c r="AU22" s="90" t="s">
        <v>55</v>
      </c>
      <c r="AV22" s="90"/>
      <c r="AW22" s="90"/>
      <c r="AX22" s="95" t="str">
        <f>AQ22&amp;AR22&amp;AS22&amp;"-"&amp;AT22&amp;AU22&amp;BA22</f>
        <v>A0103-0110IND</v>
      </c>
      <c r="AY22" s="99" t="str">
        <f>AQ22&amp;AR22&amp;AS22&amp;"-"&amp;AT22&amp;BA22</f>
        <v>A0103-01IND</v>
      </c>
      <c r="AZ22" s="90"/>
      <c r="BA22" s="1" t="str">
        <f t="shared" si="13"/>
        <v>IND</v>
      </c>
      <c r="BC22" s="1" t="str">
        <f>IF(AJ21&lt;&gt;AJ22,1,"")</f>
        <v/>
      </c>
      <c r="BD22" s="90">
        <f t="shared" si="14"/>
        <v>3</v>
      </c>
      <c r="BE22" s="1">
        <f t="shared" si="21"/>
        <v>1</v>
      </c>
      <c r="BF22" s="1">
        <f t="shared" si="22"/>
        <v>1</v>
      </c>
      <c r="BJ22" t="s">
        <v>140</v>
      </c>
      <c r="BK22" s="1">
        <v>3</v>
      </c>
      <c r="BL22"/>
      <c r="BM22" t="str">
        <f t="shared" si="20"/>
        <v>Bogdan dia 25 cm-Bogdan dia 25 cm-Bogdan dia 25 cm-</v>
      </c>
      <c r="FI22" s="63"/>
      <c r="GT22" s="63"/>
      <c r="HJ22" s="63"/>
      <c r="HV22" s="63"/>
      <c r="IW22" s="63"/>
    </row>
    <row r="23" spans="1:257" ht="11.25" customHeight="1">
      <c r="A23" s="26" t="s">
        <v>141</v>
      </c>
      <c r="B23" s="27" t="s">
        <v>127</v>
      </c>
      <c r="C23" s="28">
        <v>7389.99</v>
      </c>
      <c r="D23" s="28">
        <f t="shared" si="3"/>
        <v>3694.9949999999999</v>
      </c>
      <c r="E23" s="22" t="s">
        <v>40</v>
      </c>
      <c r="F23" s="22" t="s">
        <v>142</v>
      </c>
      <c r="G23" s="22" t="s">
        <v>129</v>
      </c>
      <c r="H23" s="22" t="s">
        <v>138</v>
      </c>
      <c r="I23" s="23" t="s">
        <v>58</v>
      </c>
      <c r="J23" s="22" t="s">
        <v>50</v>
      </c>
      <c r="K23" s="23">
        <v>320</v>
      </c>
      <c r="L23" s="23">
        <v>90</v>
      </c>
      <c r="M23" s="23">
        <v>78</v>
      </c>
      <c r="N23" s="3">
        <f t="shared" si="4"/>
        <v>2.2464</v>
      </c>
      <c r="O23" s="4" t="e">
        <f>(C23-(C23*#REF!))-((C23-(C23*#REF!))*#REF!)</f>
        <v>#REF!</v>
      </c>
      <c r="P23" s="7"/>
      <c r="Q23" s="7"/>
      <c r="R23" s="5">
        <f t="shared" si="5"/>
        <v>0</v>
      </c>
      <c r="S23" s="4">
        <f t="shared" si="6"/>
        <v>0</v>
      </c>
      <c r="T23" s="13">
        <f t="shared" si="7"/>
        <v>5172.9930000000004</v>
      </c>
      <c r="U23" s="13">
        <f t="shared" si="17"/>
        <v>2586.4965000000002</v>
      </c>
      <c r="V23" s="14">
        <f>U23/C23</f>
        <v>0.35000000000000003</v>
      </c>
      <c r="W23" s="14"/>
      <c r="X23" s="19">
        <f t="shared" si="0"/>
        <v>2586.4965000000002</v>
      </c>
      <c r="Y23" s="19">
        <f t="shared" si="1"/>
        <v>5172.9930000000004</v>
      </c>
      <c r="Z23" s="15" t="e">
        <f t="shared" si="2"/>
        <v>#DIV/0!</v>
      </c>
      <c r="AA23" s="22" t="s">
        <v>143</v>
      </c>
      <c r="AG23" s="94" t="s">
        <v>52</v>
      </c>
      <c r="AH23" s="89" t="str">
        <f>VLOOKUP(AG23,Sheet1!$B$3:$D$36,2,FALSE)</f>
        <v>Furniture</v>
      </c>
      <c r="AI23" s="89" t="s">
        <v>53</v>
      </c>
      <c r="AJ23" s="1" t="str">
        <f t="shared" si="18"/>
        <v>Rousse rectangular</v>
      </c>
      <c r="AK23" s="1" t="str">
        <f t="shared" si="8"/>
        <v>w320 x d90 x h78 x bh70</v>
      </c>
      <c r="AL23" s="1" t="str">
        <f t="shared" si="19"/>
        <v>Natural teak outdoor</v>
      </c>
      <c r="AM23" s="1" t="str">
        <f t="shared" si="9"/>
        <v>Natural teak outdoor</v>
      </c>
      <c r="AN23" s="1" t="str">
        <f>SUBSTITUTE(AL23,"outdoor","")</f>
        <v xml:space="preserve">Natural teak </v>
      </c>
      <c r="AO23" s="1" t="s">
        <v>59</v>
      </c>
      <c r="AQ23" s="1" t="str">
        <f t="shared" si="10"/>
        <v>A</v>
      </c>
      <c r="AR23" s="1" t="str">
        <f>VLOOKUP(TRIM(AI23),Sheet1!$D$3:$E$36,2,FALSE)</f>
        <v>01</v>
      </c>
      <c r="AS23" s="90" t="str">
        <f t="shared" si="11"/>
        <v>04</v>
      </c>
      <c r="AT23" s="1" t="str">
        <f t="shared" si="12"/>
        <v>02</v>
      </c>
      <c r="AU23" s="90" t="s">
        <v>55</v>
      </c>
      <c r="AV23" s="90"/>
      <c r="AW23" s="90"/>
      <c r="AX23" s="95" t="str">
        <f>AQ23&amp;AR23&amp;AS23&amp;"-"&amp;AT23&amp;AU23&amp;BA23</f>
        <v>A0104-0210OUT</v>
      </c>
      <c r="AY23" s="99" t="str">
        <f>AQ23&amp;AR23&amp;AS23&amp;"-"&amp;AT23&amp;BA23</f>
        <v>A0104-02OUT</v>
      </c>
      <c r="AZ23" s="90"/>
      <c r="BA23" s="1" t="str">
        <f t="shared" si="13"/>
        <v>OUT</v>
      </c>
      <c r="BC23" s="1" t="str">
        <f>IF(AJ22&lt;&gt;AJ23,1,"")</f>
        <v/>
      </c>
      <c r="BD23" s="90">
        <f t="shared" si="14"/>
        <v>4</v>
      </c>
      <c r="BE23" s="1" t="str">
        <f t="shared" si="21"/>
        <v/>
      </c>
      <c r="BF23" s="1">
        <f t="shared" si="22"/>
        <v>2</v>
      </c>
      <c r="BJ23" t="s">
        <v>144</v>
      </c>
      <c r="BK23" s="1">
        <v>3</v>
      </c>
      <c r="BL23"/>
      <c r="BM23" t="str">
        <f t="shared" si="20"/>
        <v>Bogdan dia 30 cm-Bogdan dia 30 cm-Bogdan dia 30 cm-</v>
      </c>
    </row>
    <row r="24" spans="1:257" ht="11.25" customHeight="1">
      <c r="A24" s="26" t="s">
        <v>145</v>
      </c>
      <c r="B24" s="27" t="s">
        <v>127</v>
      </c>
      <c r="C24" s="28">
        <v>11209.99</v>
      </c>
      <c r="D24" s="28">
        <f t="shared" si="3"/>
        <v>5604.9949999999999</v>
      </c>
      <c r="E24" s="22" t="s">
        <v>40</v>
      </c>
      <c r="F24" s="22" t="s">
        <v>146</v>
      </c>
      <c r="G24" s="22" t="s">
        <v>129</v>
      </c>
      <c r="H24" s="22" t="s">
        <v>147</v>
      </c>
      <c r="I24" s="23" t="s">
        <v>49</v>
      </c>
      <c r="J24" s="22" t="s">
        <v>50</v>
      </c>
      <c r="K24" s="23">
        <v>400</v>
      </c>
      <c r="L24" s="23">
        <v>100</v>
      </c>
      <c r="M24" s="23">
        <v>78</v>
      </c>
      <c r="N24" s="3">
        <f t="shared" si="4"/>
        <v>3.12</v>
      </c>
      <c r="O24" s="4" t="e">
        <f>(C24-(C24*#REF!))-((C24-(C24*#REF!))*#REF!)</f>
        <v>#REF!</v>
      </c>
      <c r="P24" s="7">
        <v>10209585.901805425</v>
      </c>
      <c r="Q24" s="7">
        <v>0</v>
      </c>
      <c r="R24" s="5">
        <f t="shared" si="5"/>
        <v>10209585.901805425</v>
      </c>
      <c r="S24" s="4">
        <f t="shared" si="6"/>
        <v>680.63906012036171</v>
      </c>
      <c r="T24" s="13">
        <f t="shared" si="7"/>
        <v>7846.9930000000004</v>
      </c>
      <c r="U24" s="13">
        <f t="shared" si="17"/>
        <v>3923.4965000000002</v>
      </c>
      <c r="V24" s="14">
        <f>U24/C24</f>
        <v>0.35000000000000003</v>
      </c>
      <c r="W24" s="14"/>
      <c r="X24" s="19">
        <f t="shared" si="0"/>
        <v>3923.4965000000002</v>
      </c>
      <c r="Y24" s="19">
        <f t="shared" si="1"/>
        <v>7846.9930000000004</v>
      </c>
      <c r="Z24" s="15">
        <f t="shared" si="2"/>
        <v>5.764430415301443</v>
      </c>
      <c r="AA24" s="22" t="s">
        <v>139</v>
      </c>
      <c r="AG24" s="94" t="s">
        <v>52</v>
      </c>
      <c r="AH24" s="89" t="str">
        <f>VLOOKUP(AG24,Sheet1!$B$3:$D$36,2,FALSE)</f>
        <v>Furniture</v>
      </c>
      <c r="AI24" s="89" t="s">
        <v>53</v>
      </c>
      <c r="AJ24" s="1" t="str">
        <f t="shared" si="18"/>
        <v>Rousse rectangular</v>
      </c>
      <c r="AK24" s="1" t="str">
        <f t="shared" si="8"/>
        <v>w400 x d100 x h78 x bh70</v>
      </c>
      <c r="AL24" s="1" t="str">
        <f t="shared" si="19"/>
        <v>Natural teak indoor</v>
      </c>
      <c r="AM24" s="1" t="str">
        <f t="shared" si="9"/>
        <v>Natural teak indoor</v>
      </c>
      <c r="AN24" s="1" t="str">
        <f>SUBSTITUTE(AL24,"indoor","")</f>
        <v xml:space="preserve">Natural teak </v>
      </c>
      <c r="AO24" s="1" t="s">
        <v>54</v>
      </c>
      <c r="AQ24" s="1" t="str">
        <f t="shared" si="10"/>
        <v>A</v>
      </c>
      <c r="AR24" s="1" t="str">
        <f>VLOOKUP(TRIM(AI24),Sheet1!$D$3:$E$36,2,FALSE)</f>
        <v>01</v>
      </c>
      <c r="AS24" s="90" t="str">
        <f t="shared" si="11"/>
        <v>05</v>
      </c>
      <c r="AT24" s="1" t="str">
        <f t="shared" si="12"/>
        <v>01</v>
      </c>
      <c r="AU24" s="90" t="s">
        <v>55</v>
      </c>
      <c r="AV24" s="90"/>
      <c r="AW24" s="90"/>
      <c r="AX24" s="95" t="str">
        <f>AQ24&amp;AR24&amp;AS24&amp;"-"&amp;AT24&amp;AU24&amp;BA24</f>
        <v>A0105-0110IND</v>
      </c>
      <c r="AY24" s="99" t="str">
        <f>AQ24&amp;AR24&amp;AS24&amp;"-"&amp;AT24&amp;BA24</f>
        <v>A0105-01IND</v>
      </c>
      <c r="AZ24" s="90"/>
      <c r="BA24" s="1" t="str">
        <f t="shared" si="13"/>
        <v>IND</v>
      </c>
      <c r="BC24" s="1" t="str">
        <f>IF(AJ23&lt;&gt;AJ24,1,"")</f>
        <v/>
      </c>
      <c r="BD24" s="90">
        <f t="shared" si="14"/>
        <v>5</v>
      </c>
      <c r="BE24" s="1">
        <f t="shared" si="21"/>
        <v>1</v>
      </c>
      <c r="BF24" s="1">
        <f t="shared" si="22"/>
        <v>1</v>
      </c>
      <c r="BJ24" t="s">
        <v>47</v>
      </c>
      <c r="BK24" s="1">
        <v>4</v>
      </c>
      <c r="BL24"/>
      <c r="BM24" t="str">
        <f t="shared" si="20"/>
        <v>Boris rectangular-Boris rectangular-Boris rectangular-Boris rectangular-</v>
      </c>
    </row>
    <row r="25" spans="1:257" ht="11.25" customHeight="1">
      <c r="A25" s="26" t="s">
        <v>148</v>
      </c>
      <c r="B25" s="27" t="s">
        <v>127</v>
      </c>
      <c r="C25" s="28">
        <v>11879.99</v>
      </c>
      <c r="D25" s="28">
        <f t="shared" si="3"/>
        <v>5939.9949999999999</v>
      </c>
      <c r="E25" s="22" t="s">
        <v>40</v>
      </c>
      <c r="F25" s="22" t="s">
        <v>149</v>
      </c>
      <c r="G25" s="22" t="s">
        <v>129</v>
      </c>
      <c r="H25" s="22" t="s">
        <v>147</v>
      </c>
      <c r="I25" s="23" t="s">
        <v>58</v>
      </c>
      <c r="J25" s="22" t="s">
        <v>50</v>
      </c>
      <c r="K25" s="23">
        <v>400</v>
      </c>
      <c r="L25" s="23">
        <v>100</v>
      </c>
      <c r="M25" s="23">
        <v>78</v>
      </c>
      <c r="N25" s="3">
        <f t="shared" si="4"/>
        <v>3.12</v>
      </c>
      <c r="O25" s="4" t="e">
        <f>(C25-(C25*#REF!))-((C25-(C25*#REF!))*#REF!)</f>
        <v>#REF!</v>
      </c>
      <c r="P25" s="7">
        <v>9593125.72273135</v>
      </c>
      <c r="Q25" s="7">
        <v>0</v>
      </c>
      <c r="R25" s="5">
        <f t="shared" si="5"/>
        <v>9593125.72273135</v>
      </c>
      <c r="S25" s="4">
        <f t="shared" si="6"/>
        <v>639.54171484875667</v>
      </c>
      <c r="T25" s="13">
        <f t="shared" si="7"/>
        <v>8315.9930000000004</v>
      </c>
      <c r="U25" s="13">
        <f t="shared" si="17"/>
        <v>4157.9965000000002</v>
      </c>
      <c r="V25" s="14">
        <f>U25/C25</f>
        <v>0.35000000000000003</v>
      </c>
      <c r="W25" s="14"/>
      <c r="X25" s="19">
        <f t="shared" si="0"/>
        <v>4157.9965000000002</v>
      </c>
      <c r="Y25" s="19">
        <f t="shared" si="1"/>
        <v>8315.9930000000004</v>
      </c>
      <c r="Z25" s="15">
        <f t="shared" si="2"/>
        <v>6.5015250818835364</v>
      </c>
      <c r="AA25" s="22" t="s">
        <v>150</v>
      </c>
      <c r="AG25" s="94" t="s">
        <v>52</v>
      </c>
      <c r="AH25" s="89" t="str">
        <f>VLOOKUP(AG25,Sheet1!$B$3:$D$36,2,FALSE)</f>
        <v>Furniture</v>
      </c>
      <c r="AI25" s="89" t="s">
        <v>53</v>
      </c>
      <c r="AJ25" s="1" t="str">
        <f t="shared" si="18"/>
        <v>Rousse rectangular</v>
      </c>
      <c r="AK25" s="1" t="str">
        <f t="shared" si="8"/>
        <v>w400 x d100 x h78 x bh70</v>
      </c>
      <c r="AL25" s="1" t="str">
        <f t="shared" si="19"/>
        <v>Natural teak outdoor</v>
      </c>
      <c r="AM25" s="1" t="str">
        <f t="shared" si="9"/>
        <v>Natural teak outdoor</v>
      </c>
      <c r="AN25" s="1" t="str">
        <f>SUBSTITUTE(AL25,"outdoor","")</f>
        <v xml:space="preserve">Natural teak </v>
      </c>
      <c r="AO25" s="1" t="s">
        <v>59</v>
      </c>
      <c r="AQ25" s="1" t="str">
        <f t="shared" si="10"/>
        <v>A</v>
      </c>
      <c r="AR25" s="1" t="str">
        <f>VLOOKUP(TRIM(AI25),Sheet1!$D$3:$E$36,2,FALSE)</f>
        <v>01</v>
      </c>
      <c r="AS25" s="90" t="str">
        <f t="shared" si="11"/>
        <v>06</v>
      </c>
      <c r="AT25" s="1" t="str">
        <f t="shared" si="12"/>
        <v>02</v>
      </c>
      <c r="AU25" s="90" t="s">
        <v>55</v>
      </c>
      <c r="AV25" s="90"/>
      <c r="AW25" s="90"/>
      <c r="AX25" s="95" t="str">
        <f>AQ25&amp;AR25&amp;AS25&amp;"-"&amp;AT25&amp;AU25&amp;BA25</f>
        <v>A0106-0210OUT</v>
      </c>
      <c r="AY25" s="99" t="str">
        <f>AQ25&amp;AR25&amp;AS25&amp;"-"&amp;AT25&amp;BA25</f>
        <v>A0106-02OUT</v>
      </c>
      <c r="AZ25" s="90"/>
      <c r="BA25" s="1" t="str">
        <f t="shared" si="13"/>
        <v>OUT</v>
      </c>
      <c r="BC25" s="1" t="str">
        <f>IF(AJ24&lt;&gt;AJ25,1,"")</f>
        <v/>
      </c>
      <c r="BD25" s="90">
        <f t="shared" si="14"/>
        <v>6</v>
      </c>
      <c r="BE25" s="1" t="str">
        <f t="shared" si="21"/>
        <v/>
      </c>
      <c r="BF25" s="1">
        <f t="shared" si="22"/>
        <v>2</v>
      </c>
      <c r="BJ25" t="s">
        <v>151</v>
      </c>
      <c r="BK25" s="1">
        <v>2</v>
      </c>
      <c r="BL25"/>
      <c r="BM25" t="str">
        <f t="shared" si="20"/>
        <v>Borovets oval-Borovets oval-</v>
      </c>
    </row>
    <row r="26" spans="1:257" ht="11.25" customHeight="1">
      <c r="A26" s="26" t="s">
        <v>152</v>
      </c>
      <c r="B26" s="27" t="s">
        <v>153</v>
      </c>
      <c r="D26" s="28">
        <f t="shared" si="3"/>
        <v>0</v>
      </c>
      <c r="E26" s="22" t="s">
        <v>40</v>
      </c>
      <c r="F26" s="22" t="s">
        <v>154</v>
      </c>
      <c r="G26" s="22" t="s">
        <v>155</v>
      </c>
      <c r="H26" s="22" t="s">
        <v>156</v>
      </c>
      <c r="I26" s="23" t="s">
        <v>49</v>
      </c>
      <c r="J26" s="22" t="s">
        <v>50</v>
      </c>
      <c r="L26" s="23">
        <v>90</v>
      </c>
      <c r="M26" s="23">
        <v>76</v>
      </c>
      <c r="N26" s="3">
        <f t="shared" si="4"/>
        <v>0.61560000000000004</v>
      </c>
      <c r="O26" s="4" t="e">
        <f>(C26-(C26*#REF!))-((C26-(C26*#REF!))*#REF!)</f>
        <v>#REF!</v>
      </c>
      <c r="P26" s="7">
        <v>2132513.1339489101</v>
      </c>
      <c r="Q26" s="7">
        <v>0</v>
      </c>
      <c r="R26" s="5">
        <f t="shared" si="5"/>
        <v>2132513.1339489101</v>
      </c>
      <c r="S26" s="4">
        <f>R26/15000</f>
        <v>142.16754226326066</v>
      </c>
      <c r="T26" s="13">
        <f>C26-(C26*$T$1)</f>
        <v>0</v>
      </c>
      <c r="U26" s="13">
        <f t="shared" si="17"/>
        <v>0</v>
      </c>
      <c r="V26" s="14" t="e">
        <f>U26/C26</f>
        <v>#DIV/0!</v>
      </c>
      <c r="W26" s="18">
        <f>S26*3</f>
        <v>426.50262678978197</v>
      </c>
      <c r="X26" s="19">
        <f t="shared" si="0"/>
        <v>426.50262678978197</v>
      </c>
      <c r="Y26" s="19">
        <f t="shared" si="1"/>
        <v>853.00525357956394</v>
      </c>
      <c r="Z26" s="15">
        <v>3</v>
      </c>
      <c r="AA26" s="22" t="s">
        <v>157</v>
      </c>
      <c r="AG26" s="94" t="s">
        <v>52</v>
      </c>
      <c r="AH26" s="89" t="str">
        <f>VLOOKUP(AG26,Sheet1!$B$3:$D$36,2,FALSE)</f>
        <v>Furniture</v>
      </c>
      <c r="AI26" s="89" t="s">
        <v>53</v>
      </c>
      <c r="AJ26" s="1" t="str">
        <f t="shared" si="18"/>
        <v>Rila round</v>
      </c>
      <c r="AK26" s="1" t="str">
        <f t="shared" si="8"/>
        <v>d90 x h76 x bh70</v>
      </c>
      <c r="AL26" s="1" t="str">
        <f t="shared" si="19"/>
        <v>Natural teak indoor</v>
      </c>
      <c r="AM26" s="1" t="str">
        <f t="shared" si="9"/>
        <v>Natural teak indoor</v>
      </c>
      <c r="AN26" s="1" t="str">
        <f>SUBSTITUTE(AL26,"indoor","")</f>
        <v xml:space="preserve">Natural teak </v>
      </c>
      <c r="AO26" s="1" t="s">
        <v>54</v>
      </c>
      <c r="AQ26" s="1" t="str">
        <f t="shared" si="10"/>
        <v>A</v>
      </c>
      <c r="AR26" s="1" t="str">
        <f>VLOOKUP(TRIM(AI26),Sheet1!$D$3:$E$36,2,FALSE)</f>
        <v>01</v>
      </c>
      <c r="AS26" s="90" t="str">
        <f t="shared" si="11"/>
        <v>01</v>
      </c>
      <c r="AT26" s="1" t="str">
        <f t="shared" si="12"/>
        <v>01</v>
      </c>
      <c r="AU26" s="90" t="s">
        <v>55</v>
      </c>
      <c r="AV26" s="90"/>
      <c r="AW26" s="90"/>
      <c r="AX26" s="95" t="str">
        <f>AQ26&amp;AR26&amp;AS26&amp;"-"&amp;AT26&amp;AU26&amp;BA26</f>
        <v>A0101-0110IND</v>
      </c>
      <c r="AY26" s="99" t="str">
        <f>AQ26&amp;AR26&amp;AS26&amp;"-"&amp;AT26&amp;BA26</f>
        <v>A0101-01IND</v>
      </c>
      <c r="AZ26" s="90"/>
      <c r="BA26" s="1" t="str">
        <f t="shared" si="13"/>
        <v>IND</v>
      </c>
      <c r="BC26" s="1">
        <f>IF(AJ25&lt;&gt;AJ26,1,"")</f>
        <v>1</v>
      </c>
      <c r="BD26" s="90">
        <f t="shared" si="14"/>
        <v>1</v>
      </c>
      <c r="BE26" s="1">
        <f t="shared" si="21"/>
        <v>1</v>
      </c>
      <c r="BF26" s="1">
        <f t="shared" si="22"/>
        <v>1</v>
      </c>
      <c r="BJ26" t="s">
        <v>158</v>
      </c>
      <c r="BK26" s="1">
        <v>2</v>
      </c>
      <c r="BL26"/>
      <c r="BM26" t="str">
        <f t="shared" si="20"/>
        <v>Borovets round-Borovets round-</v>
      </c>
    </row>
    <row r="27" spans="1:257" ht="11.25" customHeight="1">
      <c r="A27" s="26" t="s">
        <v>159</v>
      </c>
      <c r="B27" s="27" t="s">
        <v>153</v>
      </c>
      <c r="D27" s="28">
        <f t="shared" si="3"/>
        <v>0</v>
      </c>
      <c r="E27" s="22" t="s">
        <v>40</v>
      </c>
      <c r="F27" s="22" t="s">
        <v>160</v>
      </c>
      <c r="G27" s="22" t="s">
        <v>155</v>
      </c>
      <c r="H27" s="22" t="s">
        <v>156</v>
      </c>
      <c r="I27" s="23" t="s">
        <v>58</v>
      </c>
      <c r="J27" s="22" t="s">
        <v>50</v>
      </c>
      <c r="L27" s="23">
        <v>90</v>
      </c>
      <c r="M27" s="23">
        <v>76</v>
      </c>
      <c r="N27" s="3">
        <f t="shared" si="4"/>
        <v>0.61560000000000004</v>
      </c>
      <c r="O27" s="4" t="e">
        <f>(C27-(C27*#REF!))-((C27-(C27*#REF!))*#REF!)</f>
        <v>#REF!</v>
      </c>
      <c r="P27" s="7">
        <v>2058963.6861248361</v>
      </c>
      <c r="Q27" s="7">
        <v>0</v>
      </c>
      <c r="R27" s="5">
        <f t="shared" si="5"/>
        <v>2058963.6861248361</v>
      </c>
      <c r="S27" s="4">
        <f t="shared" si="6"/>
        <v>137.26424574165574</v>
      </c>
      <c r="T27" s="13">
        <f t="shared" si="7"/>
        <v>0</v>
      </c>
      <c r="U27" s="13">
        <f t="shared" si="17"/>
        <v>0</v>
      </c>
      <c r="V27" s="14" t="e">
        <f>U27/C27</f>
        <v>#DIV/0!</v>
      </c>
      <c r="W27" s="18">
        <f>S27*3</f>
        <v>411.79273722496725</v>
      </c>
      <c r="X27" s="19">
        <f t="shared" si="0"/>
        <v>411.79273722496725</v>
      </c>
      <c r="Y27" s="19">
        <f t="shared" si="1"/>
        <v>823.58547444993451</v>
      </c>
      <c r="Z27" s="15">
        <v>3</v>
      </c>
      <c r="AA27" s="22" t="s">
        <v>161</v>
      </c>
      <c r="AG27" s="94" t="s">
        <v>52</v>
      </c>
      <c r="AH27" s="89" t="str">
        <f>VLOOKUP(AG27,Sheet1!$B$3:$D$36,2,FALSE)</f>
        <v>Furniture</v>
      </c>
      <c r="AI27" s="89" t="s">
        <v>53</v>
      </c>
      <c r="AJ27" s="1" t="str">
        <f t="shared" si="18"/>
        <v>Rila round</v>
      </c>
      <c r="AK27" s="1" t="str">
        <f t="shared" si="8"/>
        <v>d90 x h76 x bh70</v>
      </c>
      <c r="AL27" s="1" t="str">
        <f t="shared" si="19"/>
        <v>Natural teak outdoor</v>
      </c>
      <c r="AM27" s="1" t="str">
        <f t="shared" si="9"/>
        <v>Natural teak outdoor</v>
      </c>
      <c r="AN27" s="1" t="str">
        <f>SUBSTITUTE(AL27,"outdoor","")</f>
        <v xml:space="preserve">Natural teak </v>
      </c>
      <c r="AO27" s="1" t="s">
        <v>59</v>
      </c>
      <c r="AQ27" s="1" t="str">
        <f t="shared" si="10"/>
        <v>A</v>
      </c>
      <c r="AR27" s="1" t="str">
        <f>VLOOKUP(TRIM(AI27),Sheet1!$D$3:$E$36,2,FALSE)</f>
        <v>01</v>
      </c>
      <c r="AS27" s="90" t="str">
        <f t="shared" si="11"/>
        <v>02</v>
      </c>
      <c r="AT27" s="1" t="str">
        <f t="shared" si="12"/>
        <v>02</v>
      </c>
      <c r="AU27" s="90" t="s">
        <v>55</v>
      </c>
      <c r="AV27" s="90"/>
      <c r="AW27" s="90"/>
      <c r="AX27" s="95" t="str">
        <f>AQ27&amp;AR27&amp;AS27&amp;"-"&amp;AT27&amp;AU27&amp;BA27</f>
        <v>A0102-0210OUT</v>
      </c>
      <c r="AY27" s="99" t="str">
        <f>AQ27&amp;AR27&amp;AS27&amp;"-"&amp;AT27&amp;BA27</f>
        <v>A0102-02OUT</v>
      </c>
      <c r="AZ27" s="90"/>
      <c r="BA27" s="1" t="str">
        <f t="shared" si="13"/>
        <v>OUT</v>
      </c>
      <c r="BC27" s="1" t="str">
        <f>IF(AJ26&lt;&gt;AJ27,1,"")</f>
        <v/>
      </c>
      <c r="BD27" s="90">
        <f t="shared" si="14"/>
        <v>2</v>
      </c>
      <c r="BE27" s="1" t="str">
        <f t="shared" si="21"/>
        <v/>
      </c>
      <c r="BF27" s="1">
        <f t="shared" si="22"/>
        <v>2</v>
      </c>
      <c r="BJ27" t="s">
        <v>162</v>
      </c>
      <c r="BK27" s="1">
        <v>2</v>
      </c>
      <c r="BL27"/>
      <c r="BM27" t="str">
        <f t="shared" si="20"/>
        <v>bottle stop wood-bottle stop wood-</v>
      </c>
    </row>
    <row r="28" spans="1:257" ht="11.25" customHeight="1">
      <c r="A28" s="26" t="s">
        <v>163</v>
      </c>
      <c r="B28" s="27" t="s">
        <v>164</v>
      </c>
      <c r="D28" s="28">
        <f t="shared" si="3"/>
        <v>0</v>
      </c>
      <c r="E28" s="22" t="s">
        <v>40</v>
      </c>
      <c r="F28" s="22" t="s">
        <v>165</v>
      </c>
      <c r="G28" s="22" t="s">
        <v>166</v>
      </c>
      <c r="H28" s="22" t="s">
        <v>48</v>
      </c>
      <c r="I28" s="23" t="s">
        <v>49</v>
      </c>
      <c r="J28" s="22" t="s">
        <v>50</v>
      </c>
      <c r="K28" s="23">
        <v>260</v>
      </c>
      <c r="L28" s="23">
        <v>85</v>
      </c>
      <c r="M28" s="23">
        <v>75</v>
      </c>
      <c r="N28" s="3">
        <f t="shared" si="4"/>
        <v>1.6575</v>
      </c>
      <c r="O28" s="4" t="e">
        <f>(C28-(C28*#REF!))-((C28-(C28*#REF!))*#REF!)</f>
        <v>#REF!</v>
      </c>
      <c r="P28" s="7"/>
      <c r="Q28" s="7"/>
      <c r="R28" s="5">
        <f t="shared" si="5"/>
        <v>0</v>
      </c>
      <c r="S28" s="4">
        <f t="shared" si="6"/>
        <v>0</v>
      </c>
      <c r="T28" s="13">
        <f t="shared" si="7"/>
        <v>0</v>
      </c>
      <c r="U28" s="13">
        <f t="shared" si="17"/>
        <v>0</v>
      </c>
      <c r="V28" s="14" t="e">
        <f>U28/C28</f>
        <v>#DIV/0!</v>
      </c>
      <c r="W28" s="14"/>
      <c r="X28" s="19">
        <f t="shared" si="0"/>
        <v>0</v>
      </c>
      <c r="Y28" s="19">
        <f t="shared" si="1"/>
        <v>0</v>
      </c>
      <c r="Z28" s="15" t="e">
        <f t="shared" ref="Z28:Z91" si="23">U28/S28</f>
        <v>#DIV/0!</v>
      </c>
      <c r="AA28" s="22" t="s">
        <v>167</v>
      </c>
      <c r="AG28" s="94" t="s">
        <v>52</v>
      </c>
      <c r="AH28" s="89" t="str">
        <f>VLOOKUP(AG28,Sheet1!$B$3:$D$36,2,FALSE)</f>
        <v>Furniture</v>
      </c>
      <c r="AI28" s="89" t="s">
        <v>53</v>
      </c>
      <c r="AJ28" s="1" t="str">
        <f t="shared" si="18"/>
        <v>Varna rectangular</v>
      </c>
      <c r="AK28" s="1" t="str">
        <f t="shared" si="8"/>
        <v>w260 x d85 x h75 x bh70</v>
      </c>
      <c r="AL28" s="1" t="str">
        <f t="shared" si="19"/>
        <v>Natural teak indoor</v>
      </c>
      <c r="AM28" s="1" t="str">
        <f t="shared" si="9"/>
        <v>Natural teak indoor</v>
      </c>
      <c r="AN28" s="1" t="str">
        <f>SUBSTITUTE(AL28,"indoor","")</f>
        <v xml:space="preserve">Natural teak </v>
      </c>
      <c r="AO28" s="1" t="s">
        <v>54</v>
      </c>
      <c r="AQ28" s="1" t="str">
        <f t="shared" si="10"/>
        <v>A</v>
      </c>
      <c r="AR28" s="1" t="str">
        <f>VLOOKUP(TRIM(AI28),Sheet1!$D$3:$E$36,2,FALSE)</f>
        <v>01</v>
      </c>
      <c r="AS28" s="90" t="str">
        <f t="shared" si="11"/>
        <v>01</v>
      </c>
      <c r="AT28" s="1" t="str">
        <f t="shared" si="12"/>
        <v>01</v>
      </c>
      <c r="AU28" s="90" t="s">
        <v>55</v>
      </c>
      <c r="AV28" s="90"/>
      <c r="AW28" s="90"/>
      <c r="AX28" s="95" t="str">
        <f>AQ28&amp;AR28&amp;AS28&amp;"-"&amp;AT28&amp;AU28&amp;BA28</f>
        <v>A0101-0110IND</v>
      </c>
      <c r="AY28" s="99" t="str">
        <f>AQ28&amp;AR28&amp;AS28&amp;"-"&amp;AT28&amp;BA28</f>
        <v>A0101-01IND</v>
      </c>
      <c r="AZ28" s="90"/>
      <c r="BA28" s="1" t="str">
        <f t="shared" si="13"/>
        <v>IND</v>
      </c>
      <c r="BC28" s="1">
        <f>IF(AJ27&lt;&gt;AJ28,1,"")</f>
        <v>1</v>
      </c>
      <c r="BD28" s="90">
        <f t="shared" si="14"/>
        <v>1</v>
      </c>
      <c r="BE28" s="1">
        <f t="shared" si="21"/>
        <v>1</v>
      </c>
      <c r="BF28" s="1">
        <f t="shared" si="22"/>
        <v>1</v>
      </c>
      <c r="BJ28" t="s">
        <v>168</v>
      </c>
      <c r="BK28" s="1">
        <v>2</v>
      </c>
      <c r="BL28"/>
      <c r="BM28" t="str">
        <f t="shared" si="20"/>
        <v>Bourg rectangular console-Bourg rectangular console-</v>
      </c>
    </row>
    <row r="29" spans="1:257" ht="10.5" customHeight="1">
      <c r="A29" s="26" t="s">
        <v>169</v>
      </c>
      <c r="B29" s="27" t="s">
        <v>164</v>
      </c>
      <c r="D29" s="28">
        <f t="shared" si="3"/>
        <v>0</v>
      </c>
      <c r="E29" s="22" t="s">
        <v>40</v>
      </c>
      <c r="F29" s="22" t="s">
        <v>170</v>
      </c>
      <c r="G29" s="22" t="s">
        <v>166</v>
      </c>
      <c r="H29" s="22" t="s">
        <v>48</v>
      </c>
      <c r="I29" s="23" t="s">
        <v>58</v>
      </c>
      <c r="J29" s="22" t="s">
        <v>50</v>
      </c>
      <c r="K29" s="23">
        <v>260</v>
      </c>
      <c r="L29" s="23">
        <v>85</v>
      </c>
      <c r="M29" s="23">
        <v>75</v>
      </c>
      <c r="N29" s="3">
        <f t="shared" si="4"/>
        <v>1.6575</v>
      </c>
      <c r="O29" s="4" t="e">
        <f>(C29-(C29*#REF!))-((C29-(C29*#REF!))*#REF!)</f>
        <v>#REF!</v>
      </c>
      <c r="P29" s="7"/>
      <c r="Q29" s="7"/>
      <c r="R29" s="5">
        <f t="shared" si="5"/>
        <v>0</v>
      </c>
      <c r="S29" s="4">
        <f t="shared" si="6"/>
        <v>0</v>
      </c>
      <c r="T29" s="13">
        <f t="shared" si="7"/>
        <v>0</v>
      </c>
      <c r="U29" s="13">
        <f t="shared" si="17"/>
        <v>0</v>
      </c>
      <c r="V29" s="14" t="e">
        <f>U29/C29</f>
        <v>#DIV/0!</v>
      </c>
      <c r="W29" s="14"/>
      <c r="X29" s="19">
        <f t="shared" si="0"/>
        <v>0</v>
      </c>
      <c r="Y29" s="19">
        <f t="shared" si="1"/>
        <v>0</v>
      </c>
      <c r="Z29" s="15" t="e">
        <f t="shared" si="23"/>
        <v>#DIV/0!</v>
      </c>
      <c r="AA29" s="22" t="s">
        <v>171</v>
      </c>
      <c r="AG29" s="94" t="s">
        <v>52</v>
      </c>
      <c r="AH29" s="89" t="str">
        <f>VLOOKUP(AG29,Sheet1!$B$3:$D$36,2,FALSE)</f>
        <v>Furniture</v>
      </c>
      <c r="AI29" s="89" t="s">
        <v>53</v>
      </c>
      <c r="AJ29" s="1" t="str">
        <f t="shared" si="18"/>
        <v>Varna rectangular</v>
      </c>
      <c r="AK29" s="1" t="str">
        <f t="shared" si="8"/>
        <v>w260 x d85 x h75 x bh70</v>
      </c>
      <c r="AL29" s="1" t="str">
        <f t="shared" si="19"/>
        <v>Natural teak outdoor</v>
      </c>
      <c r="AM29" s="1" t="str">
        <f t="shared" si="9"/>
        <v>Natural teak outdoor</v>
      </c>
      <c r="AN29" s="1" t="str">
        <f>SUBSTITUTE(AL29,"outdoor","")</f>
        <v xml:space="preserve">Natural teak </v>
      </c>
      <c r="AO29" s="1" t="s">
        <v>59</v>
      </c>
      <c r="AQ29" s="1" t="str">
        <f t="shared" si="10"/>
        <v>A</v>
      </c>
      <c r="AR29" s="1" t="str">
        <f>VLOOKUP(TRIM(AI29),Sheet1!$D$3:$E$36,2,FALSE)</f>
        <v>01</v>
      </c>
      <c r="AS29" s="90" t="str">
        <f t="shared" si="11"/>
        <v>02</v>
      </c>
      <c r="AT29" s="1" t="str">
        <f t="shared" si="12"/>
        <v>02</v>
      </c>
      <c r="AU29" s="90" t="s">
        <v>55</v>
      </c>
      <c r="AV29" s="90"/>
      <c r="AW29" s="90"/>
      <c r="AX29" s="95" t="str">
        <f>AQ29&amp;AR29&amp;AS29&amp;"-"&amp;AT29&amp;AU29&amp;BA29</f>
        <v>A0102-0210OUT</v>
      </c>
      <c r="AY29" s="99" t="str">
        <f>AQ29&amp;AR29&amp;AS29&amp;"-"&amp;AT29&amp;BA29</f>
        <v>A0102-02OUT</v>
      </c>
      <c r="AZ29" s="90"/>
      <c r="BA29" s="1" t="str">
        <f t="shared" si="13"/>
        <v>OUT</v>
      </c>
      <c r="BC29" s="1" t="str">
        <f>IF(AJ28&lt;&gt;AJ29,1,"")</f>
        <v/>
      </c>
      <c r="BD29" s="90">
        <f t="shared" si="14"/>
        <v>2</v>
      </c>
      <c r="BE29" s="1" t="str">
        <f t="shared" si="21"/>
        <v/>
      </c>
      <c r="BF29" s="1">
        <f t="shared" si="22"/>
        <v>2</v>
      </c>
      <c r="BJ29" t="s">
        <v>172</v>
      </c>
      <c r="BK29" s="1">
        <v>2</v>
      </c>
      <c r="BL29"/>
      <c r="BM29" t="str">
        <f t="shared" si="20"/>
        <v>Carl-Carl-</v>
      </c>
    </row>
    <row r="30" spans="1:257" ht="11.25" customHeight="1">
      <c r="A30" s="26" t="s">
        <v>173</v>
      </c>
      <c r="B30" s="27" t="s">
        <v>174</v>
      </c>
      <c r="C30" s="28">
        <v>1929.99</v>
      </c>
      <c r="D30" s="28">
        <f t="shared" si="3"/>
        <v>964.995</v>
      </c>
      <c r="E30" s="22" t="s">
        <v>40</v>
      </c>
      <c r="F30" s="22" t="s">
        <v>175</v>
      </c>
      <c r="G30" s="22" t="s">
        <v>176</v>
      </c>
      <c r="H30" s="22" t="s">
        <v>88</v>
      </c>
      <c r="I30" s="23" t="s">
        <v>49</v>
      </c>
      <c r="J30" s="22" t="s">
        <v>50</v>
      </c>
      <c r="L30" s="23">
        <v>130</v>
      </c>
      <c r="M30" s="23">
        <v>75</v>
      </c>
      <c r="N30" s="3">
        <f t="shared" si="4"/>
        <v>1.2675000000000001</v>
      </c>
      <c r="O30" s="4" t="e">
        <f>(C30-(C30*#REF!))-((C30-(C30*#REF!))*#REF!)</f>
        <v>#REF!</v>
      </c>
      <c r="P30" s="7">
        <v>3474302.9304486429</v>
      </c>
      <c r="Q30" s="7">
        <v>0</v>
      </c>
      <c r="R30" s="5">
        <f t="shared" si="5"/>
        <v>3474302.9304486429</v>
      </c>
      <c r="S30" s="4">
        <f t="shared" si="6"/>
        <v>231.62019536324286</v>
      </c>
      <c r="T30" s="13">
        <f t="shared" si="7"/>
        <v>1350.9929999999999</v>
      </c>
      <c r="U30" s="13">
        <f t="shared" si="17"/>
        <v>675.49649999999997</v>
      </c>
      <c r="V30" s="14">
        <f>U30/C30</f>
        <v>0.35</v>
      </c>
      <c r="W30" s="14"/>
      <c r="X30" s="19">
        <f t="shared" si="0"/>
        <v>675.49649999999997</v>
      </c>
      <c r="Y30" s="19">
        <f t="shared" si="1"/>
        <v>1350.9929999999999</v>
      </c>
      <c r="Z30" s="15">
        <f t="shared" si="23"/>
        <v>2.9163972465381938</v>
      </c>
      <c r="AA30" s="22" t="s">
        <v>177</v>
      </c>
      <c r="AG30" s="94" t="s">
        <v>52</v>
      </c>
      <c r="AH30" s="89" t="str">
        <f>VLOOKUP(AG30,Sheet1!$B$3:$D$36,2,FALSE)</f>
        <v>Furniture</v>
      </c>
      <c r="AI30" s="89" t="s">
        <v>53</v>
      </c>
      <c r="AJ30" s="1" t="str">
        <f t="shared" si="18"/>
        <v>Sofia round 3-leg</v>
      </c>
      <c r="AK30" s="1" t="str">
        <f t="shared" si="8"/>
        <v>d130 x h75 x bh70</v>
      </c>
      <c r="AL30" s="1" t="str">
        <f t="shared" si="19"/>
        <v>Natural teak indoor</v>
      </c>
      <c r="AM30" s="1" t="str">
        <f t="shared" si="9"/>
        <v>Natural teak indoor</v>
      </c>
      <c r="AN30" s="1" t="str">
        <f>SUBSTITUTE(AL30,"indoor","")</f>
        <v xml:space="preserve">Natural teak </v>
      </c>
      <c r="AO30" s="1" t="s">
        <v>54</v>
      </c>
      <c r="AQ30" s="1" t="str">
        <f t="shared" si="10"/>
        <v>A</v>
      </c>
      <c r="AR30" s="1" t="str">
        <f>VLOOKUP(TRIM(AI30),Sheet1!$D$3:$E$36,2,FALSE)</f>
        <v>01</v>
      </c>
      <c r="AS30" s="90" t="str">
        <f t="shared" si="11"/>
        <v>01</v>
      </c>
      <c r="AT30" s="1" t="str">
        <f t="shared" si="12"/>
        <v>01</v>
      </c>
      <c r="AU30" s="90" t="s">
        <v>55</v>
      </c>
      <c r="AV30" s="90"/>
      <c r="AW30" s="90"/>
      <c r="AX30" s="95" t="str">
        <f>AQ30&amp;AR30&amp;AS30&amp;"-"&amp;AT30&amp;AU30&amp;BA30</f>
        <v>A0101-0110IND</v>
      </c>
      <c r="AY30" s="99" t="str">
        <f>AQ30&amp;AR30&amp;AS30&amp;"-"&amp;AT30&amp;BA30</f>
        <v>A0101-01IND</v>
      </c>
      <c r="AZ30" s="90"/>
      <c r="BA30" s="1" t="str">
        <f t="shared" si="13"/>
        <v>IND</v>
      </c>
      <c r="BC30" s="1">
        <f>IF(AJ29&lt;&gt;AJ30,1,"")</f>
        <v>1</v>
      </c>
      <c r="BD30" s="90">
        <f t="shared" si="14"/>
        <v>1</v>
      </c>
      <c r="BE30" s="1">
        <f t="shared" si="21"/>
        <v>1</v>
      </c>
      <c r="BF30" s="1">
        <f t="shared" si="22"/>
        <v>1</v>
      </c>
      <c r="BJ30" t="s">
        <v>178</v>
      </c>
      <c r="BK30" s="1">
        <v>2</v>
      </c>
      <c r="BL30"/>
      <c r="BM30" t="str">
        <f t="shared" si="20"/>
        <v>Carl stone-Carl stone-</v>
      </c>
    </row>
    <row r="31" spans="1:257" ht="11.25" customHeight="1">
      <c r="A31" s="26" t="s">
        <v>179</v>
      </c>
      <c r="B31" s="27" t="s">
        <v>174</v>
      </c>
      <c r="C31" s="28">
        <v>2079.9899999999998</v>
      </c>
      <c r="D31" s="28">
        <f t="shared" si="3"/>
        <v>1039.9949999999999</v>
      </c>
      <c r="E31" s="22" t="s">
        <v>40</v>
      </c>
      <c r="F31" s="22" t="s">
        <v>180</v>
      </c>
      <c r="G31" s="22" t="s">
        <v>176</v>
      </c>
      <c r="H31" s="22" t="s">
        <v>88</v>
      </c>
      <c r="I31" s="23" t="s">
        <v>58</v>
      </c>
      <c r="J31" s="22" t="s">
        <v>50</v>
      </c>
      <c r="L31" s="23">
        <v>130</v>
      </c>
      <c r="M31" s="23">
        <v>75</v>
      </c>
      <c r="N31" s="3">
        <f t="shared" si="4"/>
        <v>1.2675000000000001</v>
      </c>
      <c r="O31" s="4" t="e">
        <f>(C31-(C31*#REF!))-((C31-(C31*#REF!))*#REF!)</f>
        <v>#REF!</v>
      </c>
      <c r="P31" s="7">
        <v>3334121.2362356801</v>
      </c>
      <c r="Q31" s="7">
        <v>0</v>
      </c>
      <c r="R31" s="5">
        <f t="shared" si="5"/>
        <v>3334121.2362356801</v>
      </c>
      <c r="S31" s="4">
        <f t="shared" si="6"/>
        <v>222.27474908237866</v>
      </c>
      <c r="T31" s="13">
        <f t="shared" si="7"/>
        <v>1455.9929999999999</v>
      </c>
      <c r="U31" s="13">
        <f t="shared" si="17"/>
        <v>727.99649999999997</v>
      </c>
      <c r="V31" s="14">
        <f>U31/C31</f>
        <v>0.35000000000000003</v>
      </c>
      <c r="W31" s="14"/>
      <c r="X31" s="19">
        <f t="shared" si="0"/>
        <v>727.99649999999997</v>
      </c>
      <c r="Y31" s="19">
        <f t="shared" si="1"/>
        <v>1455.9929999999999</v>
      </c>
      <c r="Z31" s="15">
        <f t="shared" si="23"/>
        <v>3.2752100857402948</v>
      </c>
      <c r="AA31" s="22" t="s">
        <v>181</v>
      </c>
      <c r="AG31" s="94" t="s">
        <v>52</v>
      </c>
      <c r="AH31" s="89" t="str">
        <f>VLOOKUP(AG31,Sheet1!$B$3:$D$36,2,FALSE)</f>
        <v>Furniture</v>
      </c>
      <c r="AI31" s="89" t="s">
        <v>53</v>
      </c>
      <c r="AJ31" s="1" t="str">
        <f t="shared" si="18"/>
        <v>Sofia round 3-leg</v>
      </c>
      <c r="AK31" s="1" t="str">
        <f t="shared" si="8"/>
        <v>d130 x h75 x bh70</v>
      </c>
      <c r="AL31" s="1" t="str">
        <f t="shared" si="19"/>
        <v>Natural teak outdoor</v>
      </c>
      <c r="AM31" s="1" t="str">
        <f t="shared" si="9"/>
        <v>Natural teak outdoor</v>
      </c>
      <c r="AN31" s="1" t="str">
        <f>SUBSTITUTE(AL31,"outdoor","")</f>
        <v xml:space="preserve">Natural teak </v>
      </c>
      <c r="AO31" s="1" t="s">
        <v>59</v>
      </c>
      <c r="AQ31" s="1" t="str">
        <f t="shared" si="10"/>
        <v>A</v>
      </c>
      <c r="AR31" s="1" t="str">
        <f>VLOOKUP(TRIM(AI31),Sheet1!$D$3:$E$36,2,FALSE)</f>
        <v>01</v>
      </c>
      <c r="AS31" s="90" t="str">
        <f t="shared" si="11"/>
        <v>02</v>
      </c>
      <c r="AT31" s="1" t="str">
        <f t="shared" si="12"/>
        <v>02</v>
      </c>
      <c r="AU31" s="90" t="s">
        <v>55</v>
      </c>
      <c r="AV31" s="90"/>
      <c r="AW31" s="90"/>
      <c r="AX31" s="95" t="str">
        <f>AQ31&amp;AR31&amp;AS31&amp;"-"&amp;AT31&amp;AU31&amp;BA31</f>
        <v>A0102-0210OUT</v>
      </c>
      <c r="AY31" s="99" t="str">
        <f>AQ31&amp;AR31&amp;AS31&amp;"-"&amp;AT31&amp;BA31</f>
        <v>A0102-02OUT</v>
      </c>
      <c r="AZ31" s="90"/>
      <c r="BA31" s="1" t="str">
        <f t="shared" si="13"/>
        <v>OUT</v>
      </c>
      <c r="BC31" s="1" t="str">
        <f>IF(AJ30&lt;&gt;AJ31,1,"")</f>
        <v/>
      </c>
      <c r="BD31" s="90">
        <f t="shared" si="14"/>
        <v>2</v>
      </c>
      <c r="BE31" s="1" t="str">
        <f t="shared" si="21"/>
        <v/>
      </c>
      <c r="BF31" s="1">
        <f t="shared" si="22"/>
        <v>2</v>
      </c>
      <c r="BJ31" t="s">
        <v>182</v>
      </c>
      <c r="BK31" s="1">
        <v>2</v>
      </c>
      <c r="BL31"/>
      <c r="BM31" t="str">
        <f t="shared" si="20"/>
        <v>Carrickfergus rectangular bar-Carrickfergus rectangular bar-</v>
      </c>
    </row>
    <row r="32" spans="1:257" ht="11.25" customHeight="1">
      <c r="A32" s="26" t="s">
        <v>183</v>
      </c>
      <c r="B32" s="27" t="s">
        <v>174</v>
      </c>
      <c r="C32" s="28">
        <v>4019.99</v>
      </c>
      <c r="D32" s="28">
        <f t="shared" si="3"/>
        <v>2009.9949999999999</v>
      </c>
      <c r="E32" s="22" t="s">
        <v>40</v>
      </c>
      <c r="F32" s="22" t="s">
        <v>184</v>
      </c>
      <c r="G32" s="22" t="s">
        <v>176</v>
      </c>
      <c r="H32" s="22" t="s">
        <v>185</v>
      </c>
      <c r="I32" s="23" t="s">
        <v>49</v>
      </c>
      <c r="J32" s="22" t="s">
        <v>50</v>
      </c>
      <c r="L32" s="23">
        <v>180</v>
      </c>
      <c r="M32" s="23">
        <v>75</v>
      </c>
      <c r="N32" s="3">
        <f t="shared" si="4"/>
        <v>2.4300000000000002</v>
      </c>
      <c r="O32" s="4" t="e">
        <f>(C32-(C32*#REF!))-((C32-(C32*#REF!))*#REF!)</f>
        <v>#REF!</v>
      </c>
      <c r="P32" s="7"/>
      <c r="Q32" s="7"/>
      <c r="R32" s="5">
        <f t="shared" si="5"/>
        <v>0</v>
      </c>
      <c r="S32" s="4">
        <f t="shared" si="6"/>
        <v>0</v>
      </c>
      <c r="T32" s="13">
        <f t="shared" si="7"/>
        <v>2813.9929999999999</v>
      </c>
      <c r="U32" s="13">
        <f t="shared" si="17"/>
        <v>1406.9965</v>
      </c>
      <c r="V32" s="14">
        <f>U32/C32</f>
        <v>0.35000000000000003</v>
      </c>
      <c r="W32" s="14"/>
      <c r="X32" s="19">
        <f t="shared" si="0"/>
        <v>1406.9965</v>
      </c>
      <c r="Y32" s="19">
        <f t="shared" si="1"/>
        <v>2813.9929999999999</v>
      </c>
      <c r="Z32" s="15" t="e">
        <f t="shared" si="23"/>
        <v>#DIV/0!</v>
      </c>
      <c r="AA32" s="22" t="s">
        <v>177</v>
      </c>
      <c r="AG32" s="94" t="s">
        <v>52</v>
      </c>
      <c r="AH32" s="89" t="str">
        <f>VLOOKUP(AG32,Sheet1!$B$3:$D$36,2,FALSE)</f>
        <v>Furniture</v>
      </c>
      <c r="AI32" s="89" t="s">
        <v>53</v>
      </c>
      <c r="AJ32" s="1" t="str">
        <f t="shared" si="18"/>
        <v>Sofia round 3-leg</v>
      </c>
      <c r="AK32" s="1" t="str">
        <f t="shared" si="8"/>
        <v>d180 x h75 x bh70</v>
      </c>
      <c r="AL32" s="1" t="str">
        <f t="shared" si="19"/>
        <v>Natural teak indoor</v>
      </c>
      <c r="AM32" s="1" t="str">
        <f t="shared" si="9"/>
        <v>Natural teak indoor</v>
      </c>
      <c r="AN32" s="1" t="str">
        <f>SUBSTITUTE(AL32,"indoor","")</f>
        <v xml:space="preserve">Natural teak </v>
      </c>
      <c r="AO32" s="1" t="s">
        <v>54</v>
      </c>
      <c r="AQ32" s="1" t="str">
        <f t="shared" si="10"/>
        <v>A</v>
      </c>
      <c r="AR32" s="1" t="str">
        <f>VLOOKUP(TRIM(AI32),Sheet1!$D$3:$E$36,2,FALSE)</f>
        <v>01</v>
      </c>
      <c r="AS32" s="90" t="str">
        <f t="shared" si="11"/>
        <v>03</v>
      </c>
      <c r="AT32" s="1" t="str">
        <f t="shared" si="12"/>
        <v>01</v>
      </c>
      <c r="AU32" s="90" t="s">
        <v>55</v>
      </c>
      <c r="AV32" s="90"/>
      <c r="AW32" s="90"/>
      <c r="AX32" s="95" t="str">
        <f>AQ32&amp;AR32&amp;AS32&amp;"-"&amp;AT32&amp;AU32&amp;BA32</f>
        <v>A0103-0110IND</v>
      </c>
      <c r="AY32" s="99" t="str">
        <f>AQ32&amp;AR32&amp;AS32&amp;"-"&amp;AT32&amp;BA32</f>
        <v>A0103-01IND</v>
      </c>
      <c r="AZ32" s="90"/>
      <c r="BA32" s="1" t="str">
        <f t="shared" si="13"/>
        <v>IND</v>
      </c>
      <c r="BC32" s="1" t="str">
        <f>IF(AJ31&lt;&gt;AJ32,1,"")</f>
        <v/>
      </c>
      <c r="BD32" s="90">
        <f t="shared" si="14"/>
        <v>3</v>
      </c>
      <c r="BE32" s="1">
        <f t="shared" si="21"/>
        <v>1</v>
      </c>
      <c r="BF32" s="1">
        <f t="shared" si="22"/>
        <v>1</v>
      </c>
      <c r="BJ32" t="s">
        <v>186</v>
      </c>
      <c r="BK32" s="1">
        <v>2</v>
      </c>
      <c r="BL32"/>
      <c r="BM32" t="str">
        <f t="shared" si="20"/>
        <v>Cassey-Cassey-</v>
      </c>
    </row>
    <row r="33" spans="1:65" ht="11.25" customHeight="1">
      <c r="A33" s="26" t="s">
        <v>187</v>
      </c>
      <c r="B33" s="27" t="s">
        <v>174</v>
      </c>
      <c r="C33" s="28">
        <v>4169.99</v>
      </c>
      <c r="D33" s="28">
        <f t="shared" si="3"/>
        <v>2084.9949999999999</v>
      </c>
      <c r="E33" s="22" t="s">
        <v>40</v>
      </c>
      <c r="F33" s="22" t="s">
        <v>188</v>
      </c>
      <c r="G33" s="22" t="s">
        <v>176</v>
      </c>
      <c r="H33" s="22" t="s">
        <v>185</v>
      </c>
      <c r="I33" s="23" t="s">
        <v>58</v>
      </c>
      <c r="J33" s="22" t="s">
        <v>50</v>
      </c>
      <c r="L33" s="23">
        <v>180</v>
      </c>
      <c r="M33" s="23">
        <v>75</v>
      </c>
      <c r="N33" s="3">
        <f t="shared" si="4"/>
        <v>2.4300000000000002</v>
      </c>
      <c r="O33" s="4" t="e">
        <f>(C33-(C33*#REF!))-((C33-(C33*#REF!))*#REF!)</f>
        <v>#REF!</v>
      </c>
      <c r="P33" s="7"/>
      <c r="Q33" s="7"/>
      <c r="R33" s="5">
        <f t="shared" si="5"/>
        <v>0</v>
      </c>
      <c r="S33" s="4">
        <f t="shared" si="6"/>
        <v>0</v>
      </c>
      <c r="T33" s="13">
        <f t="shared" si="7"/>
        <v>2918.9929999999999</v>
      </c>
      <c r="U33" s="13">
        <f t="shared" si="17"/>
        <v>1459.4965</v>
      </c>
      <c r="V33" s="14">
        <f>U33/C33</f>
        <v>0.35000000000000003</v>
      </c>
      <c r="W33" s="14"/>
      <c r="X33" s="19">
        <f t="shared" si="0"/>
        <v>1459.4965</v>
      </c>
      <c r="Y33" s="19">
        <f t="shared" si="1"/>
        <v>2918.9929999999999</v>
      </c>
      <c r="Z33" s="15" t="e">
        <f t="shared" si="23"/>
        <v>#DIV/0!</v>
      </c>
      <c r="AA33" s="22" t="s">
        <v>189</v>
      </c>
      <c r="AG33" s="94" t="s">
        <v>52</v>
      </c>
      <c r="AH33" s="89" t="str">
        <f>VLOOKUP(AG33,Sheet1!$B$3:$D$36,2,FALSE)</f>
        <v>Furniture</v>
      </c>
      <c r="AI33" s="89" t="s">
        <v>53</v>
      </c>
      <c r="AJ33" s="1" t="str">
        <f t="shared" si="18"/>
        <v>Sofia round 3-leg</v>
      </c>
      <c r="AK33" s="1" t="str">
        <f t="shared" si="8"/>
        <v>d180 x h75 x bh70</v>
      </c>
      <c r="AL33" s="1" t="str">
        <f t="shared" si="19"/>
        <v>Natural teak outdoor</v>
      </c>
      <c r="AM33" s="1" t="str">
        <f t="shared" si="9"/>
        <v>Natural teak outdoor</v>
      </c>
      <c r="AN33" s="1" t="str">
        <f>SUBSTITUTE(AL33,"outdoor","")</f>
        <v xml:space="preserve">Natural teak </v>
      </c>
      <c r="AO33" s="1" t="s">
        <v>59</v>
      </c>
      <c r="AQ33" s="1" t="str">
        <f t="shared" si="10"/>
        <v>A</v>
      </c>
      <c r="AR33" s="1" t="str">
        <f>VLOOKUP(TRIM(AI33),Sheet1!$D$3:$E$36,2,FALSE)</f>
        <v>01</v>
      </c>
      <c r="AS33" s="90" t="str">
        <f t="shared" si="11"/>
        <v>04</v>
      </c>
      <c r="AT33" s="1" t="str">
        <f t="shared" si="12"/>
        <v>02</v>
      </c>
      <c r="AU33" s="90" t="s">
        <v>55</v>
      </c>
      <c r="AV33" s="90"/>
      <c r="AW33" s="90"/>
      <c r="AX33" s="95" t="str">
        <f>AQ33&amp;AR33&amp;AS33&amp;"-"&amp;AT33&amp;AU33&amp;BA33</f>
        <v>A0104-0210OUT</v>
      </c>
      <c r="AY33" s="99" t="str">
        <f>AQ33&amp;AR33&amp;AS33&amp;"-"&amp;AT33&amp;BA33</f>
        <v>A0104-02OUT</v>
      </c>
      <c r="AZ33" s="90"/>
      <c r="BA33" s="1" t="str">
        <f t="shared" si="13"/>
        <v>OUT</v>
      </c>
      <c r="BC33" s="1" t="str">
        <f>IF(AJ32&lt;&gt;AJ33,1,"")</f>
        <v/>
      </c>
      <c r="BD33" s="90">
        <f t="shared" si="14"/>
        <v>4</v>
      </c>
      <c r="BE33" s="1" t="str">
        <f t="shared" si="21"/>
        <v/>
      </c>
      <c r="BF33" s="1">
        <f t="shared" si="22"/>
        <v>2</v>
      </c>
      <c r="BJ33" t="s">
        <v>190</v>
      </c>
      <c r="BK33" s="1">
        <v>2</v>
      </c>
      <c r="BL33"/>
      <c r="BM33" t="str">
        <f t="shared" si="20"/>
        <v>Charlie tissue box abaca-Charlie tissue box abaca-</v>
      </c>
    </row>
    <row r="34" spans="1:65" ht="11.25" customHeight="1">
      <c r="A34" s="26" t="s">
        <v>191</v>
      </c>
      <c r="B34" s="27" t="s">
        <v>192</v>
      </c>
      <c r="C34" s="28">
        <v>1869.99</v>
      </c>
      <c r="D34" s="28">
        <f t="shared" si="3"/>
        <v>934.995</v>
      </c>
      <c r="E34" s="22" t="s">
        <v>40</v>
      </c>
      <c r="F34" s="22" t="s">
        <v>193</v>
      </c>
      <c r="G34" s="22" t="s">
        <v>194</v>
      </c>
      <c r="H34" s="22" t="s">
        <v>88</v>
      </c>
      <c r="I34" s="23" t="s">
        <v>49</v>
      </c>
      <c r="J34" s="22" t="s">
        <v>50</v>
      </c>
      <c r="L34" s="23">
        <v>130</v>
      </c>
      <c r="M34" s="23">
        <v>75</v>
      </c>
      <c r="N34" s="3">
        <f t="shared" si="4"/>
        <v>1.2675000000000001</v>
      </c>
      <c r="O34" s="4" t="e">
        <f>(C34-(C34*#REF!))-((C34-(C34*#REF!))*#REF!)</f>
        <v>#REF!</v>
      </c>
      <c r="P34" s="7"/>
      <c r="Q34" s="7"/>
      <c r="R34" s="5">
        <f t="shared" si="5"/>
        <v>0</v>
      </c>
      <c r="S34" s="4">
        <f t="shared" si="6"/>
        <v>0</v>
      </c>
      <c r="T34" s="13">
        <f t="shared" si="7"/>
        <v>1308.9929999999999</v>
      </c>
      <c r="U34" s="13">
        <f t="shared" si="17"/>
        <v>654.49649999999997</v>
      </c>
      <c r="V34" s="14">
        <f>U34/C34</f>
        <v>0.35</v>
      </c>
      <c r="W34" s="14"/>
      <c r="X34" s="19">
        <f t="shared" si="0"/>
        <v>654.49649999999997</v>
      </c>
      <c r="Y34" s="19">
        <f t="shared" si="1"/>
        <v>1308.9929999999999</v>
      </c>
      <c r="Z34" s="15" t="e">
        <f t="shared" si="23"/>
        <v>#DIV/0!</v>
      </c>
      <c r="AA34" s="22" t="s">
        <v>195</v>
      </c>
      <c r="AG34" s="94" t="s">
        <v>52</v>
      </c>
      <c r="AH34" s="89" t="str">
        <f>VLOOKUP(AG34,Sheet1!$B$3:$D$36,2,FALSE)</f>
        <v>Furniture</v>
      </c>
      <c r="AI34" s="89" t="s">
        <v>53</v>
      </c>
      <c r="AJ34" s="1" t="str">
        <f t="shared" si="18"/>
        <v>Sofia round 4-leg</v>
      </c>
      <c r="AK34" s="1" t="str">
        <f t="shared" si="8"/>
        <v>d130 x h75 x bh70</v>
      </c>
      <c r="AL34" s="1" t="str">
        <f t="shared" si="19"/>
        <v>Natural teak indoor</v>
      </c>
      <c r="AM34" s="1" t="str">
        <f t="shared" si="9"/>
        <v>Natural teak indoor</v>
      </c>
      <c r="AN34" s="1" t="str">
        <f>SUBSTITUTE(AL34,"indoor","")</f>
        <v xml:space="preserve">Natural teak </v>
      </c>
      <c r="AO34" s="1" t="s">
        <v>54</v>
      </c>
      <c r="AQ34" s="1" t="str">
        <f t="shared" si="10"/>
        <v>A</v>
      </c>
      <c r="AR34" s="1" t="str">
        <f>VLOOKUP(TRIM(AI34),Sheet1!$D$3:$E$36,2,FALSE)</f>
        <v>01</v>
      </c>
      <c r="AS34" s="90" t="str">
        <f t="shared" si="11"/>
        <v>01</v>
      </c>
      <c r="AT34" s="1" t="str">
        <f t="shared" si="12"/>
        <v>01</v>
      </c>
      <c r="AU34" s="90" t="s">
        <v>55</v>
      </c>
      <c r="AV34" s="90"/>
      <c r="AW34" s="90"/>
      <c r="AX34" s="95" t="str">
        <f>AQ34&amp;AR34&amp;AS34&amp;"-"&amp;AT34&amp;AU34&amp;BA34</f>
        <v>A0101-0110IND</v>
      </c>
      <c r="AY34" s="99" t="str">
        <f>AQ34&amp;AR34&amp;AS34&amp;"-"&amp;AT34&amp;BA34</f>
        <v>A0101-01IND</v>
      </c>
      <c r="AZ34" s="90"/>
      <c r="BA34" s="1" t="str">
        <f t="shared" si="13"/>
        <v>IND</v>
      </c>
      <c r="BC34" s="1">
        <f>IF(AJ33&lt;&gt;AJ34,1,"")</f>
        <v>1</v>
      </c>
      <c r="BD34" s="90">
        <f t="shared" si="14"/>
        <v>1</v>
      </c>
      <c r="BE34" s="1">
        <f t="shared" si="21"/>
        <v>1</v>
      </c>
      <c r="BF34" s="1">
        <f t="shared" si="22"/>
        <v>1</v>
      </c>
      <c r="BJ34" t="s">
        <v>196</v>
      </c>
      <c r="BK34" s="1">
        <v>2</v>
      </c>
      <c r="BL34"/>
      <c r="BM34" t="str">
        <f t="shared" si="20"/>
        <v>Collioure rectangular bar-Collioure rectangular bar-</v>
      </c>
    </row>
    <row r="35" spans="1:65" ht="11.25" customHeight="1">
      <c r="A35" s="26" t="s">
        <v>197</v>
      </c>
      <c r="B35" s="27" t="s">
        <v>192</v>
      </c>
      <c r="C35" s="28">
        <v>2029.99</v>
      </c>
      <c r="D35" s="28">
        <f t="shared" si="3"/>
        <v>1014.995</v>
      </c>
      <c r="E35" s="22" t="s">
        <v>40</v>
      </c>
      <c r="F35" s="22" t="s">
        <v>198</v>
      </c>
      <c r="G35" s="22" t="s">
        <v>194</v>
      </c>
      <c r="H35" s="22" t="s">
        <v>88</v>
      </c>
      <c r="I35" s="23" t="s">
        <v>58</v>
      </c>
      <c r="J35" s="22" t="s">
        <v>50</v>
      </c>
      <c r="L35" s="23">
        <v>130</v>
      </c>
      <c r="M35" s="23">
        <v>75</v>
      </c>
      <c r="N35" s="3">
        <f t="shared" si="4"/>
        <v>1.2675000000000001</v>
      </c>
      <c r="O35" s="4" t="e">
        <f>(C35-(C35*#REF!))-((C35-(C35*#REF!))*#REF!)</f>
        <v>#REF!</v>
      </c>
      <c r="P35" s="7"/>
      <c r="Q35" s="7"/>
      <c r="R35" s="5">
        <f t="shared" si="5"/>
        <v>0</v>
      </c>
      <c r="S35" s="4">
        <f t="shared" si="6"/>
        <v>0</v>
      </c>
      <c r="T35" s="13">
        <f t="shared" si="7"/>
        <v>1420.9929999999999</v>
      </c>
      <c r="U35" s="13">
        <f t="shared" si="17"/>
        <v>710.49649999999997</v>
      </c>
      <c r="V35" s="14">
        <f>U35/C35</f>
        <v>0.35</v>
      </c>
      <c r="W35" s="14"/>
      <c r="X35" s="19">
        <f t="shared" si="0"/>
        <v>710.49649999999997</v>
      </c>
      <c r="Y35" s="19">
        <f t="shared" si="1"/>
        <v>1420.9929999999999</v>
      </c>
      <c r="Z35" s="15" t="e">
        <f t="shared" si="23"/>
        <v>#DIV/0!</v>
      </c>
      <c r="AA35" s="22" t="s">
        <v>195</v>
      </c>
      <c r="AG35" s="94" t="s">
        <v>52</v>
      </c>
      <c r="AH35" s="89" t="str">
        <f>VLOOKUP(AG35,Sheet1!$B$3:$D$36,2,FALSE)</f>
        <v>Furniture</v>
      </c>
      <c r="AI35" s="89" t="s">
        <v>53</v>
      </c>
      <c r="AJ35" s="1" t="str">
        <f t="shared" si="18"/>
        <v>Sofia round 4-leg</v>
      </c>
      <c r="AK35" s="1" t="str">
        <f t="shared" si="8"/>
        <v>d130 x h75 x bh70</v>
      </c>
      <c r="AL35" s="1" t="str">
        <f t="shared" si="19"/>
        <v>Natural teak outdoor</v>
      </c>
      <c r="AM35" s="1" t="str">
        <f t="shared" si="9"/>
        <v>Natural teak outdoor</v>
      </c>
      <c r="AN35" s="1" t="str">
        <f>SUBSTITUTE(AL35,"outdoor","")</f>
        <v xml:space="preserve">Natural teak </v>
      </c>
      <c r="AO35" s="1" t="s">
        <v>59</v>
      </c>
      <c r="AQ35" s="1" t="str">
        <f t="shared" si="10"/>
        <v>A</v>
      </c>
      <c r="AR35" s="1" t="str">
        <f>VLOOKUP(TRIM(AI35),Sheet1!$D$3:$E$36,2,FALSE)</f>
        <v>01</v>
      </c>
      <c r="AS35" s="90" t="str">
        <f t="shared" si="11"/>
        <v>02</v>
      </c>
      <c r="AT35" s="1" t="str">
        <f t="shared" si="12"/>
        <v>02</v>
      </c>
      <c r="AU35" s="90" t="s">
        <v>55</v>
      </c>
      <c r="AV35" s="90"/>
      <c r="AW35" s="90"/>
      <c r="AX35" s="95" t="str">
        <f>AQ35&amp;AR35&amp;AS35&amp;"-"&amp;AT35&amp;AU35&amp;BA35</f>
        <v>A0102-0210OUT</v>
      </c>
      <c r="AY35" s="99" t="str">
        <f>AQ35&amp;AR35&amp;AS35&amp;"-"&amp;AT35&amp;BA35</f>
        <v>A0102-02OUT</v>
      </c>
      <c r="AZ35" s="90"/>
      <c r="BA35" s="1" t="str">
        <f t="shared" si="13"/>
        <v>OUT</v>
      </c>
      <c r="BC35" s="1" t="str">
        <f>IF(AJ34&lt;&gt;AJ35,1,"")</f>
        <v/>
      </c>
      <c r="BD35" s="90">
        <f t="shared" si="14"/>
        <v>2</v>
      </c>
      <c r="BE35" s="1" t="str">
        <f t="shared" si="21"/>
        <v/>
      </c>
      <c r="BF35" s="1">
        <f t="shared" si="22"/>
        <v>2</v>
      </c>
      <c r="BJ35" t="s">
        <v>199</v>
      </c>
      <c r="BK35" s="1">
        <v>4</v>
      </c>
      <c r="BL35"/>
      <c r="BM35" t="str">
        <f t="shared" si="20"/>
        <v>Comet cushion-Comet cushion-Comet cushion-Comet cushion-</v>
      </c>
    </row>
    <row r="36" spans="1:65" ht="11.25" customHeight="1">
      <c r="A36" s="26" t="s">
        <v>200</v>
      </c>
      <c r="B36" s="27" t="s">
        <v>192</v>
      </c>
      <c r="C36" s="28">
        <v>3229.99</v>
      </c>
      <c r="D36" s="28">
        <f t="shared" si="3"/>
        <v>1614.9949999999999</v>
      </c>
      <c r="E36" s="22" t="s">
        <v>40</v>
      </c>
      <c r="F36" s="22" t="s">
        <v>201</v>
      </c>
      <c r="G36" s="22" t="s">
        <v>194</v>
      </c>
      <c r="H36" s="22" t="s">
        <v>202</v>
      </c>
      <c r="I36" s="23" t="s">
        <v>49</v>
      </c>
      <c r="J36" s="22" t="s">
        <v>50</v>
      </c>
      <c r="L36" s="23">
        <v>160</v>
      </c>
      <c r="M36" s="23">
        <v>75</v>
      </c>
      <c r="N36" s="3">
        <f t="shared" si="4"/>
        <v>1.92</v>
      </c>
      <c r="O36" s="4" t="e">
        <f>(C36-(C36*#REF!))-((C36-(C36*#REF!))*#REF!)</f>
        <v>#REF!</v>
      </c>
      <c r="P36" s="7">
        <v>5231484.0556807313</v>
      </c>
      <c r="Q36" s="7">
        <v>0</v>
      </c>
      <c r="R36" s="5">
        <f t="shared" si="5"/>
        <v>5231484.0556807313</v>
      </c>
      <c r="S36" s="4">
        <f t="shared" si="6"/>
        <v>348.76560371204874</v>
      </c>
      <c r="T36" s="13">
        <f t="shared" si="7"/>
        <v>2260.9929999999999</v>
      </c>
      <c r="U36" s="13">
        <f t="shared" si="17"/>
        <v>1130.4965</v>
      </c>
      <c r="V36" s="14">
        <f>U36/C36</f>
        <v>0.35000000000000003</v>
      </c>
      <c r="W36" s="14"/>
      <c r="X36" s="19">
        <f t="shared" si="0"/>
        <v>1130.4965</v>
      </c>
      <c r="Y36" s="19">
        <f t="shared" si="1"/>
        <v>2260.9929999999999</v>
      </c>
      <c r="Z36" s="15">
        <f t="shared" si="23"/>
        <v>3.2414219979484318</v>
      </c>
      <c r="AA36" s="22" t="s">
        <v>203</v>
      </c>
      <c r="AG36" s="94" t="s">
        <v>52</v>
      </c>
      <c r="AH36" s="89" t="str">
        <f>VLOOKUP(AG36,Sheet1!$B$3:$D$36,2,FALSE)</f>
        <v>Furniture</v>
      </c>
      <c r="AI36" s="89" t="s">
        <v>53</v>
      </c>
      <c r="AJ36" s="1" t="str">
        <f t="shared" si="18"/>
        <v>Sofia round 4-leg</v>
      </c>
      <c r="AK36" s="1" t="str">
        <f t="shared" si="8"/>
        <v>d160 x h75 x bh70</v>
      </c>
      <c r="AL36" s="1" t="str">
        <f t="shared" si="19"/>
        <v>Natural teak indoor</v>
      </c>
      <c r="AM36" s="1" t="str">
        <f t="shared" si="9"/>
        <v>Natural teak indoor</v>
      </c>
      <c r="AN36" s="1" t="str">
        <f>SUBSTITUTE(AL36,"indoor","")</f>
        <v xml:space="preserve">Natural teak </v>
      </c>
      <c r="AO36" s="1" t="s">
        <v>54</v>
      </c>
      <c r="AQ36" s="1" t="str">
        <f t="shared" si="10"/>
        <v>A</v>
      </c>
      <c r="AR36" s="1" t="str">
        <f>VLOOKUP(TRIM(AI36),Sheet1!$D$3:$E$36,2,FALSE)</f>
        <v>01</v>
      </c>
      <c r="AS36" s="90" t="str">
        <f t="shared" si="11"/>
        <v>03</v>
      </c>
      <c r="AT36" s="1" t="str">
        <f t="shared" si="12"/>
        <v>01</v>
      </c>
      <c r="AU36" s="90" t="s">
        <v>55</v>
      </c>
      <c r="AV36" s="90"/>
      <c r="AW36" s="90"/>
      <c r="AX36" s="95" t="str">
        <f>AQ36&amp;AR36&amp;AS36&amp;"-"&amp;AT36&amp;AU36&amp;BA36</f>
        <v>A0103-0110IND</v>
      </c>
      <c r="AY36" s="99" t="str">
        <f>AQ36&amp;AR36&amp;AS36&amp;"-"&amp;AT36&amp;BA36</f>
        <v>A0103-01IND</v>
      </c>
      <c r="AZ36" s="90"/>
      <c r="BA36" s="1" t="str">
        <f t="shared" si="13"/>
        <v>IND</v>
      </c>
      <c r="BC36" s="1" t="str">
        <f>IF(AJ35&lt;&gt;AJ36,1,"")</f>
        <v/>
      </c>
      <c r="BD36" s="90">
        <f t="shared" si="14"/>
        <v>3</v>
      </c>
      <c r="BE36" s="1">
        <f t="shared" si="21"/>
        <v>1</v>
      </c>
      <c r="BF36" s="1">
        <f t="shared" si="22"/>
        <v>1</v>
      </c>
      <c r="BJ36" t="s">
        <v>204</v>
      </c>
      <c r="BK36" s="1">
        <v>3</v>
      </c>
      <c r="BL36"/>
      <c r="BM36" t="str">
        <f t="shared" si="20"/>
        <v>Dan-Dan-Dan-</v>
      </c>
    </row>
    <row r="37" spans="1:65" ht="11.25" customHeight="1">
      <c r="A37" s="26" t="s">
        <v>205</v>
      </c>
      <c r="B37" s="27" t="s">
        <v>192</v>
      </c>
      <c r="C37" s="28">
        <v>3569.99</v>
      </c>
      <c r="D37" s="28">
        <f t="shared" si="3"/>
        <v>1784.9949999999999</v>
      </c>
      <c r="E37" s="22" t="s">
        <v>40</v>
      </c>
      <c r="F37" s="22" t="s">
        <v>206</v>
      </c>
      <c r="G37" s="22" t="s">
        <v>194</v>
      </c>
      <c r="H37" s="22" t="s">
        <v>202</v>
      </c>
      <c r="I37" s="23" t="s">
        <v>58</v>
      </c>
      <c r="J37" s="22" t="s">
        <v>50</v>
      </c>
      <c r="L37" s="23">
        <v>160</v>
      </c>
      <c r="M37" s="23">
        <v>75</v>
      </c>
      <c r="N37" s="3">
        <f t="shared" si="4"/>
        <v>1.92</v>
      </c>
      <c r="O37" s="4" t="e">
        <f>(C37-(C37*#REF!))-((C37-(C37*#REF!))*#REF!)</f>
        <v>#REF!</v>
      </c>
      <c r="P37" s="7">
        <v>4979755.4014677685</v>
      </c>
      <c r="Q37" s="7">
        <v>0</v>
      </c>
      <c r="R37" s="5">
        <f t="shared" si="5"/>
        <v>4979755.4014677685</v>
      </c>
      <c r="S37" s="4">
        <f t="shared" si="6"/>
        <v>331.98369343118458</v>
      </c>
      <c r="T37" s="13">
        <f t="shared" si="7"/>
        <v>2498.9929999999999</v>
      </c>
      <c r="U37" s="13">
        <f t="shared" si="17"/>
        <v>1249.4965</v>
      </c>
      <c r="V37" s="14">
        <f>U37/C37</f>
        <v>0.35000000000000003</v>
      </c>
      <c r="W37" s="14"/>
      <c r="X37" s="19">
        <f t="shared" si="0"/>
        <v>1249.4965</v>
      </c>
      <c r="Y37" s="19">
        <f t="shared" si="1"/>
        <v>2498.9929999999999</v>
      </c>
      <c r="Z37" s="15">
        <f t="shared" si="23"/>
        <v>3.763728534633592</v>
      </c>
      <c r="AA37" s="22" t="s">
        <v>207</v>
      </c>
      <c r="AG37" s="94" t="s">
        <v>52</v>
      </c>
      <c r="AH37" s="89" t="str">
        <f>VLOOKUP(AG37,Sheet1!$B$3:$D$36,2,FALSE)</f>
        <v>Furniture</v>
      </c>
      <c r="AI37" s="89" t="s">
        <v>53</v>
      </c>
      <c r="AJ37" s="1" t="str">
        <f t="shared" si="18"/>
        <v>Sofia round 4-leg</v>
      </c>
      <c r="AK37" s="1" t="str">
        <f t="shared" si="8"/>
        <v>d160 x h75 x bh70</v>
      </c>
      <c r="AL37" s="1" t="str">
        <f t="shared" si="19"/>
        <v>Natural teak outdoor</v>
      </c>
      <c r="AM37" s="1" t="str">
        <f t="shared" si="9"/>
        <v>Natural teak outdoor</v>
      </c>
      <c r="AN37" s="1" t="str">
        <f>SUBSTITUTE(AL37,"outdoor","")</f>
        <v xml:space="preserve">Natural teak </v>
      </c>
      <c r="AO37" s="1" t="s">
        <v>59</v>
      </c>
      <c r="AQ37" s="1" t="str">
        <f t="shared" si="10"/>
        <v>A</v>
      </c>
      <c r="AR37" s="1" t="str">
        <f>VLOOKUP(TRIM(AI37),Sheet1!$D$3:$E$36,2,FALSE)</f>
        <v>01</v>
      </c>
      <c r="AS37" s="90" t="str">
        <f t="shared" si="11"/>
        <v>04</v>
      </c>
      <c r="AT37" s="1" t="str">
        <f t="shared" si="12"/>
        <v>02</v>
      </c>
      <c r="AU37" s="90" t="s">
        <v>55</v>
      </c>
      <c r="AV37" s="90"/>
      <c r="AW37" s="90"/>
      <c r="AX37" s="95" t="str">
        <f>AQ37&amp;AR37&amp;AS37&amp;"-"&amp;AT37&amp;AU37&amp;BA37</f>
        <v>A0104-0210OUT</v>
      </c>
      <c r="AY37" s="99" t="str">
        <f>AQ37&amp;AR37&amp;AS37&amp;"-"&amp;AT37&amp;BA37</f>
        <v>A0104-02OUT</v>
      </c>
      <c r="AZ37" s="90"/>
      <c r="BA37" s="1" t="str">
        <f t="shared" si="13"/>
        <v>OUT</v>
      </c>
      <c r="BC37" s="1" t="str">
        <f>IF(AJ36&lt;&gt;AJ37,1,"")</f>
        <v/>
      </c>
      <c r="BD37" s="90">
        <f t="shared" si="14"/>
        <v>4</v>
      </c>
      <c r="BE37" s="1" t="str">
        <f t="shared" si="21"/>
        <v/>
      </c>
      <c r="BF37" s="1">
        <f t="shared" si="22"/>
        <v>2</v>
      </c>
      <c r="BJ37" t="s">
        <v>208</v>
      </c>
      <c r="BK37" s="1">
        <v>4</v>
      </c>
      <c r="BL37"/>
      <c r="BM37" t="str">
        <f t="shared" si="20"/>
        <v>Decul mirror rustic-Decul mirror rustic-Decul mirror rustic-Decul mirror rustic-</v>
      </c>
    </row>
    <row r="38" spans="1:65" ht="11.25" customHeight="1">
      <c r="A38" s="26" t="s">
        <v>209</v>
      </c>
      <c r="B38" s="27" t="s">
        <v>192</v>
      </c>
      <c r="C38" s="28">
        <v>3629.99</v>
      </c>
      <c r="D38" s="28">
        <f t="shared" si="3"/>
        <v>1814.9949999999999</v>
      </c>
      <c r="E38" s="22" t="s">
        <v>40</v>
      </c>
      <c r="F38" s="22" t="s">
        <v>210</v>
      </c>
      <c r="G38" s="22" t="s">
        <v>194</v>
      </c>
      <c r="H38" s="22" t="s">
        <v>185</v>
      </c>
      <c r="I38" s="23" t="s">
        <v>49</v>
      </c>
      <c r="J38" s="22" t="s">
        <v>50</v>
      </c>
      <c r="L38" s="23">
        <v>180</v>
      </c>
      <c r="M38" s="23">
        <v>75</v>
      </c>
      <c r="N38" s="3">
        <f t="shared" si="4"/>
        <v>2.4300000000000002</v>
      </c>
      <c r="O38" s="4" t="e">
        <f>(C38-(C38*#REF!))-((C38-(C38*#REF!))*#REF!)</f>
        <v>#REF!</v>
      </c>
      <c r="P38" s="7">
        <v>6148937.9726216542</v>
      </c>
      <c r="Q38" s="7">
        <v>0</v>
      </c>
      <c r="R38" s="5">
        <f t="shared" si="5"/>
        <v>6148937.9726216542</v>
      </c>
      <c r="S38" s="4">
        <f t="shared" si="6"/>
        <v>409.92919817477696</v>
      </c>
      <c r="T38" s="13">
        <f t="shared" si="7"/>
        <v>2540.9929999999999</v>
      </c>
      <c r="U38" s="13">
        <f t="shared" si="17"/>
        <v>1270.4965</v>
      </c>
      <c r="V38" s="14">
        <f>U38/C38</f>
        <v>0.35000000000000003</v>
      </c>
      <c r="W38" s="14"/>
      <c r="X38" s="19">
        <f t="shared" si="0"/>
        <v>1270.4965</v>
      </c>
      <c r="Y38" s="19">
        <f t="shared" si="1"/>
        <v>2540.9929999999999</v>
      </c>
      <c r="Z38" s="15">
        <f t="shared" si="23"/>
        <v>3.0993071624488491</v>
      </c>
      <c r="AA38" s="22" t="s">
        <v>211</v>
      </c>
      <c r="AG38" s="94" t="s">
        <v>52</v>
      </c>
      <c r="AH38" s="89" t="str">
        <f>VLOOKUP(AG38,Sheet1!$B$3:$D$36,2,FALSE)</f>
        <v>Furniture</v>
      </c>
      <c r="AI38" s="89" t="s">
        <v>53</v>
      </c>
      <c r="AJ38" s="1" t="str">
        <f t="shared" si="18"/>
        <v>Sofia round 4-leg</v>
      </c>
      <c r="AK38" s="1" t="str">
        <f t="shared" si="8"/>
        <v>d180 x h75 x bh70</v>
      </c>
      <c r="AL38" s="1" t="str">
        <f t="shared" si="19"/>
        <v>Natural teak indoor</v>
      </c>
      <c r="AM38" s="1" t="str">
        <f t="shared" si="9"/>
        <v>Natural teak indoor</v>
      </c>
      <c r="AN38" s="1" t="str">
        <f>SUBSTITUTE(AL38,"indoor","")</f>
        <v xml:space="preserve">Natural teak </v>
      </c>
      <c r="AO38" s="1" t="s">
        <v>54</v>
      </c>
      <c r="AQ38" s="1" t="str">
        <f t="shared" si="10"/>
        <v>A</v>
      </c>
      <c r="AR38" s="1" t="str">
        <f>VLOOKUP(TRIM(AI38),Sheet1!$D$3:$E$36,2,FALSE)</f>
        <v>01</v>
      </c>
      <c r="AS38" s="90" t="str">
        <f t="shared" si="11"/>
        <v>05</v>
      </c>
      <c r="AT38" s="1" t="str">
        <f t="shared" si="12"/>
        <v>01</v>
      </c>
      <c r="AU38" s="90" t="s">
        <v>55</v>
      </c>
      <c r="AV38" s="90"/>
      <c r="AW38" s="90"/>
      <c r="AX38" s="95" t="str">
        <f>AQ38&amp;AR38&amp;AS38&amp;"-"&amp;AT38&amp;AU38&amp;BA38</f>
        <v>A0105-0110IND</v>
      </c>
      <c r="AY38" s="99" t="str">
        <f>AQ38&amp;AR38&amp;AS38&amp;"-"&amp;AT38&amp;BA38</f>
        <v>A0105-01IND</v>
      </c>
      <c r="AZ38" s="90"/>
      <c r="BA38" s="1" t="str">
        <f t="shared" si="13"/>
        <v>IND</v>
      </c>
      <c r="BC38" s="1" t="str">
        <f>IF(AJ37&lt;&gt;AJ38,1,"")</f>
        <v/>
      </c>
      <c r="BD38" s="90">
        <f t="shared" si="14"/>
        <v>5</v>
      </c>
      <c r="BE38" s="1">
        <f t="shared" si="21"/>
        <v>1</v>
      </c>
      <c r="BF38" s="1">
        <f t="shared" si="22"/>
        <v>1</v>
      </c>
      <c r="BJ38" t="s">
        <v>212</v>
      </c>
      <c r="BK38" s="1">
        <v>2</v>
      </c>
      <c r="BL38"/>
      <c r="BM38" t="str">
        <f t="shared" si="20"/>
        <v>Diodora Bar Chair-Diodora Bar Chair-</v>
      </c>
    </row>
    <row r="39" spans="1:65" ht="11.25" customHeight="1">
      <c r="A39" s="26" t="s">
        <v>213</v>
      </c>
      <c r="B39" s="27" t="s">
        <v>192</v>
      </c>
      <c r="C39" s="28">
        <v>4099.99</v>
      </c>
      <c r="D39" s="28">
        <f t="shared" si="3"/>
        <v>2049.9949999999999</v>
      </c>
      <c r="E39" s="22" t="s">
        <v>40</v>
      </c>
      <c r="F39" s="22" t="s">
        <v>214</v>
      </c>
      <c r="G39" s="22" t="s">
        <v>194</v>
      </c>
      <c r="H39" s="22" t="s">
        <v>185</v>
      </c>
      <c r="I39" s="23" t="s">
        <v>58</v>
      </c>
      <c r="J39" s="22" t="s">
        <v>50</v>
      </c>
      <c r="L39" s="23">
        <v>180</v>
      </c>
      <c r="M39" s="23">
        <v>75</v>
      </c>
      <c r="N39" s="3">
        <f t="shared" si="4"/>
        <v>2.4300000000000002</v>
      </c>
      <c r="O39" s="4" t="e">
        <f>(C39-(C39*#REF!))-((C39-(C39*#REF!))*#REF!)</f>
        <v>#REF!</v>
      </c>
      <c r="P39" s="7">
        <v>5825150.3966957284</v>
      </c>
      <c r="Q39" s="7">
        <v>0</v>
      </c>
      <c r="R39" s="5">
        <f t="shared" si="5"/>
        <v>5825150.3966957284</v>
      </c>
      <c r="S39" s="4">
        <f t="shared" si="6"/>
        <v>388.34335977971523</v>
      </c>
      <c r="T39" s="13">
        <f t="shared" si="7"/>
        <v>2869.9929999999999</v>
      </c>
      <c r="U39" s="13">
        <f t="shared" si="17"/>
        <v>1434.9965</v>
      </c>
      <c r="V39" s="14">
        <f>U39/C39</f>
        <v>0.35000000000000003</v>
      </c>
      <c r="W39" s="14"/>
      <c r="X39" s="19">
        <f t="shared" si="0"/>
        <v>1434.9965</v>
      </c>
      <c r="Y39" s="19">
        <f t="shared" si="1"/>
        <v>2869.9929999999999</v>
      </c>
      <c r="Z39" s="15">
        <f t="shared" si="23"/>
        <v>3.6951745507223057</v>
      </c>
      <c r="AA39" s="22" t="s">
        <v>195</v>
      </c>
      <c r="AG39" s="94" t="s">
        <v>52</v>
      </c>
      <c r="AH39" s="89" t="str">
        <f>VLOOKUP(AG39,Sheet1!$B$3:$D$36,2,FALSE)</f>
        <v>Furniture</v>
      </c>
      <c r="AI39" s="89" t="s">
        <v>53</v>
      </c>
      <c r="AJ39" s="1" t="str">
        <f t="shared" ref="AJ5:AJ68" si="24">G39</f>
        <v>Sofia round 4-leg</v>
      </c>
      <c r="AK39" s="1" t="str">
        <f t="shared" si="8"/>
        <v>d180 x h75 x bh70</v>
      </c>
      <c r="AL39" s="1" t="str">
        <f t="shared" si="19"/>
        <v>Natural teak outdoor</v>
      </c>
      <c r="AM39" s="1" t="str">
        <f t="shared" si="9"/>
        <v>Natural teak outdoor</v>
      </c>
      <c r="AN39" s="1" t="str">
        <f>SUBSTITUTE(AL39,"outdoor","")</f>
        <v xml:space="preserve">Natural teak </v>
      </c>
      <c r="AO39" s="1" t="s">
        <v>59</v>
      </c>
      <c r="AQ39" s="1" t="str">
        <f t="shared" si="10"/>
        <v>A</v>
      </c>
      <c r="AR39" s="1" t="str">
        <f>VLOOKUP(TRIM(AI39),Sheet1!$D$3:$E$36,2,FALSE)</f>
        <v>01</v>
      </c>
      <c r="AS39" s="90" t="str">
        <f t="shared" si="11"/>
        <v>06</v>
      </c>
      <c r="AT39" s="1" t="str">
        <f t="shared" si="12"/>
        <v>02</v>
      </c>
      <c r="AU39" s="90" t="s">
        <v>55</v>
      </c>
      <c r="AV39" s="90"/>
      <c r="AW39" s="90"/>
      <c r="AX39" s="95" t="str">
        <f>AQ39&amp;AR39&amp;AS39&amp;"-"&amp;AT39&amp;AU39&amp;BA39</f>
        <v>A0106-0210OUT</v>
      </c>
      <c r="AY39" s="99" t="str">
        <f>AQ39&amp;AR39&amp;AS39&amp;"-"&amp;AT39&amp;BA39</f>
        <v>A0106-02OUT</v>
      </c>
      <c r="AZ39" s="90"/>
      <c r="BA39" s="1" t="str">
        <f t="shared" si="13"/>
        <v>OUT</v>
      </c>
      <c r="BC39" s="1" t="str">
        <f>IF(AJ38&lt;&gt;AJ39,1,"")</f>
        <v/>
      </c>
      <c r="BD39" s="90">
        <f t="shared" si="14"/>
        <v>6</v>
      </c>
      <c r="BE39" s="1" t="str">
        <f t="shared" si="21"/>
        <v/>
      </c>
      <c r="BF39" s="1">
        <f t="shared" si="22"/>
        <v>2</v>
      </c>
      <c r="BJ39" t="s">
        <v>215</v>
      </c>
      <c r="BK39" s="1">
        <v>3</v>
      </c>
      <c r="BL39"/>
      <c r="BM39" t="str">
        <f t="shared" si="20"/>
        <v>Draco fire basket-Draco fire basket-Draco fire basket-</v>
      </c>
    </row>
    <row r="40" spans="1:65" ht="11.25" customHeight="1">
      <c r="A40" s="26" t="s">
        <v>216</v>
      </c>
      <c r="B40" s="27" t="s">
        <v>217</v>
      </c>
      <c r="C40" s="28">
        <v>2519.9899999999998</v>
      </c>
      <c r="D40" s="28">
        <f t="shared" si="3"/>
        <v>1259.9949999999999</v>
      </c>
      <c r="E40" s="22" t="s">
        <v>40</v>
      </c>
      <c r="F40" s="22" t="s">
        <v>218</v>
      </c>
      <c r="G40" s="22" t="s">
        <v>219</v>
      </c>
      <c r="H40" s="22" t="s">
        <v>220</v>
      </c>
      <c r="I40" s="23" t="s">
        <v>49</v>
      </c>
      <c r="J40" s="22" t="s">
        <v>50</v>
      </c>
      <c r="K40" s="23">
        <v>240</v>
      </c>
      <c r="L40" s="23">
        <v>80</v>
      </c>
      <c r="M40" s="23">
        <v>75</v>
      </c>
      <c r="N40" s="3">
        <f t="shared" si="4"/>
        <v>1.44</v>
      </c>
      <c r="O40" s="4" t="e">
        <f>(C40-(C40*#REF!))-((C40-(C40*#REF!))*#REF!)</f>
        <v>#REF!</v>
      </c>
      <c r="P40" s="7"/>
      <c r="Q40" s="7"/>
      <c r="R40" s="5">
        <f t="shared" si="5"/>
        <v>0</v>
      </c>
      <c r="S40" s="4">
        <f t="shared" si="6"/>
        <v>0</v>
      </c>
      <c r="T40" s="13">
        <f t="shared" si="7"/>
        <v>1763.9929999999999</v>
      </c>
      <c r="U40" s="13">
        <f t="shared" si="17"/>
        <v>881.99649999999997</v>
      </c>
      <c r="V40" s="14">
        <f>U40/C40</f>
        <v>0.35000000000000003</v>
      </c>
      <c r="W40" s="14"/>
      <c r="X40" s="19">
        <f t="shared" si="0"/>
        <v>881.99649999999997</v>
      </c>
      <c r="Y40" s="19">
        <f t="shared" si="1"/>
        <v>1763.9929999999999</v>
      </c>
      <c r="Z40" s="15" t="e">
        <f t="shared" si="23"/>
        <v>#DIV/0!</v>
      </c>
      <c r="AA40" s="22" t="s">
        <v>221</v>
      </c>
      <c r="AG40" s="94" t="s">
        <v>52</v>
      </c>
      <c r="AH40" s="89" t="str">
        <f>VLOOKUP(AG40,Sheet1!$B$3:$D$36,2,FALSE)</f>
        <v>Furniture</v>
      </c>
      <c r="AI40" s="89" t="s">
        <v>53</v>
      </c>
      <c r="AJ40" s="1" t="str">
        <f t="shared" si="24"/>
        <v>Sliv rectangular</v>
      </c>
      <c r="AK40" s="1" t="str">
        <f t="shared" si="8"/>
        <v>w240 x d80 x h75 x bh70</v>
      </c>
      <c r="AL40" s="1" t="str">
        <f t="shared" si="19"/>
        <v>Natural teak indoor</v>
      </c>
      <c r="AM40" s="1" t="str">
        <f t="shared" si="9"/>
        <v>Natural teak indoor</v>
      </c>
      <c r="AN40" s="1" t="str">
        <f>SUBSTITUTE(AL40,"indoor","")</f>
        <v xml:space="preserve">Natural teak </v>
      </c>
      <c r="AO40" s="1" t="s">
        <v>54</v>
      </c>
      <c r="AQ40" s="1" t="str">
        <f t="shared" si="10"/>
        <v>A</v>
      </c>
      <c r="AR40" s="1" t="str">
        <f>VLOOKUP(TRIM(AI40),Sheet1!$D$3:$E$36,2,FALSE)</f>
        <v>01</v>
      </c>
      <c r="AS40" s="90" t="str">
        <f t="shared" si="11"/>
        <v>01</v>
      </c>
      <c r="AT40" s="1" t="str">
        <f t="shared" si="12"/>
        <v>01</v>
      </c>
      <c r="AU40" s="90" t="s">
        <v>55</v>
      </c>
      <c r="AV40" s="90"/>
      <c r="AW40" s="90"/>
      <c r="AX40" s="95" t="str">
        <f>AQ40&amp;AR40&amp;AS40&amp;"-"&amp;AT40&amp;AU40&amp;BA40</f>
        <v>A0101-0110IND</v>
      </c>
      <c r="AY40" s="99" t="str">
        <f>AQ40&amp;AR40&amp;AS40&amp;"-"&amp;AT40&amp;BA40</f>
        <v>A0101-01IND</v>
      </c>
      <c r="AZ40" s="90"/>
      <c r="BA40" s="1" t="str">
        <f t="shared" si="13"/>
        <v>IND</v>
      </c>
      <c r="BC40" s="1">
        <f>IF(AJ39&lt;&gt;AJ40,1,"")</f>
        <v>1</v>
      </c>
      <c r="BD40" s="90">
        <f t="shared" si="14"/>
        <v>1</v>
      </c>
      <c r="BE40" s="1">
        <f t="shared" si="21"/>
        <v>1</v>
      </c>
      <c r="BF40" s="1">
        <f t="shared" si="22"/>
        <v>1</v>
      </c>
      <c r="BJ40" t="s">
        <v>222</v>
      </c>
      <c r="BK40" s="1">
        <v>2</v>
      </c>
      <c r="BL40"/>
      <c r="BM40" t="str">
        <f t="shared" si="20"/>
        <v>Eduard cracked square-Eduard cracked square-</v>
      </c>
    </row>
    <row r="41" spans="1:65" ht="11.25" customHeight="1">
      <c r="A41" s="26" t="s">
        <v>223</v>
      </c>
      <c r="B41" s="27" t="s">
        <v>217</v>
      </c>
      <c r="C41" s="28">
        <v>2949.99</v>
      </c>
      <c r="D41" s="28">
        <f t="shared" si="3"/>
        <v>1474.9949999999999</v>
      </c>
      <c r="E41" s="22" t="s">
        <v>40</v>
      </c>
      <c r="F41" s="22" t="s">
        <v>224</v>
      </c>
      <c r="G41" s="22" t="s">
        <v>219</v>
      </c>
      <c r="H41" s="22" t="s">
        <v>220</v>
      </c>
      <c r="I41" s="23" t="s">
        <v>58</v>
      </c>
      <c r="J41" s="22" t="s">
        <v>50</v>
      </c>
      <c r="K41" s="23">
        <v>240</v>
      </c>
      <c r="L41" s="23">
        <v>80</v>
      </c>
      <c r="M41" s="23">
        <v>75</v>
      </c>
      <c r="N41" s="3">
        <f t="shared" si="4"/>
        <v>1.44</v>
      </c>
      <c r="O41" s="4" t="e">
        <f>(C41-(C41*#REF!))-((C41-(C41*#REF!))*#REF!)</f>
        <v>#REF!</v>
      </c>
      <c r="P41" s="7"/>
      <c r="Q41" s="7"/>
      <c r="R41" s="5">
        <f t="shared" si="5"/>
        <v>0</v>
      </c>
      <c r="S41" s="4">
        <f t="shared" si="6"/>
        <v>0</v>
      </c>
      <c r="T41" s="13">
        <f t="shared" si="7"/>
        <v>2064.9929999999999</v>
      </c>
      <c r="U41" s="13">
        <f t="shared" si="17"/>
        <v>1032.4965</v>
      </c>
      <c r="V41" s="14">
        <f>U41/C41</f>
        <v>0.35000000000000003</v>
      </c>
      <c r="W41" s="14"/>
      <c r="X41" s="19">
        <f t="shared" si="0"/>
        <v>1032.4965</v>
      </c>
      <c r="Y41" s="19">
        <f t="shared" si="1"/>
        <v>2064.9929999999999</v>
      </c>
      <c r="Z41" s="15" t="e">
        <f t="shared" si="23"/>
        <v>#DIV/0!</v>
      </c>
      <c r="AA41" s="22" t="s">
        <v>225</v>
      </c>
      <c r="AG41" s="94" t="s">
        <v>52</v>
      </c>
      <c r="AH41" s="89" t="str">
        <f>VLOOKUP(AG41,Sheet1!$B$3:$D$36,2,FALSE)</f>
        <v>Furniture</v>
      </c>
      <c r="AI41" s="89" t="s">
        <v>53</v>
      </c>
      <c r="AJ41" s="1" t="str">
        <f t="shared" si="24"/>
        <v>Sliv rectangular</v>
      </c>
      <c r="AK41" s="1" t="str">
        <f t="shared" si="8"/>
        <v>w240 x d80 x h75 x bh70</v>
      </c>
      <c r="AL41" s="1" t="str">
        <f t="shared" si="19"/>
        <v>Natural teak outdoor</v>
      </c>
      <c r="AM41" s="1" t="str">
        <f t="shared" si="9"/>
        <v>Natural teak outdoor</v>
      </c>
      <c r="AN41" s="1" t="str">
        <f>SUBSTITUTE(AL41,"outdoor","")</f>
        <v xml:space="preserve">Natural teak </v>
      </c>
      <c r="AO41" s="1" t="s">
        <v>59</v>
      </c>
      <c r="AQ41" s="1" t="str">
        <f t="shared" si="10"/>
        <v>A</v>
      </c>
      <c r="AR41" s="1" t="str">
        <f>VLOOKUP(TRIM(AI41),Sheet1!$D$3:$E$36,2,FALSE)</f>
        <v>01</v>
      </c>
      <c r="AS41" s="90" t="str">
        <f t="shared" si="11"/>
        <v>02</v>
      </c>
      <c r="AT41" s="1" t="str">
        <f t="shared" si="12"/>
        <v>02</v>
      </c>
      <c r="AU41" s="90" t="s">
        <v>55</v>
      </c>
      <c r="AV41" s="90"/>
      <c r="AW41" s="90"/>
      <c r="AX41" s="95" t="str">
        <f>AQ41&amp;AR41&amp;AS41&amp;"-"&amp;AT41&amp;AU41&amp;BA41</f>
        <v>A0102-0210OUT</v>
      </c>
      <c r="AY41" s="99" t="str">
        <f>AQ41&amp;AR41&amp;AS41&amp;"-"&amp;AT41&amp;BA41</f>
        <v>A0102-02OUT</v>
      </c>
      <c r="AZ41" s="90"/>
      <c r="BA41" s="1" t="str">
        <f t="shared" si="13"/>
        <v>OUT</v>
      </c>
      <c r="BC41" s="1" t="str">
        <f t="shared" ref="BC41:BC104" si="25">IF(AJ40&lt;&gt;AJ41,1,"")</f>
        <v/>
      </c>
      <c r="BD41" s="90">
        <f t="shared" ref="BD41:BD104" si="26">IF(BC41=1,1,BD40+1)</f>
        <v>2</v>
      </c>
      <c r="BE41" s="1" t="str">
        <f t="shared" si="21"/>
        <v/>
      </c>
      <c r="BF41" s="1">
        <f t="shared" si="22"/>
        <v>2</v>
      </c>
      <c r="BJ41" t="s">
        <v>226</v>
      </c>
      <c r="BK41" s="1">
        <v>2</v>
      </c>
      <c r="BL41"/>
      <c r="BM41" t="str">
        <f t="shared" si="20"/>
        <v>Elena oval-Elena oval-</v>
      </c>
    </row>
    <row r="42" spans="1:65" ht="11.25" customHeight="1">
      <c r="A42" s="26" t="s">
        <v>227</v>
      </c>
      <c r="B42" s="27" t="s">
        <v>217</v>
      </c>
      <c r="C42" s="28">
        <v>3319.99</v>
      </c>
      <c r="D42" s="28">
        <f t="shared" si="3"/>
        <v>1659.9949999999999</v>
      </c>
      <c r="E42" s="22" t="s">
        <v>40</v>
      </c>
      <c r="F42" s="22" t="s">
        <v>228</v>
      </c>
      <c r="G42" s="22" t="s">
        <v>219</v>
      </c>
      <c r="H42" s="22" t="s">
        <v>229</v>
      </c>
      <c r="I42" s="23" t="s">
        <v>49</v>
      </c>
      <c r="J42" s="22" t="s">
        <v>50</v>
      </c>
      <c r="K42" s="23">
        <v>280</v>
      </c>
      <c r="L42" s="23">
        <v>80</v>
      </c>
      <c r="M42" s="23">
        <v>75</v>
      </c>
      <c r="N42" s="3">
        <f t="shared" si="4"/>
        <v>1.68</v>
      </c>
      <c r="O42" s="4" t="e">
        <f>(C42-(C42*#REF!))-((C42-(C42*#REF!))*#REF!)</f>
        <v>#REF!</v>
      </c>
      <c r="P42" s="7"/>
      <c r="Q42" s="7"/>
      <c r="R42" s="5">
        <f t="shared" si="5"/>
        <v>0</v>
      </c>
      <c r="S42" s="4">
        <f t="shared" si="6"/>
        <v>0</v>
      </c>
      <c r="T42" s="13">
        <f t="shared" si="7"/>
        <v>2323.9929999999999</v>
      </c>
      <c r="U42" s="13">
        <f t="shared" si="17"/>
        <v>1161.9965</v>
      </c>
      <c r="V42" s="14">
        <f>U42/C42</f>
        <v>0.35000000000000003</v>
      </c>
      <c r="W42" s="14"/>
      <c r="X42" s="19">
        <f t="shared" si="0"/>
        <v>1161.9965</v>
      </c>
      <c r="Y42" s="19">
        <f t="shared" si="1"/>
        <v>2323.9929999999999</v>
      </c>
      <c r="Z42" s="15" t="e">
        <f t="shared" si="23"/>
        <v>#DIV/0!</v>
      </c>
      <c r="AA42" s="22" t="s">
        <v>225</v>
      </c>
      <c r="AG42" s="94" t="s">
        <v>52</v>
      </c>
      <c r="AH42" s="89" t="str">
        <f>VLOOKUP(AG42,Sheet1!$B$3:$D$36,2,FALSE)</f>
        <v>Furniture</v>
      </c>
      <c r="AI42" s="89" t="s">
        <v>53</v>
      </c>
      <c r="AJ42" s="1" t="str">
        <f t="shared" si="24"/>
        <v>Sliv rectangular</v>
      </c>
      <c r="AK42" s="1" t="str">
        <f t="shared" si="8"/>
        <v>w280 x d80 x h75 x bh70</v>
      </c>
      <c r="AL42" s="1" t="str">
        <f t="shared" si="19"/>
        <v>Natural teak indoor</v>
      </c>
      <c r="AM42" s="1" t="str">
        <f t="shared" si="9"/>
        <v>Natural teak indoor</v>
      </c>
      <c r="AN42" s="1" t="str">
        <f>SUBSTITUTE(AL42,"indoor","")</f>
        <v xml:space="preserve">Natural teak </v>
      </c>
      <c r="AO42" s="1" t="s">
        <v>54</v>
      </c>
      <c r="AQ42" s="1" t="str">
        <f t="shared" si="10"/>
        <v>A</v>
      </c>
      <c r="AR42" s="1" t="str">
        <f>VLOOKUP(TRIM(AI42),Sheet1!$D$3:$E$36,2,FALSE)</f>
        <v>01</v>
      </c>
      <c r="AS42" s="90" t="str">
        <f t="shared" si="11"/>
        <v>03</v>
      </c>
      <c r="AT42" s="1" t="str">
        <f t="shared" si="12"/>
        <v>01</v>
      </c>
      <c r="AU42" s="90" t="s">
        <v>55</v>
      </c>
      <c r="AV42" s="90"/>
      <c r="AW42" s="90"/>
      <c r="AX42" s="95" t="str">
        <f>AQ42&amp;AR42&amp;AS42&amp;"-"&amp;AT42&amp;AU42&amp;BA42</f>
        <v>A0103-0110IND</v>
      </c>
      <c r="AY42" s="99" t="str">
        <f>AQ42&amp;AR42&amp;AS42&amp;"-"&amp;AT42&amp;BA42</f>
        <v>A0103-01IND</v>
      </c>
      <c r="AZ42" s="90"/>
      <c r="BA42" s="1" t="str">
        <f t="shared" si="13"/>
        <v>IND</v>
      </c>
      <c r="BC42" s="1" t="str">
        <f t="shared" si="25"/>
        <v/>
      </c>
      <c r="BD42" s="90">
        <f t="shared" si="26"/>
        <v>3</v>
      </c>
      <c r="BE42" s="1">
        <f t="shared" si="21"/>
        <v>1</v>
      </c>
      <c r="BF42" s="1">
        <f t="shared" si="22"/>
        <v>1</v>
      </c>
      <c r="BJ42" t="s">
        <v>230</v>
      </c>
      <c r="BK42" s="1">
        <v>4</v>
      </c>
      <c r="BL42"/>
      <c r="BM42" t="str">
        <f t="shared" si="20"/>
        <v>Elena rectangular-Elena rectangular-Elena rectangular-Elena rectangular-</v>
      </c>
    </row>
    <row r="43" spans="1:65" ht="11.25" customHeight="1">
      <c r="A43" s="26" t="s">
        <v>231</v>
      </c>
      <c r="B43" s="27" t="s">
        <v>217</v>
      </c>
      <c r="C43" s="28">
        <v>3519.99</v>
      </c>
      <c r="D43" s="28">
        <f t="shared" si="3"/>
        <v>1759.9949999999999</v>
      </c>
      <c r="E43" s="22" t="s">
        <v>40</v>
      </c>
      <c r="F43" s="22" t="s">
        <v>232</v>
      </c>
      <c r="G43" s="22" t="s">
        <v>219</v>
      </c>
      <c r="H43" s="22" t="s">
        <v>229</v>
      </c>
      <c r="I43" s="23" t="s">
        <v>58</v>
      </c>
      <c r="J43" s="22" t="s">
        <v>50</v>
      </c>
      <c r="K43" s="23">
        <v>280</v>
      </c>
      <c r="L43" s="23">
        <v>80</v>
      </c>
      <c r="M43" s="23">
        <v>75</v>
      </c>
      <c r="N43" s="3">
        <f t="shared" si="4"/>
        <v>1.68</v>
      </c>
      <c r="O43" s="4" t="e">
        <f>(C43-(C43*#REF!))-((C43-(C43*#REF!))*#REF!)</f>
        <v>#REF!</v>
      </c>
      <c r="P43" s="7"/>
      <c r="Q43" s="7"/>
      <c r="R43" s="5">
        <f t="shared" si="5"/>
        <v>0</v>
      </c>
      <c r="S43" s="4">
        <f t="shared" si="6"/>
        <v>0</v>
      </c>
      <c r="T43" s="13">
        <f t="shared" si="7"/>
        <v>2463.9929999999999</v>
      </c>
      <c r="U43" s="13">
        <f t="shared" si="17"/>
        <v>1231.9965</v>
      </c>
      <c r="V43" s="14">
        <f>U43/C43</f>
        <v>0.35000000000000003</v>
      </c>
      <c r="W43" s="14"/>
      <c r="X43" s="19">
        <f t="shared" si="0"/>
        <v>1231.9965</v>
      </c>
      <c r="Y43" s="19">
        <f t="shared" si="1"/>
        <v>2463.9929999999999</v>
      </c>
      <c r="Z43" s="15" t="e">
        <f t="shared" si="23"/>
        <v>#DIV/0!</v>
      </c>
      <c r="AA43" s="22" t="s">
        <v>233</v>
      </c>
      <c r="AG43" s="94" t="s">
        <v>52</v>
      </c>
      <c r="AH43" s="89" t="str">
        <f>VLOOKUP(AG43,Sheet1!$B$3:$D$36,2,FALSE)</f>
        <v>Furniture</v>
      </c>
      <c r="AI43" s="89" t="s">
        <v>53</v>
      </c>
      <c r="AJ43" s="1" t="str">
        <f t="shared" si="24"/>
        <v>Sliv rectangular</v>
      </c>
      <c r="AK43" s="1" t="str">
        <f t="shared" si="8"/>
        <v>w280 x d80 x h75 x bh70</v>
      </c>
      <c r="AL43" s="1" t="str">
        <f t="shared" si="19"/>
        <v>Natural teak outdoor</v>
      </c>
      <c r="AM43" s="1" t="str">
        <f t="shared" si="9"/>
        <v>Natural teak outdoor</v>
      </c>
      <c r="AN43" s="1" t="str">
        <f>SUBSTITUTE(AL43,"outdoor","")</f>
        <v xml:space="preserve">Natural teak </v>
      </c>
      <c r="AO43" s="1" t="s">
        <v>59</v>
      </c>
      <c r="AQ43" s="1" t="str">
        <f t="shared" si="10"/>
        <v>A</v>
      </c>
      <c r="AR43" s="1" t="str">
        <f>VLOOKUP(TRIM(AI43),Sheet1!$D$3:$E$36,2,FALSE)</f>
        <v>01</v>
      </c>
      <c r="AS43" s="90" t="str">
        <f t="shared" si="11"/>
        <v>04</v>
      </c>
      <c r="AT43" s="1" t="str">
        <f t="shared" si="12"/>
        <v>02</v>
      </c>
      <c r="AU43" s="90" t="s">
        <v>55</v>
      </c>
      <c r="AV43" s="90"/>
      <c r="AW43" s="90"/>
      <c r="AX43" s="95" t="str">
        <f>AQ43&amp;AR43&amp;AS43&amp;"-"&amp;AT43&amp;AU43&amp;BA43</f>
        <v>A0104-0210OUT</v>
      </c>
      <c r="AY43" s="99" t="str">
        <f>AQ43&amp;AR43&amp;AS43&amp;"-"&amp;AT43&amp;BA43</f>
        <v>A0104-02OUT</v>
      </c>
      <c r="AZ43" s="90"/>
      <c r="BA43" s="1" t="str">
        <f t="shared" si="13"/>
        <v>OUT</v>
      </c>
      <c r="BC43" s="1" t="str">
        <f t="shared" si="25"/>
        <v/>
      </c>
      <c r="BD43" s="90">
        <f t="shared" si="26"/>
        <v>4</v>
      </c>
      <c r="BE43" s="1" t="str">
        <f t="shared" si="21"/>
        <v/>
      </c>
      <c r="BF43" s="1">
        <f t="shared" si="22"/>
        <v>2</v>
      </c>
      <c r="BJ43" t="s">
        <v>234</v>
      </c>
      <c r="BK43" s="1">
        <v>2</v>
      </c>
      <c r="BL43"/>
      <c r="BM43" t="str">
        <f t="shared" si="20"/>
        <v>Elisabeta holder-Elisabeta holder-</v>
      </c>
    </row>
    <row r="44" spans="1:65" ht="11.25" customHeight="1">
      <c r="A44" s="26" t="s">
        <v>235</v>
      </c>
      <c r="B44" s="27" t="s">
        <v>236</v>
      </c>
      <c r="C44" s="28">
        <v>2629.99</v>
      </c>
      <c r="D44" s="28">
        <f t="shared" si="3"/>
        <v>1314.9949999999999</v>
      </c>
      <c r="E44" s="22" t="s">
        <v>40</v>
      </c>
      <c r="F44" s="22" t="s">
        <v>237</v>
      </c>
      <c r="G44" s="22" t="s">
        <v>238</v>
      </c>
      <c r="H44" s="22" t="s">
        <v>239</v>
      </c>
      <c r="I44" s="23" t="s">
        <v>49</v>
      </c>
      <c r="J44" s="22" t="s">
        <v>50</v>
      </c>
      <c r="K44" s="23">
        <v>250</v>
      </c>
      <c r="L44" s="23">
        <v>85</v>
      </c>
      <c r="M44" s="23">
        <v>75</v>
      </c>
      <c r="N44" s="3">
        <f t="shared" si="4"/>
        <v>1.59375</v>
      </c>
      <c r="O44" s="4" t="e">
        <f>(C44-(C44*#REF!))-((C44-(C44*#REF!))*#REF!)</f>
        <v>#REF!</v>
      </c>
      <c r="P44" s="7">
        <v>4918879.6011451464</v>
      </c>
      <c r="Q44" s="7">
        <v>0</v>
      </c>
      <c r="R44" s="5">
        <f t="shared" si="5"/>
        <v>4918879.6011451464</v>
      </c>
      <c r="S44" s="4">
        <f t="shared" si="6"/>
        <v>327.92530674300974</v>
      </c>
      <c r="T44" s="13">
        <f t="shared" si="7"/>
        <v>1840.9929999999999</v>
      </c>
      <c r="U44" s="13">
        <f t="shared" si="17"/>
        <v>920.49649999999997</v>
      </c>
      <c r="V44" s="14">
        <f>U44/C44</f>
        <v>0.35000000000000003</v>
      </c>
      <c r="W44" s="14"/>
      <c r="X44" s="19">
        <f t="shared" si="0"/>
        <v>920.49649999999997</v>
      </c>
      <c r="Y44" s="19">
        <f t="shared" si="1"/>
        <v>1840.9929999999999</v>
      </c>
      <c r="Z44" s="15">
        <f t="shared" si="23"/>
        <v>2.8070309947788799</v>
      </c>
      <c r="AA44" s="22" t="s">
        <v>240</v>
      </c>
      <c r="AG44" s="94" t="s">
        <v>52</v>
      </c>
      <c r="AH44" s="89" t="str">
        <f>VLOOKUP(AG44,Sheet1!$B$3:$D$36,2,FALSE)</f>
        <v>Furniture</v>
      </c>
      <c r="AI44" s="89" t="s">
        <v>53</v>
      </c>
      <c r="AJ44" s="1" t="str">
        <f t="shared" si="24"/>
        <v>Neva rectangular</v>
      </c>
      <c r="AK44" s="1" t="str">
        <f t="shared" si="8"/>
        <v>w250 x d85 x h75 x bh70</v>
      </c>
      <c r="AL44" s="1" t="str">
        <f t="shared" si="19"/>
        <v>Natural teak indoor</v>
      </c>
      <c r="AM44" s="1" t="str">
        <f t="shared" si="9"/>
        <v>Natural teak indoor</v>
      </c>
      <c r="AN44" s="1" t="str">
        <f>SUBSTITUTE(AL44,"indoor","")</f>
        <v xml:space="preserve">Natural teak </v>
      </c>
      <c r="AO44" s="1" t="s">
        <v>54</v>
      </c>
      <c r="AQ44" s="1" t="str">
        <f t="shared" si="10"/>
        <v>A</v>
      </c>
      <c r="AR44" s="1" t="str">
        <f>VLOOKUP(TRIM(AI44),Sheet1!$D$3:$E$36,2,FALSE)</f>
        <v>01</v>
      </c>
      <c r="AS44" s="90" t="str">
        <f t="shared" si="11"/>
        <v>01</v>
      </c>
      <c r="AT44" s="1" t="str">
        <f t="shared" si="12"/>
        <v>01</v>
      </c>
      <c r="AU44" s="90" t="s">
        <v>55</v>
      </c>
      <c r="AV44" s="90"/>
      <c r="AW44" s="90"/>
      <c r="AX44" s="95" t="str">
        <f>AQ44&amp;AR44&amp;AS44&amp;"-"&amp;AT44&amp;AU44&amp;BA44</f>
        <v>A0101-0110IND</v>
      </c>
      <c r="AY44" s="99" t="str">
        <f>AQ44&amp;AR44&amp;AS44&amp;"-"&amp;AT44&amp;BA44</f>
        <v>A0101-01IND</v>
      </c>
      <c r="AZ44" s="90"/>
      <c r="BA44" s="1" t="str">
        <f t="shared" si="13"/>
        <v>IND</v>
      </c>
      <c r="BC44" s="1">
        <f t="shared" si="25"/>
        <v>1</v>
      </c>
      <c r="BD44" s="90">
        <f t="shared" si="26"/>
        <v>1</v>
      </c>
      <c r="BE44" s="1">
        <f t="shared" si="21"/>
        <v>1</v>
      </c>
      <c r="BF44" s="1">
        <f t="shared" si="22"/>
        <v>1</v>
      </c>
      <c r="BJ44" t="s">
        <v>241</v>
      </c>
      <c r="BK44" s="1">
        <v>5</v>
      </c>
      <c r="BL44"/>
      <c r="BM44" t="str">
        <f t="shared" si="20"/>
        <v>Erik plate lavastone-Erik plate lavastone-Erik plate lavastone-Erik plate lavastone-Erik plate lavastone-</v>
      </c>
    </row>
    <row r="45" spans="1:65" ht="11.25" customHeight="1">
      <c r="A45" s="26" t="s">
        <v>242</v>
      </c>
      <c r="B45" s="27" t="s">
        <v>236</v>
      </c>
      <c r="C45" s="28">
        <v>2709.99</v>
      </c>
      <c r="D45" s="28">
        <f t="shared" si="3"/>
        <v>1354.9949999999999</v>
      </c>
      <c r="E45" s="22" t="s">
        <v>40</v>
      </c>
      <c r="F45" s="22" t="s">
        <v>243</v>
      </c>
      <c r="G45" s="22" t="s">
        <v>238</v>
      </c>
      <c r="H45" s="22" t="s">
        <v>239</v>
      </c>
      <c r="I45" s="23" t="s">
        <v>58</v>
      </c>
      <c r="J45" s="22" t="s">
        <v>50</v>
      </c>
      <c r="K45" s="23">
        <v>250</v>
      </c>
      <c r="L45" s="23">
        <v>85</v>
      </c>
      <c r="M45" s="23">
        <v>75</v>
      </c>
      <c r="N45" s="3">
        <f t="shared" si="4"/>
        <v>1.59375</v>
      </c>
      <c r="O45" s="4" t="e">
        <f>(C45-(C45*#REF!))-((C45-(C45*#REF!))*#REF!)</f>
        <v>#REF!</v>
      </c>
      <c r="P45" s="7">
        <v>4700350.2927192217</v>
      </c>
      <c r="Q45" s="7">
        <v>0</v>
      </c>
      <c r="R45" s="5">
        <f t="shared" si="5"/>
        <v>4700350.2927192217</v>
      </c>
      <c r="S45" s="4">
        <f t="shared" si="6"/>
        <v>313.35668618128142</v>
      </c>
      <c r="T45" s="13">
        <f t="shared" si="7"/>
        <v>1896.9929999999999</v>
      </c>
      <c r="U45" s="13">
        <f t="shared" si="17"/>
        <v>948.49649999999997</v>
      </c>
      <c r="V45" s="14">
        <f>U45/C45</f>
        <v>0.35000000000000003</v>
      </c>
      <c r="W45" s="14"/>
      <c r="X45" s="19">
        <f t="shared" si="0"/>
        <v>948.49649999999997</v>
      </c>
      <c r="Y45" s="19">
        <f t="shared" si="1"/>
        <v>1896.9929999999999</v>
      </c>
      <c r="Z45" s="15">
        <f t="shared" si="23"/>
        <v>3.0268908940761547</v>
      </c>
      <c r="AA45" s="22" t="s">
        <v>244</v>
      </c>
      <c r="AG45" s="94" t="s">
        <v>52</v>
      </c>
      <c r="AH45" s="89" t="str">
        <f>VLOOKUP(AG45,Sheet1!$B$3:$D$36,2,FALSE)</f>
        <v>Furniture</v>
      </c>
      <c r="AI45" s="89" t="s">
        <v>53</v>
      </c>
      <c r="AJ45" s="1" t="str">
        <f t="shared" si="24"/>
        <v>Neva rectangular</v>
      </c>
      <c r="AK45" s="1" t="str">
        <f t="shared" si="8"/>
        <v>w250 x d85 x h75 x bh70</v>
      </c>
      <c r="AL45" s="1" t="str">
        <f t="shared" si="19"/>
        <v>Natural teak outdoor</v>
      </c>
      <c r="AM45" s="1" t="str">
        <f t="shared" si="9"/>
        <v>Natural teak outdoor</v>
      </c>
      <c r="AN45" s="1" t="str">
        <f>SUBSTITUTE(AL45,"outdoor","")</f>
        <v xml:space="preserve">Natural teak </v>
      </c>
      <c r="AO45" s="1" t="s">
        <v>59</v>
      </c>
      <c r="AQ45" s="1" t="str">
        <f t="shared" si="10"/>
        <v>A</v>
      </c>
      <c r="AR45" s="1" t="str">
        <f>VLOOKUP(TRIM(AI45),Sheet1!$D$3:$E$36,2,FALSE)</f>
        <v>01</v>
      </c>
      <c r="AS45" s="90" t="str">
        <f t="shared" si="11"/>
        <v>02</v>
      </c>
      <c r="AT45" s="1" t="str">
        <f t="shared" si="12"/>
        <v>02</v>
      </c>
      <c r="AU45" s="90" t="s">
        <v>55</v>
      </c>
      <c r="AV45" s="90"/>
      <c r="AW45" s="90"/>
      <c r="AX45" s="95" t="str">
        <f>AQ45&amp;AR45&amp;AS45&amp;"-"&amp;AT45&amp;AU45&amp;BA45</f>
        <v>A0102-0210OUT</v>
      </c>
      <c r="AY45" s="99" t="str">
        <f>AQ45&amp;AR45&amp;AS45&amp;"-"&amp;AT45&amp;BA45</f>
        <v>A0102-02OUT</v>
      </c>
      <c r="AZ45" s="90"/>
      <c r="BA45" s="1" t="str">
        <f t="shared" si="13"/>
        <v>OUT</v>
      </c>
      <c r="BC45" s="1" t="str">
        <f t="shared" si="25"/>
        <v/>
      </c>
      <c r="BD45" s="90">
        <f t="shared" si="26"/>
        <v>2</v>
      </c>
      <c r="BE45" s="1" t="str">
        <f t="shared" si="21"/>
        <v/>
      </c>
      <c r="BF45" s="1">
        <f t="shared" si="22"/>
        <v>2</v>
      </c>
      <c r="BJ45" t="s">
        <v>245</v>
      </c>
      <c r="BK45" s="1">
        <v>8</v>
      </c>
      <c r="BL45"/>
      <c r="BM45" t="str">
        <f t="shared" si="20"/>
        <v>Felix rattan-Felix rattan-Felix rattan-Felix rattan-Felix rattan-Felix rattan-Felix rattan-Felix rattan-</v>
      </c>
    </row>
    <row r="46" spans="1:65" ht="11.25" customHeight="1">
      <c r="A46" s="26" t="s">
        <v>246</v>
      </c>
      <c r="B46" s="27" t="s">
        <v>247</v>
      </c>
      <c r="C46" s="28">
        <v>1189.99</v>
      </c>
      <c r="D46" s="28">
        <f t="shared" si="3"/>
        <v>594.995</v>
      </c>
      <c r="E46" s="22" t="s">
        <v>40</v>
      </c>
      <c r="F46" s="22" t="s">
        <v>248</v>
      </c>
      <c r="G46" s="22" t="s">
        <v>249</v>
      </c>
      <c r="H46" s="22" t="s">
        <v>250</v>
      </c>
      <c r="I46" s="23" t="s">
        <v>49</v>
      </c>
      <c r="J46" s="22" t="s">
        <v>50</v>
      </c>
      <c r="K46" s="23">
        <v>120</v>
      </c>
      <c r="L46" s="23">
        <v>70</v>
      </c>
      <c r="M46" s="23">
        <v>75</v>
      </c>
      <c r="N46" s="3">
        <f t="shared" si="4"/>
        <v>0.63</v>
      </c>
      <c r="O46" s="4" t="e">
        <f>(C46-(C46*#REF!))-((C46-(C46*#REF!))*#REF!)</f>
        <v>#REF!</v>
      </c>
      <c r="P46" s="7">
        <v>2242816.871049318</v>
      </c>
      <c r="Q46" s="7">
        <v>0</v>
      </c>
      <c r="R46" s="5">
        <f t="shared" si="5"/>
        <v>2242816.871049318</v>
      </c>
      <c r="S46" s="4">
        <f t="shared" si="6"/>
        <v>149.5211247366212</v>
      </c>
      <c r="T46" s="13">
        <f>C46-(C46*$T$1)</f>
        <v>832.99299999999994</v>
      </c>
      <c r="U46" s="13">
        <f t="shared" si="17"/>
        <v>416.49649999999997</v>
      </c>
      <c r="V46" s="14">
        <f>U46/C46</f>
        <v>0.35</v>
      </c>
      <c r="W46" s="14"/>
      <c r="X46" s="19">
        <f t="shared" si="0"/>
        <v>416.49649999999997</v>
      </c>
      <c r="Y46" s="19">
        <f t="shared" si="1"/>
        <v>832.99299999999994</v>
      </c>
      <c r="Z46" s="15">
        <f t="shared" si="23"/>
        <v>2.785536162422876</v>
      </c>
      <c r="AA46" s="22" t="s">
        <v>251</v>
      </c>
      <c r="AG46" s="94" t="s">
        <v>52</v>
      </c>
      <c r="AH46" s="89" t="str">
        <f>VLOOKUP(AG46,Sheet1!$B$3:$D$36,2,FALSE)</f>
        <v>Furniture</v>
      </c>
      <c r="AI46" s="89" t="s">
        <v>53</v>
      </c>
      <c r="AJ46" s="1" t="str">
        <f t="shared" si="24"/>
        <v>Mila rectangular</v>
      </c>
      <c r="AK46" s="1" t="str">
        <f t="shared" si="8"/>
        <v>w120 x d70 x h75 x bh71</v>
      </c>
      <c r="AL46" s="1" t="str">
        <f t="shared" si="19"/>
        <v>Natural teak indoor</v>
      </c>
      <c r="AM46" s="1" t="str">
        <f t="shared" si="9"/>
        <v>Natural teak indoor</v>
      </c>
      <c r="AN46" s="1" t="str">
        <f>SUBSTITUTE(AL46,"indoor","")</f>
        <v xml:space="preserve">Natural teak </v>
      </c>
      <c r="AO46" s="1" t="s">
        <v>54</v>
      </c>
      <c r="AQ46" s="1" t="str">
        <f t="shared" si="10"/>
        <v>A</v>
      </c>
      <c r="AR46" s="1" t="str">
        <f>VLOOKUP(TRIM(AI46),Sheet1!$D$3:$E$36,2,FALSE)</f>
        <v>01</v>
      </c>
      <c r="AS46" s="90" t="str">
        <f t="shared" si="11"/>
        <v>01</v>
      </c>
      <c r="AT46" s="1" t="str">
        <f t="shared" si="12"/>
        <v>01</v>
      </c>
      <c r="AU46" s="90" t="s">
        <v>55</v>
      </c>
      <c r="AV46" s="90"/>
      <c r="AW46" s="90"/>
      <c r="AX46" s="95" t="str">
        <f>AQ46&amp;AR46&amp;AS46&amp;"-"&amp;AT46&amp;AU46&amp;BA46</f>
        <v>A0101-0110IND</v>
      </c>
      <c r="AY46" s="99" t="str">
        <f>AQ46&amp;AR46&amp;AS46&amp;"-"&amp;AT46&amp;BA46</f>
        <v>A0101-01IND</v>
      </c>
      <c r="AZ46" s="90"/>
      <c r="BA46" s="1" t="str">
        <f t="shared" si="13"/>
        <v>IND</v>
      </c>
      <c r="BC46" s="1">
        <f t="shared" si="25"/>
        <v>1</v>
      </c>
      <c r="BD46" s="90">
        <f t="shared" si="26"/>
        <v>1</v>
      </c>
      <c r="BE46" s="1">
        <f t="shared" si="21"/>
        <v>1</v>
      </c>
      <c r="BF46" s="1">
        <f t="shared" si="22"/>
        <v>1</v>
      </c>
      <c r="BJ46" t="s">
        <v>252</v>
      </c>
      <c r="BK46" s="1">
        <v>4</v>
      </c>
      <c r="BL46"/>
      <c r="BM46" t="str">
        <f t="shared" si="20"/>
        <v>Felix stone-Felix stone-Felix stone-Felix stone-</v>
      </c>
    </row>
    <row r="47" spans="1:65" ht="11.25" customHeight="1">
      <c r="A47" s="26" t="s">
        <v>253</v>
      </c>
      <c r="B47" s="27" t="s">
        <v>247</v>
      </c>
      <c r="C47" s="28">
        <v>1299.99</v>
      </c>
      <c r="D47" s="28">
        <f t="shared" si="3"/>
        <v>649.995</v>
      </c>
      <c r="E47" s="22" t="s">
        <v>40</v>
      </c>
      <c r="F47" s="22" t="s">
        <v>254</v>
      </c>
      <c r="G47" s="22" t="s">
        <v>249</v>
      </c>
      <c r="H47" s="22" t="s">
        <v>250</v>
      </c>
      <c r="I47" s="23" t="s">
        <v>58</v>
      </c>
      <c r="J47" s="22" t="s">
        <v>50</v>
      </c>
      <c r="K47" s="23">
        <v>120</v>
      </c>
      <c r="L47" s="23">
        <v>70</v>
      </c>
      <c r="M47" s="23">
        <v>75</v>
      </c>
      <c r="N47" s="3">
        <f t="shared" si="4"/>
        <v>0.63</v>
      </c>
      <c r="O47" s="4" t="e">
        <f>(C47-(C47*#REF!))-((C47-(C47*#REF!))*#REF!)</f>
        <v>#REF!</v>
      </c>
      <c r="P47" s="7">
        <v>2162306.7689263769</v>
      </c>
      <c r="Q47" s="7">
        <v>0</v>
      </c>
      <c r="R47" s="5">
        <f t="shared" si="5"/>
        <v>2162306.7689263769</v>
      </c>
      <c r="S47" s="4">
        <f t="shared" si="6"/>
        <v>144.15378459509179</v>
      </c>
      <c r="T47" s="13">
        <f t="shared" si="7"/>
        <v>909.99299999999994</v>
      </c>
      <c r="U47" s="13">
        <f t="shared" si="17"/>
        <v>454.99649999999997</v>
      </c>
      <c r="V47" s="14">
        <f>U47/C47</f>
        <v>0.35</v>
      </c>
      <c r="W47" s="14"/>
      <c r="X47" s="19">
        <f t="shared" si="0"/>
        <v>454.99649999999997</v>
      </c>
      <c r="Y47" s="19">
        <f t="shared" si="1"/>
        <v>909.99299999999994</v>
      </c>
      <c r="Z47" s="15">
        <f t="shared" si="23"/>
        <v>3.1563271216085149</v>
      </c>
      <c r="AA47" s="22" t="s">
        <v>255</v>
      </c>
      <c r="AG47" s="94" t="s">
        <v>52</v>
      </c>
      <c r="AH47" s="89" t="str">
        <f>VLOOKUP(AG47,Sheet1!$B$3:$D$36,2,FALSE)</f>
        <v>Furniture</v>
      </c>
      <c r="AI47" s="89" t="s">
        <v>53</v>
      </c>
      <c r="AJ47" s="1" t="str">
        <f t="shared" si="24"/>
        <v>Mila rectangular</v>
      </c>
      <c r="AK47" s="1" t="str">
        <f t="shared" si="8"/>
        <v>w120 x d70 x h75 x bh71</v>
      </c>
      <c r="AL47" s="1" t="str">
        <f t="shared" si="19"/>
        <v>Natural teak outdoor</v>
      </c>
      <c r="AM47" s="1" t="str">
        <f t="shared" si="9"/>
        <v>Natural teak outdoor</v>
      </c>
      <c r="AN47" s="1" t="str">
        <f>SUBSTITUTE(AL47,"outdoor","")</f>
        <v xml:space="preserve">Natural teak </v>
      </c>
      <c r="AO47" s="1" t="s">
        <v>59</v>
      </c>
      <c r="AQ47" s="1" t="str">
        <f t="shared" si="10"/>
        <v>A</v>
      </c>
      <c r="AR47" s="1" t="str">
        <f>VLOOKUP(TRIM(AI47),Sheet1!$D$3:$E$36,2,FALSE)</f>
        <v>01</v>
      </c>
      <c r="AS47" s="90" t="str">
        <f t="shared" si="11"/>
        <v>02</v>
      </c>
      <c r="AT47" s="1" t="str">
        <f t="shared" si="12"/>
        <v>02</v>
      </c>
      <c r="AU47" s="90" t="s">
        <v>55</v>
      </c>
      <c r="AV47" s="90"/>
      <c r="AW47" s="90"/>
      <c r="AX47" s="95" t="str">
        <f>AQ47&amp;AR47&amp;AS47&amp;"-"&amp;AT47&amp;AU47&amp;BA47</f>
        <v>A0102-0210OUT</v>
      </c>
      <c r="AY47" s="99" t="str">
        <f>AQ47&amp;AR47&amp;AS47&amp;"-"&amp;AT47&amp;BA47</f>
        <v>A0102-02OUT</v>
      </c>
      <c r="AZ47" s="90"/>
      <c r="BA47" s="1" t="str">
        <f t="shared" si="13"/>
        <v>OUT</v>
      </c>
      <c r="BC47" s="1" t="str">
        <f t="shared" si="25"/>
        <v/>
      </c>
      <c r="BD47" s="90">
        <f t="shared" si="26"/>
        <v>2</v>
      </c>
      <c r="BE47" s="1" t="str">
        <f t="shared" si="21"/>
        <v/>
      </c>
      <c r="BF47" s="1">
        <f t="shared" si="22"/>
        <v>2</v>
      </c>
      <c r="BJ47" t="s">
        <v>256</v>
      </c>
      <c r="BK47" s="1">
        <v>3</v>
      </c>
      <c r="BL47"/>
      <c r="BM47" t="str">
        <f t="shared" si="20"/>
        <v>Feroni round basket wood-Feroni round basket wood-Feroni round basket wood-</v>
      </c>
    </row>
    <row r="48" spans="1:65" ht="11.25" customHeight="1">
      <c r="A48" s="26" t="s">
        <v>257</v>
      </c>
      <c r="B48" s="27" t="s">
        <v>247</v>
      </c>
      <c r="C48" s="28">
        <v>1429.99</v>
      </c>
      <c r="D48" s="28">
        <f t="shared" si="3"/>
        <v>714.995</v>
      </c>
      <c r="E48" s="22" t="s">
        <v>40</v>
      </c>
      <c r="F48" s="22" t="s">
        <v>258</v>
      </c>
      <c r="G48" s="22" t="s">
        <v>249</v>
      </c>
      <c r="H48" s="22" t="s">
        <v>259</v>
      </c>
      <c r="I48" s="23" t="s">
        <v>49</v>
      </c>
      <c r="J48" s="22" t="s">
        <v>50</v>
      </c>
      <c r="K48" s="23">
        <v>140</v>
      </c>
      <c r="L48" s="23">
        <v>80</v>
      </c>
      <c r="M48" s="23">
        <v>75</v>
      </c>
      <c r="N48" s="3">
        <f t="shared" si="4"/>
        <v>0.84</v>
      </c>
      <c r="O48" s="4" t="e">
        <f>(C48-(C48*#REF!))-((C48-(C48*#REF!))*#REF!)</f>
        <v>#REF!</v>
      </c>
      <c r="P48" s="7">
        <v>2559766.4337862418</v>
      </c>
      <c r="Q48" s="7">
        <v>0</v>
      </c>
      <c r="R48" s="5">
        <f t="shared" si="5"/>
        <v>2559766.4337862418</v>
      </c>
      <c r="S48" s="4">
        <f t="shared" si="6"/>
        <v>170.65109558574946</v>
      </c>
      <c r="T48" s="13">
        <f t="shared" si="7"/>
        <v>1000.9929999999999</v>
      </c>
      <c r="U48" s="13">
        <f t="shared" si="17"/>
        <v>500.49649999999997</v>
      </c>
      <c r="V48" s="14">
        <f>U48/C48</f>
        <v>0.35</v>
      </c>
      <c r="W48" s="14"/>
      <c r="X48" s="19">
        <f t="shared" si="0"/>
        <v>500.49649999999997</v>
      </c>
      <c r="Y48" s="19">
        <f t="shared" si="1"/>
        <v>1000.9929999999999</v>
      </c>
      <c r="Z48" s="15">
        <f t="shared" si="23"/>
        <v>2.9328642648444552</v>
      </c>
      <c r="AA48" s="22" t="s">
        <v>260</v>
      </c>
      <c r="AG48" s="94" t="s">
        <v>52</v>
      </c>
      <c r="AH48" s="89" t="str">
        <f>VLOOKUP(AG48,Sheet1!$B$3:$D$36,2,FALSE)</f>
        <v>Furniture</v>
      </c>
      <c r="AI48" s="89" t="s">
        <v>53</v>
      </c>
      <c r="AJ48" s="1" t="str">
        <f t="shared" si="24"/>
        <v>Mila rectangular</v>
      </c>
      <c r="AK48" s="1" t="str">
        <f t="shared" si="8"/>
        <v>w140 x d80 x h75 x bh71</v>
      </c>
      <c r="AL48" s="1" t="str">
        <f t="shared" si="19"/>
        <v>Natural teak indoor</v>
      </c>
      <c r="AM48" s="1" t="str">
        <f t="shared" si="9"/>
        <v>Natural teak indoor</v>
      </c>
      <c r="AN48" s="1" t="str">
        <f>SUBSTITUTE(AL48,"indoor","")</f>
        <v xml:space="preserve">Natural teak </v>
      </c>
      <c r="AO48" s="1" t="s">
        <v>54</v>
      </c>
      <c r="AQ48" s="1" t="str">
        <f t="shared" si="10"/>
        <v>A</v>
      </c>
      <c r="AR48" s="1" t="str">
        <f>VLOOKUP(TRIM(AI48),Sheet1!$D$3:$E$36,2,FALSE)</f>
        <v>01</v>
      </c>
      <c r="AS48" s="90" t="str">
        <f t="shared" si="11"/>
        <v>03</v>
      </c>
      <c r="AT48" s="1" t="str">
        <f t="shared" si="12"/>
        <v>01</v>
      </c>
      <c r="AU48" s="90" t="s">
        <v>55</v>
      </c>
      <c r="AV48" s="90"/>
      <c r="AW48" s="90"/>
      <c r="AX48" s="95" t="str">
        <f>AQ48&amp;AR48&amp;AS48&amp;"-"&amp;AT48&amp;AU48&amp;BA48</f>
        <v>A0103-0110IND</v>
      </c>
      <c r="AY48" s="99" t="str">
        <f>AQ48&amp;AR48&amp;AS48&amp;"-"&amp;AT48&amp;BA48</f>
        <v>A0103-01IND</v>
      </c>
      <c r="AZ48" s="90"/>
      <c r="BA48" s="1" t="str">
        <f t="shared" si="13"/>
        <v>IND</v>
      </c>
      <c r="BC48" s="1" t="str">
        <f t="shared" si="25"/>
        <v/>
      </c>
      <c r="BD48" s="90">
        <f t="shared" si="26"/>
        <v>3</v>
      </c>
      <c r="BE48" s="1">
        <f t="shared" si="21"/>
        <v>1</v>
      </c>
      <c r="BF48" s="1">
        <f t="shared" si="22"/>
        <v>1</v>
      </c>
      <c r="BJ48" t="s">
        <v>261</v>
      </c>
      <c r="BK48" s="1">
        <v>2</v>
      </c>
      <c r="BL48"/>
      <c r="BM48" t="str">
        <f t="shared" si="20"/>
        <v>Frank horizontal fence-Frank horizontal fence-</v>
      </c>
    </row>
    <row r="49" spans="1:65" ht="11.25" customHeight="1">
      <c r="A49" s="26" t="s">
        <v>262</v>
      </c>
      <c r="B49" s="27" t="s">
        <v>247</v>
      </c>
      <c r="C49" s="28">
        <v>1569.99</v>
      </c>
      <c r="D49" s="28">
        <f t="shared" si="3"/>
        <v>784.995</v>
      </c>
      <c r="E49" s="22" t="s">
        <v>40</v>
      </c>
      <c r="F49" s="22" t="s">
        <v>263</v>
      </c>
      <c r="G49" s="22" t="s">
        <v>249</v>
      </c>
      <c r="H49" s="22" t="s">
        <v>259</v>
      </c>
      <c r="I49" s="23" t="s">
        <v>58</v>
      </c>
      <c r="J49" s="22" t="s">
        <v>50</v>
      </c>
      <c r="K49" s="23">
        <v>140</v>
      </c>
      <c r="L49" s="23">
        <v>80</v>
      </c>
      <c r="M49" s="23">
        <v>75</v>
      </c>
      <c r="N49" s="3">
        <f t="shared" si="4"/>
        <v>0.84</v>
      </c>
      <c r="O49" s="4" t="e">
        <f>(C49-(C49*#REF!))-((C49-(C49*#REF!))*#REF!)</f>
        <v>#REF!</v>
      </c>
      <c r="P49" s="7">
        <v>2443129.2951288344</v>
      </c>
      <c r="Q49" s="7">
        <v>0</v>
      </c>
      <c r="R49" s="5">
        <f t="shared" si="5"/>
        <v>2443129.2951288344</v>
      </c>
      <c r="S49" s="4">
        <f t="shared" si="6"/>
        <v>162.8752863419223</v>
      </c>
      <c r="T49" s="13">
        <f t="shared" si="7"/>
        <v>1098.9929999999999</v>
      </c>
      <c r="U49" s="13">
        <f t="shared" si="17"/>
        <v>549.49649999999997</v>
      </c>
      <c r="V49" s="14">
        <f>U49/C49</f>
        <v>0.35</v>
      </c>
      <c r="W49" s="14"/>
      <c r="X49" s="19">
        <f t="shared" si="0"/>
        <v>549.49649999999997</v>
      </c>
      <c r="Y49" s="19">
        <f t="shared" si="1"/>
        <v>1098.9929999999999</v>
      </c>
      <c r="Z49" s="15">
        <f t="shared" si="23"/>
        <v>3.3737254579337961</v>
      </c>
      <c r="AA49" s="22" t="s">
        <v>251</v>
      </c>
      <c r="AG49" s="94" t="s">
        <v>52</v>
      </c>
      <c r="AH49" s="89" t="str">
        <f>VLOOKUP(AG49,Sheet1!$B$3:$D$36,2,FALSE)</f>
        <v>Furniture</v>
      </c>
      <c r="AI49" s="89" t="s">
        <v>53</v>
      </c>
      <c r="AJ49" s="1" t="str">
        <f t="shared" si="24"/>
        <v>Mila rectangular</v>
      </c>
      <c r="AK49" s="1" t="str">
        <f t="shared" si="8"/>
        <v>w140 x d80 x h75 x bh71</v>
      </c>
      <c r="AL49" s="1" t="str">
        <f t="shared" si="19"/>
        <v>Natural teak outdoor</v>
      </c>
      <c r="AM49" s="1" t="str">
        <f t="shared" si="9"/>
        <v>Natural teak outdoor</v>
      </c>
      <c r="AN49" s="1" t="str">
        <f>SUBSTITUTE(AL49,"outdoor","")</f>
        <v xml:space="preserve">Natural teak </v>
      </c>
      <c r="AO49" s="1" t="s">
        <v>59</v>
      </c>
      <c r="AQ49" s="1" t="str">
        <f t="shared" si="10"/>
        <v>A</v>
      </c>
      <c r="AR49" s="1" t="str">
        <f>VLOOKUP(TRIM(AI49),Sheet1!$D$3:$E$36,2,FALSE)</f>
        <v>01</v>
      </c>
      <c r="AS49" s="90" t="str">
        <f t="shared" si="11"/>
        <v>04</v>
      </c>
      <c r="AT49" s="1" t="str">
        <f t="shared" si="12"/>
        <v>02</v>
      </c>
      <c r="AU49" s="90" t="s">
        <v>55</v>
      </c>
      <c r="AV49" s="90"/>
      <c r="AW49" s="90"/>
      <c r="AX49" s="95" t="str">
        <f>AQ49&amp;AR49&amp;AS49&amp;"-"&amp;AT49&amp;AU49&amp;BA49</f>
        <v>A0104-0210OUT</v>
      </c>
      <c r="AY49" s="99" t="str">
        <f>AQ49&amp;AR49&amp;AS49&amp;"-"&amp;AT49&amp;BA49</f>
        <v>A0104-02OUT</v>
      </c>
      <c r="AZ49" s="90"/>
      <c r="BA49" s="1" t="str">
        <f t="shared" si="13"/>
        <v>OUT</v>
      </c>
      <c r="BC49" s="1" t="str">
        <f t="shared" si="25"/>
        <v/>
      </c>
      <c r="BD49" s="90">
        <f t="shared" si="26"/>
        <v>4</v>
      </c>
      <c r="BE49" s="1" t="str">
        <f t="shared" si="21"/>
        <v/>
      </c>
      <c r="BF49" s="1">
        <f t="shared" si="22"/>
        <v>2</v>
      </c>
      <c r="BJ49" t="s">
        <v>264</v>
      </c>
      <c r="BK49" s="1">
        <v>2</v>
      </c>
      <c r="BL49"/>
      <c r="BM49" t="str">
        <f t="shared" si="20"/>
        <v>Frank vertical fence-Frank vertical fence-</v>
      </c>
    </row>
    <row r="50" spans="1:65" ht="11.25" customHeight="1">
      <c r="A50" s="26" t="s">
        <v>265</v>
      </c>
      <c r="B50" s="27" t="s">
        <v>266</v>
      </c>
      <c r="C50" s="28">
        <v>889.99</v>
      </c>
      <c r="D50" s="28">
        <f t="shared" si="3"/>
        <v>444.995</v>
      </c>
      <c r="E50" s="22" t="s">
        <v>40</v>
      </c>
      <c r="F50" s="22" t="s">
        <v>267</v>
      </c>
      <c r="G50" s="22" t="s">
        <v>268</v>
      </c>
      <c r="H50" s="22" t="s">
        <v>269</v>
      </c>
      <c r="I50" s="23" t="s">
        <v>49</v>
      </c>
      <c r="J50" s="22" t="s">
        <v>50</v>
      </c>
      <c r="L50" s="23">
        <v>70</v>
      </c>
      <c r="M50" s="23">
        <v>75</v>
      </c>
      <c r="N50" s="3">
        <f t="shared" si="4"/>
        <v>0.36749999999999999</v>
      </c>
      <c r="O50" s="4" t="e">
        <f>(C50-(C50*#REF!))-((C50-(C50*#REF!))*#REF!)</f>
        <v>#REF!</v>
      </c>
      <c r="P50" s="7"/>
      <c r="Q50" s="7"/>
      <c r="R50" s="5">
        <f t="shared" si="5"/>
        <v>0</v>
      </c>
      <c r="S50" s="4">
        <f t="shared" si="6"/>
        <v>0</v>
      </c>
      <c r="T50" s="13">
        <f t="shared" si="7"/>
        <v>622.99299999999994</v>
      </c>
      <c r="U50" s="13">
        <f t="shared" si="17"/>
        <v>311.49649999999997</v>
      </c>
      <c r="V50" s="14">
        <f>U50/C50</f>
        <v>0.35</v>
      </c>
      <c r="W50" s="14"/>
      <c r="X50" s="19">
        <f t="shared" si="0"/>
        <v>311.49649999999997</v>
      </c>
      <c r="Y50" s="19">
        <f t="shared" si="1"/>
        <v>622.99299999999994</v>
      </c>
      <c r="Z50" s="15" t="e">
        <f t="shared" si="23"/>
        <v>#DIV/0!</v>
      </c>
      <c r="AA50" s="22" t="s">
        <v>270</v>
      </c>
      <c r="AG50" s="94" t="s">
        <v>52</v>
      </c>
      <c r="AH50" s="89" t="str">
        <f>VLOOKUP(AG50,Sheet1!$B$3:$D$36,2,FALSE)</f>
        <v>Furniture</v>
      </c>
      <c r="AI50" s="89" t="s">
        <v>53</v>
      </c>
      <c r="AJ50" s="1" t="str">
        <f t="shared" si="24"/>
        <v>Mila round</v>
      </c>
      <c r="AK50" s="1" t="str">
        <f t="shared" si="8"/>
        <v>d70 x h75 x bh71</v>
      </c>
      <c r="AL50" s="1" t="str">
        <f t="shared" si="19"/>
        <v>Natural teak indoor</v>
      </c>
      <c r="AM50" s="1" t="str">
        <f t="shared" si="9"/>
        <v>Natural teak indoor</v>
      </c>
      <c r="AN50" s="1" t="str">
        <f>SUBSTITUTE(AL50,"indoor","")</f>
        <v xml:space="preserve">Natural teak </v>
      </c>
      <c r="AO50" s="1" t="s">
        <v>54</v>
      </c>
      <c r="AQ50" s="1" t="str">
        <f t="shared" si="10"/>
        <v>A</v>
      </c>
      <c r="AR50" s="1" t="str">
        <f>VLOOKUP(TRIM(AI50),Sheet1!$D$3:$E$36,2,FALSE)</f>
        <v>01</v>
      </c>
      <c r="AS50" s="90" t="str">
        <f t="shared" si="11"/>
        <v>01</v>
      </c>
      <c r="AT50" s="1" t="str">
        <f t="shared" si="12"/>
        <v>01</v>
      </c>
      <c r="AU50" s="90" t="s">
        <v>55</v>
      </c>
      <c r="AV50" s="90"/>
      <c r="AW50" s="90"/>
      <c r="AX50" s="95" t="str">
        <f>AQ50&amp;AR50&amp;AS50&amp;"-"&amp;AT50&amp;AU50&amp;BA50</f>
        <v>A0101-0110IND</v>
      </c>
      <c r="AY50" s="99" t="str">
        <f>AQ50&amp;AR50&amp;AS50&amp;"-"&amp;AT50&amp;BA50</f>
        <v>A0101-01IND</v>
      </c>
      <c r="AZ50" s="90"/>
      <c r="BA50" s="1" t="str">
        <f t="shared" si="13"/>
        <v>IND</v>
      </c>
      <c r="BC50" s="1">
        <f t="shared" si="25"/>
        <v>1</v>
      </c>
      <c r="BD50" s="90">
        <f t="shared" si="26"/>
        <v>1</v>
      </c>
      <c r="BE50" s="1">
        <f t="shared" si="21"/>
        <v>1</v>
      </c>
      <c r="BF50" s="1">
        <f t="shared" si="22"/>
        <v>1</v>
      </c>
      <c r="BJ50" t="s">
        <v>271</v>
      </c>
      <c r="BK50" s="1">
        <v>3</v>
      </c>
      <c r="BL50"/>
      <c r="BM50" t="str">
        <f t="shared" si="20"/>
        <v>Gamora rectangular-Gamora rectangular-Gamora rectangular-</v>
      </c>
    </row>
    <row r="51" spans="1:65" ht="11.25" customHeight="1">
      <c r="A51" s="26" t="s">
        <v>272</v>
      </c>
      <c r="B51" s="27" t="s">
        <v>266</v>
      </c>
      <c r="C51" s="28">
        <v>919.99</v>
      </c>
      <c r="D51" s="28">
        <f t="shared" si="3"/>
        <v>459.995</v>
      </c>
      <c r="E51" s="22" t="s">
        <v>40</v>
      </c>
      <c r="F51" s="22" t="s">
        <v>273</v>
      </c>
      <c r="G51" s="22" t="s">
        <v>268</v>
      </c>
      <c r="H51" s="22" t="s">
        <v>269</v>
      </c>
      <c r="I51" s="23" t="s">
        <v>58</v>
      </c>
      <c r="J51" s="22" t="s">
        <v>50</v>
      </c>
      <c r="L51" s="23">
        <v>70</v>
      </c>
      <c r="M51" s="23">
        <v>75</v>
      </c>
      <c r="N51" s="3">
        <f t="shared" si="4"/>
        <v>0.36749999999999999</v>
      </c>
      <c r="O51" s="4" t="e">
        <f>(C51-(C51*#REF!))-((C51-(C51*#REF!))*#REF!)</f>
        <v>#REF!</v>
      </c>
      <c r="P51" s="7"/>
      <c r="Q51" s="7"/>
      <c r="R51" s="5">
        <f t="shared" si="5"/>
        <v>0</v>
      </c>
      <c r="S51" s="4">
        <f t="shared" si="6"/>
        <v>0</v>
      </c>
      <c r="T51" s="13">
        <f t="shared" si="7"/>
        <v>643.99299999999994</v>
      </c>
      <c r="U51" s="13">
        <f t="shared" si="17"/>
        <v>321.99649999999997</v>
      </c>
      <c r="V51" s="14">
        <f>U51/C51</f>
        <v>0.35</v>
      </c>
      <c r="W51" s="14"/>
      <c r="X51" s="19">
        <f t="shared" si="0"/>
        <v>321.99649999999997</v>
      </c>
      <c r="Y51" s="19">
        <f t="shared" si="1"/>
        <v>643.99299999999994</v>
      </c>
      <c r="Z51" s="15" t="e">
        <f t="shared" si="23"/>
        <v>#DIV/0!</v>
      </c>
      <c r="AA51" s="22" t="s">
        <v>274</v>
      </c>
      <c r="AG51" s="94" t="s">
        <v>52</v>
      </c>
      <c r="AH51" s="89" t="str">
        <f>VLOOKUP(AG51,Sheet1!$B$3:$D$36,2,FALSE)</f>
        <v>Furniture</v>
      </c>
      <c r="AI51" s="89" t="s">
        <v>53</v>
      </c>
      <c r="AJ51" s="1" t="str">
        <f t="shared" si="24"/>
        <v>Mila round</v>
      </c>
      <c r="AK51" s="1" t="str">
        <f t="shared" si="8"/>
        <v>d70 x h75 x bh71</v>
      </c>
      <c r="AL51" s="1" t="str">
        <f t="shared" si="19"/>
        <v>Natural teak outdoor</v>
      </c>
      <c r="AM51" s="1" t="str">
        <f t="shared" si="9"/>
        <v>Natural teak outdoor</v>
      </c>
      <c r="AN51" s="1" t="str">
        <f>SUBSTITUTE(AL51,"outdoor","")</f>
        <v xml:space="preserve">Natural teak </v>
      </c>
      <c r="AO51" s="1" t="s">
        <v>59</v>
      </c>
      <c r="AQ51" s="1" t="str">
        <f t="shared" si="10"/>
        <v>A</v>
      </c>
      <c r="AR51" s="1" t="str">
        <f>VLOOKUP(TRIM(AI51),Sheet1!$D$3:$E$36,2,FALSE)</f>
        <v>01</v>
      </c>
      <c r="AS51" s="90" t="str">
        <f t="shared" si="11"/>
        <v>02</v>
      </c>
      <c r="AT51" s="1" t="str">
        <f t="shared" si="12"/>
        <v>02</v>
      </c>
      <c r="AU51" s="90" t="s">
        <v>55</v>
      </c>
      <c r="AV51" s="90"/>
      <c r="AW51" s="90"/>
      <c r="AX51" s="95" t="str">
        <f>AQ51&amp;AR51&amp;AS51&amp;"-"&amp;AT51&amp;AU51&amp;BA51</f>
        <v>A0102-0210OUT</v>
      </c>
      <c r="AY51" s="99" t="str">
        <f>AQ51&amp;AR51&amp;AS51&amp;"-"&amp;AT51&amp;BA51</f>
        <v>A0102-02OUT</v>
      </c>
      <c r="AZ51" s="90"/>
      <c r="BA51" s="1" t="str">
        <f t="shared" si="13"/>
        <v>OUT</v>
      </c>
      <c r="BC51" s="1" t="str">
        <f t="shared" si="25"/>
        <v/>
      </c>
      <c r="BD51" s="90">
        <f t="shared" si="26"/>
        <v>2</v>
      </c>
      <c r="BE51" s="1" t="str">
        <f t="shared" si="21"/>
        <v/>
      </c>
      <c r="BF51" s="1">
        <f t="shared" si="22"/>
        <v>2</v>
      </c>
      <c r="BJ51" t="s">
        <v>275</v>
      </c>
      <c r="BK51" s="1">
        <v>2</v>
      </c>
      <c r="BL51"/>
      <c r="BM51" t="str">
        <f t="shared" si="20"/>
        <v>Gamora round-Gamora round-</v>
      </c>
    </row>
    <row r="52" spans="1:65" ht="11.25" customHeight="1">
      <c r="A52" s="26" t="s">
        <v>276</v>
      </c>
      <c r="B52" s="27" t="s">
        <v>266</v>
      </c>
      <c r="C52" s="28">
        <v>939.99</v>
      </c>
      <c r="D52" s="28">
        <f t="shared" si="3"/>
        <v>469.995</v>
      </c>
      <c r="E52" s="22" t="s">
        <v>40</v>
      </c>
      <c r="F52" s="22" t="s">
        <v>277</v>
      </c>
      <c r="G52" s="22" t="s">
        <v>268</v>
      </c>
      <c r="H52" s="22" t="s">
        <v>278</v>
      </c>
      <c r="I52" s="23" t="s">
        <v>49</v>
      </c>
      <c r="J52" s="22" t="s">
        <v>50</v>
      </c>
      <c r="L52" s="23">
        <v>76</v>
      </c>
      <c r="M52" s="23">
        <v>75</v>
      </c>
      <c r="N52" s="3">
        <f t="shared" si="4"/>
        <v>0.43319999999999997</v>
      </c>
      <c r="O52" s="4" t="e">
        <f>(C52-(C52*#REF!))-((C52-(C52*#REF!))*#REF!)</f>
        <v>#REF!</v>
      </c>
      <c r="P52" s="7"/>
      <c r="Q52" s="9"/>
      <c r="R52" s="5">
        <f t="shared" si="5"/>
        <v>0</v>
      </c>
      <c r="S52" s="4">
        <f t="shared" si="6"/>
        <v>0</v>
      </c>
      <c r="T52" s="13">
        <f t="shared" si="7"/>
        <v>657.99299999999994</v>
      </c>
      <c r="U52" s="13">
        <f t="shared" si="17"/>
        <v>328.99649999999997</v>
      </c>
      <c r="V52" s="14">
        <f>U52/C52</f>
        <v>0.35</v>
      </c>
      <c r="W52" s="14"/>
      <c r="X52" s="19">
        <f t="shared" si="0"/>
        <v>328.99649999999997</v>
      </c>
      <c r="Y52" s="19">
        <f t="shared" si="1"/>
        <v>657.99299999999994</v>
      </c>
      <c r="Z52" s="15" t="e">
        <f t="shared" si="23"/>
        <v>#DIV/0!</v>
      </c>
      <c r="AA52" s="22" t="s">
        <v>274</v>
      </c>
      <c r="AG52" s="94" t="s">
        <v>52</v>
      </c>
      <c r="AH52" s="89" t="str">
        <f>VLOOKUP(AG52,Sheet1!$B$3:$D$36,2,FALSE)</f>
        <v>Furniture</v>
      </c>
      <c r="AI52" s="89" t="s">
        <v>53</v>
      </c>
      <c r="AJ52" s="1" t="str">
        <f t="shared" si="24"/>
        <v>Mila round</v>
      </c>
      <c r="AK52" s="1" t="str">
        <f t="shared" si="8"/>
        <v>d76 x h75 x bh71</v>
      </c>
      <c r="AL52" s="1" t="str">
        <f t="shared" si="19"/>
        <v>Natural teak indoor</v>
      </c>
      <c r="AM52" s="1" t="str">
        <f t="shared" si="9"/>
        <v>Natural teak indoor</v>
      </c>
      <c r="AN52" s="1" t="str">
        <f>SUBSTITUTE(AL52,"indoor","")</f>
        <v xml:space="preserve">Natural teak </v>
      </c>
      <c r="AO52" s="1" t="s">
        <v>54</v>
      </c>
      <c r="AQ52" s="1" t="str">
        <f t="shared" si="10"/>
        <v>A</v>
      </c>
      <c r="AR52" s="1" t="str">
        <f>VLOOKUP(TRIM(AI52),Sheet1!$D$3:$E$36,2,FALSE)</f>
        <v>01</v>
      </c>
      <c r="AS52" s="90" t="str">
        <f t="shared" si="11"/>
        <v>03</v>
      </c>
      <c r="AT52" s="1" t="str">
        <f t="shared" si="12"/>
        <v>01</v>
      </c>
      <c r="AU52" s="90" t="s">
        <v>55</v>
      </c>
      <c r="AV52" s="90"/>
      <c r="AW52" s="90"/>
      <c r="AX52" s="95" t="str">
        <f>AQ52&amp;AR52&amp;AS52&amp;"-"&amp;AT52&amp;AU52&amp;BA52</f>
        <v>A0103-0110IND</v>
      </c>
      <c r="AY52" s="99" t="str">
        <f>AQ52&amp;AR52&amp;AS52&amp;"-"&amp;AT52&amp;BA52</f>
        <v>A0103-01IND</v>
      </c>
      <c r="AZ52" s="90"/>
      <c r="BA52" s="1" t="str">
        <f t="shared" si="13"/>
        <v>IND</v>
      </c>
      <c r="BC52" s="1" t="str">
        <f t="shared" si="25"/>
        <v/>
      </c>
      <c r="BD52" s="90">
        <f t="shared" si="26"/>
        <v>3</v>
      </c>
      <c r="BE52" s="1">
        <f t="shared" si="21"/>
        <v>1</v>
      </c>
      <c r="BF52" s="1">
        <f t="shared" si="22"/>
        <v>1</v>
      </c>
      <c r="BJ52" t="s">
        <v>279</v>
      </c>
      <c r="BK52" s="1">
        <v>3</v>
      </c>
      <c r="BL52"/>
      <c r="BM52" t="str">
        <f t="shared" si="20"/>
        <v>Gamora square-Gamora square-Gamora square-</v>
      </c>
    </row>
    <row r="53" spans="1:65" ht="11.25" customHeight="1">
      <c r="A53" s="26" t="s">
        <v>280</v>
      </c>
      <c r="B53" s="27" t="s">
        <v>266</v>
      </c>
      <c r="C53" s="28">
        <v>1089.99</v>
      </c>
      <c r="D53" s="28">
        <f t="shared" si="3"/>
        <v>544.995</v>
      </c>
      <c r="E53" s="22" t="s">
        <v>40</v>
      </c>
      <c r="F53" s="22" t="s">
        <v>281</v>
      </c>
      <c r="G53" s="22" t="s">
        <v>268</v>
      </c>
      <c r="H53" s="22" t="s">
        <v>278</v>
      </c>
      <c r="I53" s="23" t="s">
        <v>58</v>
      </c>
      <c r="J53" s="22" t="s">
        <v>50</v>
      </c>
      <c r="L53" s="23">
        <v>76</v>
      </c>
      <c r="M53" s="23">
        <v>75</v>
      </c>
      <c r="N53" s="3">
        <f t="shared" si="4"/>
        <v>0.43319999999999997</v>
      </c>
      <c r="O53" s="4" t="e">
        <f>(C53-(C53*#REF!))-((C53-(C53*#REF!))*#REF!)</f>
        <v>#REF!</v>
      </c>
      <c r="P53" s="7"/>
      <c r="Q53" s="7"/>
      <c r="R53" s="5">
        <f t="shared" si="5"/>
        <v>0</v>
      </c>
      <c r="S53" s="4">
        <f t="shared" si="6"/>
        <v>0</v>
      </c>
      <c r="T53" s="13">
        <f t="shared" si="7"/>
        <v>762.99299999999994</v>
      </c>
      <c r="U53" s="13">
        <f t="shared" si="17"/>
        <v>381.49649999999997</v>
      </c>
      <c r="V53" s="14">
        <f>U53/C53</f>
        <v>0.35</v>
      </c>
      <c r="W53" s="14"/>
      <c r="X53" s="19">
        <f t="shared" si="0"/>
        <v>381.49649999999997</v>
      </c>
      <c r="Y53" s="19">
        <f t="shared" si="1"/>
        <v>762.99299999999994</v>
      </c>
      <c r="Z53" s="15" t="e">
        <f t="shared" si="23"/>
        <v>#DIV/0!</v>
      </c>
      <c r="AA53" s="22" t="s">
        <v>274</v>
      </c>
      <c r="AG53" s="94" t="s">
        <v>52</v>
      </c>
      <c r="AH53" s="89" t="str">
        <f>VLOOKUP(AG53,Sheet1!$B$3:$D$36,2,FALSE)</f>
        <v>Furniture</v>
      </c>
      <c r="AI53" s="89" t="s">
        <v>53</v>
      </c>
      <c r="AJ53" s="1" t="str">
        <f t="shared" si="24"/>
        <v>Mila round</v>
      </c>
      <c r="AK53" s="1" t="str">
        <f t="shared" si="8"/>
        <v>d76 x h75 x bh71</v>
      </c>
      <c r="AL53" s="1" t="str">
        <f t="shared" si="19"/>
        <v>Natural teak outdoor</v>
      </c>
      <c r="AM53" s="1" t="str">
        <f t="shared" si="9"/>
        <v>Natural teak outdoor</v>
      </c>
      <c r="AN53" s="1" t="str">
        <f>SUBSTITUTE(AL53,"outdoor","")</f>
        <v xml:space="preserve">Natural teak </v>
      </c>
      <c r="AO53" s="1" t="s">
        <v>59</v>
      </c>
      <c r="AQ53" s="1" t="str">
        <f t="shared" si="10"/>
        <v>A</v>
      </c>
      <c r="AR53" s="1" t="str">
        <f>VLOOKUP(TRIM(AI53),Sheet1!$D$3:$E$36,2,FALSE)</f>
        <v>01</v>
      </c>
      <c r="AS53" s="90" t="str">
        <f t="shared" si="11"/>
        <v>04</v>
      </c>
      <c r="AT53" s="1" t="str">
        <f t="shared" si="12"/>
        <v>02</v>
      </c>
      <c r="AU53" s="90" t="s">
        <v>55</v>
      </c>
      <c r="AV53" s="90"/>
      <c r="AW53" s="90"/>
      <c r="AX53" s="95" t="str">
        <f>AQ53&amp;AR53&amp;AS53&amp;"-"&amp;AT53&amp;AU53&amp;BA53</f>
        <v>A0104-0210OUT</v>
      </c>
      <c r="AY53" s="99" t="str">
        <f>AQ53&amp;AR53&amp;AS53&amp;"-"&amp;AT53&amp;BA53</f>
        <v>A0104-02OUT</v>
      </c>
      <c r="AZ53" s="90"/>
      <c r="BA53" s="1" t="str">
        <f t="shared" si="13"/>
        <v>OUT</v>
      </c>
      <c r="BC53" s="1" t="str">
        <f t="shared" si="25"/>
        <v/>
      </c>
      <c r="BD53" s="90">
        <f t="shared" si="26"/>
        <v>4</v>
      </c>
      <c r="BE53" s="1" t="str">
        <f t="shared" si="21"/>
        <v/>
      </c>
      <c r="BF53" s="1">
        <f t="shared" si="22"/>
        <v>2</v>
      </c>
      <c r="BJ53" t="s">
        <v>282</v>
      </c>
      <c r="BK53" s="1">
        <v>3</v>
      </c>
      <c r="BL53"/>
      <c r="BM53" t="str">
        <f t="shared" si="20"/>
        <v>Gani conic-Gani conic-Gani conic-</v>
      </c>
    </row>
    <row r="54" spans="1:65" ht="11.25" customHeight="1">
      <c r="A54" s="26" t="s">
        <v>283</v>
      </c>
      <c r="B54" s="27" t="s">
        <v>266</v>
      </c>
      <c r="C54" s="28">
        <v>1199.99</v>
      </c>
      <c r="D54" s="28">
        <f t="shared" si="3"/>
        <v>599.995</v>
      </c>
      <c r="E54" s="22" t="s">
        <v>40</v>
      </c>
      <c r="F54" s="22" t="s">
        <v>284</v>
      </c>
      <c r="G54" s="22" t="s">
        <v>268</v>
      </c>
      <c r="H54" s="22" t="s">
        <v>80</v>
      </c>
      <c r="I54" s="23" t="s">
        <v>49</v>
      </c>
      <c r="J54" s="22" t="s">
        <v>50</v>
      </c>
      <c r="L54" s="23">
        <v>90</v>
      </c>
      <c r="M54" s="23">
        <v>75</v>
      </c>
      <c r="N54" s="3">
        <f t="shared" si="4"/>
        <v>0.60750000000000004</v>
      </c>
      <c r="O54" s="4" t="e">
        <f>(C54-(C54*#REF!))-((C54-(C54*#REF!))*#REF!)</f>
        <v>#REF!</v>
      </c>
      <c r="P54" s="7"/>
      <c r="Q54" s="7"/>
      <c r="R54" s="5">
        <f t="shared" si="5"/>
        <v>0</v>
      </c>
      <c r="S54" s="4">
        <f t="shared" si="6"/>
        <v>0</v>
      </c>
      <c r="T54" s="13">
        <f t="shared" si="7"/>
        <v>839.99299999999994</v>
      </c>
      <c r="U54" s="13">
        <f t="shared" si="17"/>
        <v>419.99649999999997</v>
      </c>
      <c r="V54" s="14">
        <f>U54/C54</f>
        <v>0.35</v>
      </c>
      <c r="W54" s="14"/>
      <c r="X54" s="19">
        <f t="shared" si="0"/>
        <v>419.99649999999997</v>
      </c>
      <c r="Y54" s="19">
        <f t="shared" si="1"/>
        <v>839.99299999999994</v>
      </c>
      <c r="Z54" s="15" t="e">
        <f t="shared" si="23"/>
        <v>#DIV/0!</v>
      </c>
      <c r="AA54" s="22" t="s">
        <v>274</v>
      </c>
      <c r="AG54" s="94" t="s">
        <v>52</v>
      </c>
      <c r="AH54" s="89" t="str">
        <f>VLOOKUP(AG54,Sheet1!$B$3:$D$36,2,FALSE)</f>
        <v>Furniture</v>
      </c>
      <c r="AI54" s="89" t="s">
        <v>53</v>
      </c>
      <c r="AJ54" s="1" t="str">
        <f t="shared" si="24"/>
        <v>Mila round</v>
      </c>
      <c r="AK54" s="1" t="str">
        <f t="shared" si="8"/>
        <v>d90 x h75 x bh71</v>
      </c>
      <c r="AL54" s="1" t="str">
        <f t="shared" si="19"/>
        <v>Natural teak indoor</v>
      </c>
      <c r="AM54" s="1" t="str">
        <f t="shared" si="9"/>
        <v>Natural teak indoor</v>
      </c>
      <c r="AN54" s="1" t="str">
        <f>SUBSTITUTE(AL54,"indoor","")</f>
        <v xml:space="preserve">Natural teak </v>
      </c>
      <c r="AO54" s="1" t="s">
        <v>54</v>
      </c>
      <c r="AQ54" s="1" t="str">
        <f t="shared" si="10"/>
        <v>A</v>
      </c>
      <c r="AR54" s="1" t="str">
        <f>VLOOKUP(TRIM(AI54),Sheet1!$D$3:$E$36,2,FALSE)</f>
        <v>01</v>
      </c>
      <c r="AS54" s="90" t="str">
        <f t="shared" si="11"/>
        <v>05</v>
      </c>
      <c r="AT54" s="1" t="str">
        <f t="shared" si="12"/>
        <v>01</v>
      </c>
      <c r="AU54" s="90" t="s">
        <v>55</v>
      </c>
      <c r="AV54" s="90"/>
      <c r="AW54" s="90"/>
      <c r="AX54" s="95" t="str">
        <f>AQ54&amp;AR54&amp;AS54&amp;"-"&amp;AT54&amp;AU54&amp;BA54</f>
        <v>A0105-0110IND</v>
      </c>
      <c r="AY54" s="99" t="str">
        <f>AQ54&amp;AR54&amp;AS54&amp;"-"&amp;AT54&amp;BA54</f>
        <v>A0105-01IND</v>
      </c>
      <c r="AZ54" s="90"/>
      <c r="BA54" s="1" t="str">
        <f t="shared" si="13"/>
        <v>IND</v>
      </c>
      <c r="BC54" s="1" t="str">
        <f t="shared" si="25"/>
        <v/>
      </c>
      <c r="BD54" s="90">
        <f t="shared" si="26"/>
        <v>5</v>
      </c>
      <c r="BE54" s="1">
        <f t="shared" si="21"/>
        <v>1</v>
      </c>
      <c r="BF54" s="1">
        <f t="shared" si="22"/>
        <v>1</v>
      </c>
      <c r="BJ54" t="s">
        <v>285</v>
      </c>
      <c r="BK54" s="1">
        <v>3</v>
      </c>
      <c r="BL54"/>
      <c r="BM54" t="str">
        <f t="shared" si="20"/>
        <v>Gani round-Gani round-Gani round-</v>
      </c>
    </row>
    <row r="55" spans="1:65" ht="11.25" customHeight="1">
      <c r="A55" s="26" t="s">
        <v>286</v>
      </c>
      <c r="B55" s="27" t="s">
        <v>266</v>
      </c>
      <c r="C55" s="28">
        <v>1379.99</v>
      </c>
      <c r="D55" s="28">
        <f t="shared" si="3"/>
        <v>689.995</v>
      </c>
      <c r="E55" s="22" t="s">
        <v>40</v>
      </c>
      <c r="F55" s="22" t="s">
        <v>287</v>
      </c>
      <c r="G55" s="22" t="s">
        <v>268</v>
      </c>
      <c r="H55" s="22" t="s">
        <v>80</v>
      </c>
      <c r="I55" s="23" t="s">
        <v>58</v>
      </c>
      <c r="J55" s="22" t="s">
        <v>50</v>
      </c>
      <c r="L55" s="23">
        <v>90</v>
      </c>
      <c r="M55" s="23">
        <v>75</v>
      </c>
      <c r="N55" s="3">
        <f t="shared" si="4"/>
        <v>0.60750000000000004</v>
      </c>
      <c r="O55" s="4" t="e">
        <f>(C55-(C55*#REF!))-((C55-(C55*#REF!))*#REF!)</f>
        <v>#REF!</v>
      </c>
      <c r="P55" s="7"/>
      <c r="Q55" s="7"/>
      <c r="R55" s="5">
        <f t="shared" si="5"/>
        <v>0</v>
      </c>
      <c r="S55" s="4">
        <f t="shared" si="6"/>
        <v>0</v>
      </c>
      <c r="T55" s="13">
        <f t="shared" si="7"/>
        <v>965.99299999999994</v>
      </c>
      <c r="U55" s="13">
        <f t="shared" si="17"/>
        <v>482.99649999999997</v>
      </c>
      <c r="V55" s="14">
        <f>U55/C55</f>
        <v>0.35</v>
      </c>
      <c r="W55" s="14"/>
      <c r="X55" s="19">
        <f t="shared" si="0"/>
        <v>482.99649999999997</v>
      </c>
      <c r="Y55" s="19">
        <f t="shared" si="1"/>
        <v>965.99299999999994</v>
      </c>
      <c r="Z55" s="15" t="e">
        <f t="shared" si="23"/>
        <v>#DIV/0!</v>
      </c>
      <c r="AA55" s="22" t="s">
        <v>274</v>
      </c>
      <c r="AG55" s="94" t="s">
        <v>52</v>
      </c>
      <c r="AH55" s="89" t="str">
        <f>VLOOKUP(AG55,Sheet1!$B$3:$D$36,2,FALSE)</f>
        <v>Furniture</v>
      </c>
      <c r="AI55" s="89" t="s">
        <v>53</v>
      </c>
      <c r="AJ55" s="1" t="str">
        <f t="shared" si="24"/>
        <v>Mila round</v>
      </c>
      <c r="AK55" s="1" t="str">
        <f t="shared" si="8"/>
        <v>d90 x h75 x bh71</v>
      </c>
      <c r="AL55" s="1" t="str">
        <f t="shared" si="19"/>
        <v>Natural teak outdoor</v>
      </c>
      <c r="AM55" s="1" t="str">
        <f t="shared" si="9"/>
        <v>Natural teak outdoor</v>
      </c>
      <c r="AN55" s="1" t="str">
        <f>SUBSTITUTE(AL55,"outdoor","")</f>
        <v xml:space="preserve">Natural teak </v>
      </c>
      <c r="AO55" s="1" t="s">
        <v>59</v>
      </c>
      <c r="AQ55" s="1" t="str">
        <f t="shared" si="10"/>
        <v>A</v>
      </c>
      <c r="AR55" s="1" t="str">
        <f>VLOOKUP(TRIM(AI55),Sheet1!$D$3:$E$36,2,FALSE)</f>
        <v>01</v>
      </c>
      <c r="AS55" s="90" t="str">
        <f t="shared" si="11"/>
        <v>06</v>
      </c>
      <c r="AT55" s="1" t="str">
        <f t="shared" si="12"/>
        <v>02</v>
      </c>
      <c r="AU55" s="90" t="s">
        <v>55</v>
      </c>
      <c r="AV55" s="90"/>
      <c r="AW55" s="90"/>
      <c r="AX55" s="95" t="str">
        <f>AQ55&amp;AR55&amp;AS55&amp;"-"&amp;AT55&amp;AU55&amp;BA55</f>
        <v>A0106-0210OUT</v>
      </c>
      <c r="AY55" s="99" t="str">
        <f>AQ55&amp;AR55&amp;AS55&amp;"-"&amp;AT55&amp;BA55</f>
        <v>A0106-02OUT</v>
      </c>
      <c r="AZ55" s="90"/>
      <c r="BA55" s="1" t="str">
        <f t="shared" si="13"/>
        <v>OUT</v>
      </c>
      <c r="BC55" s="1" t="str">
        <f t="shared" si="25"/>
        <v/>
      </c>
      <c r="BD55" s="90">
        <f t="shared" si="26"/>
        <v>6</v>
      </c>
      <c r="BE55" s="1" t="str">
        <f t="shared" si="21"/>
        <v/>
      </c>
      <c r="BF55" s="1">
        <f t="shared" si="22"/>
        <v>2</v>
      </c>
      <c r="BJ55" t="s">
        <v>288</v>
      </c>
      <c r="BK55" s="1">
        <v>2</v>
      </c>
      <c r="BL55"/>
      <c r="BM55" t="str">
        <f t="shared" si="20"/>
        <v>Giethoorn square bar-Giethoorn square bar-</v>
      </c>
    </row>
    <row r="56" spans="1:65" ht="11.25" customHeight="1">
      <c r="A56" s="26" t="s">
        <v>289</v>
      </c>
      <c r="B56" s="27" t="s">
        <v>266</v>
      </c>
      <c r="C56" s="28">
        <v>1369.99</v>
      </c>
      <c r="D56" s="28">
        <f t="shared" si="3"/>
        <v>684.995</v>
      </c>
      <c r="E56" s="22" t="s">
        <v>40</v>
      </c>
      <c r="F56" s="22" t="s">
        <v>290</v>
      </c>
      <c r="G56" s="22" t="s">
        <v>268</v>
      </c>
      <c r="H56" s="22" t="s">
        <v>291</v>
      </c>
      <c r="I56" s="23" t="s">
        <v>49</v>
      </c>
      <c r="J56" s="22" t="s">
        <v>50</v>
      </c>
      <c r="L56" s="23">
        <v>101</v>
      </c>
      <c r="M56" s="23">
        <v>75</v>
      </c>
      <c r="N56" s="3">
        <f t="shared" si="4"/>
        <v>0.76507499999999995</v>
      </c>
      <c r="O56" s="4" t="e">
        <f>(C56-(C56*#REF!))-((C56-(C56*#REF!))*#REF!)</f>
        <v>#REF!</v>
      </c>
      <c r="P56" s="7"/>
      <c r="Q56" s="7"/>
      <c r="R56" s="5">
        <f t="shared" si="5"/>
        <v>0</v>
      </c>
      <c r="S56" s="4">
        <f t="shared" si="6"/>
        <v>0</v>
      </c>
      <c r="T56" s="13">
        <f t="shared" si="7"/>
        <v>958.99299999999994</v>
      </c>
      <c r="U56" s="13">
        <f t="shared" si="17"/>
        <v>479.49649999999997</v>
      </c>
      <c r="V56" s="14">
        <f>U56/C56</f>
        <v>0.35</v>
      </c>
      <c r="W56" s="14"/>
      <c r="X56" s="19">
        <f t="shared" si="0"/>
        <v>479.49649999999997</v>
      </c>
      <c r="Y56" s="19">
        <f t="shared" si="1"/>
        <v>958.99299999999994</v>
      </c>
      <c r="Z56" s="15" t="e">
        <f t="shared" si="23"/>
        <v>#DIV/0!</v>
      </c>
      <c r="AA56" s="22" t="s">
        <v>292</v>
      </c>
      <c r="AG56" s="94" t="s">
        <v>52</v>
      </c>
      <c r="AH56" s="89" t="str">
        <f>VLOOKUP(AG56,Sheet1!$B$3:$D$36,2,FALSE)</f>
        <v>Furniture</v>
      </c>
      <c r="AI56" s="89" t="s">
        <v>53</v>
      </c>
      <c r="AJ56" s="1" t="str">
        <f t="shared" si="24"/>
        <v>Mila round</v>
      </c>
      <c r="AK56" s="1" t="str">
        <f t="shared" si="8"/>
        <v>d101 x h75 x bh71</v>
      </c>
      <c r="AL56" s="1" t="str">
        <f t="shared" si="19"/>
        <v>Natural teak indoor</v>
      </c>
      <c r="AM56" s="1" t="str">
        <f t="shared" si="9"/>
        <v>Natural teak indoor</v>
      </c>
      <c r="AN56" s="1" t="str">
        <f>SUBSTITUTE(AL56,"indoor","")</f>
        <v xml:space="preserve">Natural teak </v>
      </c>
      <c r="AO56" s="1" t="s">
        <v>54</v>
      </c>
      <c r="AQ56" s="1" t="str">
        <f t="shared" si="10"/>
        <v>A</v>
      </c>
      <c r="AR56" s="1" t="str">
        <f>VLOOKUP(TRIM(AI56),Sheet1!$D$3:$E$36,2,FALSE)</f>
        <v>01</v>
      </c>
      <c r="AS56" s="90" t="str">
        <f t="shared" si="11"/>
        <v>07</v>
      </c>
      <c r="AT56" s="1" t="str">
        <f t="shared" si="12"/>
        <v>01</v>
      </c>
      <c r="AU56" s="90" t="s">
        <v>55</v>
      </c>
      <c r="AV56" s="90"/>
      <c r="AW56" s="90"/>
      <c r="AX56" s="95" t="str">
        <f>AQ56&amp;AR56&amp;AS56&amp;"-"&amp;AT56&amp;AU56&amp;BA56</f>
        <v>A0107-0110IND</v>
      </c>
      <c r="AY56" s="99" t="str">
        <f>AQ56&amp;AR56&amp;AS56&amp;"-"&amp;AT56&amp;BA56</f>
        <v>A0107-01IND</v>
      </c>
      <c r="AZ56" s="90"/>
      <c r="BA56" s="1" t="str">
        <f t="shared" si="13"/>
        <v>IND</v>
      </c>
      <c r="BC56" s="1" t="str">
        <f t="shared" si="25"/>
        <v/>
      </c>
      <c r="BD56" s="90">
        <f t="shared" si="26"/>
        <v>7</v>
      </c>
      <c r="BE56" s="1">
        <f t="shared" si="21"/>
        <v>1</v>
      </c>
      <c r="BF56" s="1">
        <f t="shared" si="22"/>
        <v>1</v>
      </c>
      <c r="BJ56" t="s">
        <v>293</v>
      </c>
      <c r="BK56" s="1">
        <v>2</v>
      </c>
      <c r="BL56"/>
      <c r="BM56" t="str">
        <f t="shared" si="20"/>
        <v>Gimmelwald round bar 4L-Gimmelwald round bar 4L-</v>
      </c>
    </row>
    <row r="57" spans="1:65" ht="11.25" customHeight="1">
      <c r="A57" s="26" t="s">
        <v>294</v>
      </c>
      <c r="B57" s="27" t="s">
        <v>266</v>
      </c>
      <c r="C57" s="28">
        <v>1439.99</v>
      </c>
      <c r="D57" s="28">
        <f t="shared" si="3"/>
        <v>719.995</v>
      </c>
      <c r="E57" s="22" t="s">
        <v>40</v>
      </c>
      <c r="F57" s="22" t="s">
        <v>295</v>
      </c>
      <c r="G57" s="22" t="s">
        <v>268</v>
      </c>
      <c r="H57" s="22" t="s">
        <v>291</v>
      </c>
      <c r="I57" s="23" t="s">
        <v>58</v>
      </c>
      <c r="J57" s="22" t="s">
        <v>50</v>
      </c>
      <c r="L57" s="23">
        <v>101</v>
      </c>
      <c r="M57" s="23">
        <v>75</v>
      </c>
      <c r="N57" s="3">
        <f t="shared" si="4"/>
        <v>0.76507499999999995</v>
      </c>
      <c r="O57" s="4" t="e">
        <f>(C57-(C57*#REF!))-((C57-(C57*#REF!))*#REF!)</f>
        <v>#REF!</v>
      </c>
      <c r="P57" s="7"/>
      <c r="Q57" s="7"/>
      <c r="R57" s="5">
        <f t="shared" si="5"/>
        <v>0</v>
      </c>
      <c r="S57" s="4">
        <f t="shared" si="6"/>
        <v>0</v>
      </c>
      <c r="T57" s="13">
        <f t="shared" si="7"/>
        <v>1007.9929999999999</v>
      </c>
      <c r="U57" s="13">
        <f t="shared" si="17"/>
        <v>503.99649999999997</v>
      </c>
      <c r="V57" s="14">
        <f>U57/C57</f>
        <v>0.35</v>
      </c>
      <c r="W57" s="14"/>
      <c r="X57" s="19">
        <f t="shared" si="0"/>
        <v>503.99649999999997</v>
      </c>
      <c r="Y57" s="19">
        <f t="shared" si="1"/>
        <v>1007.9929999999999</v>
      </c>
      <c r="Z57" s="15" t="e">
        <f t="shared" si="23"/>
        <v>#DIV/0!</v>
      </c>
      <c r="AA57" s="22" t="s">
        <v>270</v>
      </c>
      <c r="AG57" s="94" t="s">
        <v>52</v>
      </c>
      <c r="AH57" s="89" t="str">
        <f>VLOOKUP(AG57,Sheet1!$B$3:$D$36,2,FALSE)</f>
        <v>Furniture</v>
      </c>
      <c r="AI57" s="89" t="s">
        <v>53</v>
      </c>
      <c r="AJ57" s="1" t="str">
        <f t="shared" si="24"/>
        <v>Mila round</v>
      </c>
      <c r="AK57" s="1" t="str">
        <f t="shared" si="8"/>
        <v>d101 x h75 x bh71</v>
      </c>
      <c r="AL57" s="1" t="str">
        <f t="shared" si="19"/>
        <v>Natural teak outdoor</v>
      </c>
      <c r="AM57" s="1" t="str">
        <f t="shared" si="9"/>
        <v>Natural teak outdoor</v>
      </c>
      <c r="AN57" s="1" t="str">
        <f>SUBSTITUTE(AL57,"outdoor","")</f>
        <v xml:space="preserve">Natural teak </v>
      </c>
      <c r="AO57" s="1" t="s">
        <v>59</v>
      </c>
      <c r="AQ57" s="1" t="str">
        <f t="shared" si="10"/>
        <v>A</v>
      </c>
      <c r="AR57" s="1" t="str">
        <f>VLOOKUP(TRIM(AI57),Sheet1!$D$3:$E$36,2,FALSE)</f>
        <v>01</v>
      </c>
      <c r="AS57" s="90" t="str">
        <f t="shared" si="11"/>
        <v>08</v>
      </c>
      <c r="AT57" s="1" t="str">
        <f t="shared" si="12"/>
        <v>02</v>
      </c>
      <c r="AU57" s="90" t="s">
        <v>55</v>
      </c>
      <c r="AV57" s="90"/>
      <c r="AW57" s="90"/>
      <c r="AX57" s="95" t="str">
        <f>AQ57&amp;AR57&amp;AS57&amp;"-"&amp;AT57&amp;AU57&amp;BA57</f>
        <v>A0108-0210OUT</v>
      </c>
      <c r="AY57" s="99" t="str">
        <f>AQ57&amp;AR57&amp;AS57&amp;"-"&amp;AT57&amp;BA57</f>
        <v>A0108-02OUT</v>
      </c>
      <c r="AZ57" s="90"/>
      <c r="BA57" s="1" t="str">
        <f t="shared" si="13"/>
        <v>OUT</v>
      </c>
      <c r="BC57" s="1" t="str">
        <f t="shared" si="25"/>
        <v/>
      </c>
      <c r="BD57" s="90">
        <f t="shared" si="26"/>
        <v>8</v>
      </c>
      <c r="BE57" s="1" t="str">
        <f t="shared" si="21"/>
        <v/>
      </c>
      <c r="BF57" s="1">
        <f t="shared" si="22"/>
        <v>2</v>
      </c>
      <c r="BJ57" t="s">
        <v>296</v>
      </c>
      <c r="BK57" s="1">
        <v>4</v>
      </c>
      <c r="BL57"/>
      <c r="BM57" t="str">
        <f t="shared" si="20"/>
        <v>Grany plate-Grany plate-Grany plate-Grany plate-</v>
      </c>
    </row>
    <row r="58" spans="1:65" ht="11.25" customHeight="1">
      <c r="A58" s="26" t="s">
        <v>297</v>
      </c>
      <c r="B58" s="27" t="s">
        <v>266</v>
      </c>
      <c r="C58" s="28">
        <v>1919.99</v>
      </c>
      <c r="D58" s="28">
        <f t="shared" si="3"/>
        <v>959.995</v>
      </c>
      <c r="E58" s="22" t="s">
        <v>40</v>
      </c>
      <c r="F58" s="22" t="s">
        <v>298</v>
      </c>
      <c r="G58" s="22" t="s">
        <v>268</v>
      </c>
      <c r="H58" s="22" t="s">
        <v>299</v>
      </c>
      <c r="I58" s="23" t="s">
        <v>49</v>
      </c>
      <c r="J58" s="22" t="s">
        <v>50</v>
      </c>
      <c r="L58" s="23">
        <v>130</v>
      </c>
      <c r="M58" s="23">
        <v>75</v>
      </c>
      <c r="N58" s="3">
        <f t="shared" si="4"/>
        <v>1.2675000000000001</v>
      </c>
      <c r="O58" s="4" t="e">
        <f>(C58-(C58*#REF!))-((C58-(C58*#REF!))*#REF!)</f>
        <v>#REF!</v>
      </c>
      <c r="P58" s="7"/>
      <c r="Q58" s="7"/>
      <c r="R58" s="5">
        <f t="shared" si="5"/>
        <v>0</v>
      </c>
      <c r="S58" s="4">
        <f t="shared" si="6"/>
        <v>0</v>
      </c>
      <c r="T58" s="13">
        <f t="shared" si="7"/>
        <v>1343.9929999999999</v>
      </c>
      <c r="U58" s="13">
        <f t="shared" si="17"/>
        <v>671.99649999999997</v>
      </c>
      <c r="V58" s="14">
        <f>U58/C58</f>
        <v>0.35</v>
      </c>
      <c r="W58" s="14"/>
      <c r="X58" s="19">
        <f t="shared" si="0"/>
        <v>671.99649999999997</v>
      </c>
      <c r="Y58" s="19">
        <f t="shared" si="1"/>
        <v>1343.9929999999999</v>
      </c>
      <c r="Z58" s="15" t="e">
        <f t="shared" si="23"/>
        <v>#DIV/0!</v>
      </c>
      <c r="AA58" s="22" t="s">
        <v>300</v>
      </c>
      <c r="AG58" s="94" t="s">
        <v>52</v>
      </c>
      <c r="AH58" s="89" t="str">
        <f>VLOOKUP(AG58,Sheet1!$B$3:$D$36,2,FALSE)</f>
        <v>Furniture</v>
      </c>
      <c r="AI58" s="89" t="s">
        <v>53</v>
      </c>
      <c r="AJ58" s="1" t="str">
        <f t="shared" si="24"/>
        <v>Mila round</v>
      </c>
      <c r="AK58" s="1" t="str">
        <f t="shared" si="8"/>
        <v>d130 x h75 x bh71</v>
      </c>
      <c r="AL58" s="1" t="str">
        <f t="shared" si="19"/>
        <v>Natural teak indoor</v>
      </c>
      <c r="AM58" s="1" t="str">
        <f t="shared" si="9"/>
        <v>Natural teak indoor</v>
      </c>
      <c r="AN58" s="1" t="str">
        <f>SUBSTITUTE(AL58,"indoor","")</f>
        <v xml:space="preserve">Natural teak </v>
      </c>
      <c r="AO58" s="1" t="s">
        <v>54</v>
      </c>
      <c r="AQ58" s="1" t="str">
        <f t="shared" si="10"/>
        <v>A</v>
      </c>
      <c r="AR58" s="1" t="str">
        <f>VLOOKUP(TRIM(AI58),Sheet1!$D$3:$E$36,2,FALSE)</f>
        <v>01</v>
      </c>
      <c r="AS58" s="90" t="str">
        <f t="shared" si="11"/>
        <v>09</v>
      </c>
      <c r="AT58" s="1" t="str">
        <f t="shared" si="12"/>
        <v>01</v>
      </c>
      <c r="AU58" s="90" t="s">
        <v>55</v>
      </c>
      <c r="AV58" s="90"/>
      <c r="AW58" s="90"/>
      <c r="AX58" s="95" t="str">
        <f>AQ58&amp;AR58&amp;AS58&amp;"-"&amp;AT58&amp;AU58&amp;BA58</f>
        <v>A0109-0110IND</v>
      </c>
      <c r="AY58" s="99" t="str">
        <f>AQ58&amp;AR58&amp;AS58&amp;"-"&amp;AT58&amp;BA58</f>
        <v>A0109-01IND</v>
      </c>
      <c r="AZ58" s="90"/>
      <c r="BA58" s="1" t="str">
        <f t="shared" si="13"/>
        <v>IND</v>
      </c>
      <c r="BC58" s="1" t="str">
        <f t="shared" si="25"/>
        <v/>
      </c>
      <c r="BD58" s="90">
        <f t="shared" si="26"/>
        <v>9</v>
      </c>
      <c r="BE58" s="1">
        <f t="shared" si="21"/>
        <v>1</v>
      </c>
      <c r="BF58" s="1">
        <f t="shared" si="22"/>
        <v>1</v>
      </c>
      <c r="BJ58" t="s">
        <v>301</v>
      </c>
      <c r="BK58" s="1">
        <v>5</v>
      </c>
      <c r="BL58"/>
      <c r="BM58" t="str">
        <f t="shared" si="20"/>
        <v>Gresconi-Gresconi-Gresconi-Gresconi-Gresconi-</v>
      </c>
    </row>
    <row r="59" spans="1:65" ht="11.25" customHeight="1">
      <c r="A59" s="26" t="s">
        <v>302</v>
      </c>
      <c r="B59" s="27" t="s">
        <v>266</v>
      </c>
      <c r="C59" s="28">
        <v>2069.9899999999998</v>
      </c>
      <c r="D59" s="28">
        <f t="shared" si="3"/>
        <v>1034.9949999999999</v>
      </c>
      <c r="E59" s="22" t="s">
        <v>40</v>
      </c>
      <c r="F59" s="22" t="s">
        <v>303</v>
      </c>
      <c r="G59" s="22" t="s">
        <v>268</v>
      </c>
      <c r="H59" s="22" t="s">
        <v>299</v>
      </c>
      <c r="I59" s="23" t="s">
        <v>58</v>
      </c>
      <c r="J59" s="22" t="s">
        <v>50</v>
      </c>
      <c r="L59" s="23">
        <v>130</v>
      </c>
      <c r="M59" s="23">
        <v>75</v>
      </c>
      <c r="N59" s="3">
        <f t="shared" si="4"/>
        <v>1.2675000000000001</v>
      </c>
      <c r="O59" s="4" t="e">
        <f>(C59-(C59*#REF!))-((C59-(C59*#REF!))*#REF!)</f>
        <v>#REF!</v>
      </c>
      <c r="P59" s="7"/>
      <c r="Q59" s="7"/>
      <c r="R59" s="5">
        <f t="shared" si="5"/>
        <v>0</v>
      </c>
      <c r="S59" s="4">
        <f t="shared" si="6"/>
        <v>0</v>
      </c>
      <c r="T59" s="13">
        <f t="shared" si="7"/>
        <v>1448.9929999999999</v>
      </c>
      <c r="U59" s="13">
        <f t="shared" si="17"/>
        <v>724.49649999999997</v>
      </c>
      <c r="V59" s="14">
        <f>U59/C59</f>
        <v>0.35000000000000003</v>
      </c>
      <c r="W59" s="14"/>
      <c r="X59" s="19">
        <f t="shared" si="0"/>
        <v>724.49649999999997</v>
      </c>
      <c r="Y59" s="19">
        <f t="shared" si="1"/>
        <v>1448.9929999999999</v>
      </c>
      <c r="Z59" s="15" t="e">
        <f t="shared" si="23"/>
        <v>#DIV/0!</v>
      </c>
      <c r="AA59" s="22" t="s">
        <v>300</v>
      </c>
      <c r="AG59" s="94" t="s">
        <v>52</v>
      </c>
      <c r="AH59" s="89" t="str">
        <f>VLOOKUP(AG59,Sheet1!$B$3:$D$36,2,FALSE)</f>
        <v>Furniture</v>
      </c>
      <c r="AI59" s="89" t="s">
        <v>53</v>
      </c>
      <c r="AJ59" s="1" t="str">
        <f t="shared" si="24"/>
        <v>Mila round</v>
      </c>
      <c r="AK59" s="1" t="str">
        <f t="shared" si="8"/>
        <v>d130 x h75 x bh71</v>
      </c>
      <c r="AL59" s="1" t="str">
        <f t="shared" si="19"/>
        <v>Natural teak outdoor</v>
      </c>
      <c r="AM59" s="1" t="str">
        <f t="shared" si="9"/>
        <v>Natural teak outdoor</v>
      </c>
      <c r="AN59" s="1" t="str">
        <f>SUBSTITUTE(AL59,"outdoor","")</f>
        <v xml:space="preserve">Natural teak </v>
      </c>
      <c r="AO59" s="1" t="s">
        <v>59</v>
      </c>
      <c r="AQ59" s="1" t="str">
        <f t="shared" si="10"/>
        <v>A</v>
      </c>
      <c r="AR59" s="1" t="str">
        <f>VLOOKUP(TRIM(AI59),Sheet1!$D$3:$E$36,2,FALSE)</f>
        <v>01</v>
      </c>
      <c r="AS59" s="90">
        <f t="shared" si="11"/>
        <v>10</v>
      </c>
      <c r="AT59" s="1" t="str">
        <f t="shared" si="12"/>
        <v>02</v>
      </c>
      <c r="AU59" s="90" t="s">
        <v>55</v>
      </c>
      <c r="AV59" s="90"/>
      <c r="AW59" s="90"/>
      <c r="AX59" s="95" t="str">
        <f>AQ59&amp;AR59&amp;AS59&amp;"-"&amp;AT59&amp;AU59&amp;BA59</f>
        <v>A0110-0210OUT</v>
      </c>
      <c r="AY59" s="99" t="str">
        <f>AQ59&amp;AR59&amp;AS59&amp;"-"&amp;AT59&amp;BA59</f>
        <v>A0110-02OUT</v>
      </c>
      <c r="AZ59" s="90"/>
      <c r="BA59" s="1" t="str">
        <f t="shared" si="13"/>
        <v>OUT</v>
      </c>
      <c r="BC59" s="1" t="str">
        <f t="shared" si="25"/>
        <v/>
      </c>
      <c r="BD59" s="90">
        <f t="shared" si="26"/>
        <v>10</v>
      </c>
      <c r="BE59" s="1" t="str">
        <f t="shared" si="21"/>
        <v/>
      </c>
      <c r="BF59" s="1">
        <f t="shared" si="22"/>
        <v>2</v>
      </c>
      <c r="BJ59" t="s">
        <v>304</v>
      </c>
      <c r="BK59" s="1">
        <v>3</v>
      </c>
      <c r="BL59"/>
      <c r="BM59" t="str">
        <f t="shared" si="20"/>
        <v>Greta-Greta-Greta-</v>
      </c>
    </row>
    <row r="60" spans="1:65" ht="11.25" customHeight="1">
      <c r="A60" s="26" t="s">
        <v>305</v>
      </c>
      <c r="B60" s="27" t="s">
        <v>306</v>
      </c>
      <c r="C60" s="28">
        <v>959.99</v>
      </c>
      <c r="D60" s="28">
        <f t="shared" si="3"/>
        <v>479.995</v>
      </c>
      <c r="E60" s="22" t="s">
        <v>40</v>
      </c>
      <c r="F60" s="22" t="s">
        <v>307</v>
      </c>
      <c r="G60" s="22" t="s">
        <v>308</v>
      </c>
      <c r="H60" s="22" t="s">
        <v>309</v>
      </c>
      <c r="I60" s="23" t="s">
        <v>49</v>
      </c>
      <c r="J60" s="22" t="s">
        <v>50</v>
      </c>
      <c r="K60" s="23">
        <v>70</v>
      </c>
      <c r="L60" s="23">
        <v>70</v>
      </c>
      <c r="M60" s="23">
        <v>75</v>
      </c>
      <c r="N60" s="3">
        <f t="shared" si="4"/>
        <v>0.36749999999999999</v>
      </c>
      <c r="O60" s="4" t="e">
        <f>(C60-(C60*#REF!))-((C60-(C60*#REF!))*#REF!)</f>
        <v>#REF!</v>
      </c>
      <c r="P60" s="7">
        <v>1678534.4517893551</v>
      </c>
      <c r="Q60" s="7">
        <v>0</v>
      </c>
      <c r="R60" s="5">
        <f t="shared" si="5"/>
        <v>1678534.4517893551</v>
      </c>
      <c r="S60" s="4">
        <f t="shared" si="6"/>
        <v>111.90229678595701</v>
      </c>
      <c r="T60" s="13">
        <f t="shared" si="7"/>
        <v>671.99299999999994</v>
      </c>
      <c r="U60" s="13">
        <f t="shared" si="17"/>
        <v>335.99649999999997</v>
      </c>
      <c r="V60" s="14">
        <f>U60/C60</f>
        <v>0.35</v>
      </c>
      <c r="W60" s="14"/>
      <c r="X60" s="19">
        <f t="shared" si="0"/>
        <v>335.99649999999997</v>
      </c>
      <c r="Y60" s="19">
        <f t="shared" si="1"/>
        <v>671.99299999999994</v>
      </c>
      <c r="Z60" s="15">
        <f t="shared" si="23"/>
        <v>3.0025880580689321</v>
      </c>
      <c r="AA60" s="22" t="s">
        <v>310</v>
      </c>
      <c r="AG60" s="94" t="s">
        <v>52</v>
      </c>
      <c r="AH60" s="89" t="str">
        <f>VLOOKUP(AG60,Sheet1!$B$3:$D$36,2,FALSE)</f>
        <v>Furniture</v>
      </c>
      <c r="AI60" s="89" t="s">
        <v>53</v>
      </c>
      <c r="AJ60" s="1" t="str">
        <f t="shared" si="24"/>
        <v>Mila square</v>
      </c>
      <c r="AK60" s="1" t="str">
        <f t="shared" si="8"/>
        <v>w70 x d70 x h75 x bh71</v>
      </c>
      <c r="AL60" s="1" t="str">
        <f t="shared" si="19"/>
        <v>Natural teak indoor</v>
      </c>
      <c r="AM60" s="1" t="str">
        <f t="shared" si="9"/>
        <v>Natural teak indoor</v>
      </c>
      <c r="AN60" s="1" t="str">
        <f>SUBSTITUTE(AL60,"indoor","")</f>
        <v xml:space="preserve">Natural teak </v>
      </c>
      <c r="AO60" s="1" t="s">
        <v>54</v>
      </c>
      <c r="AQ60" s="1" t="str">
        <f t="shared" si="10"/>
        <v>A</v>
      </c>
      <c r="AR60" s="1" t="str">
        <f>VLOOKUP(TRIM(AI60),Sheet1!$D$3:$E$36,2,FALSE)</f>
        <v>01</v>
      </c>
      <c r="AS60" s="90" t="str">
        <f t="shared" si="11"/>
        <v>01</v>
      </c>
      <c r="AT60" s="1" t="str">
        <f t="shared" si="12"/>
        <v>01</v>
      </c>
      <c r="AU60" s="90" t="s">
        <v>55</v>
      </c>
      <c r="AV60" s="90"/>
      <c r="AW60" s="90"/>
      <c r="AX60" s="95" t="str">
        <f>AQ60&amp;AR60&amp;AS60&amp;"-"&amp;AT60&amp;AU60&amp;BA60</f>
        <v>A0101-0110IND</v>
      </c>
      <c r="AY60" s="99" t="str">
        <f>AQ60&amp;AR60&amp;AS60&amp;"-"&amp;AT60&amp;BA60</f>
        <v>A0101-01IND</v>
      </c>
      <c r="AZ60" s="90"/>
      <c r="BA60" s="1" t="str">
        <f t="shared" si="13"/>
        <v>IND</v>
      </c>
      <c r="BC60" s="1">
        <f t="shared" si="25"/>
        <v>1</v>
      </c>
      <c r="BD60" s="90">
        <f t="shared" si="26"/>
        <v>1</v>
      </c>
      <c r="BE60" s="1">
        <f t="shared" si="21"/>
        <v>1</v>
      </c>
      <c r="BF60" s="1">
        <f t="shared" si="22"/>
        <v>1</v>
      </c>
      <c r="BJ60" t="s">
        <v>311</v>
      </c>
      <c r="BK60" s="1">
        <v>2</v>
      </c>
      <c r="BL60"/>
      <c r="BM60" t="str">
        <f t="shared" si="20"/>
        <v>Greta carafe-Greta carafe-</v>
      </c>
    </row>
    <row r="61" spans="1:65" ht="11.25" customHeight="1">
      <c r="A61" s="26" t="s">
        <v>312</v>
      </c>
      <c r="B61" s="27" t="s">
        <v>306</v>
      </c>
      <c r="C61" s="28">
        <v>1019.99</v>
      </c>
      <c r="D61" s="28">
        <f t="shared" si="3"/>
        <v>509.995</v>
      </c>
      <c r="E61" s="22" t="s">
        <v>40</v>
      </c>
      <c r="F61" s="22" t="s">
        <v>313</v>
      </c>
      <c r="G61" s="22" t="s">
        <v>308</v>
      </c>
      <c r="H61" s="22" t="s">
        <v>309</v>
      </c>
      <c r="I61" s="23" t="s">
        <v>58</v>
      </c>
      <c r="J61" s="22" t="s">
        <v>50</v>
      </c>
      <c r="K61" s="23">
        <v>70</v>
      </c>
      <c r="L61" s="23">
        <v>70</v>
      </c>
      <c r="M61" s="23">
        <v>75</v>
      </c>
      <c r="N61" s="3">
        <f t="shared" si="4"/>
        <v>0.36749999999999999</v>
      </c>
      <c r="O61" s="4" t="e">
        <f>(C61-(C61*#REF!))-((C61-(C61*#REF!))*#REF!)</f>
        <v>#REF!</v>
      </c>
      <c r="P61" s="7">
        <v>1626327.5433634294</v>
      </c>
      <c r="Q61" s="7">
        <v>0</v>
      </c>
      <c r="R61" s="5">
        <f t="shared" si="5"/>
        <v>1626327.5433634294</v>
      </c>
      <c r="S61" s="4">
        <f t="shared" si="6"/>
        <v>108.42183622422863</v>
      </c>
      <c r="T61" s="13">
        <f t="shared" si="7"/>
        <v>713.99299999999994</v>
      </c>
      <c r="U61" s="13">
        <f t="shared" si="17"/>
        <v>356.99649999999997</v>
      </c>
      <c r="V61" s="14">
        <f>U61/C61</f>
        <v>0.35</v>
      </c>
      <c r="W61" s="14"/>
      <c r="X61" s="19">
        <f t="shared" si="0"/>
        <v>356.99649999999997</v>
      </c>
      <c r="Y61" s="19">
        <f t="shared" si="1"/>
        <v>713.99299999999994</v>
      </c>
      <c r="Z61" s="15">
        <f t="shared" si="23"/>
        <v>3.2926623679540974</v>
      </c>
      <c r="AA61" s="22" t="s">
        <v>314</v>
      </c>
      <c r="AG61" s="94" t="s">
        <v>52</v>
      </c>
      <c r="AH61" s="89" t="str">
        <f>VLOOKUP(AG61,Sheet1!$B$3:$D$36,2,FALSE)</f>
        <v>Furniture</v>
      </c>
      <c r="AI61" s="89" t="s">
        <v>53</v>
      </c>
      <c r="AJ61" s="1" t="str">
        <f t="shared" si="24"/>
        <v>Mila square</v>
      </c>
      <c r="AK61" s="1" t="str">
        <f t="shared" si="8"/>
        <v>w70 x d70 x h75 x bh71</v>
      </c>
      <c r="AL61" s="1" t="str">
        <f t="shared" si="19"/>
        <v>Natural teak outdoor</v>
      </c>
      <c r="AM61" s="1" t="str">
        <f t="shared" si="9"/>
        <v>Natural teak outdoor</v>
      </c>
      <c r="AN61" s="1" t="str">
        <f>SUBSTITUTE(AL61,"outdoor","")</f>
        <v xml:space="preserve">Natural teak </v>
      </c>
      <c r="AO61" s="1" t="s">
        <v>59</v>
      </c>
      <c r="AQ61" s="1" t="str">
        <f t="shared" si="10"/>
        <v>A</v>
      </c>
      <c r="AR61" s="1" t="str">
        <f>VLOOKUP(TRIM(AI61),Sheet1!$D$3:$E$36,2,FALSE)</f>
        <v>01</v>
      </c>
      <c r="AS61" s="90" t="str">
        <f t="shared" si="11"/>
        <v>02</v>
      </c>
      <c r="AT61" s="1" t="str">
        <f t="shared" si="12"/>
        <v>02</v>
      </c>
      <c r="AU61" s="90" t="s">
        <v>55</v>
      </c>
      <c r="AV61" s="90"/>
      <c r="AW61" s="90"/>
      <c r="AX61" s="95" t="str">
        <f>AQ61&amp;AR61&amp;AS61&amp;"-"&amp;AT61&amp;AU61&amp;BA61</f>
        <v>A0102-0210OUT</v>
      </c>
      <c r="AY61" s="99" t="str">
        <f>AQ61&amp;AR61&amp;AS61&amp;"-"&amp;AT61&amp;BA61</f>
        <v>A0102-02OUT</v>
      </c>
      <c r="AZ61" s="90"/>
      <c r="BA61" s="1" t="str">
        <f t="shared" si="13"/>
        <v>OUT</v>
      </c>
      <c r="BC61" s="1" t="str">
        <f t="shared" si="25"/>
        <v/>
      </c>
      <c r="BD61" s="90">
        <f t="shared" si="26"/>
        <v>2</v>
      </c>
      <c r="BE61" s="1" t="str">
        <f t="shared" si="21"/>
        <v/>
      </c>
      <c r="BF61" s="1">
        <f t="shared" si="22"/>
        <v>2</v>
      </c>
      <c r="BJ61" t="s">
        <v>315</v>
      </c>
      <c r="BK61" s="1">
        <v>3</v>
      </c>
      <c r="BL61"/>
      <c r="BM61" t="str">
        <f t="shared" si="20"/>
        <v>Greta smoke-Greta smoke-Greta smoke-</v>
      </c>
    </row>
    <row r="62" spans="1:65" ht="11.25" customHeight="1">
      <c r="A62" s="26" t="s">
        <v>316</v>
      </c>
      <c r="B62" s="27" t="s">
        <v>306</v>
      </c>
      <c r="C62" s="28">
        <v>1029.99</v>
      </c>
      <c r="D62" s="28">
        <f t="shared" si="3"/>
        <v>514.995</v>
      </c>
      <c r="E62" s="22" t="s">
        <v>40</v>
      </c>
      <c r="F62" s="22" t="s">
        <v>317</v>
      </c>
      <c r="G62" s="22" t="s">
        <v>308</v>
      </c>
      <c r="H62" s="22" t="s">
        <v>318</v>
      </c>
      <c r="I62" s="23" t="s">
        <v>49</v>
      </c>
      <c r="J62" s="22" t="s">
        <v>50</v>
      </c>
      <c r="K62" s="23">
        <v>80</v>
      </c>
      <c r="L62" s="23">
        <v>80</v>
      </c>
      <c r="M62" s="23">
        <v>75</v>
      </c>
      <c r="N62" s="3">
        <f t="shared" si="4"/>
        <v>0.48</v>
      </c>
      <c r="O62" s="4" t="e">
        <f>(C62-(C62*#REF!))-((C62-(C62*#REF!))*#REF!)</f>
        <v>#REF!</v>
      </c>
      <c r="P62" s="7">
        <v>1867996.4539744148</v>
      </c>
      <c r="Q62" s="7">
        <v>0</v>
      </c>
      <c r="R62" s="5">
        <f t="shared" si="5"/>
        <v>1867996.4539744148</v>
      </c>
      <c r="S62" s="4">
        <f t="shared" si="6"/>
        <v>124.53309693162765</v>
      </c>
      <c r="T62" s="13">
        <f t="shared" si="7"/>
        <v>720.99299999999994</v>
      </c>
      <c r="U62" s="13">
        <f t="shared" si="17"/>
        <v>360.49649999999997</v>
      </c>
      <c r="V62" s="14">
        <f>U62/C62</f>
        <v>0.35</v>
      </c>
      <c r="W62" s="14"/>
      <c r="X62" s="19">
        <f t="shared" si="0"/>
        <v>360.49649999999997</v>
      </c>
      <c r="Y62" s="19">
        <f t="shared" si="1"/>
        <v>720.99299999999994</v>
      </c>
      <c r="Z62" s="15">
        <f t="shared" si="23"/>
        <v>2.8947846707604419</v>
      </c>
      <c r="AA62" s="22" t="s">
        <v>319</v>
      </c>
      <c r="AG62" s="94" t="s">
        <v>52</v>
      </c>
      <c r="AH62" s="89" t="str">
        <f>VLOOKUP(AG62,Sheet1!$B$3:$D$36,2,FALSE)</f>
        <v>Furniture</v>
      </c>
      <c r="AI62" s="89" t="s">
        <v>53</v>
      </c>
      <c r="AJ62" s="1" t="str">
        <f t="shared" si="24"/>
        <v>Mila square</v>
      </c>
      <c r="AK62" s="1" t="str">
        <f t="shared" si="8"/>
        <v>w80 x d80 x h75 x bh71</v>
      </c>
      <c r="AL62" s="1" t="str">
        <f t="shared" si="19"/>
        <v>Natural teak indoor</v>
      </c>
      <c r="AM62" s="1" t="str">
        <f t="shared" si="9"/>
        <v>Natural teak indoor</v>
      </c>
      <c r="AN62" s="1" t="str">
        <f>SUBSTITUTE(AL62,"indoor","")</f>
        <v xml:space="preserve">Natural teak </v>
      </c>
      <c r="AO62" s="1" t="s">
        <v>54</v>
      </c>
      <c r="AQ62" s="1" t="str">
        <f t="shared" si="10"/>
        <v>A</v>
      </c>
      <c r="AR62" s="1" t="str">
        <f>VLOOKUP(TRIM(AI62),Sheet1!$D$3:$E$36,2,FALSE)</f>
        <v>01</v>
      </c>
      <c r="AS62" s="90" t="str">
        <f t="shared" si="11"/>
        <v>03</v>
      </c>
      <c r="AT62" s="1" t="str">
        <f t="shared" si="12"/>
        <v>01</v>
      </c>
      <c r="AU62" s="90" t="s">
        <v>55</v>
      </c>
      <c r="AV62" s="90"/>
      <c r="AW62" s="90"/>
      <c r="AX62" s="95" t="str">
        <f>AQ62&amp;AR62&amp;AS62&amp;"-"&amp;AT62&amp;AU62&amp;BA62</f>
        <v>A0103-0110IND</v>
      </c>
      <c r="AY62" s="99" t="str">
        <f>AQ62&amp;AR62&amp;AS62&amp;"-"&amp;AT62&amp;BA62</f>
        <v>A0103-01IND</v>
      </c>
      <c r="AZ62" s="90"/>
      <c r="BA62" s="1" t="str">
        <f t="shared" si="13"/>
        <v>IND</v>
      </c>
      <c r="BC62" s="1" t="str">
        <f t="shared" si="25"/>
        <v/>
      </c>
      <c r="BD62" s="90">
        <f t="shared" si="26"/>
        <v>3</v>
      </c>
      <c r="BE62" s="1">
        <f t="shared" si="21"/>
        <v>1</v>
      </c>
      <c r="BF62" s="1">
        <f t="shared" si="22"/>
        <v>1</v>
      </c>
      <c r="BJ62" t="s">
        <v>320</v>
      </c>
      <c r="BK62" s="1">
        <v>2</v>
      </c>
      <c r="BL62"/>
      <c r="BM62" t="str">
        <f t="shared" si="20"/>
        <v>Gunterdorf rectangular console-Gunterdorf rectangular console-</v>
      </c>
    </row>
    <row r="63" spans="1:65" ht="11.25" customHeight="1">
      <c r="A63" s="26" t="s">
        <v>321</v>
      </c>
      <c r="B63" s="27" t="s">
        <v>306</v>
      </c>
      <c r="C63" s="28">
        <v>1109.99</v>
      </c>
      <c r="D63" s="28">
        <f t="shared" si="3"/>
        <v>554.995</v>
      </c>
      <c r="E63" s="22" t="s">
        <v>40</v>
      </c>
      <c r="F63" s="22" t="s">
        <v>322</v>
      </c>
      <c r="G63" s="22" t="s">
        <v>308</v>
      </c>
      <c r="H63" s="22" t="s">
        <v>318</v>
      </c>
      <c r="I63" s="23" t="s">
        <v>58</v>
      </c>
      <c r="J63" s="22" t="s">
        <v>50</v>
      </c>
      <c r="K63" s="23">
        <v>80</v>
      </c>
      <c r="L63" s="23">
        <v>80</v>
      </c>
      <c r="M63" s="23">
        <v>75</v>
      </c>
      <c r="N63" s="3">
        <f t="shared" si="4"/>
        <v>0.48</v>
      </c>
      <c r="O63" s="4" t="e">
        <f>(C63-(C63*#REF!))-((C63-(C63*#REF!))*#REF!)</f>
        <v>#REF!</v>
      </c>
      <c r="P63" s="7">
        <v>1797507.3597614518</v>
      </c>
      <c r="Q63" s="7">
        <v>0</v>
      </c>
      <c r="R63" s="5">
        <f t="shared" si="5"/>
        <v>1797507.3597614518</v>
      </c>
      <c r="S63" s="4">
        <f t="shared" si="6"/>
        <v>119.8338239840968</v>
      </c>
      <c r="T63" s="13">
        <f t="shared" si="7"/>
        <v>776.99299999999994</v>
      </c>
      <c r="U63" s="13">
        <f t="shared" si="17"/>
        <v>388.49649999999997</v>
      </c>
      <c r="V63" s="14">
        <f>U63/C63</f>
        <v>0.35</v>
      </c>
      <c r="W63" s="14"/>
      <c r="X63" s="19">
        <f t="shared" si="0"/>
        <v>388.49649999999997</v>
      </c>
      <c r="Y63" s="19">
        <f t="shared" si="1"/>
        <v>776.99299999999994</v>
      </c>
      <c r="Z63" s="15">
        <f t="shared" si="23"/>
        <v>3.241960300386955</v>
      </c>
      <c r="AA63" s="22" t="s">
        <v>314</v>
      </c>
      <c r="AG63" s="94" t="s">
        <v>52</v>
      </c>
      <c r="AH63" s="89" t="str">
        <f>VLOOKUP(AG63,Sheet1!$B$3:$D$36,2,FALSE)</f>
        <v>Furniture</v>
      </c>
      <c r="AI63" s="89" t="s">
        <v>53</v>
      </c>
      <c r="AJ63" s="1" t="str">
        <f t="shared" si="24"/>
        <v>Mila square</v>
      </c>
      <c r="AK63" s="1" t="str">
        <f t="shared" si="8"/>
        <v>w80 x d80 x h75 x bh71</v>
      </c>
      <c r="AL63" s="1" t="str">
        <f t="shared" si="19"/>
        <v>Natural teak outdoor</v>
      </c>
      <c r="AM63" s="1" t="str">
        <f t="shared" si="9"/>
        <v>Natural teak outdoor</v>
      </c>
      <c r="AN63" s="1" t="str">
        <f>SUBSTITUTE(AL63,"outdoor","")</f>
        <v xml:space="preserve">Natural teak </v>
      </c>
      <c r="AO63" s="1" t="s">
        <v>59</v>
      </c>
      <c r="AQ63" s="1" t="str">
        <f t="shared" si="10"/>
        <v>A</v>
      </c>
      <c r="AR63" s="1" t="str">
        <f>VLOOKUP(TRIM(AI63),Sheet1!$D$3:$E$36,2,FALSE)</f>
        <v>01</v>
      </c>
      <c r="AS63" s="90" t="str">
        <f t="shared" si="11"/>
        <v>04</v>
      </c>
      <c r="AT63" s="1" t="str">
        <f t="shared" si="12"/>
        <v>02</v>
      </c>
      <c r="AU63" s="90" t="s">
        <v>55</v>
      </c>
      <c r="AV63" s="90"/>
      <c r="AW63" s="90"/>
      <c r="AX63" s="95" t="str">
        <f>AQ63&amp;AR63&amp;AS63&amp;"-"&amp;AT63&amp;AU63&amp;BA63</f>
        <v>A0104-0210OUT</v>
      </c>
      <c r="AY63" s="99" t="str">
        <f>AQ63&amp;AR63&amp;AS63&amp;"-"&amp;AT63&amp;BA63</f>
        <v>A0104-02OUT</v>
      </c>
      <c r="AZ63" s="90"/>
      <c r="BA63" s="1" t="str">
        <f t="shared" si="13"/>
        <v>OUT</v>
      </c>
      <c r="BC63" s="1" t="str">
        <f t="shared" si="25"/>
        <v/>
      </c>
      <c r="BD63" s="90">
        <f t="shared" si="26"/>
        <v>4</v>
      </c>
      <c r="BE63" s="1" t="str">
        <f t="shared" si="21"/>
        <v/>
      </c>
      <c r="BF63" s="1">
        <f t="shared" si="22"/>
        <v>2</v>
      </c>
      <c r="BJ63" t="s">
        <v>323</v>
      </c>
      <c r="BK63" s="1">
        <v>6</v>
      </c>
      <c r="BL63"/>
      <c r="BM63" t="str">
        <f t="shared" si="20"/>
        <v>Hailey vase-Hailey vase-Hailey vase-Hailey vase-Hailey vase-Hailey vase-</v>
      </c>
    </row>
    <row r="64" spans="1:65" ht="11.25" customHeight="1">
      <c r="A64" s="26" t="s">
        <v>324</v>
      </c>
      <c r="B64" s="27" t="s">
        <v>306</v>
      </c>
      <c r="C64" s="28">
        <v>1309.99</v>
      </c>
      <c r="D64" s="28">
        <f t="shared" si="3"/>
        <v>654.995</v>
      </c>
      <c r="E64" s="22" t="s">
        <v>40</v>
      </c>
      <c r="F64" s="22" t="s">
        <v>325</v>
      </c>
      <c r="G64" s="22" t="s">
        <v>308</v>
      </c>
      <c r="H64" s="22" t="s">
        <v>326</v>
      </c>
      <c r="I64" s="23" t="s">
        <v>49</v>
      </c>
      <c r="J64" s="22" t="s">
        <v>50</v>
      </c>
      <c r="K64" s="23">
        <v>90</v>
      </c>
      <c r="L64" s="23">
        <v>90</v>
      </c>
      <c r="M64" s="23">
        <v>75</v>
      </c>
      <c r="N64" s="3">
        <f t="shared" si="4"/>
        <v>0.60750000000000004</v>
      </c>
      <c r="O64" s="4" t="e">
        <f>(C64-(C64*#REF!))-((C64-(C64*#REF!))*#REF!)</f>
        <v>#REF!</v>
      </c>
      <c r="P64" s="7">
        <v>2099495.2221617289</v>
      </c>
      <c r="Q64" s="7">
        <v>0</v>
      </c>
      <c r="R64" s="5">
        <f t="shared" si="5"/>
        <v>2099495.2221617289</v>
      </c>
      <c r="S64" s="4">
        <f t="shared" si="6"/>
        <v>139.96634814411527</v>
      </c>
      <c r="T64" s="13">
        <f t="shared" si="7"/>
        <v>916.99299999999994</v>
      </c>
      <c r="U64" s="13">
        <f t="shared" si="17"/>
        <v>458.49649999999997</v>
      </c>
      <c r="V64" s="14">
        <f>U64/C64</f>
        <v>0.35</v>
      </c>
      <c r="W64" s="14"/>
      <c r="X64" s="19">
        <f t="shared" si="0"/>
        <v>458.49649999999997</v>
      </c>
      <c r="Y64" s="19">
        <f t="shared" si="1"/>
        <v>916.99299999999994</v>
      </c>
      <c r="Z64" s="15">
        <f t="shared" si="23"/>
        <v>3.2757623963148097</v>
      </c>
      <c r="AA64" s="22" t="s">
        <v>327</v>
      </c>
      <c r="AG64" s="94" t="s">
        <v>52</v>
      </c>
      <c r="AH64" s="89" t="str">
        <f>VLOOKUP(AG64,Sheet1!$B$3:$D$36,2,FALSE)</f>
        <v>Furniture</v>
      </c>
      <c r="AI64" s="89" t="s">
        <v>53</v>
      </c>
      <c r="AJ64" s="1" t="str">
        <f t="shared" si="24"/>
        <v>Mila square</v>
      </c>
      <c r="AK64" s="1" t="str">
        <f t="shared" si="8"/>
        <v>w90 x d90 x h75 x bh71</v>
      </c>
      <c r="AL64" s="1" t="str">
        <f t="shared" si="19"/>
        <v>Natural teak indoor</v>
      </c>
      <c r="AM64" s="1" t="str">
        <f t="shared" si="9"/>
        <v>Natural teak indoor</v>
      </c>
      <c r="AN64" s="1" t="str">
        <f>SUBSTITUTE(AL64,"indoor","")</f>
        <v xml:space="preserve">Natural teak </v>
      </c>
      <c r="AO64" s="1" t="s">
        <v>54</v>
      </c>
      <c r="AQ64" s="1" t="str">
        <f t="shared" si="10"/>
        <v>A</v>
      </c>
      <c r="AR64" s="1" t="str">
        <f>VLOOKUP(TRIM(AI64),Sheet1!$D$3:$E$36,2,FALSE)</f>
        <v>01</v>
      </c>
      <c r="AS64" s="90" t="str">
        <f t="shared" si="11"/>
        <v>05</v>
      </c>
      <c r="AT64" s="1" t="str">
        <f t="shared" si="12"/>
        <v>01</v>
      </c>
      <c r="AU64" s="90" t="s">
        <v>55</v>
      </c>
      <c r="AV64" s="90"/>
      <c r="AW64" s="90"/>
      <c r="AX64" s="95" t="str">
        <f>AQ64&amp;AR64&amp;AS64&amp;"-"&amp;AT64&amp;AU64&amp;BA64</f>
        <v>A0105-0110IND</v>
      </c>
      <c r="AY64" s="99" t="str">
        <f>AQ64&amp;AR64&amp;AS64&amp;"-"&amp;AT64&amp;BA64</f>
        <v>A0105-01IND</v>
      </c>
      <c r="AZ64" s="90"/>
      <c r="BA64" s="1" t="str">
        <f t="shared" si="13"/>
        <v>IND</v>
      </c>
      <c r="BC64" s="1" t="str">
        <f t="shared" si="25"/>
        <v/>
      </c>
      <c r="BD64" s="90">
        <f t="shared" si="26"/>
        <v>5</v>
      </c>
      <c r="BE64" s="1">
        <f t="shared" si="21"/>
        <v>1</v>
      </c>
      <c r="BF64" s="1">
        <f t="shared" si="22"/>
        <v>1</v>
      </c>
      <c r="BJ64" t="s">
        <v>328</v>
      </c>
      <c r="BK64" s="1">
        <v>2</v>
      </c>
      <c r="BL64"/>
      <c r="BM64" t="str">
        <f t="shared" si="20"/>
        <v>Hailey vase stone-Hailey vase stone-</v>
      </c>
    </row>
    <row r="65" spans="1:65" ht="11.25" customHeight="1">
      <c r="A65" s="26" t="s">
        <v>329</v>
      </c>
      <c r="B65" s="27" t="s">
        <v>306</v>
      </c>
      <c r="C65" s="28">
        <v>1549.99</v>
      </c>
      <c r="D65" s="28">
        <f t="shared" si="3"/>
        <v>774.995</v>
      </c>
      <c r="E65" s="22" t="s">
        <v>40</v>
      </c>
      <c r="F65" s="22" t="s">
        <v>330</v>
      </c>
      <c r="G65" s="22" t="s">
        <v>308</v>
      </c>
      <c r="H65" s="22" t="s">
        <v>326</v>
      </c>
      <c r="I65" s="23" t="s">
        <v>58</v>
      </c>
      <c r="J65" s="22" t="s">
        <v>50</v>
      </c>
      <c r="K65" s="23">
        <v>90</v>
      </c>
      <c r="L65" s="23">
        <v>90</v>
      </c>
      <c r="M65" s="23">
        <v>75</v>
      </c>
      <c r="N65" s="3">
        <f t="shared" si="4"/>
        <v>0.60750000000000004</v>
      </c>
      <c r="O65" s="4" t="e">
        <f>(C65-(C65*#REF!))-((C65-(C65*#REF!))*#REF!)</f>
        <v>#REF!</v>
      </c>
      <c r="P65" s="7">
        <v>2043990.4959117291</v>
      </c>
      <c r="Q65" s="7">
        <v>0</v>
      </c>
      <c r="R65" s="5">
        <f t="shared" si="5"/>
        <v>2043990.4959117291</v>
      </c>
      <c r="S65" s="4">
        <f t="shared" si="6"/>
        <v>136.26603306078195</v>
      </c>
      <c r="T65" s="13">
        <f t="shared" si="7"/>
        <v>1084.9929999999999</v>
      </c>
      <c r="U65" s="13">
        <f t="shared" si="17"/>
        <v>542.49649999999997</v>
      </c>
      <c r="V65" s="14">
        <f>U65/C65</f>
        <v>0.35</v>
      </c>
      <c r="W65" s="14"/>
      <c r="X65" s="19">
        <f t="shared" si="0"/>
        <v>542.49649999999997</v>
      </c>
      <c r="Y65" s="19">
        <f t="shared" si="1"/>
        <v>1084.9929999999999</v>
      </c>
      <c r="Z65" s="15">
        <f t="shared" si="23"/>
        <v>3.9811572100144534</v>
      </c>
      <c r="AA65" s="22" t="s">
        <v>314</v>
      </c>
      <c r="AG65" s="94" t="s">
        <v>52</v>
      </c>
      <c r="AH65" s="89" t="str">
        <f>VLOOKUP(AG65,Sheet1!$B$3:$D$36,2,FALSE)</f>
        <v>Furniture</v>
      </c>
      <c r="AI65" s="89" t="s">
        <v>53</v>
      </c>
      <c r="AJ65" s="1" t="str">
        <f t="shared" si="24"/>
        <v>Mila square</v>
      </c>
      <c r="AK65" s="1" t="str">
        <f t="shared" si="8"/>
        <v>w90 x d90 x h75 x bh71</v>
      </c>
      <c r="AL65" s="1" t="str">
        <f t="shared" si="19"/>
        <v>Natural teak outdoor</v>
      </c>
      <c r="AM65" s="1" t="str">
        <f t="shared" si="9"/>
        <v>Natural teak outdoor</v>
      </c>
      <c r="AN65" s="1" t="str">
        <f>SUBSTITUTE(AL65,"outdoor","")</f>
        <v xml:space="preserve">Natural teak </v>
      </c>
      <c r="AO65" s="1" t="s">
        <v>59</v>
      </c>
      <c r="AQ65" s="1" t="str">
        <f t="shared" si="10"/>
        <v>A</v>
      </c>
      <c r="AR65" s="1" t="str">
        <f>VLOOKUP(TRIM(AI65),Sheet1!$D$3:$E$36,2,FALSE)</f>
        <v>01</v>
      </c>
      <c r="AS65" s="90" t="str">
        <f t="shared" si="11"/>
        <v>06</v>
      </c>
      <c r="AT65" s="1" t="str">
        <f t="shared" si="12"/>
        <v>02</v>
      </c>
      <c r="AU65" s="90" t="s">
        <v>55</v>
      </c>
      <c r="AV65" s="90"/>
      <c r="AW65" s="90"/>
      <c r="AX65" s="95" t="str">
        <f>AQ65&amp;AR65&amp;AS65&amp;"-"&amp;AT65&amp;AU65&amp;BA65</f>
        <v>A0106-0210OUT</v>
      </c>
      <c r="AY65" s="99" t="str">
        <f>AQ65&amp;AR65&amp;AS65&amp;"-"&amp;AT65&amp;BA65</f>
        <v>A0106-02OUT</v>
      </c>
      <c r="AZ65" s="90"/>
      <c r="BA65" s="1" t="str">
        <f t="shared" si="13"/>
        <v>OUT</v>
      </c>
      <c r="BC65" s="1" t="str">
        <f t="shared" si="25"/>
        <v/>
      </c>
      <c r="BD65" s="90">
        <f t="shared" si="26"/>
        <v>6</v>
      </c>
      <c r="BE65" s="1" t="str">
        <f t="shared" si="21"/>
        <v/>
      </c>
      <c r="BF65" s="1">
        <f t="shared" si="22"/>
        <v>2</v>
      </c>
      <c r="BJ65" t="s">
        <v>331</v>
      </c>
      <c r="BK65" s="1">
        <v>2</v>
      </c>
      <c r="BL65"/>
      <c r="BM65" t="str">
        <f t="shared" si="20"/>
        <v>Hallstatt round bar-Hallstatt round bar-</v>
      </c>
    </row>
    <row r="66" spans="1:65" ht="11.25" customHeight="1">
      <c r="A66" s="26" t="s">
        <v>332</v>
      </c>
      <c r="B66" s="27" t="s">
        <v>306</v>
      </c>
      <c r="C66" s="28">
        <v>2159.9899999999998</v>
      </c>
      <c r="D66" s="28">
        <f t="shared" si="3"/>
        <v>1079.9949999999999</v>
      </c>
      <c r="E66" s="22" t="s">
        <v>40</v>
      </c>
      <c r="F66" s="22" t="s">
        <v>333</v>
      </c>
      <c r="G66" s="22" t="s">
        <v>308</v>
      </c>
      <c r="H66" s="22" t="s">
        <v>334</v>
      </c>
      <c r="I66" s="23" t="s">
        <v>49</v>
      </c>
      <c r="J66" s="22" t="s">
        <v>50</v>
      </c>
      <c r="K66" s="23">
        <v>120</v>
      </c>
      <c r="L66" s="23">
        <v>120</v>
      </c>
      <c r="M66" s="23">
        <v>75</v>
      </c>
      <c r="N66" s="3">
        <f t="shared" si="4"/>
        <v>1.08</v>
      </c>
      <c r="O66" s="4" t="e">
        <f>(C66-(C66*#REF!))-((C66-(C66*#REF!))*#REF!)</f>
        <v>#REF!</v>
      </c>
      <c r="P66" s="7"/>
      <c r="Q66" s="7"/>
      <c r="R66" s="5">
        <f t="shared" si="5"/>
        <v>0</v>
      </c>
      <c r="S66" s="4">
        <f t="shared" si="6"/>
        <v>0</v>
      </c>
      <c r="T66" s="13">
        <f t="shared" si="7"/>
        <v>1511.9929999999999</v>
      </c>
      <c r="U66" s="13">
        <f t="shared" si="17"/>
        <v>755.99649999999997</v>
      </c>
      <c r="V66" s="14">
        <f>U66/C66</f>
        <v>0.35000000000000003</v>
      </c>
      <c r="W66" s="14"/>
      <c r="X66" s="19">
        <f t="shared" si="0"/>
        <v>755.99649999999997</v>
      </c>
      <c r="Y66" s="19">
        <f t="shared" si="1"/>
        <v>1511.9929999999999</v>
      </c>
      <c r="Z66" s="15" t="e">
        <f t="shared" si="23"/>
        <v>#DIV/0!</v>
      </c>
      <c r="AA66" s="22" t="s">
        <v>327</v>
      </c>
      <c r="AG66" s="94" t="s">
        <v>52</v>
      </c>
      <c r="AH66" s="89" t="str">
        <f>VLOOKUP(AG66,Sheet1!$B$3:$D$36,2,FALSE)</f>
        <v>Furniture</v>
      </c>
      <c r="AI66" s="89" t="s">
        <v>53</v>
      </c>
      <c r="AJ66" s="1" t="str">
        <f t="shared" si="24"/>
        <v>Mila square</v>
      </c>
      <c r="AK66" s="1" t="str">
        <f t="shared" si="8"/>
        <v>w120 x d120 x h75 x bh71</v>
      </c>
      <c r="AL66" s="1" t="str">
        <f t="shared" si="19"/>
        <v>Natural teak indoor</v>
      </c>
      <c r="AM66" s="1" t="str">
        <f t="shared" si="9"/>
        <v>Natural teak indoor</v>
      </c>
      <c r="AN66" s="1" t="str">
        <f>SUBSTITUTE(AL66,"indoor","")</f>
        <v xml:space="preserve">Natural teak </v>
      </c>
      <c r="AO66" s="1" t="s">
        <v>54</v>
      </c>
      <c r="AQ66" s="1" t="str">
        <f t="shared" si="10"/>
        <v>A</v>
      </c>
      <c r="AR66" s="1" t="str">
        <f>VLOOKUP(TRIM(AI66),Sheet1!$D$3:$E$36,2,FALSE)</f>
        <v>01</v>
      </c>
      <c r="AS66" s="90" t="str">
        <f t="shared" si="11"/>
        <v>07</v>
      </c>
      <c r="AT66" s="1" t="str">
        <f t="shared" si="12"/>
        <v>01</v>
      </c>
      <c r="AU66" s="90" t="s">
        <v>55</v>
      </c>
      <c r="AV66" s="90"/>
      <c r="AW66" s="90"/>
      <c r="AX66" s="95" t="str">
        <f>AQ66&amp;AR66&amp;AS66&amp;"-"&amp;AT66&amp;AU66&amp;BA66</f>
        <v>A0107-0110IND</v>
      </c>
      <c r="AY66" s="99" t="str">
        <f>AQ66&amp;AR66&amp;AS66&amp;"-"&amp;AT66&amp;BA66</f>
        <v>A0107-01IND</v>
      </c>
      <c r="AZ66" s="90"/>
      <c r="BA66" s="1" t="str">
        <f t="shared" si="13"/>
        <v>IND</v>
      </c>
      <c r="BC66" s="1" t="str">
        <f t="shared" si="25"/>
        <v/>
      </c>
      <c r="BD66" s="90">
        <f t="shared" si="26"/>
        <v>7</v>
      </c>
      <c r="BE66" s="1">
        <f t="shared" si="21"/>
        <v>1</v>
      </c>
      <c r="BF66" s="1">
        <f t="shared" si="22"/>
        <v>1</v>
      </c>
      <c r="BJ66" t="s">
        <v>335</v>
      </c>
      <c r="BK66" s="1">
        <v>5</v>
      </c>
      <c r="BL66"/>
      <c r="BM66" t="str">
        <f t="shared" si="20"/>
        <v>Han plate riverstone-Han plate riverstone-Han plate riverstone-Han plate riverstone-Han plate riverstone-</v>
      </c>
    </row>
    <row r="67" spans="1:65" ht="11.25" customHeight="1">
      <c r="A67" s="26" t="s">
        <v>336</v>
      </c>
      <c r="B67" s="27" t="s">
        <v>306</v>
      </c>
      <c r="C67" s="28">
        <v>2289.9899999999998</v>
      </c>
      <c r="D67" s="28">
        <f t="shared" si="3"/>
        <v>1144.9949999999999</v>
      </c>
      <c r="E67" s="22" t="s">
        <v>40</v>
      </c>
      <c r="F67" s="22" t="s">
        <v>337</v>
      </c>
      <c r="G67" s="22" t="s">
        <v>308</v>
      </c>
      <c r="H67" s="22" t="s">
        <v>334</v>
      </c>
      <c r="I67" s="23" t="s">
        <v>58</v>
      </c>
      <c r="J67" s="22" t="s">
        <v>50</v>
      </c>
      <c r="K67" s="23">
        <v>120</v>
      </c>
      <c r="L67" s="23">
        <v>120</v>
      </c>
      <c r="M67" s="23">
        <v>75</v>
      </c>
      <c r="N67" s="3">
        <f t="shared" si="4"/>
        <v>1.08</v>
      </c>
      <c r="O67" s="4" t="e">
        <f>(C67-(C67*#REF!))-((C67-(C67*#REF!))*#REF!)</f>
        <v>#REF!</v>
      </c>
      <c r="P67" s="7"/>
      <c r="Q67" s="7"/>
      <c r="R67" s="5">
        <f t="shared" si="5"/>
        <v>0</v>
      </c>
      <c r="S67" s="4">
        <f t="shared" si="6"/>
        <v>0</v>
      </c>
      <c r="T67" s="13">
        <f t="shared" si="7"/>
        <v>1602.9929999999999</v>
      </c>
      <c r="U67" s="13">
        <f t="shared" si="17"/>
        <v>801.49649999999997</v>
      </c>
      <c r="V67" s="14">
        <f>U67/C67</f>
        <v>0.35000000000000003</v>
      </c>
      <c r="W67" s="14"/>
      <c r="X67" s="19">
        <f t="shared" si="0"/>
        <v>801.49649999999997</v>
      </c>
      <c r="Y67" s="19">
        <f t="shared" si="1"/>
        <v>1602.9929999999999</v>
      </c>
      <c r="Z67" s="15" t="e">
        <f t="shared" si="23"/>
        <v>#DIV/0!</v>
      </c>
      <c r="AA67" s="22" t="s">
        <v>314</v>
      </c>
      <c r="AG67" s="94" t="s">
        <v>52</v>
      </c>
      <c r="AH67" s="89" t="str">
        <f>VLOOKUP(AG67,Sheet1!$B$3:$D$36,2,FALSE)</f>
        <v>Furniture</v>
      </c>
      <c r="AI67" s="89" t="s">
        <v>53</v>
      </c>
      <c r="AJ67" s="1" t="str">
        <f t="shared" si="24"/>
        <v>Mila square</v>
      </c>
      <c r="AK67" s="1" t="str">
        <f t="shared" si="8"/>
        <v>w120 x d120 x h75 x bh71</v>
      </c>
      <c r="AL67" s="1" t="str">
        <f t="shared" si="19"/>
        <v>Natural teak outdoor</v>
      </c>
      <c r="AM67" s="1" t="str">
        <f t="shared" si="9"/>
        <v>Natural teak outdoor</v>
      </c>
      <c r="AN67" s="1" t="str">
        <f>SUBSTITUTE(AL67,"outdoor","")</f>
        <v xml:space="preserve">Natural teak </v>
      </c>
      <c r="AO67" s="1" t="s">
        <v>59</v>
      </c>
      <c r="AQ67" s="1" t="str">
        <f t="shared" si="10"/>
        <v>A</v>
      </c>
      <c r="AR67" s="1" t="str">
        <f>VLOOKUP(TRIM(AI67),Sheet1!$D$3:$E$36,2,FALSE)</f>
        <v>01</v>
      </c>
      <c r="AS67" s="90" t="str">
        <f t="shared" si="11"/>
        <v>08</v>
      </c>
      <c r="AT67" s="1" t="str">
        <f t="shared" si="12"/>
        <v>02</v>
      </c>
      <c r="AU67" s="90" t="s">
        <v>55</v>
      </c>
      <c r="AV67" s="90"/>
      <c r="AW67" s="90"/>
      <c r="AX67" s="95" t="str">
        <f>AQ67&amp;AR67&amp;AS67&amp;"-"&amp;AT67&amp;AU67&amp;BA67</f>
        <v>A0108-0210OUT</v>
      </c>
      <c r="AY67" s="99" t="str">
        <f>AQ67&amp;AR67&amp;AS67&amp;"-"&amp;AT67&amp;BA67</f>
        <v>A0108-02OUT</v>
      </c>
      <c r="AZ67" s="90"/>
      <c r="BA67" s="1" t="str">
        <f t="shared" si="13"/>
        <v>OUT</v>
      </c>
      <c r="BC67" s="1" t="str">
        <f t="shared" si="25"/>
        <v/>
      </c>
      <c r="BD67" s="90">
        <f t="shared" si="26"/>
        <v>8</v>
      </c>
      <c r="BE67" s="1" t="str">
        <f t="shared" si="21"/>
        <v/>
      </c>
      <c r="BF67" s="1">
        <f t="shared" si="22"/>
        <v>2</v>
      </c>
      <c r="BJ67" t="s">
        <v>338</v>
      </c>
      <c r="BK67" s="1">
        <v>3</v>
      </c>
      <c r="BL67"/>
      <c r="BM67" t="str">
        <f t="shared" si="20"/>
        <v>Hanging Kubo-Hanging Kubo-Hanging Kubo-</v>
      </c>
    </row>
    <row r="68" spans="1:65" ht="11.25" customHeight="1">
      <c r="A68" s="26" t="s">
        <v>339</v>
      </c>
      <c r="B68" s="27" t="s">
        <v>306</v>
      </c>
      <c r="C68" s="28">
        <v>2649.99</v>
      </c>
      <c r="D68" s="28">
        <f t="shared" si="3"/>
        <v>1324.9949999999999</v>
      </c>
      <c r="E68" s="22" t="s">
        <v>40</v>
      </c>
      <c r="F68" s="22" t="s">
        <v>340</v>
      </c>
      <c r="G68" s="22" t="s">
        <v>308</v>
      </c>
      <c r="H68" s="22" t="s">
        <v>341</v>
      </c>
      <c r="I68" s="23" t="s">
        <v>49</v>
      </c>
      <c r="J68" s="22" t="s">
        <v>50</v>
      </c>
      <c r="K68" s="23">
        <v>150</v>
      </c>
      <c r="L68" s="23">
        <v>150</v>
      </c>
      <c r="M68" s="23">
        <v>75</v>
      </c>
      <c r="N68" s="3">
        <f t="shared" si="4"/>
        <v>1.6875</v>
      </c>
      <c r="O68" s="4" t="e">
        <f>(C68-(C68*#REF!))-((C68-(C68*#REF!))*#REF!)</f>
        <v>#REF!</v>
      </c>
      <c r="P68" s="7"/>
      <c r="Q68" s="7"/>
      <c r="R68" s="5">
        <f t="shared" si="5"/>
        <v>0</v>
      </c>
      <c r="S68" s="4">
        <f t="shared" si="6"/>
        <v>0</v>
      </c>
      <c r="T68" s="13">
        <f t="shared" si="7"/>
        <v>1854.9929999999999</v>
      </c>
      <c r="U68" s="13">
        <f t="shared" si="17"/>
        <v>927.49649999999997</v>
      </c>
      <c r="V68" s="14">
        <f>U68/C68</f>
        <v>0.35000000000000003</v>
      </c>
      <c r="W68" s="14"/>
      <c r="X68" s="19">
        <f t="shared" ref="X68:X105" si="27">IF(ISBLANK(W68),U68, W68)</f>
        <v>927.49649999999997</v>
      </c>
      <c r="Y68" s="19">
        <f t="shared" ref="Y68:Y105" si="28">X68*2</f>
        <v>1854.9929999999999</v>
      </c>
      <c r="Z68" s="15" t="e">
        <f t="shared" si="23"/>
        <v>#DIV/0!</v>
      </c>
      <c r="AA68" s="22" t="s">
        <v>310</v>
      </c>
      <c r="AG68" s="94" t="s">
        <v>52</v>
      </c>
      <c r="AH68" s="89" t="str">
        <f>VLOOKUP(AG68,Sheet1!$B$3:$D$36,2,FALSE)</f>
        <v>Furniture</v>
      </c>
      <c r="AI68" s="89" t="s">
        <v>53</v>
      </c>
      <c r="AJ68" s="1" t="str">
        <f t="shared" si="24"/>
        <v>Mila square</v>
      </c>
      <c r="AK68" s="1" t="str">
        <f t="shared" si="8"/>
        <v>w150 x d150 x h75 x bh70</v>
      </c>
      <c r="AL68" s="1" t="str">
        <f t="shared" si="19"/>
        <v>Natural teak indoor</v>
      </c>
      <c r="AM68" s="1" t="str">
        <f t="shared" si="9"/>
        <v>Natural teak indoor</v>
      </c>
      <c r="AN68" s="1" t="str">
        <f>SUBSTITUTE(AL68,"indoor","")</f>
        <v xml:space="preserve">Natural teak </v>
      </c>
      <c r="AO68" s="1" t="s">
        <v>54</v>
      </c>
      <c r="AQ68" s="1" t="str">
        <f t="shared" si="10"/>
        <v>A</v>
      </c>
      <c r="AR68" s="1" t="str">
        <f>VLOOKUP(TRIM(AI68),Sheet1!$D$3:$E$36,2,FALSE)</f>
        <v>01</v>
      </c>
      <c r="AS68" s="90" t="str">
        <f t="shared" si="11"/>
        <v>09</v>
      </c>
      <c r="AT68" s="1" t="str">
        <f t="shared" si="12"/>
        <v>01</v>
      </c>
      <c r="AU68" s="90" t="s">
        <v>55</v>
      </c>
      <c r="AV68" s="90"/>
      <c r="AW68" s="90"/>
      <c r="AX68" s="95" t="str">
        <f>AQ68&amp;AR68&amp;AS68&amp;"-"&amp;AT68&amp;AU68&amp;BA68</f>
        <v>A0109-0110IND</v>
      </c>
      <c r="AY68" s="99" t="str">
        <f>AQ68&amp;AR68&amp;AS68&amp;"-"&amp;AT68&amp;BA68</f>
        <v>A0109-01IND</v>
      </c>
      <c r="AZ68" s="90"/>
      <c r="BA68" s="1" t="str">
        <f t="shared" si="13"/>
        <v>IND</v>
      </c>
      <c r="BC68" s="1" t="str">
        <f t="shared" si="25"/>
        <v/>
      </c>
      <c r="BD68" s="90">
        <f t="shared" si="26"/>
        <v>9</v>
      </c>
      <c r="BE68" s="1">
        <f t="shared" si="21"/>
        <v>1</v>
      </c>
      <c r="BF68" s="1">
        <f t="shared" si="22"/>
        <v>1</v>
      </c>
      <c r="BJ68" t="s">
        <v>342</v>
      </c>
      <c r="BK68" s="1">
        <v>2</v>
      </c>
      <c r="BL68"/>
      <c r="BM68" t="str">
        <f t="shared" si="20"/>
        <v>Hansen-Hansen-</v>
      </c>
    </row>
    <row r="69" spans="1:65" ht="11.25" customHeight="1">
      <c r="A69" s="26" t="s">
        <v>343</v>
      </c>
      <c r="B69" s="27" t="s">
        <v>306</v>
      </c>
      <c r="C69" s="28">
        <v>3479.99</v>
      </c>
      <c r="D69" s="28">
        <f t="shared" ref="D69:D132" si="29">C69*$D$1</f>
        <v>1739.9949999999999</v>
      </c>
      <c r="E69" s="22" t="s">
        <v>40</v>
      </c>
      <c r="F69" s="22" t="s">
        <v>344</v>
      </c>
      <c r="G69" s="22" t="s">
        <v>308</v>
      </c>
      <c r="H69" s="22" t="s">
        <v>341</v>
      </c>
      <c r="I69" s="23" t="s">
        <v>58</v>
      </c>
      <c r="J69" s="22" t="s">
        <v>50</v>
      </c>
      <c r="K69" s="23">
        <v>150</v>
      </c>
      <c r="L69" s="23">
        <v>150</v>
      </c>
      <c r="M69" s="23">
        <v>75</v>
      </c>
      <c r="N69" s="3">
        <f t="shared" ref="N69:N132" si="30">(IF(ISBLANK(K69),(L69*L69*M69),(K69*L69*M69)))/1000000</f>
        <v>1.6875</v>
      </c>
      <c r="O69" s="4" t="e">
        <f>(C69-(C69*#REF!))-((C69-(C69*#REF!))*#REF!)</f>
        <v>#REF!</v>
      </c>
      <c r="P69" s="7"/>
      <c r="Q69" s="7"/>
      <c r="R69" s="5">
        <f t="shared" ref="R69:R105" si="31">P69+Q69</f>
        <v>0</v>
      </c>
      <c r="S69" s="4">
        <f t="shared" ref="S69:S105" si="32">R69/15000</f>
        <v>0</v>
      </c>
      <c r="T69" s="13">
        <f t="shared" ref="T69:T132" si="33">C69-(C69*$T$1)</f>
        <v>2435.9929999999999</v>
      </c>
      <c r="U69" s="13">
        <f t="shared" si="17"/>
        <v>1217.9965</v>
      </c>
      <c r="V69" s="14">
        <f>U69/C69</f>
        <v>0.35000000000000003</v>
      </c>
      <c r="W69" s="14"/>
      <c r="X69" s="19">
        <f t="shared" si="27"/>
        <v>1217.9965</v>
      </c>
      <c r="Y69" s="19">
        <f t="shared" si="28"/>
        <v>2435.9929999999999</v>
      </c>
      <c r="Z69" s="15" t="e">
        <f t="shared" si="23"/>
        <v>#DIV/0!</v>
      </c>
      <c r="AA69" s="22" t="s">
        <v>319</v>
      </c>
      <c r="AG69" s="94" t="s">
        <v>52</v>
      </c>
      <c r="AH69" s="89" t="str">
        <f>VLOOKUP(AG69,Sheet1!$B$3:$D$36,2,FALSE)</f>
        <v>Furniture</v>
      </c>
      <c r="AI69" s="89" t="s">
        <v>53</v>
      </c>
      <c r="AJ69" s="1" t="str">
        <f t="shared" ref="AJ69:AJ132" si="34">G69</f>
        <v>Mila square</v>
      </c>
      <c r="AK69" s="1" t="str">
        <f t="shared" ref="AK69:AK132" si="35">TRIM(H69)</f>
        <v>w150 x d150 x h75 x bh70</v>
      </c>
      <c r="AL69" s="1" t="str">
        <f t="shared" ref="AL69:AL132" si="36">I69</f>
        <v>Natural teak outdoor</v>
      </c>
      <c r="AM69" s="1" t="str">
        <f t="shared" ref="AM69:AM132" si="37">I69</f>
        <v>Natural teak outdoor</v>
      </c>
      <c r="AN69" s="1" t="str">
        <f>SUBSTITUTE(AL69,"outdoor","")</f>
        <v xml:space="preserve">Natural teak </v>
      </c>
      <c r="AO69" s="1" t="s">
        <v>59</v>
      </c>
      <c r="AQ69" s="1" t="str">
        <f t="shared" ref="AQ69:AQ132" si="38">IF(TRIM(AG69)="01","A",IF(TRIM(AG69)="02","B",IF(TRIM(AG69)="03","C",IF(TRIM(AG69)="04","D",IF(TRIM(AG69)="05","E","F")))))</f>
        <v>A</v>
      </c>
      <c r="AR69" s="1" t="str">
        <f>VLOOKUP(TRIM(AI69),Sheet1!$D$3:$E$36,2,FALSE)</f>
        <v>01</v>
      </c>
      <c r="AS69" s="90">
        <f t="shared" ref="AS69:AS132" si="39">IF(LEN(BD69)=1,"0"&amp;BD69,BD69)</f>
        <v>10</v>
      </c>
      <c r="AT69" s="1" t="str">
        <f t="shared" ref="AT69:AT132" si="40">IF(LEN(BF69)=1,"0"&amp;BF69,BF69)</f>
        <v>02</v>
      </c>
      <c r="AU69" s="90" t="s">
        <v>55</v>
      </c>
      <c r="AV69" s="90"/>
      <c r="AW69" s="90"/>
      <c r="AX69" s="95" t="str">
        <f>AQ69&amp;AR69&amp;AS69&amp;"-"&amp;AT69&amp;AU69&amp;BA69</f>
        <v>A0110-0210OUT</v>
      </c>
      <c r="AY69" s="99" t="str">
        <f>AQ69&amp;AR69&amp;AS69&amp;"-"&amp;AT69&amp;BA69</f>
        <v>A0110-02OUT</v>
      </c>
      <c r="AZ69" s="90"/>
      <c r="BA69" s="1" t="str">
        <f t="shared" ref="BA69:BA132" si="41">IF(AO69="","",UPPER(LEFT(AO69,3)))</f>
        <v>OUT</v>
      </c>
      <c r="BC69" s="1" t="str">
        <f t="shared" si="25"/>
        <v/>
      </c>
      <c r="BD69" s="90">
        <f t="shared" si="26"/>
        <v>10</v>
      </c>
      <c r="BE69" s="1" t="str">
        <f t="shared" si="21"/>
        <v/>
      </c>
      <c r="BF69" s="1">
        <f t="shared" si="22"/>
        <v>2</v>
      </c>
      <c r="BJ69" t="s">
        <v>345</v>
      </c>
      <c r="BK69" s="1">
        <v>4</v>
      </c>
      <c r="BL69"/>
      <c r="BM69" t="str">
        <f t="shared" si="20"/>
        <v>Hena bowl-Hena bowl-Hena bowl-Hena bowl-</v>
      </c>
    </row>
    <row r="70" spans="1:65" ht="11.25" customHeight="1">
      <c r="A70" s="26" t="s">
        <v>346</v>
      </c>
      <c r="B70" s="27" t="s">
        <v>347</v>
      </c>
      <c r="C70" s="28">
        <v>609.99</v>
      </c>
      <c r="D70" s="28">
        <f t="shared" si="29"/>
        <v>304.995</v>
      </c>
      <c r="E70" s="22" t="s">
        <v>40</v>
      </c>
      <c r="F70" s="22" t="s">
        <v>348</v>
      </c>
      <c r="G70" s="22" t="s">
        <v>349</v>
      </c>
      <c r="H70" s="22" t="s">
        <v>350</v>
      </c>
      <c r="I70" s="23" t="s">
        <v>49</v>
      </c>
      <c r="J70" s="22" t="s">
        <v>50</v>
      </c>
      <c r="K70" s="23">
        <v>75</v>
      </c>
      <c r="L70" s="23">
        <v>40</v>
      </c>
      <c r="M70" s="23">
        <v>75</v>
      </c>
      <c r="N70" s="3">
        <f t="shared" si="30"/>
        <v>0.22500000000000001</v>
      </c>
      <c r="O70" s="4" t="e">
        <f>(C70-(C70*#REF!))-((C70-(C70*#REF!))*#REF!)</f>
        <v>#REF!</v>
      </c>
      <c r="P70" s="7"/>
      <c r="Q70" s="7"/>
      <c r="R70" s="5">
        <f t="shared" si="31"/>
        <v>0</v>
      </c>
      <c r="S70" s="4">
        <f t="shared" si="32"/>
        <v>0</v>
      </c>
      <c r="T70" s="13">
        <f t="shared" si="33"/>
        <v>426.99300000000005</v>
      </c>
      <c r="U70" s="13">
        <f t="shared" ref="U70:U133" si="42">T70-(T70*$U$1)</f>
        <v>213.49650000000003</v>
      </c>
      <c r="V70" s="14">
        <f>U70/C70</f>
        <v>0.35000000000000003</v>
      </c>
      <c r="W70" s="14"/>
      <c r="X70" s="19">
        <f t="shared" si="27"/>
        <v>213.49650000000003</v>
      </c>
      <c r="Y70" s="19">
        <f t="shared" si="28"/>
        <v>426.99300000000005</v>
      </c>
      <c r="Z70" s="15" t="e">
        <f t="shared" si="23"/>
        <v>#DIV/0!</v>
      </c>
      <c r="AA70" s="22" t="s">
        <v>351</v>
      </c>
      <c r="AG70" s="94" t="s">
        <v>52</v>
      </c>
      <c r="AH70" s="89" t="str">
        <f>VLOOKUP(AG70,Sheet1!$B$3:$D$36,2,FALSE)</f>
        <v>Furniture</v>
      </c>
      <c r="AI70" s="89" t="s">
        <v>53</v>
      </c>
      <c r="AJ70" s="1" t="str">
        <f t="shared" si="34"/>
        <v>Mila square extension</v>
      </c>
      <c r="AK70" s="1" t="str">
        <f t="shared" si="35"/>
        <v>w75 x d40 x h75 x bh74</v>
      </c>
      <c r="AL70" s="1" t="str">
        <f t="shared" si="36"/>
        <v>Natural teak indoor</v>
      </c>
      <c r="AM70" s="1" t="str">
        <f t="shared" si="37"/>
        <v>Natural teak indoor</v>
      </c>
      <c r="AN70" s="1" t="str">
        <f>SUBSTITUTE(AL70,"indoor","")</f>
        <v xml:space="preserve">Natural teak </v>
      </c>
      <c r="AO70" s="1" t="s">
        <v>54</v>
      </c>
      <c r="AQ70" s="1" t="str">
        <f t="shared" si="38"/>
        <v>A</v>
      </c>
      <c r="AR70" s="1" t="str">
        <f>VLOOKUP(TRIM(AI70),Sheet1!$D$3:$E$36,2,FALSE)</f>
        <v>01</v>
      </c>
      <c r="AS70" s="90" t="str">
        <f t="shared" si="39"/>
        <v>01</v>
      </c>
      <c r="AT70" s="1" t="str">
        <f t="shared" si="40"/>
        <v>01</v>
      </c>
      <c r="AU70" s="90" t="s">
        <v>55</v>
      </c>
      <c r="AV70" s="90"/>
      <c r="AW70" s="90"/>
      <c r="AX70" s="95" t="str">
        <f>AQ70&amp;AR70&amp;AS70&amp;"-"&amp;AT70&amp;AU70&amp;BA70</f>
        <v>A0101-0110IND</v>
      </c>
      <c r="AY70" s="99" t="str">
        <f>AQ70&amp;AR70&amp;AS70&amp;"-"&amp;AT70&amp;BA70</f>
        <v>A0101-01IND</v>
      </c>
      <c r="AZ70" s="90"/>
      <c r="BA70" s="1" t="str">
        <f t="shared" si="41"/>
        <v>IND</v>
      </c>
      <c r="BC70" s="1">
        <f t="shared" si="25"/>
        <v>1</v>
      </c>
      <c r="BD70" s="90">
        <f t="shared" si="26"/>
        <v>1</v>
      </c>
      <c r="BE70" s="1">
        <f t="shared" si="21"/>
        <v>1</v>
      </c>
      <c r="BF70" s="1">
        <f t="shared" si="22"/>
        <v>1</v>
      </c>
      <c r="BJ70" t="s">
        <v>352</v>
      </c>
      <c r="BK70" s="1">
        <v>12</v>
      </c>
      <c r="BL70"/>
      <c r="BM70" t="str">
        <f t="shared" si="20"/>
        <v>Hena bowl black-Hena bowl black-Hena bowl black-Hena bowl black-Hena bowl black-Hena bowl black-Hena bowl black-Hena bowl black-Hena bowl black-Hena bowl black-Hena bowl black-Hena bowl black-</v>
      </c>
    </row>
    <row r="71" spans="1:65" ht="11.25" customHeight="1">
      <c r="A71" s="26" t="s">
        <v>353</v>
      </c>
      <c r="B71" s="27" t="s">
        <v>347</v>
      </c>
      <c r="C71" s="28">
        <v>709.99</v>
      </c>
      <c r="D71" s="28">
        <f t="shared" si="29"/>
        <v>354.995</v>
      </c>
      <c r="E71" s="22" t="s">
        <v>40</v>
      </c>
      <c r="F71" s="22" t="s">
        <v>354</v>
      </c>
      <c r="G71" s="22" t="s">
        <v>349</v>
      </c>
      <c r="H71" s="22" t="s">
        <v>350</v>
      </c>
      <c r="I71" s="23" t="s">
        <v>58</v>
      </c>
      <c r="J71" s="22" t="s">
        <v>50</v>
      </c>
      <c r="K71" s="23">
        <v>75</v>
      </c>
      <c r="L71" s="23">
        <v>40</v>
      </c>
      <c r="M71" s="23">
        <v>75</v>
      </c>
      <c r="N71" s="3">
        <f t="shared" si="30"/>
        <v>0.22500000000000001</v>
      </c>
      <c r="O71" s="4" t="e">
        <f>(C71-(C71*#REF!))-((C71-(C71*#REF!))*#REF!)</f>
        <v>#REF!</v>
      </c>
      <c r="P71" s="7"/>
      <c r="Q71" s="7"/>
      <c r="R71" s="5">
        <f t="shared" si="31"/>
        <v>0</v>
      </c>
      <c r="S71" s="4">
        <f t="shared" si="32"/>
        <v>0</v>
      </c>
      <c r="T71" s="13">
        <f t="shared" si="33"/>
        <v>496.99300000000005</v>
      </c>
      <c r="U71" s="13">
        <f t="shared" si="42"/>
        <v>248.49650000000003</v>
      </c>
      <c r="V71" s="14">
        <f>U71/C71</f>
        <v>0.35000000000000003</v>
      </c>
      <c r="W71" s="14"/>
      <c r="X71" s="19">
        <f t="shared" si="27"/>
        <v>248.49650000000003</v>
      </c>
      <c r="Y71" s="19">
        <f t="shared" si="28"/>
        <v>496.99300000000005</v>
      </c>
      <c r="Z71" s="15" t="e">
        <f t="shared" si="23"/>
        <v>#DIV/0!</v>
      </c>
      <c r="AA71" s="22" t="s">
        <v>355</v>
      </c>
      <c r="AG71" s="94" t="s">
        <v>52</v>
      </c>
      <c r="AH71" s="89" t="str">
        <f>VLOOKUP(AG71,Sheet1!$B$3:$D$36,2,FALSE)</f>
        <v>Furniture</v>
      </c>
      <c r="AI71" s="89" t="s">
        <v>53</v>
      </c>
      <c r="AJ71" s="1" t="str">
        <f t="shared" si="34"/>
        <v>Mila square extension</v>
      </c>
      <c r="AK71" s="1" t="str">
        <f t="shared" si="35"/>
        <v>w75 x d40 x h75 x bh74</v>
      </c>
      <c r="AL71" s="1" t="str">
        <f t="shared" si="36"/>
        <v>Natural teak outdoor</v>
      </c>
      <c r="AM71" s="1" t="str">
        <f t="shared" si="37"/>
        <v>Natural teak outdoor</v>
      </c>
      <c r="AN71" s="1" t="str">
        <f>SUBSTITUTE(AL71,"outdoor","")</f>
        <v xml:space="preserve">Natural teak </v>
      </c>
      <c r="AO71" s="1" t="s">
        <v>59</v>
      </c>
      <c r="AQ71" s="1" t="str">
        <f t="shared" si="38"/>
        <v>A</v>
      </c>
      <c r="AR71" s="1" t="str">
        <f>VLOOKUP(TRIM(AI71),Sheet1!$D$3:$E$36,2,FALSE)</f>
        <v>01</v>
      </c>
      <c r="AS71" s="90" t="str">
        <f t="shared" si="39"/>
        <v>02</v>
      </c>
      <c r="AT71" s="1" t="str">
        <f t="shared" si="40"/>
        <v>02</v>
      </c>
      <c r="AU71" s="90" t="s">
        <v>55</v>
      </c>
      <c r="AV71" s="90"/>
      <c r="AW71" s="90"/>
      <c r="AX71" s="95" t="str">
        <f>AQ71&amp;AR71&amp;AS71&amp;"-"&amp;AT71&amp;AU71&amp;BA71</f>
        <v>A0102-0210OUT</v>
      </c>
      <c r="AY71" s="99" t="str">
        <f>AQ71&amp;AR71&amp;AS71&amp;"-"&amp;AT71&amp;BA71</f>
        <v>A0102-02OUT</v>
      </c>
      <c r="AZ71" s="90"/>
      <c r="BA71" s="1" t="str">
        <f t="shared" si="41"/>
        <v>OUT</v>
      </c>
      <c r="BC71" s="1" t="str">
        <f t="shared" si="25"/>
        <v/>
      </c>
      <c r="BD71" s="90">
        <f t="shared" si="26"/>
        <v>2</v>
      </c>
      <c r="BE71" s="1" t="str">
        <f t="shared" si="21"/>
        <v/>
      </c>
      <c r="BF71" s="1">
        <f t="shared" si="22"/>
        <v>2</v>
      </c>
      <c r="BJ71" t="s">
        <v>356</v>
      </c>
      <c r="BK71" s="1">
        <v>16</v>
      </c>
      <c r="BL71"/>
      <c r="BM71" t="str">
        <f t="shared" si="20"/>
        <v>Hena bowl white-Hena bowl white-Hena bowl white-Hena bowl white-Hena bowl white-Hena bowl white-Hena bowl white-Hena bowl white-Hena bowl white-Hena bowl white-Hena bowl white-Hena bowl white-Hena bowl white-Hena bowl white-Hena bowl white-Hena bowl white-</v>
      </c>
    </row>
    <row r="72" spans="1:65" ht="11.25" customHeight="1">
      <c r="A72" s="26" t="s">
        <v>357</v>
      </c>
      <c r="B72" s="27" t="s">
        <v>358</v>
      </c>
      <c r="C72" s="28">
        <v>3659.99</v>
      </c>
      <c r="D72" s="28">
        <f t="shared" si="29"/>
        <v>1829.9949999999999</v>
      </c>
      <c r="E72" s="22" t="s">
        <v>40</v>
      </c>
      <c r="F72" s="22" t="s">
        <v>359</v>
      </c>
      <c r="G72" s="22" t="s">
        <v>360</v>
      </c>
      <c r="H72" s="22" t="s">
        <v>361</v>
      </c>
      <c r="I72" s="23" t="s">
        <v>49</v>
      </c>
      <c r="J72" s="22" t="s">
        <v>50</v>
      </c>
      <c r="K72" s="23">
        <v>260</v>
      </c>
      <c r="L72" s="23">
        <v>85</v>
      </c>
      <c r="M72" s="23">
        <v>85</v>
      </c>
      <c r="N72" s="3">
        <f t="shared" si="30"/>
        <v>1.8785000000000001</v>
      </c>
      <c r="O72" s="4" t="e">
        <f>(C72-(C72*#REF!))-((C72-(C72*#REF!))*#REF!)</f>
        <v>#REF!</v>
      </c>
      <c r="P72" s="7"/>
      <c r="Q72" s="7"/>
      <c r="R72" s="5">
        <f t="shared" si="31"/>
        <v>0</v>
      </c>
      <c r="S72" s="4">
        <f t="shared" si="32"/>
        <v>0</v>
      </c>
      <c r="T72" s="13">
        <f t="shared" si="33"/>
        <v>2561.9929999999999</v>
      </c>
      <c r="U72" s="13">
        <f t="shared" si="42"/>
        <v>1280.9965</v>
      </c>
      <c r="V72" s="14">
        <f>U72/C72</f>
        <v>0.35000000000000003</v>
      </c>
      <c r="W72" s="14"/>
      <c r="X72" s="19">
        <f t="shared" si="27"/>
        <v>1280.9965</v>
      </c>
      <c r="Y72" s="19">
        <f t="shared" si="28"/>
        <v>2561.9929999999999</v>
      </c>
      <c r="Z72" s="15" t="e">
        <f t="shared" si="23"/>
        <v>#DIV/0!</v>
      </c>
      <c r="AA72" s="22" t="s">
        <v>362</v>
      </c>
      <c r="AG72" s="94" t="s">
        <v>52</v>
      </c>
      <c r="AH72" s="89" t="str">
        <f>VLOOKUP(AG72,Sheet1!$B$3:$D$36,2,FALSE)</f>
        <v>Furniture</v>
      </c>
      <c r="AI72" s="89" t="s">
        <v>53</v>
      </c>
      <c r="AJ72" s="1" t="str">
        <f t="shared" si="34"/>
        <v>Vitosha rectangular</v>
      </c>
      <c r="AK72" s="1" t="str">
        <f t="shared" si="35"/>
        <v>w260 x d85 x h85 x bh82</v>
      </c>
      <c r="AL72" s="1" t="str">
        <f t="shared" si="36"/>
        <v>Natural teak indoor</v>
      </c>
      <c r="AM72" s="1" t="str">
        <f t="shared" si="37"/>
        <v>Natural teak indoor</v>
      </c>
      <c r="AN72" s="1" t="str">
        <f>SUBSTITUTE(AL72,"indoor","")</f>
        <v xml:space="preserve">Natural teak </v>
      </c>
      <c r="AO72" s="1" t="s">
        <v>54</v>
      </c>
      <c r="AQ72" s="1" t="str">
        <f t="shared" si="38"/>
        <v>A</v>
      </c>
      <c r="AR72" s="1" t="str">
        <f>VLOOKUP(TRIM(AI72),Sheet1!$D$3:$E$36,2,FALSE)</f>
        <v>01</v>
      </c>
      <c r="AS72" s="90" t="str">
        <f t="shared" si="39"/>
        <v>01</v>
      </c>
      <c r="AT72" s="1" t="str">
        <f t="shared" si="40"/>
        <v>01</v>
      </c>
      <c r="AU72" s="90" t="s">
        <v>55</v>
      </c>
      <c r="AV72" s="90"/>
      <c r="AW72" s="90"/>
      <c r="AX72" s="95" t="str">
        <f>AQ72&amp;AR72&amp;AS72&amp;"-"&amp;AT72&amp;AU72&amp;BA72</f>
        <v>A0101-0110IND</v>
      </c>
      <c r="AY72" s="99" t="str">
        <f>AQ72&amp;AR72&amp;AS72&amp;"-"&amp;AT72&amp;BA72</f>
        <v>A0101-01IND</v>
      </c>
      <c r="AZ72" s="90"/>
      <c r="BA72" s="1" t="str">
        <f t="shared" si="41"/>
        <v>IND</v>
      </c>
      <c r="BC72" s="1">
        <f t="shared" si="25"/>
        <v>1</v>
      </c>
      <c r="BD72" s="90">
        <f t="shared" si="26"/>
        <v>1</v>
      </c>
      <c r="BE72" s="1">
        <f t="shared" si="21"/>
        <v>1</v>
      </c>
      <c r="BF72" s="1">
        <f t="shared" si="22"/>
        <v>1</v>
      </c>
      <c r="BJ72" t="s">
        <v>363</v>
      </c>
      <c r="BK72" s="1">
        <v>4</v>
      </c>
      <c r="BL72"/>
      <c r="BM72" t="str">
        <f t="shared" si="20"/>
        <v>Hena cup black-Hena cup black-Hena cup black-Hena cup black-</v>
      </c>
    </row>
    <row r="73" spans="1:65" ht="11.25" customHeight="1">
      <c r="A73" s="26" t="s">
        <v>364</v>
      </c>
      <c r="B73" s="27" t="s">
        <v>358</v>
      </c>
      <c r="C73" s="28">
        <v>3879.99</v>
      </c>
      <c r="D73" s="28">
        <f t="shared" si="29"/>
        <v>1939.9949999999999</v>
      </c>
      <c r="E73" s="22" t="s">
        <v>40</v>
      </c>
      <c r="F73" s="22" t="s">
        <v>365</v>
      </c>
      <c r="G73" s="22" t="s">
        <v>360</v>
      </c>
      <c r="H73" s="22" t="s">
        <v>366</v>
      </c>
      <c r="I73" s="23" t="s">
        <v>58</v>
      </c>
      <c r="J73" s="22" t="s">
        <v>50</v>
      </c>
      <c r="K73" s="23">
        <v>260</v>
      </c>
      <c r="L73" s="23">
        <v>85</v>
      </c>
      <c r="M73" s="23">
        <v>85</v>
      </c>
      <c r="N73" s="3">
        <f t="shared" si="30"/>
        <v>1.8785000000000001</v>
      </c>
      <c r="O73" s="4" t="e">
        <f>(C73-(C73*#REF!))-((C73-(C73*#REF!))*#REF!)</f>
        <v>#REF!</v>
      </c>
      <c r="P73" s="7"/>
      <c r="Q73" s="7"/>
      <c r="R73" s="5">
        <f t="shared" si="31"/>
        <v>0</v>
      </c>
      <c r="S73" s="4">
        <f t="shared" si="32"/>
        <v>0</v>
      </c>
      <c r="T73" s="13">
        <f t="shared" si="33"/>
        <v>2715.9929999999999</v>
      </c>
      <c r="U73" s="13">
        <f t="shared" si="42"/>
        <v>1357.9965</v>
      </c>
      <c r="V73" s="14">
        <f>U73/C73</f>
        <v>0.35000000000000003</v>
      </c>
      <c r="W73" s="14"/>
      <c r="X73" s="19">
        <f t="shared" si="27"/>
        <v>1357.9965</v>
      </c>
      <c r="Y73" s="19">
        <f t="shared" si="28"/>
        <v>2715.9929999999999</v>
      </c>
      <c r="Z73" s="15" t="e">
        <f t="shared" si="23"/>
        <v>#DIV/0!</v>
      </c>
      <c r="AA73" s="22" t="s">
        <v>367</v>
      </c>
      <c r="AG73" s="94" t="s">
        <v>52</v>
      </c>
      <c r="AH73" s="89" t="str">
        <f>VLOOKUP(AG73,Sheet1!$B$3:$D$36,2,FALSE)</f>
        <v>Furniture</v>
      </c>
      <c r="AI73" s="89" t="s">
        <v>53</v>
      </c>
      <c r="AJ73" s="1" t="str">
        <f t="shared" si="34"/>
        <v>Vitosha rectangular</v>
      </c>
      <c r="AK73" s="1" t="str">
        <f t="shared" si="35"/>
        <v>W260 x d85 x h85 x bh82</v>
      </c>
      <c r="AL73" s="1" t="str">
        <f t="shared" si="36"/>
        <v>Natural teak outdoor</v>
      </c>
      <c r="AM73" s="1" t="str">
        <f t="shared" si="37"/>
        <v>Natural teak outdoor</v>
      </c>
      <c r="AN73" s="1" t="str">
        <f>SUBSTITUTE(AL73,"outdoor","")</f>
        <v xml:space="preserve">Natural teak </v>
      </c>
      <c r="AO73" s="1" t="s">
        <v>59</v>
      </c>
      <c r="AQ73" s="1" t="str">
        <f t="shared" si="38"/>
        <v>A</v>
      </c>
      <c r="AR73" s="1" t="str">
        <f>VLOOKUP(TRIM(AI73),Sheet1!$D$3:$E$36,2,FALSE)</f>
        <v>01</v>
      </c>
      <c r="AS73" s="90" t="str">
        <f t="shared" si="39"/>
        <v>02</v>
      </c>
      <c r="AT73" s="1" t="str">
        <f t="shared" si="40"/>
        <v>02</v>
      </c>
      <c r="AU73" s="90" t="s">
        <v>55</v>
      </c>
      <c r="AV73" s="90"/>
      <c r="AW73" s="90"/>
      <c r="AX73" s="95" t="str">
        <f>AQ73&amp;AR73&amp;AS73&amp;"-"&amp;AT73&amp;AU73&amp;BA73</f>
        <v>A0102-0210OUT</v>
      </c>
      <c r="AY73" s="99" t="str">
        <f>AQ73&amp;AR73&amp;AS73&amp;"-"&amp;AT73&amp;BA73</f>
        <v>A0102-02OUT</v>
      </c>
      <c r="AZ73" s="90"/>
      <c r="BA73" s="1" t="str">
        <f t="shared" si="41"/>
        <v>OUT</v>
      </c>
      <c r="BC73" s="1" t="str">
        <f t="shared" si="25"/>
        <v/>
      </c>
      <c r="BD73" s="90">
        <f t="shared" si="26"/>
        <v>2</v>
      </c>
      <c r="BE73" s="1" t="str">
        <f t="shared" si="21"/>
        <v/>
      </c>
      <c r="BF73" s="1">
        <f t="shared" si="22"/>
        <v>2</v>
      </c>
      <c r="BJ73" t="s">
        <v>368</v>
      </c>
      <c r="BK73" s="1">
        <v>9</v>
      </c>
      <c r="BL73"/>
      <c r="BM73" t="str">
        <f t="shared" ref="BM73:BM136" si="43">REPT(BJ73&amp;"-",BK73)</f>
        <v>Hena cup clear-Hena cup clear-Hena cup clear-Hena cup clear-Hena cup clear-Hena cup clear-Hena cup clear-Hena cup clear-Hena cup clear-</v>
      </c>
    </row>
    <row r="74" spans="1:65" ht="11.25" customHeight="1">
      <c r="A74" s="26" t="s">
        <v>369</v>
      </c>
      <c r="B74" s="27" t="s">
        <v>370</v>
      </c>
      <c r="C74" s="28">
        <v>2039.99</v>
      </c>
      <c r="D74" s="28">
        <f t="shared" si="29"/>
        <v>1019.995</v>
      </c>
      <c r="E74" s="22" t="s">
        <v>40</v>
      </c>
      <c r="F74" s="22" t="s">
        <v>371</v>
      </c>
      <c r="G74" s="22" t="s">
        <v>82</v>
      </c>
      <c r="H74" s="22" t="s">
        <v>88</v>
      </c>
      <c r="I74" s="23" t="s">
        <v>49</v>
      </c>
      <c r="J74" s="22" t="s">
        <v>50</v>
      </c>
      <c r="L74" s="23">
        <v>130</v>
      </c>
      <c r="M74" s="23">
        <v>75</v>
      </c>
      <c r="N74" s="3">
        <f t="shared" si="30"/>
        <v>1.2675000000000001</v>
      </c>
      <c r="O74" s="4" t="e">
        <f>(C74-(C74*#REF!))-((C74-(C74*#REF!))*#REF!)</f>
        <v>#REF!</v>
      </c>
      <c r="P74" s="7">
        <v>4061371.5540411826</v>
      </c>
      <c r="Q74" s="7">
        <v>0</v>
      </c>
      <c r="R74" s="5">
        <f t="shared" si="31"/>
        <v>4061371.5540411826</v>
      </c>
      <c r="S74" s="4">
        <f t="shared" si="32"/>
        <v>270.75810360274551</v>
      </c>
      <c r="T74" s="13">
        <f t="shared" si="33"/>
        <v>1427.9929999999999</v>
      </c>
      <c r="U74" s="13">
        <f t="shared" si="42"/>
        <v>713.99649999999997</v>
      </c>
      <c r="V74" s="14">
        <f>U74/C74</f>
        <v>0.35</v>
      </c>
      <c r="W74" s="14"/>
      <c r="X74" s="19">
        <f t="shared" si="27"/>
        <v>713.99649999999997</v>
      </c>
      <c r="Y74" s="19">
        <f t="shared" si="28"/>
        <v>1427.9929999999999</v>
      </c>
      <c r="Z74" s="15">
        <f t="shared" si="23"/>
        <v>2.6370272597549689</v>
      </c>
      <c r="AA74" s="22" t="s">
        <v>372</v>
      </c>
      <c r="AG74" s="94" t="s">
        <v>52</v>
      </c>
      <c r="AH74" s="89" t="str">
        <f>VLOOKUP(AG74,Sheet1!$B$3:$D$36,2,FALSE)</f>
        <v>Furniture</v>
      </c>
      <c r="AI74" s="89" t="s">
        <v>53</v>
      </c>
      <c r="AJ74" s="1" t="str">
        <f t="shared" si="34"/>
        <v>Asen round</v>
      </c>
      <c r="AK74" s="1" t="str">
        <f t="shared" si="35"/>
        <v>d130 x h75 x bh70</v>
      </c>
      <c r="AL74" s="1" t="str">
        <f t="shared" si="36"/>
        <v>Natural teak indoor</v>
      </c>
      <c r="AM74" s="1" t="str">
        <f t="shared" si="37"/>
        <v>Natural teak indoor</v>
      </c>
      <c r="AN74" s="1" t="str">
        <f>SUBSTITUTE(AL74,"indoor","")</f>
        <v xml:space="preserve">Natural teak </v>
      </c>
      <c r="AO74" s="1" t="s">
        <v>54</v>
      </c>
      <c r="AQ74" s="1" t="str">
        <f t="shared" si="38"/>
        <v>A</v>
      </c>
      <c r="AR74" s="1" t="str">
        <f>VLOOKUP(TRIM(AI74),Sheet1!$D$3:$E$36,2,FALSE)</f>
        <v>01</v>
      </c>
      <c r="AS74" s="90" t="str">
        <f t="shared" si="39"/>
        <v>01</v>
      </c>
      <c r="AT74" s="1" t="str">
        <f t="shared" si="40"/>
        <v>01</v>
      </c>
      <c r="AU74" s="90" t="s">
        <v>55</v>
      </c>
      <c r="AV74" s="90"/>
      <c r="AW74" s="90"/>
      <c r="AX74" s="95" t="str">
        <f>AQ74&amp;AR74&amp;AS74&amp;"-"&amp;AT74&amp;AU74&amp;BA74</f>
        <v>A0101-0110IND</v>
      </c>
      <c r="AY74" s="99" t="str">
        <f>AQ74&amp;AR74&amp;AS74&amp;"-"&amp;AT74&amp;BA74</f>
        <v>A0101-01IND</v>
      </c>
      <c r="AZ74" s="90"/>
      <c r="BA74" s="1" t="str">
        <f t="shared" si="41"/>
        <v>IND</v>
      </c>
      <c r="BC74" s="1">
        <f t="shared" si="25"/>
        <v>1</v>
      </c>
      <c r="BD74" s="90">
        <f t="shared" si="26"/>
        <v>1</v>
      </c>
      <c r="BE74" s="1">
        <f t="shared" si="21"/>
        <v>1</v>
      </c>
      <c r="BF74" s="1">
        <f t="shared" si="22"/>
        <v>1</v>
      </c>
      <c r="BJ74" t="s">
        <v>373</v>
      </c>
      <c r="BK74" s="1">
        <v>9</v>
      </c>
      <c r="BL74"/>
      <c r="BM74" t="str">
        <f t="shared" si="43"/>
        <v>Hena cup clear matte-Hena cup clear matte-Hena cup clear matte-Hena cup clear matte-Hena cup clear matte-Hena cup clear matte-Hena cup clear matte-Hena cup clear matte-Hena cup clear matte-</v>
      </c>
    </row>
    <row r="75" spans="1:65" ht="11.25" customHeight="1">
      <c r="A75" s="26" t="s">
        <v>374</v>
      </c>
      <c r="B75" s="27" t="s">
        <v>370</v>
      </c>
      <c r="C75" s="28">
        <v>2869.99</v>
      </c>
      <c r="D75" s="28">
        <f t="shared" si="29"/>
        <v>1434.9949999999999</v>
      </c>
      <c r="E75" s="22" t="s">
        <v>40</v>
      </c>
      <c r="F75" s="22" t="s">
        <v>375</v>
      </c>
      <c r="G75" s="22" t="s">
        <v>82</v>
      </c>
      <c r="H75" s="22" t="s">
        <v>88</v>
      </c>
      <c r="I75" s="23" t="s">
        <v>58</v>
      </c>
      <c r="J75" s="22" t="s">
        <v>50</v>
      </c>
      <c r="L75" s="23">
        <v>130</v>
      </c>
      <c r="M75" s="23">
        <v>75</v>
      </c>
      <c r="N75" s="3">
        <f t="shared" si="30"/>
        <v>1.2675000000000001</v>
      </c>
      <c r="O75" s="4" t="e">
        <f>(C75-(C75*#REF!))-((C75-(C75*#REF!))*#REF!)</f>
        <v>#REF!</v>
      </c>
      <c r="P75" s="7">
        <v>3851450.2415411826</v>
      </c>
      <c r="Q75" s="7">
        <v>0</v>
      </c>
      <c r="R75" s="5">
        <f t="shared" si="31"/>
        <v>3851450.2415411826</v>
      </c>
      <c r="S75" s="4">
        <f t="shared" si="32"/>
        <v>256.76334943607884</v>
      </c>
      <c r="T75" s="13">
        <f t="shared" si="33"/>
        <v>2008.9929999999999</v>
      </c>
      <c r="U75" s="13">
        <f t="shared" si="42"/>
        <v>1004.4965</v>
      </c>
      <c r="V75" s="14">
        <f>U75/C75</f>
        <v>0.35000000000000003</v>
      </c>
      <c r="W75" s="14"/>
      <c r="X75" s="19">
        <f t="shared" si="27"/>
        <v>1004.4965</v>
      </c>
      <c r="Y75" s="19">
        <f t="shared" si="28"/>
        <v>2008.9929999999999</v>
      </c>
      <c r="Z75" s="15">
        <f t="shared" si="23"/>
        <v>3.9121490750379428</v>
      </c>
      <c r="AA75" s="22" t="s">
        <v>376</v>
      </c>
      <c r="AG75" s="94" t="s">
        <v>52</v>
      </c>
      <c r="AH75" s="89" t="str">
        <f>VLOOKUP(AG75,Sheet1!$B$3:$D$36,2,FALSE)</f>
        <v>Furniture</v>
      </c>
      <c r="AI75" s="89" t="s">
        <v>53</v>
      </c>
      <c r="AJ75" s="1" t="str">
        <f t="shared" si="34"/>
        <v>Asen round</v>
      </c>
      <c r="AK75" s="1" t="str">
        <f t="shared" si="35"/>
        <v>d130 x h75 x bh70</v>
      </c>
      <c r="AL75" s="1" t="str">
        <f t="shared" si="36"/>
        <v>Natural teak outdoor</v>
      </c>
      <c r="AM75" s="1" t="str">
        <f t="shared" si="37"/>
        <v>Natural teak outdoor</v>
      </c>
      <c r="AN75" s="1" t="str">
        <f>SUBSTITUTE(AL75,"outdoor","")</f>
        <v xml:space="preserve">Natural teak </v>
      </c>
      <c r="AO75" s="1" t="s">
        <v>59</v>
      </c>
      <c r="AQ75" s="1" t="str">
        <f t="shared" si="38"/>
        <v>A</v>
      </c>
      <c r="AR75" s="1" t="str">
        <f>VLOOKUP(TRIM(AI75),Sheet1!$D$3:$E$36,2,FALSE)</f>
        <v>01</v>
      </c>
      <c r="AS75" s="90" t="str">
        <f t="shared" si="39"/>
        <v>02</v>
      </c>
      <c r="AT75" s="1" t="str">
        <f t="shared" si="40"/>
        <v>02</v>
      </c>
      <c r="AU75" s="90" t="s">
        <v>55</v>
      </c>
      <c r="AV75" s="90"/>
      <c r="AW75" s="90"/>
      <c r="AX75" s="95" t="str">
        <f>AQ75&amp;AR75&amp;AS75&amp;"-"&amp;AT75&amp;AU75&amp;BA75</f>
        <v>A0102-0210OUT</v>
      </c>
      <c r="AY75" s="99" t="str">
        <f>AQ75&amp;AR75&amp;AS75&amp;"-"&amp;AT75&amp;BA75</f>
        <v>A0102-02OUT</v>
      </c>
      <c r="AZ75" s="90"/>
      <c r="BA75" s="1" t="str">
        <f t="shared" si="41"/>
        <v>OUT</v>
      </c>
      <c r="BC75" s="1" t="str">
        <f t="shared" si="25"/>
        <v/>
      </c>
      <c r="BD75" s="90">
        <f t="shared" si="26"/>
        <v>2</v>
      </c>
      <c r="BE75" s="1" t="str">
        <f t="shared" si="21"/>
        <v/>
      </c>
      <c r="BF75" s="1">
        <f t="shared" si="22"/>
        <v>2</v>
      </c>
      <c r="BJ75" t="s">
        <v>377</v>
      </c>
      <c r="BK75" s="1">
        <v>9</v>
      </c>
      <c r="BL75"/>
      <c r="BM75" t="str">
        <f t="shared" si="43"/>
        <v>Hena cup clear snow-Hena cup clear snow-Hena cup clear snow-Hena cup clear snow-Hena cup clear snow-Hena cup clear snow-Hena cup clear snow-Hena cup clear snow-Hena cup clear snow-</v>
      </c>
    </row>
    <row r="76" spans="1:65" ht="11.25" customHeight="1">
      <c r="A76" s="26" t="s">
        <v>378</v>
      </c>
      <c r="B76" s="27" t="s">
        <v>370</v>
      </c>
      <c r="C76" s="28">
        <v>2139.9899999999998</v>
      </c>
      <c r="D76" s="28">
        <f t="shared" si="29"/>
        <v>1069.9949999999999</v>
      </c>
      <c r="E76" s="22" t="s">
        <v>40</v>
      </c>
      <c r="F76" s="22" t="s">
        <v>379</v>
      </c>
      <c r="G76" s="22" t="s">
        <v>82</v>
      </c>
      <c r="H76" s="22" t="s">
        <v>202</v>
      </c>
      <c r="I76" s="23" t="s">
        <v>49</v>
      </c>
      <c r="J76" s="22" t="s">
        <v>50</v>
      </c>
      <c r="L76" s="23">
        <v>160</v>
      </c>
      <c r="M76" s="23">
        <v>75</v>
      </c>
      <c r="N76" s="3">
        <f t="shared" si="30"/>
        <v>1.92</v>
      </c>
      <c r="O76" s="4" t="e">
        <f>(C76-(C76*#REF!))-((C76-(C76*#REF!))*#REF!)</f>
        <v>#REF!</v>
      </c>
      <c r="P76" s="7">
        <v>5321340.9925039569</v>
      </c>
      <c r="Q76" s="7">
        <v>0</v>
      </c>
      <c r="R76" s="5">
        <f t="shared" si="31"/>
        <v>5321340.9925039569</v>
      </c>
      <c r="S76" s="4">
        <f t="shared" si="32"/>
        <v>354.75606616693045</v>
      </c>
      <c r="T76" s="13">
        <f t="shared" si="33"/>
        <v>1497.9929999999999</v>
      </c>
      <c r="U76" s="13">
        <f t="shared" si="42"/>
        <v>748.99649999999997</v>
      </c>
      <c r="V76" s="14">
        <f>U76/C76</f>
        <v>0.35000000000000003</v>
      </c>
      <c r="W76" s="14"/>
      <c r="X76" s="19">
        <f t="shared" si="27"/>
        <v>748.99649999999997</v>
      </c>
      <c r="Y76" s="19">
        <f t="shared" si="28"/>
        <v>1497.9929999999999</v>
      </c>
      <c r="Z76" s="15">
        <f t="shared" si="23"/>
        <v>2.1113000493346314</v>
      </c>
      <c r="AA76" s="22" t="s">
        <v>380</v>
      </c>
      <c r="AG76" s="94" t="s">
        <v>52</v>
      </c>
      <c r="AH76" s="89" t="str">
        <f>VLOOKUP(AG76,Sheet1!$B$3:$D$36,2,FALSE)</f>
        <v>Furniture</v>
      </c>
      <c r="AI76" s="89" t="s">
        <v>53</v>
      </c>
      <c r="AJ76" s="1" t="str">
        <f t="shared" si="34"/>
        <v>Asen round</v>
      </c>
      <c r="AK76" s="1" t="str">
        <f t="shared" si="35"/>
        <v>d160 x h75 x bh70</v>
      </c>
      <c r="AL76" s="1" t="str">
        <f t="shared" si="36"/>
        <v>Natural teak indoor</v>
      </c>
      <c r="AM76" s="1" t="str">
        <f t="shared" si="37"/>
        <v>Natural teak indoor</v>
      </c>
      <c r="AN76" s="1" t="str">
        <f>SUBSTITUTE(AL76,"indoor","")</f>
        <v xml:space="preserve">Natural teak </v>
      </c>
      <c r="AO76" s="1" t="s">
        <v>54</v>
      </c>
      <c r="AQ76" s="1" t="str">
        <f t="shared" si="38"/>
        <v>A</v>
      </c>
      <c r="AR76" s="1" t="str">
        <f>VLOOKUP(TRIM(AI76),Sheet1!$D$3:$E$36,2,FALSE)</f>
        <v>01</v>
      </c>
      <c r="AS76" s="90" t="str">
        <f t="shared" si="39"/>
        <v>03</v>
      </c>
      <c r="AT76" s="1" t="str">
        <f t="shared" si="40"/>
        <v>01</v>
      </c>
      <c r="AU76" s="90" t="s">
        <v>55</v>
      </c>
      <c r="AV76" s="90"/>
      <c r="AW76" s="90"/>
      <c r="AX76" s="95" t="str">
        <f>AQ76&amp;AR76&amp;AS76&amp;"-"&amp;AT76&amp;AU76&amp;BA76</f>
        <v>A0103-0110IND</v>
      </c>
      <c r="AY76" s="99" t="str">
        <f>AQ76&amp;AR76&amp;AS76&amp;"-"&amp;AT76&amp;BA76</f>
        <v>A0103-01IND</v>
      </c>
      <c r="AZ76" s="90"/>
      <c r="BA76" s="1" t="str">
        <f t="shared" si="41"/>
        <v>IND</v>
      </c>
      <c r="BC76" s="1" t="str">
        <f t="shared" si="25"/>
        <v/>
      </c>
      <c r="BD76" s="90">
        <f t="shared" si="26"/>
        <v>3</v>
      </c>
      <c r="BE76" s="1">
        <f t="shared" si="21"/>
        <v>1</v>
      </c>
      <c r="BF76" s="1">
        <f t="shared" si="22"/>
        <v>1</v>
      </c>
      <c r="BJ76" t="s">
        <v>381</v>
      </c>
      <c r="BK76" s="1">
        <v>9</v>
      </c>
      <c r="BL76"/>
      <c r="BM76" t="str">
        <f t="shared" si="43"/>
        <v>Hena cup crackle-Hena cup crackle-Hena cup crackle-Hena cup crackle-Hena cup crackle-Hena cup crackle-Hena cup crackle-Hena cup crackle-Hena cup crackle-</v>
      </c>
    </row>
    <row r="77" spans="1:65" ht="11.25" customHeight="1">
      <c r="A77" s="26" t="s">
        <v>382</v>
      </c>
      <c r="B77" s="27" t="s">
        <v>370</v>
      </c>
      <c r="C77" s="28">
        <v>3089.99</v>
      </c>
      <c r="D77" s="28">
        <f t="shared" si="29"/>
        <v>1544.9949999999999</v>
      </c>
      <c r="E77" s="22" t="s">
        <v>40</v>
      </c>
      <c r="F77" s="22" t="s">
        <v>383</v>
      </c>
      <c r="G77" s="22" t="s">
        <v>82</v>
      </c>
      <c r="H77" s="22" t="s">
        <v>202</v>
      </c>
      <c r="I77" s="23" t="s">
        <v>58</v>
      </c>
      <c r="J77" s="22" t="s">
        <v>50</v>
      </c>
      <c r="L77" s="23">
        <v>160</v>
      </c>
      <c r="M77" s="23">
        <v>75</v>
      </c>
      <c r="N77" s="3">
        <f t="shared" si="30"/>
        <v>1.92</v>
      </c>
      <c r="O77" s="4" t="e">
        <f>(C77-(C77*#REF!))-((C77-(C77*#REF!))*#REF!)</f>
        <v>#REF!</v>
      </c>
      <c r="P77" s="7">
        <v>5070729.2382909935</v>
      </c>
      <c r="Q77" s="7">
        <v>0</v>
      </c>
      <c r="R77" s="5">
        <f t="shared" si="31"/>
        <v>5070729.2382909935</v>
      </c>
      <c r="S77" s="4">
        <f t="shared" si="32"/>
        <v>338.04861588606622</v>
      </c>
      <c r="T77" s="13">
        <f t="shared" si="33"/>
        <v>2162.9929999999999</v>
      </c>
      <c r="U77" s="13">
        <f t="shared" si="42"/>
        <v>1081.4965</v>
      </c>
      <c r="V77" s="14">
        <f>U77/C77</f>
        <v>0.35000000000000003</v>
      </c>
      <c r="W77" s="14"/>
      <c r="X77" s="19">
        <f t="shared" si="27"/>
        <v>1081.4965</v>
      </c>
      <c r="Y77" s="19">
        <f t="shared" si="28"/>
        <v>2162.9929999999999</v>
      </c>
      <c r="Z77" s="15">
        <f t="shared" si="23"/>
        <v>3.1992336284686957</v>
      </c>
      <c r="AA77" s="22" t="s">
        <v>384</v>
      </c>
      <c r="AG77" s="94" t="s">
        <v>52</v>
      </c>
      <c r="AH77" s="89" t="str">
        <f>VLOOKUP(AG77,Sheet1!$B$3:$D$36,2,FALSE)</f>
        <v>Furniture</v>
      </c>
      <c r="AI77" s="89" t="s">
        <v>53</v>
      </c>
      <c r="AJ77" s="1" t="str">
        <f t="shared" si="34"/>
        <v>Asen round</v>
      </c>
      <c r="AK77" s="1" t="str">
        <f t="shared" si="35"/>
        <v>d160 x h75 x bh70</v>
      </c>
      <c r="AL77" s="1" t="str">
        <f t="shared" si="36"/>
        <v>Natural teak outdoor</v>
      </c>
      <c r="AM77" s="1" t="str">
        <f t="shared" si="37"/>
        <v>Natural teak outdoor</v>
      </c>
      <c r="AN77" s="1" t="str">
        <f>SUBSTITUTE(AL77,"outdoor","")</f>
        <v xml:space="preserve">Natural teak </v>
      </c>
      <c r="AO77" s="1" t="s">
        <v>59</v>
      </c>
      <c r="AQ77" s="1" t="str">
        <f t="shared" si="38"/>
        <v>A</v>
      </c>
      <c r="AR77" s="1" t="str">
        <f>VLOOKUP(TRIM(AI77),Sheet1!$D$3:$E$36,2,FALSE)</f>
        <v>01</v>
      </c>
      <c r="AS77" s="90" t="str">
        <f t="shared" si="39"/>
        <v>04</v>
      </c>
      <c r="AT77" s="1" t="str">
        <f t="shared" si="40"/>
        <v>02</v>
      </c>
      <c r="AU77" s="90" t="s">
        <v>55</v>
      </c>
      <c r="AV77" s="90"/>
      <c r="AW77" s="90"/>
      <c r="AX77" s="95" t="str">
        <f>AQ77&amp;AR77&amp;AS77&amp;"-"&amp;AT77&amp;AU77&amp;BA77</f>
        <v>A0104-0210OUT</v>
      </c>
      <c r="AY77" s="99" t="str">
        <f>AQ77&amp;AR77&amp;AS77&amp;"-"&amp;AT77&amp;BA77</f>
        <v>A0104-02OUT</v>
      </c>
      <c r="AZ77" s="90"/>
      <c r="BA77" s="1" t="str">
        <f t="shared" si="41"/>
        <v>OUT</v>
      </c>
      <c r="BC77" s="1" t="str">
        <f t="shared" si="25"/>
        <v/>
      </c>
      <c r="BD77" s="90">
        <f t="shared" si="26"/>
        <v>4</v>
      </c>
      <c r="BE77" s="1" t="str">
        <f t="shared" ref="BE77:BE140" si="44">IF(AK76&lt;&gt;AK77,1,"")</f>
        <v/>
      </c>
      <c r="BF77" s="1">
        <f t="shared" ref="BF77:BF140" si="45">IF(BE77=1,1,BF76+1)</f>
        <v>2</v>
      </c>
      <c r="BJ77" t="s">
        <v>385</v>
      </c>
      <c r="BK77" s="1">
        <v>9</v>
      </c>
      <c r="BL77"/>
      <c r="BM77" t="str">
        <f t="shared" si="43"/>
        <v>Hena cup grey-Hena cup grey-Hena cup grey-Hena cup grey-Hena cup grey-Hena cup grey-Hena cup grey-Hena cup grey-Hena cup grey-</v>
      </c>
    </row>
    <row r="78" spans="1:65" ht="11.25" customHeight="1">
      <c r="A78" s="26" t="s">
        <v>386</v>
      </c>
      <c r="B78" s="27" t="s">
        <v>387</v>
      </c>
      <c r="C78" s="28">
        <v>2679.99</v>
      </c>
      <c r="D78" s="28">
        <f t="shared" si="29"/>
        <v>1339.9949999999999</v>
      </c>
      <c r="E78" s="22" t="s">
        <v>40</v>
      </c>
      <c r="F78" s="22" t="s">
        <v>388</v>
      </c>
      <c r="G78" s="22" t="s">
        <v>389</v>
      </c>
      <c r="H78" s="22" t="s">
        <v>88</v>
      </c>
      <c r="I78" s="23" t="s">
        <v>49</v>
      </c>
      <c r="J78" s="22" t="s">
        <v>50</v>
      </c>
      <c r="L78" s="23">
        <v>130</v>
      </c>
      <c r="M78" s="23">
        <v>75</v>
      </c>
      <c r="N78" s="3">
        <f t="shared" si="30"/>
        <v>1.2675000000000001</v>
      </c>
      <c r="O78" s="4" t="e">
        <f>(C78-(C78*#REF!))-((C78-(C78*#REF!))*#REF!)</f>
        <v>#REF!</v>
      </c>
      <c r="P78" s="7">
        <v>3266086.1925034374</v>
      </c>
      <c r="Q78" s="7">
        <v>0</v>
      </c>
      <c r="R78" s="5">
        <f t="shared" si="31"/>
        <v>3266086.1925034374</v>
      </c>
      <c r="S78" s="4">
        <f t="shared" si="32"/>
        <v>217.73907950022917</v>
      </c>
      <c r="T78" s="13">
        <f t="shared" si="33"/>
        <v>1875.9929999999999</v>
      </c>
      <c r="U78" s="13">
        <f t="shared" si="42"/>
        <v>937.99649999999997</v>
      </c>
      <c r="V78" s="14">
        <f>U78/C78</f>
        <v>0.35000000000000003</v>
      </c>
      <c r="W78" s="14"/>
      <c r="X78" s="19">
        <f t="shared" si="27"/>
        <v>937.99649999999997</v>
      </c>
      <c r="Y78" s="19">
        <f t="shared" si="28"/>
        <v>1875.9929999999999</v>
      </c>
      <c r="Z78" s="15">
        <f t="shared" si="23"/>
        <v>4.3078922816839258</v>
      </c>
      <c r="AA78" s="22" t="s">
        <v>390</v>
      </c>
      <c r="AG78" s="94" t="s">
        <v>52</v>
      </c>
      <c r="AH78" s="89" t="str">
        <f>VLOOKUP(AG78,Sheet1!$B$3:$D$36,2,FALSE)</f>
        <v>Furniture</v>
      </c>
      <c r="AI78" s="89" t="s">
        <v>53</v>
      </c>
      <c r="AJ78" s="1" t="str">
        <f t="shared" si="34"/>
        <v>Neva round</v>
      </c>
      <c r="AK78" s="1" t="str">
        <f t="shared" si="35"/>
        <v>d130 x h75 x bh70</v>
      </c>
      <c r="AL78" s="1" t="str">
        <f t="shared" si="36"/>
        <v>Natural teak indoor</v>
      </c>
      <c r="AM78" s="1" t="str">
        <f t="shared" si="37"/>
        <v>Natural teak indoor</v>
      </c>
      <c r="AN78" s="1" t="str">
        <f>SUBSTITUTE(AL78,"indoor","")</f>
        <v xml:space="preserve">Natural teak </v>
      </c>
      <c r="AO78" s="1" t="s">
        <v>54</v>
      </c>
      <c r="AQ78" s="1" t="str">
        <f t="shared" si="38"/>
        <v>A</v>
      </c>
      <c r="AR78" s="1" t="str">
        <f>VLOOKUP(TRIM(AI78),Sheet1!$D$3:$E$36,2,FALSE)</f>
        <v>01</v>
      </c>
      <c r="AS78" s="90" t="str">
        <f t="shared" si="39"/>
        <v>01</v>
      </c>
      <c r="AT78" s="1" t="str">
        <f t="shared" si="40"/>
        <v>01</v>
      </c>
      <c r="AU78" s="90" t="s">
        <v>55</v>
      </c>
      <c r="AV78" s="90"/>
      <c r="AW78" s="90"/>
      <c r="AX78" s="95" t="str">
        <f>AQ78&amp;AR78&amp;AS78&amp;"-"&amp;AT78&amp;AU78&amp;BA78</f>
        <v>A0101-0110IND</v>
      </c>
      <c r="AY78" s="99" t="str">
        <f>AQ78&amp;AR78&amp;AS78&amp;"-"&amp;AT78&amp;BA78</f>
        <v>A0101-01IND</v>
      </c>
      <c r="AZ78" s="90"/>
      <c r="BA78" s="1" t="str">
        <f t="shared" si="41"/>
        <v>IND</v>
      </c>
      <c r="BC78" s="1">
        <f t="shared" si="25"/>
        <v>1</v>
      </c>
      <c r="BD78" s="90">
        <f t="shared" si="26"/>
        <v>1</v>
      </c>
      <c r="BE78" s="1">
        <f t="shared" si="44"/>
        <v>1</v>
      </c>
      <c r="BF78" s="1">
        <f t="shared" si="45"/>
        <v>1</v>
      </c>
      <c r="BJ78" t="s">
        <v>391</v>
      </c>
      <c r="BK78" s="1">
        <v>9</v>
      </c>
      <c r="BL78"/>
      <c r="BM78" t="str">
        <f t="shared" si="43"/>
        <v>Hena cup grey matte-Hena cup grey matte-Hena cup grey matte-Hena cup grey matte-Hena cup grey matte-Hena cup grey matte-Hena cup grey matte-Hena cup grey matte-Hena cup grey matte-</v>
      </c>
    </row>
    <row r="79" spans="1:65" ht="11.25" customHeight="1">
      <c r="A79" s="26" t="s">
        <v>392</v>
      </c>
      <c r="B79" s="27" t="s">
        <v>387</v>
      </c>
      <c r="C79" s="28">
        <v>2789.99</v>
      </c>
      <c r="D79" s="28">
        <f t="shared" si="29"/>
        <v>1394.9949999999999</v>
      </c>
      <c r="E79" s="22" t="s">
        <v>40</v>
      </c>
      <c r="F79" s="22" t="s">
        <v>393</v>
      </c>
      <c r="G79" s="22" t="s">
        <v>389</v>
      </c>
      <c r="H79" s="22" t="s">
        <v>88</v>
      </c>
      <c r="I79" s="23" t="s">
        <v>58</v>
      </c>
      <c r="J79" s="22" t="s">
        <v>50</v>
      </c>
      <c r="L79" s="23">
        <v>130</v>
      </c>
      <c r="M79" s="23">
        <v>75</v>
      </c>
      <c r="N79" s="3">
        <f t="shared" si="30"/>
        <v>1.2675000000000001</v>
      </c>
      <c r="O79" s="4" t="e">
        <f>(C79-(C79*#REF!))-((C79-(C79*#REF!))*#REF!)</f>
        <v>#REF!</v>
      </c>
      <c r="P79" s="7">
        <v>3204857.6103275116</v>
      </c>
      <c r="Q79" s="7">
        <v>0</v>
      </c>
      <c r="R79" s="5">
        <f t="shared" si="31"/>
        <v>3204857.6103275116</v>
      </c>
      <c r="S79" s="4">
        <f t="shared" si="32"/>
        <v>213.65717402183409</v>
      </c>
      <c r="T79" s="13">
        <f t="shared" si="33"/>
        <v>1952.9929999999999</v>
      </c>
      <c r="U79" s="13">
        <f t="shared" si="42"/>
        <v>976.49649999999997</v>
      </c>
      <c r="V79" s="14">
        <f>U79/C79</f>
        <v>0.35000000000000003</v>
      </c>
      <c r="W79" s="14"/>
      <c r="X79" s="19">
        <f t="shared" si="27"/>
        <v>976.49649999999997</v>
      </c>
      <c r="Y79" s="19">
        <f t="shared" si="28"/>
        <v>1952.9929999999999</v>
      </c>
      <c r="Z79" s="15">
        <f t="shared" si="23"/>
        <v>4.5703894777725074</v>
      </c>
      <c r="AA79" s="22" t="s">
        <v>390</v>
      </c>
      <c r="AG79" s="94" t="s">
        <v>52</v>
      </c>
      <c r="AH79" s="89" t="str">
        <f>VLOOKUP(AG79,Sheet1!$B$3:$D$36,2,FALSE)</f>
        <v>Furniture</v>
      </c>
      <c r="AI79" s="89" t="s">
        <v>53</v>
      </c>
      <c r="AJ79" s="1" t="str">
        <f t="shared" si="34"/>
        <v>Neva round</v>
      </c>
      <c r="AK79" s="1" t="str">
        <f t="shared" si="35"/>
        <v>d130 x h75 x bh70</v>
      </c>
      <c r="AL79" s="1" t="str">
        <f t="shared" si="36"/>
        <v>Natural teak outdoor</v>
      </c>
      <c r="AM79" s="1" t="str">
        <f t="shared" si="37"/>
        <v>Natural teak outdoor</v>
      </c>
      <c r="AN79" s="1" t="str">
        <f>SUBSTITUTE(AL79,"outdoor","")</f>
        <v xml:space="preserve">Natural teak </v>
      </c>
      <c r="AO79" s="1" t="s">
        <v>59</v>
      </c>
      <c r="AQ79" s="1" t="str">
        <f t="shared" si="38"/>
        <v>A</v>
      </c>
      <c r="AR79" s="1" t="str">
        <f>VLOOKUP(TRIM(AI79),Sheet1!$D$3:$E$36,2,FALSE)</f>
        <v>01</v>
      </c>
      <c r="AS79" s="90" t="str">
        <f t="shared" si="39"/>
        <v>02</v>
      </c>
      <c r="AT79" s="1" t="str">
        <f t="shared" si="40"/>
        <v>02</v>
      </c>
      <c r="AU79" s="90" t="s">
        <v>55</v>
      </c>
      <c r="AV79" s="90"/>
      <c r="AW79" s="90"/>
      <c r="AX79" s="95" t="str">
        <f>AQ79&amp;AR79&amp;AS79&amp;"-"&amp;AT79&amp;AU79&amp;BA79</f>
        <v>A0102-0210OUT</v>
      </c>
      <c r="AY79" s="99" t="str">
        <f>AQ79&amp;AR79&amp;AS79&amp;"-"&amp;AT79&amp;BA79</f>
        <v>A0102-02OUT</v>
      </c>
      <c r="AZ79" s="90"/>
      <c r="BA79" s="1" t="str">
        <f t="shared" si="41"/>
        <v>OUT</v>
      </c>
      <c r="BC79" s="1" t="str">
        <f t="shared" si="25"/>
        <v/>
      </c>
      <c r="BD79" s="90">
        <f t="shared" si="26"/>
        <v>2</v>
      </c>
      <c r="BE79" s="1" t="str">
        <f t="shared" si="44"/>
        <v/>
      </c>
      <c r="BF79" s="1">
        <f t="shared" si="45"/>
        <v>2</v>
      </c>
      <c r="BJ79" t="s">
        <v>394</v>
      </c>
      <c r="BK79" s="1">
        <v>9</v>
      </c>
      <c r="BL79"/>
      <c r="BM79" t="str">
        <f t="shared" si="43"/>
        <v>Hena cup grey snow-Hena cup grey snow-Hena cup grey snow-Hena cup grey snow-Hena cup grey snow-Hena cup grey snow-Hena cup grey snow-Hena cup grey snow-Hena cup grey snow-</v>
      </c>
    </row>
    <row r="80" spans="1:65" ht="11.25" customHeight="1">
      <c r="A80" s="26" t="s">
        <v>395</v>
      </c>
      <c r="B80" s="27" t="s">
        <v>387</v>
      </c>
      <c r="C80" s="28">
        <v>3499.99</v>
      </c>
      <c r="D80" s="28">
        <f t="shared" si="29"/>
        <v>1749.9949999999999</v>
      </c>
      <c r="E80" s="22" t="s">
        <v>40</v>
      </c>
      <c r="F80" s="22" t="s">
        <v>396</v>
      </c>
      <c r="G80" s="22" t="s">
        <v>389</v>
      </c>
      <c r="H80" s="22" t="s">
        <v>202</v>
      </c>
      <c r="I80" s="23" t="s">
        <v>49</v>
      </c>
      <c r="J80" s="22" t="s">
        <v>50</v>
      </c>
      <c r="L80" s="23">
        <v>160</v>
      </c>
      <c r="M80" s="23">
        <v>75</v>
      </c>
      <c r="N80" s="3">
        <f t="shared" si="30"/>
        <v>1.92</v>
      </c>
      <c r="O80" s="4" t="e">
        <f>(C80-(C80*#REF!))-((C80-(C80*#REF!))*#REF!)</f>
        <v>#REF!</v>
      </c>
      <c r="P80" s="7">
        <v>4899689.1685103429</v>
      </c>
      <c r="Q80" s="7">
        <v>0</v>
      </c>
      <c r="R80" s="5">
        <f t="shared" si="31"/>
        <v>4899689.1685103429</v>
      </c>
      <c r="S80" s="4">
        <f t="shared" si="32"/>
        <v>326.6459445673562</v>
      </c>
      <c r="T80" s="13">
        <f t="shared" si="33"/>
        <v>2449.9929999999999</v>
      </c>
      <c r="U80" s="13">
        <f t="shared" si="42"/>
        <v>1224.9965</v>
      </c>
      <c r="V80" s="14">
        <f>U80/C80</f>
        <v>0.35000000000000003</v>
      </c>
      <c r="W80" s="14"/>
      <c r="X80" s="19">
        <f t="shared" si="27"/>
        <v>1224.9965</v>
      </c>
      <c r="Y80" s="19">
        <f t="shared" si="28"/>
        <v>2449.9929999999999</v>
      </c>
      <c r="Z80" s="15">
        <f t="shared" si="23"/>
        <v>3.7502271813676198</v>
      </c>
      <c r="AA80" s="22" t="s">
        <v>397</v>
      </c>
      <c r="AG80" s="94" t="s">
        <v>52</v>
      </c>
      <c r="AH80" s="89" t="str">
        <f>VLOOKUP(AG80,Sheet1!$B$3:$D$36,2,FALSE)</f>
        <v>Furniture</v>
      </c>
      <c r="AI80" s="89" t="s">
        <v>53</v>
      </c>
      <c r="AJ80" s="1" t="str">
        <f t="shared" si="34"/>
        <v>Neva round</v>
      </c>
      <c r="AK80" s="1" t="str">
        <f t="shared" si="35"/>
        <v>d160 x h75 x bh70</v>
      </c>
      <c r="AL80" s="1" t="str">
        <f t="shared" si="36"/>
        <v>Natural teak indoor</v>
      </c>
      <c r="AM80" s="1" t="str">
        <f t="shared" si="37"/>
        <v>Natural teak indoor</v>
      </c>
      <c r="AN80" s="1" t="str">
        <f>SUBSTITUTE(AL80,"indoor","")</f>
        <v xml:space="preserve">Natural teak </v>
      </c>
      <c r="AO80" s="1" t="s">
        <v>54</v>
      </c>
      <c r="AQ80" s="1" t="str">
        <f t="shared" si="38"/>
        <v>A</v>
      </c>
      <c r="AR80" s="1" t="str">
        <f>VLOOKUP(TRIM(AI80),Sheet1!$D$3:$E$36,2,FALSE)</f>
        <v>01</v>
      </c>
      <c r="AS80" s="90" t="str">
        <f t="shared" si="39"/>
        <v>03</v>
      </c>
      <c r="AT80" s="1" t="str">
        <f t="shared" si="40"/>
        <v>01</v>
      </c>
      <c r="AU80" s="90" t="s">
        <v>55</v>
      </c>
      <c r="AV80" s="90"/>
      <c r="AW80" s="90"/>
      <c r="AX80" s="95" t="str">
        <f>AQ80&amp;AR80&amp;AS80&amp;"-"&amp;AT80&amp;AU80&amp;BA80</f>
        <v>A0103-0110IND</v>
      </c>
      <c r="AY80" s="99" t="str">
        <f>AQ80&amp;AR80&amp;AS80&amp;"-"&amp;AT80&amp;BA80</f>
        <v>A0103-01IND</v>
      </c>
      <c r="AZ80" s="90"/>
      <c r="BA80" s="1" t="str">
        <f t="shared" si="41"/>
        <v>IND</v>
      </c>
      <c r="BC80" s="1" t="str">
        <f t="shared" si="25"/>
        <v/>
      </c>
      <c r="BD80" s="90">
        <f t="shared" si="26"/>
        <v>3</v>
      </c>
      <c r="BE80" s="1">
        <f t="shared" si="44"/>
        <v>1</v>
      </c>
      <c r="BF80" s="1">
        <f t="shared" si="45"/>
        <v>1</v>
      </c>
      <c r="BJ80" t="s">
        <v>398</v>
      </c>
      <c r="BK80" s="1">
        <v>4</v>
      </c>
      <c r="BL80"/>
      <c r="BM80" t="str">
        <f t="shared" si="43"/>
        <v>Hena cup on foot-Hena cup on foot-Hena cup on foot-Hena cup on foot-</v>
      </c>
    </row>
    <row r="81" spans="1:65" ht="11.25" customHeight="1">
      <c r="A81" s="26" t="s">
        <v>399</v>
      </c>
      <c r="B81" s="27" t="s">
        <v>387</v>
      </c>
      <c r="C81" s="28">
        <v>3739.99</v>
      </c>
      <c r="D81" s="28">
        <f t="shared" si="29"/>
        <v>1869.9949999999999</v>
      </c>
      <c r="E81" s="22" t="s">
        <v>40</v>
      </c>
      <c r="F81" s="22" t="s">
        <v>400</v>
      </c>
      <c r="G81" s="22" t="s">
        <v>389</v>
      </c>
      <c r="H81" s="22" t="s">
        <v>202</v>
      </c>
      <c r="I81" s="23" t="s">
        <v>58</v>
      </c>
      <c r="J81" s="22" t="s">
        <v>50</v>
      </c>
      <c r="L81" s="23">
        <v>160</v>
      </c>
      <c r="M81" s="23">
        <v>75</v>
      </c>
      <c r="N81" s="3">
        <f t="shared" si="30"/>
        <v>1.92</v>
      </c>
      <c r="O81" s="4" t="e">
        <f>(C81-(C81*#REF!))-((C81-(C81*#REF!))*#REF!)</f>
        <v>#REF!</v>
      </c>
      <c r="P81" s="7">
        <v>4624386.7680473793</v>
      </c>
      <c r="Q81" s="7">
        <v>0</v>
      </c>
      <c r="R81" s="5">
        <f t="shared" si="31"/>
        <v>4624386.7680473793</v>
      </c>
      <c r="S81" s="4">
        <f t="shared" si="32"/>
        <v>308.29245120315863</v>
      </c>
      <c r="T81" s="13">
        <f t="shared" si="33"/>
        <v>2617.9929999999999</v>
      </c>
      <c r="U81" s="13">
        <f t="shared" si="42"/>
        <v>1308.9965</v>
      </c>
      <c r="V81" s="14">
        <f>U81/C81</f>
        <v>0.35000000000000003</v>
      </c>
      <c r="W81" s="14"/>
      <c r="X81" s="19">
        <f t="shared" si="27"/>
        <v>1308.9965</v>
      </c>
      <c r="Y81" s="19">
        <f t="shared" si="28"/>
        <v>2617.9929999999999</v>
      </c>
      <c r="Z81" s="15">
        <f t="shared" si="23"/>
        <v>4.2459570284366031</v>
      </c>
      <c r="AA81" s="22" t="s">
        <v>401</v>
      </c>
      <c r="AG81" s="94" t="s">
        <v>52</v>
      </c>
      <c r="AH81" s="89" t="str">
        <f>VLOOKUP(AG81,Sheet1!$B$3:$D$36,2,FALSE)</f>
        <v>Furniture</v>
      </c>
      <c r="AI81" s="89" t="s">
        <v>53</v>
      </c>
      <c r="AJ81" s="1" t="str">
        <f t="shared" si="34"/>
        <v>Neva round</v>
      </c>
      <c r="AK81" s="1" t="str">
        <f t="shared" si="35"/>
        <v>d160 x h75 x bh70</v>
      </c>
      <c r="AL81" s="1" t="str">
        <f t="shared" si="36"/>
        <v>Natural teak outdoor</v>
      </c>
      <c r="AM81" s="1" t="str">
        <f t="shared" si="37"/>
        <v>Natural teak outdoor</v>
      </c>
      <c r="AN81" s="1" t="str">
        <f>SUBSTITUTE(AL81,"outdoor","")</f>
        <v xml:space="preserve">Natural teak </v>
      </c>
      <c r="AO81" s="1" t="s">
        <v>59</v>
      </c>
      <c r="AQ81" s="1" t="str">
        <f t="shared" si="38"/>
        <v>A</v>
      </c>
      <c r="AR81" s="1" t="str">
        <f>VLOOKUP(TRIM(AI81),Sheet1!$D$3:$E$36,2,FALSE)</f>
        <v>01</v>
      </c>
      <c r="AS81" s="90" t="str">
        <f t="shared" si="39"/>
        <v>04</v>
      </c>
      <c r="AT81" s="1" t="str">
        <f t="shared" si="40"/>
        <v>02</v>
      </c>
      <c r="AU81" s="90" t="s">
        <v>55</v>
      </c>
      <c r="AV81" s="90"/>
      <c r="AW81" s="90"/>
      <c r="AX81" s="95" t="str">
        <f>AQ81&amp;AR81&amp;AS81&amp;"-"&amp;AT81&amp;AU81&amp;BA81</f>
        <v>A0104-0210OUT</v>
      </c>
      <c r="AY81" s="99" t="str">
        <f>AQ81&amp;AR81&amp;AS81&amp;"-"&amp;AT81&amp;BA81</f>
        <v>A0104-02OUT</v>
      </c>
      <c r="AZ81" s="90"/>
      <c r="BA81" s="1" t="str">
        <f t="shared" si="41"/>
        <v>OUT</v>
      </c>
      <c r="BC81" s="1" t="str">
        <f t="shared" si="25"/>
        <v/>
      </c>
      <c r="BD81" s="90">
        <f t="shared" si="26"/>
        <v>4</v>
      </c>
      <c r="BE81" s="1" t="str">
        <f t="shared" si="44"/>
        <v/>
      </c>
      <c r="BF81" s="1">
        <f t="shared" si="45"/>
        <v>2</v>
      </c>
      <c r="BJ81" t="s">
        <v>402</v>
      </c>
      <c r="BK81" s="1">
        <v>4</v>
      </c>
      <c r="BL81"/>
      <c r="BM81" t="str">
        <f t="shared" si="43"/>
        <v>Hena cup white-Hena cup white-Hena cup white-Hena cup white-</v>
      </c>
    </row>
    <row r="82" spans="1:65" ht="11.25" customHeight="1">
      <c r="A82" s="26" t="s">
        <v>403</v>
      </c>
      <c r="B82" s="27" t="s">
        <v>404</v>
      </c>
      <c r="C82" s="28">
        <v>3779.99</v>
      </c>
      <c r="D82" s="28">
        <f t="shared" si="29"/>
        <v>1889.9949999999999</v>
      </c>
      <c r="E82" s="22" t="s">
        <v>40</v>
      </c>
      <c r="F82" s="22" t="s">
        <v>405</v>
      </c>
      <c r="G82" s="22" t="s">
        <v>406</v>
      </c>
      <c r="H82" s="22" t="s">
        <v>407</v>
      </c>
      <c r="I82" s="23" t="s">
        <v>49</v>
      </c>
      <c r="J82" s="22" t="s">
        <v>50</v>
      </c>
      <c r="K82" s="23">
        <v>290</v>
      </c>
      <c r="L82" s="23">
        <v>90</v>
      </c>
      <c r="M82" s="23">
        <v>78</v>
      </c>
      <c r="N82" s="3">
        <f t="shared" si="30"/>
        <v>2.0358000000000001</v>
      </c>
      <c r="O82" s="4" t="e">
        <f>(C82-(C82*#REF!))-((C82-(C82*#REF!))*#REF!)</f>
        <v>#REF!</v>
      </c>
      <c r="P82" s="7">
        <v>7744942.3820749242</v>
      </c>
      <c r="Q82" s="7">
        <v>0</v>
      </c>
      <c r="R82" s="5">
        <f t="shared" si="31"/>
        <v>7744942.3820749242</v>
      </c>
      <c r="S82" s="4">
        <f t="shared" si="32"/>
        <v>516.32949213832831</v>
      </c>
      <c r="T82" s="13">
        <f t="shared" si="33"/>
        <v>2645.9929999999999</v>
      </c>
      <c r="U82" s="13">
        <f t="shared" si="42"/>
        <v>1322.9965</v>
      </c>
      <c r="V82" s="14">
        <f>U82/C82</f>
        <v>0.35000000000000003</v>
      </c>
      <c r="W82" s="14"/>
      <c r="X82" s="19">
        <f t="shared" si="27"/>
        <v>1322.9965</v>
      </c>
      <c r="Y82" s="19">
        <f t="shared" si="28"/>
        <v>2645.9929999999999</v>
      </c>
      <c r="Z82" s="15">
        <f t="shared" si="23"/>
        <v>2.5623105403507727</v>
      </c>
      <c r="AA82" s="22" t="s">
        <v>408</v>
      </c>
      <c r="AG82" s="94" t="s">
        <v>52</v>
      </c>
      <c r="AH82" s="89" t="str">
        <f>VLOOKUP(AG82,Sheet1!$B$3:$D$36,2,FALSE)</f>
        <v>Furniture</v>
      </c>
      <c r="AI82" s="89" t="s">
        <v>53</v>
      </c>
      <c r="AJ82" s="1" t="str">
        <f t="shared" si="34"/>
        <v>Pliska rectangular</v>
      </c>
      <c r="AK82" s="1" t="str">
        <f t="shared" si="35"/>
        <v>w290 x d90 x h78 x bh70</v>
      </c>
      <c r="AL82" s="1" t="str">
        <f t="shared" si="36"/>
        <v>Natural teak indoor</v>
      </c>
      <c r="AM82" s="1" t="str">
        <f t="shared" si="37"/>
        <v>Natural teak indoor</v>
      </c>
      <c r="AN82" s="1" t="str">
        <f>SUBSTITUTE(AL82,"indoor","")</f>
        <v xml:space="preserve">Natural teak </v>
      </c>
      <c r="AO82" s="1" t="s">
        <v>54</v>
      </c>
      <c r="AQ82" s="1" t="str">
        <f t="shared" si="38"/>
        <v>A</v>
      </c>
      <c r="AR82" s="1" t="str">
        <f>VLOOKUP(TRIM(AI82),Sheet1!$D$3:$E$36,2,FALSE)</f>
        <v>01</v>
      </c>
      <c r="AS82" s="90" t="str">
        <f t="shared" si="39"/>
        <v>01</v>
      </c>
      <c r="AT82" s="1" t="str">
        <f t="shared" si="40"/>
        <v>01</v>
      </c>
      <c r="AU82" s="90" t="s">
        <v>55</v>
      </c>
      <c r="AV82" s="90"/>
      <c r="AW82" s="90"/>
      <c r="AX82" s="95" t="str">
        <f>AQ82&amp;AR82&amp;AS82&amp;"-"&amp;AT82&amp;AU82&amp;BA82</f>
        <v>A0101-0110IND</v>
      </c>
      <c r="AY82" s="99" t="str">
        <f>AQ82&amp;AR82&amp;AS82&amp;"-"&amp;AT82&amp;BA82</f>
        <v>A0101-01IND</v>
      </c>
      <c r="AZ82" s="90"/>
      <c r="BA82" s="1" t="str">
        <f t="shared" si="41"/>
        <v>IND</v>
      </c>
      <c r="BC82" s="1">
        <f t="shared" si="25"/>
        <v>1</v>
      </c>
      <c r="BD82" s="90">
        <f t="shared" si="26"/>
        <v>1</v>
      </c>
      <c r="BE82" s="1">
        <f t="shared" si="44"/>
        <v>1</v>
      </c>
      <c r="BF82" s="1">
        <f t="shared" si="45"/>
        <v>1</v>
      </c>
      <c r="BJ82" t="s">
        <v>409</v>
      </c>
      <c r="BK82" s="1">
        <v>4</v>
      </c>
      <c r="BL82"/>
      <c r="BM82" t="str">
        <f t="shared" si="43"/>
        <v>Hena cup with handle black-Hena cup with handle black-Hena cup with handle black-Hena cup with handle black-</v>
      </c>
    </row>
    <row r="83" spans="1:65" ht="11.25" customHeight="1">
      <c r="A83" s="26" t="s">
        <v>410</v>
      </c>
      <c r="B83" s="27" t="s">
        <v>404</v>
      </c>
      <c r="C83" s="28">
        <v>3999.99</v>
      </c>
      <c r="D83" s="28">
        <f t="shared" si="29"/>
        <v>1999.9949999999999</v>
      </c>
      <c r="E83" s="22" t="s">
        <v>40</v>
      </c>
      <c r="F83" s="22" t="s">
        <v>411</v>
      </c>
      <c r="G83" s="22" t="s">
        <v>406</v>
      </c>
      <c r="H83" s="22" t="s">
        <v>407</v>
      </c>
      <c r="I83" s="23" t="s">
        <v>58</v>
      </c>
      <c r="J83" s="22" t="s">
        <v>50</v>
      </c>
      <c r="K83" s="23">
        <v>290</v>
      </c>
      <c r="L83" s="23">
        <v>90</v>
      </c>
      <c r="M83" s="23">
        <v>78</v>
      </c>
      <c r="N83" s="3">
        <f t="shared" si="30"/>
        <v>2.0358000000000001</v>
      </c>
      <c r="O83" s="4" t="e">
        <f>(C83-(C83*#REF!))-((C83-(C83*#REF!))*#REF!)</f>
        <v>#REF!</v>
      </c>
      <c r="P83" s="7">
        <v>7249595.1536489986</v>
      </c>
      <c r="Q83" s="7">
        <v>0</v>
      </c>
      <c r="R83" s="5">
        <f t="shared" si="31"/>
        <v>7249595.1536489986</v>
      </c>
      <c r="S83" s="4">
        <f t="shared" si="32"/>
        <v>483.30634357659989</v>
      </c>
      <c r="T83" s="13">
        <f t="shared" si="33"/>
        <v>2799.9929999999999</v>
      </c>
      <c r="U83" s="13">
        <f t="shared" si="42"/>
        <v>1399.9965</v>
      </c>
      <c r="V83" s="14">
        <f>U83/C83</f>
        <v>0.35000000000000003</v>
      </c>
      <c r="W83" s="14"/>
      <c r="X83" s="19">
        <f t="shared" si="27"/>
        <v>1399.9965</v>
      </c>
      <c r="Y83" s="19">
        <f t="shared" si="28"/>
        <v>2799.9929999999999</v>
      </c>
      <c r="Z83" s="15">
        <f t="shared" si="23"/>
        <v>2.896706237372431</v>
      </c>
      <c r="AA83" s="22" t="s">
        <v>412</v>
      </c>
      <c r="AG83" s="94" t="s">
        <v>52</v>
      </c>
      <c r="AH83" s="89" t="str">
        <f>VLOOKUP(AG83,Sheet1!$B$3:$D$36,2,FALSE)</f>
        <v>Furniture</v>
      </c>
      <c r="AI83" s="89" t="s">
        <v>53</v>
      </c>
      <c r="AJ83" s="1" t="str">
        <f t="shared" si="34"/>
        <v>Pliska rectangular</v>
      </c>
      <c r="AK83" s="1" t="str">
        <f t="shared" si="35"/>
        <v>w290 x d90 x h78 x bh70</v>
      </c>
      <c r="AL83" s="1" t="str">
        <f t="shared" si="36"/>
        <v>Natural teak outdoor</v>
      </c>
      <c r="AM83" s="1" t="str">
        <f t="shared" si="37"/>
        <v>Natural teak outdoor</v>
      </c>
      <c r="AN83" s="1" t="str">
        <f>SUBSTITUTE(AL83,"outdoor","")</f>
        <v xml:space="preserve">Natural teak </v>
      </c>
      <c r="AO83" s="1" t="s">
        <v>59</v>
      </c>
      <c r="AQ83" s="1" t="str">
        <f t="shared" si="38"/>
        <v>A</v>
      </c>
      <c r="AR83" s="1" t="str">
        <f>VLOOKUP(TRIM(AI83),Sheet1!$D$3:$E$36,2,FALSE)</f>
        <v>01</v>
      </c>
      <c r="AS83" s="90" t="str">
        <f t="shared" si="39"/>
        <v>02</v>
      </c>
      <c r="AT83" s="1" t="str">
        <f t="shared" si="40"/>
        <v>02</v>
      </c>
      <c r="AU83" s="90" t="s">
        <v>55</v>
      </c>
      <c r="AV83" s="90"/>
      <c r="AW83" s="90"/>
      <c r="AX83" s="95" t="str">
        <f>AQ83&amp;AR83&amp;AS83&amp;"-"&amp;AT83&amp;AU83&amp;BA83</f>
        <v>A0102-0210OUT</v>
      </c>
      <c r="AY83" s="99" t="str">
        <f>AQ83&amp;AR83&amp;AS83&amp;"-"&amp;AT83&amp;BA83</f>
        <v>A0102-02OUT</v>
      </c>
      <c r="AZ83" s="90"/>
      <c r="BA83" s="1" t="str">
        <f t="shared" si="41"/>
        <v>OUT</v>
      </c>
      <c r="BC83" s="1" t="str">
        <f t="shared" si="25"/>
        <v/>
      </c>
      <c r="BD83" s="90">
        <f t="shared" si="26"/>
        <v>2</v>
      </c>
      <c r="BE83" s="1" t="str">
        <f t="shared" si="44"/>
        <v/>
      </c>
      <c r="BF83" s="1">
        <f t="shared" si="45"/>
        <v>2</v>
      </c>
      <c r="BJ83" t="s">
        <v>413</v>
      </c>
      <c r="BK83" s="1">
        <v>4</v>
      </c>
      <c r="BL83"/>
      <c r="BM83" t="str">
        <f t="shared" si="43"/>
        <v>Hena cup with handle white-Hena cup with handle white-Hena cup with handle white-Hena cup with handle white-</v>
      </c>
    </row>
    <row r="84" spans="1:65" ht="11.25" customHeight="1">
      <c r="A84" s="26" t="s">
        <v>414</v>
      </c>
      <c r="B84" s="27" t="s">
        <v>404</v>
      </c>
      <c r="C84" s="28">
        <v>5209.99</v>
      </c>
      <c r="D84" s="28">
        <f t="shared" si="29"/>
        <v>2604.9949999999999</v>
      </c>
      <c r="E84" s="22" t="s">
        <v>40</v>
      </c>
      <c r="F84" s="22" t="s">
        <v>415</v>
      </c>
      <c r="G84" s="22" t="s">
        <v>406</v>
      </c>
      <c r="H84" s="22" t="s">
        <v>416</v>
      </c>
      <c r="I84" s="23" t="s">
        <v>49</v>
      </c>
      <c r="J84" s="22" t="s">
        <v>50</v>
      </c>
      <c r="K84" s="23">
        <v>340</v>
      </c>
      <c r="L84" s="23">
        <v>90</v>
      </c>
      <c r="M84" s="23">
        <v>78</v>
      </c>
      <c r="N84" s="3">
        <f t="shared" si="30"/>
        <v>2.3868</v>
      </c>
      <c r="O84" s="4" t="e">
        <f>(C84-(C84*#REF!))-((C84-(C84*#REF!))*#REF!)</f>
        <v>#REF!</v>
      </c>
      <c r="P84" s="7">
        <v>9048321.4942911025</v>
      </c>
      <c r="Q84" s="7">
        <v>0</v>
      </c>
      <c r="R84" s="5">
        <f t="shared" si="31"/>
        <v>9048321.4942911025</v>
      </c>
      <c r="S84" s="4">
        <f t="shared" si="32"/>
        <v>603.2214329527402</v>
      </c>
      <c r="T84" s="13">
        <f t="shared" si="33"/>
        <v>3646.9929999999999</v>
      </c>
      <c r="U84" s="13">
        <f t="shared" si="42"/>
        <v>1823.4965</v>
      </c>
      <c r="V84" s="14">
        <f>U84/C84</f>
        <v>0.35000000000000003</v>
      </c>
      <c r="W84" s="14"/>
      <c r="X84" s="19">
        <f t="shared" si="27"/>
        <v>1823.4965</v>
      </c>
      <c r="Y84" s="19">
        <f t="shared" si="28"/>
        <v>3646.9929999999999</v>
      </c>
      <c r="Z84" s="15">
        <f t="shared" si="23"/>
        <v>3.0229305531702866</v>
      </c>
      <c r="AA84" s="22" t="s">
        <v>417</v>
      </c>
      <c r="AG84" s="94" t="s">
        <v>52</v>
      </c>
      <c r="AH84" s="89" t="str">
        <f>VLOOKUP(AG84,Sheet1!$B$3:$D$36,2,FALSE)</f>
        <v>Furniture</v>
      </c>
      <c r="AI84" s="89" t="s">
        <v>53</v>
      </c>
      <c r="AJ84" s="1" t="str">
        <f t="shared" si="34"/>
        <v>Pliska rectangular</v>
      </c>
      <c r="AK84" s="1" t="str">
        <f t="shared" si="35"/>
        <v>w340 x d90 x h78 x bh70</v>
      </c>
      <c r="AL84" s="1" t="str">
        <f t="shared" si="36"/>
        <v>Natural teak indoor</v>
      </c>
      <c r="AM84" s="1" t="str">
        <f t="shared" si="37"/>
        <v>Natural teak indoor</v>
      </c>
      <c r="AN84" s="1" t="str">
        <f>SUBSTITUTE(AL84,"indoor","")</f>
        <v xml:space="preserve">Natural teak </v>
      </c>
      <c r="AO84" s="1" t="s">
        <v>54</v>
      </c>
      <c r="AQ84" s="1" t="str">
        <f t="shared" si="38"/>
        <v>A</v>
      </c>
      <c r="AR84" s="1" t="str">
        <f>VLOOKUP(TRIM(AI84),Sheet1!$D$3:$E$36,2,FALSE)</f>
        <v>01</v>
      </c>
      <c r="AS84" s="90" t="str">
        <f t="shared" si="39"/>
        <v>03</v>
      </c>
      <c r="AT84" s="1" t="str">
        <f t="shared" si="40"/>
        <v>01</v>
      </c>
      <c r="AU84" s="90" t="s">
        <v>55</v>
      </c>
      <c r="AV84" s="90"/>
      <c r="AW84" s="90"/>
      <c r="AX84" s="95" t="str">
        <f>AQ84&amp;AR84&amp;AS84&amp;"-"&amp;AT84&amp;AU84&amp;BA84</f>
        <v>A0103-0110IND</v>
      </c>
      <c r="AY84" s="99" t="str">
        <f>AQ84&amp;AR84&amp;AS84&amp;"-"&amp;AT84&amp;BA84</f>
        <v>A0103-01IND</v>
      </c>
      <c r="AZ84" s="90"/>
      <c r="BA84" s="1" t="str">
        <f t="shared" si="41"/>
        <v>IND</v>
      </c>
      <c r="BC84" s="1" t="str">
        <f t="shared" si="25"/>
        <v/>
      </c>
      <c r="BD84" s="90">
        <f t="shared" si="26"/>
        <v>3</v>
      </c>
      <c r="BE84" s="1">
        <f t="shared" si="44"/>
        <v>1</v>
      </c>
      <c r="BF84" s="1">
        <f t="shared" si="45"/>
        <v>1</v>
      </c>
      <c r="BJ84" t="s">
        <v>418</v>
      </c>
      <c r="BK84" s="1">
        <v>2</v>
      </c>
      <c r="BL84"/>
      <c r="BM84" t="str">
        <f t="shared" si="43"/>
        <v>Hof rectangular console-Hof rectangular console-</v>
      </c>
    </row>
    <row r="85" spans="1:65" ht="11.25" customHeight="1">
      <c r="A85" s="26" t="s">
        <v>419</v>
      </c>
      <c r="B85" s="27" t="s">
        <v>404</v>
      </c>
      <c r="C85" s="28">
        <v>6659.99</v>
      </c>
      <c r="D85" s="28">
        <f t="shared" si="29"/>
        <v>3329.9949999999999</v>
      </c>
      <c r="E85" s="22" t="s">
        <v>40</v>
      </c>
      <c r="F85" s="22" t="s">
        <v>420</v>
      </c>
      <c r="G85" s="22" t="s">
        <v>406</v>
      </c>
      <c r="H85" s="22" t="s">
        <v>416</v>
      </c>
      <c r="I85" s="23" t="s">
        <v>58</v>
      </c>
      <c r="J85" s="22" t="s">
        <v>50</v>
      </c>
      <c r="K85" s="23">
        <v>340</v>
      </c>
      <c r="L85" s="23">
        <v>90</v>
      </c>
      <c r="M85" s="23">
        <v>78</v>
      </c>
      <c r="N85" s="3">
        <f t="shared" si="30"/>
        <v>2.3868</v>
      </c>
      <c r="O85" s="4" t="e">
        <f>(C85-(C85*#REF!))-((C85-(C85*#REF!))*#REF!)</f>
        <v>#REF!</v>
      </c>
      <c r="P85" s="7">
        <v>7898323.6098281415</v>
      </c>
      <c r="Q85" s="7">
        <v>0</v>
      </c>
      <c r="R85" s="5">
        <f t="shared" si="31"/>
        <v>7898323.6098281415</v>
      </c>
      <c r="S85" s="4">
        <f t="shared" si="32"/>
        <v>526.55490732187616</v>
      </c>
      <c r="T85" s="13">
        <f t="shared" si="33"/>
        <v>4661.9930000000004</v>
      </c>
      <c r="U85" s="13">
        <f t="shared" si="42"/>
        <v>2330.9965000000002</v>
      </c>
      <c r="V85" s="14">
        <f>U85/C85</f>
        <v>0.35000000000000003</v>
      </c>
      <c r="W85" s="14"/>
      <c r="X85" s="19">
        <f t="shared" si="27"/>
        <v>2330.9965000000002</v>
      </c>
      <c r="Y85" s="19">
        <f t="shared" si="28"/>
        <v>4661.9930000000004</v>
      </c>
      <c r="Z85" s="15">
        <f t="shared" si="23"/>
        <v>4.426882111603021</v>
      </c>
      <c r="AA85" s="22" t="s">
        <v>417</v>
      </c>
      <c r="AG85" s="94" t="s">
        <v>52</v>
      </c>
      <c r="AH85" s="89" t="str">
        <f>VLOOKUP(AG85,Sheet1!$B$3:$D$36,2,FALSE)</f>
        <v>Furniture</v>
      </c>
      <c r="AI85" s="89" t="s">
        <v>53</v>
      </c>
      <c r="AJ85" s="1" t="str">
        <f t="shared" si="34"/>
        <v>Pliska rectangular</v>
      </c>
      <c r="AK85" s="1" t="str">
        <f t="shared" si="35"/>
        <v>w340 x d90 x h78 x bh70</v>
      </c>
      <c r="AL85" s="1" t="str">
        <f t="shared" si="36"/>
        <v>Natural teak outdoor</v>
      </c>
      <c r="AM85" s="1" t="str">
        <f t="shared" si="37"/>
        <v>Natural teak outdoor</v>
      </c>
      <c r="AN85" s="1" t="str">
        <f>SUBSTITUTE(AL85,"outdoor","")</f>
        <v xml:space="preserve">Natural teak </v>
      </c>
      <c r="AO85" s="1" t="s">
        <v>59</v>
      </c>
      <c r="AQ85" s="1" t="str">
        <f t="shared" si="38"/>
        <v>A</v>
      </c>
      <c r="AR85" s="1" t="str">
        <f>VLOOKUP(TRIM(AI85),Sheet1!$D$3:$E$36,2,FALSE)</f>
        <v>01</v>
      </c>
      <c r="AS85" s="90" t="str">
        <f t="shared" si="39"/>
        <v>04</v>
      </c>
      <c r="AT85" s="1" t="str">
        <f t="shared" si="40"/>
        <v>02</v>
      </c>
      <c r="AU85" s="90" t="s">
        <v>55</v>
      </c>
      <c r="AV85" s="90"/>
      <c r="AW85" s="90"/>
      <c r="AX85" s="95" t="str">
        <f>AQ85&amp;AR85&amp;AS85&amp;"-"&amp;AT85&amp;AU85&amp;BA85</f>
        <v>A0104-0210OUT</v>
      </c>
      <c r="AY85" s="99" t="str">
        <f>AQ85&amp;AR85&amp;AS85&amp;"-"&amp;AT85&amp;BA85</f>
        <v>A0104-02OUT</v>
      </c>
      <c r="AZ85" s="90"/>
      <c r="BA85" s="1" t="str">
        <f t="shared" si="41"/>
        <v>OUT</v>
      </c>
      <c r="BC85" s="1" t="str">
        <f t="shared" si="25"/>
        <v/>
      </c>
      <c r="BD85" s="90">
        <f t="shared" si="26"/>
        <v>4</v>
      </c>
      <c r="BE85" s="1" t="str">
        <f t="shared" si="44"/>
        <v/>
      </c>
      <c r="BF85" s="1">
        <f t="shared" si="45"/>
        <v>2</v>
      </c>
      <c r="BJ85" t="s">
        <v>421</v>
      </c>
      <c r="BK85" s="1">
        <v>3</v>
      </c>
      <c r="BL85"/>
      <c r="BM85" t="str">
        <f t="shared" si="43"/>
        <v>Jatinga Cabinets-Jatinga Cabinets-Jatinga Cabinets-</v>
      </c>
    </row>
    <row r="86" spans="1:65" ht="11.25" customHeight="1">
      <c r="A86" s="26" t="s">
        <v>422</v>
      </c>
      <c r="B86" s="27" t="s">
        <v>404</v>
      </c>
      <c r="C86" s="28">
        <v>18789.990000000002</v>
      </c>
      <c r="D86" s="28">
        <f t="shared" si="29"/>
        <v>9394.9950000000008</v>
      </c>
      <c r="E86" s="22" t="s">
        <v>40</v>
      </c>
      <c r="F86" s="22" t="s">
        <v>423</v>
      </c>
      <c r="G86" s="22" t="s">
        <v>406</v>
      </c>
      <c r="H86" s="22" t="s">
        <v>424</v>
      </c>
      <c r="I86" s="23" t="s">
        <v>49</v>
      </c>
      <c r="J86" s="22" t="s">
        <v>50</v>
      </c>
      <c r="K86" s="23">
        <v>560</v>
      </c>
      <c r="L86" s="23">
        <v>90</v>
      </c>
      <c r="M86" s="23">
        <v>78</v>
      </c>
      <c r="N86" s="3">
        <f t="shared" si="30"/>
        <v>3.9312</v>
      </c>
      <c r="O86" s="4" t="e">
        <f>(C86-(C86*#REF!))-((C86-(C86*#REF!))*#REF!)</f>
        <v>#REF!</v>
      </c>
      <c r="P86" s="7"/>
      <c r="Q86" s="7"/>
      <c r="R86" s="5">
        <f t="shared" si="31"/>
        <v>0</v>
      </c>
      <c r="S86" s="4">
        <f t="shared" si="32"/>
        <v>0</v>
      </c>
      <c r="T86" s="13">
        <f t="shared" si="33"/>
        <v>13152.993000000002</v>
      </c>
      <c r="U86" s="13">
        <f t="shared" si="42"/>
        <v>6576.4965000000011</v>
      </c>
      <c r="V86" s="14">
        <f>U86/C86</f>
        <v>0.35000000000000003</v>
      </c>
      <c r="W86" s="14"/>
      <c r="X86" s="19">
        <f t="shared" si="27"/>
        <v>6576.4965000000011</v>
      </c>
      <c r="Y86" s="19">
        <f t="shared" si="28"/>
        <v>13152.993000000002</v>
      </c>
      <c r="Z86" s="15" t="e">
        <f t="shared" si="23"/>
        <v>#DIV/0!</v>
      </c>
      <c r="AA86" s="22" t="s">
        <v>412</v>
      </c>
      <c r="AG86" s="94" t="s">
        <v>52</v>
      </c>
      <c r="AH86" s="89" t="str">
        <f>VLOOKUP(AG86,Sheet1!$B$3:$D$36,2,FALSE)</f>
        <v>Furniture</v>
      </c>
      <c r="AI86" s="89" t="s">
        <v>53</v>
      </c>
      <c r="AJ86" s="1" t="str">
        <f t="shared" si="34"/>
        <v>Pliska rectangular</v>
      </c>
      <c r="AK86" s="1" t="str">
        <f t="shared" si="35"/>
        <v>w560 x d90 x h78 x bh70</v>
      </c>
      <c r="AL86" s="1" t="str">
        <f t="shared" si="36"/>
        <v>Natural teak indoor</v>
      </c>
      <c r="AM86" s="1" t="str">
        <f t="shared" si="37"/>
        <v>Natural teak indoor</v>
      </c>
      <c r="AN86" s="1" t="str">
        <f>SUBSTITUTE(AL86,"indoor","")</f>
        <v xml:space="preserve">Natural teak </v>
      </c>
      <c r="AO86" s="1" t="s">
        <v>54</v>
      </c>
      <c r="AQ86" s="1" t="str">
        <f t="shared" si="38"/>
        <v>A</v>
      </c>
      <c r="AR86" s="1" t="str">
        <f>VLOOKUP(TRIM(AI86),Sheet1!$D$3:$E$36,2,FALSE)</f>
        <v>01</v>
      </c>
      <c r="AS86" s="90" t="str">
        <f t="shared" si="39"/>
        <v>05</v>
      </c>
      <c r="AT86" s="1" t="str">
        <f t="shared" si="40"/>
        <v>01</v>
      </c>
      <c r="AU86" s="90" t="s">
        <v>55</v>
      </c>
      <c r="AV86" s="90"/>
      <c r="AW86" s="90"/>
      <c r="AX86" s="95" t="str">
        <f>AQ86&amp;AR86&amp;AS86&amp;"-"&amp;AT86&amp;AU86&amp;BA86</f>
        <v>A0105-0110IND</v>
      </c>
      <c r="AY86" s="99" t="str">
        <f>AQ86&amp;AR86&amp;AS86&amp;"-"&amp;AT86&amp;BA86</f>
        <v>A0105-01IND</v>
      </c>
      <c r="AZ86" s="90"/>
      <c r="BA86" s="1" t="str">
        <f t="shared" si="41"/>
        <v>IND</v>
      </c>
      <c r="BC86" s="1" t="str">
        <f t="shared" si="25"/>
        <v/>
      </c>
      <c r="BD86" s="90">
        <f t="shared" si="26"/>
        <v>5</v>
      </c>
      <c r="BE86" s="1">
        <f t="shared" si="44"/>
        <v>1</v>
      </c>
      <c r="BF86" s="1">
        <f t="shared" si="45"/>
        <v>1</v>
      </c>
      <c r="BJ86" t="s">
        <v>425</v>
      </c>
      <c r="BK86" s="1">
        <v>3</v>
      </c>
      <c r="BL86"/>
      <c r="BM86" t="str">
        <f t="shared" si="43"/>
        <v>Kabochi-Kabochi-Kabochi-</v>
      </c>
    </row>
    <row r="87" spans="1:65" ht="11.25" customHeight="1">
      <c r="A87" s="26" t="s">
        <v>426</v>
      </c>
      <c r="B87" s="27" t="s">
        <v>404</v>
      </c>
      <c r="C87" s="28">
        <v>19509.990000000002</v>
      </c>
      <c r="D87" s="28">
        <f t="shared" si="29"/>
        <v>9754.9950000000008</v>
      </c>
      <c r="E87" s="22" t="s">
        <v>40</v>
      </c>
      <c r="F87" s="22" t="s">
        <v>427</v>
      </c>
      <c r="G87" s="22" t="s">
        <v>406</v>
      </c>
      <c r="H87" s="22" t="s">
        <v>424</v>
      </c>
      <c r="I87" s="23" t="s">
        <v>58</v>
      </c>
      <c r="J87" s="22" t="s">
        <v>50</v>
      </c>
      <c r="K87" s="23">
        <v>560</v>
      </c>
      <c r="L87" s="23">
        <v>90</v>
      </c>
      <c r="M87" s="23">
        <v>78</v>
      </c>
      <c r="N87" s="3">
        <f t="shared" si="30"/>
        <v>3.9312</v>
      </c>
      <c r="O87" s="4" t="e">
        <f>(C87-(C87*#REF!))-((C87-(C87*#REF!))*#REF!)</f>
        <v>#REF!</v>
      </c>
      <c r="P87" s="7"/>
      <c r="Q87" s="7"/>
      <c r="R87" s="5">
        <f t="shared" si="31"/>
        <v>0</v>
      </c>
      <c r="S87" s="4">
        <f t="shared" si="32"/>
        <v>0</v>
      </c>
      <c r="T87" s="13">
        <f t="shared" si="33"/>
        <v>13656.993000000002</v>
      </c>
      <c r="U87" s="13">
        <f t="shared" si="42"/>
        <v>6828.4965000000011</v>
      </c>
      <c r="V87" s="14">
        <f>U87/C87</f>
        <v>0.35000000000000003</v>
      </c>
      <c r="W87" s="14"/>
      <c r="X87" s="19">
        <f t="shared" si="27"/>
        <v>6828.4965000000011</v>
      </c>
      <c r="Y87" s="19">
        <f t="shared" si="28"/>
        <v>13656.993000000002</v>
      </c>
      <c r="Z87" s="15" t="e">
        <f t="shared" si="23"/>
        <v>#DIV/0!</v>
      </c>
      <c r="AA87" s="22" t="s">
        <v>408</v>
      </c>
      <c r="AG87" s="94" t="s">
        <v>52</v>
      </c>
      <c r="AH87" s="89" t="str">
        <f>VLOOKUP(AG87,Sheet1!$B$3:$D$36,2,FALSE)</f>
        <v>Furniture</v>
      </c>
      <c r="AI87" s="89" t="s">
        <v>53</v>
      </c>
      <c r="AJ87" s="1" t="str">
        <f t="shared" si="34"/>
        <v>Pliska rectangular</v>
      </c>
      <c r="AK87" s="1" t="str">
        <f t="shared" si="35"/>
        <v>w560 x d90 x h78 x bh70</v>
      </c>
      <c r="AL87" s="1" t="str">
        <f t="shared" si="36"/>
        <v>Natural teak outdoor</v>
      </c>
      <c r="AM87" s="1" t="str">
        <f t="shared" si="37"/>
        <v>Natural teak outdoor</v>
      </c>
      <c r="AN87" s="1" t="str">
        <f>SUBSTITUTE(AL87,"outdoor","")</f>
        <v xml:space="preserve">Natural teak </v>
      </c>
      <c r="AO87" s="1" t="s">
        <v>59</v>
      </c>
      <c r="AQ87" s="1" t="str">
        <f t="shared" si="38"/>
        <v>A</v>
      </c>
      <c r="AR87" s="1" t="str">
        <f>VLOOKUP(TRIM(AI87),Sheet1!$D$3:$E$36,2,FALSE)</f>
        <v>01</v>
      </c>
      <c r="AS87" s="90" t="str">
        <f t="shared" si="39"/>
        <v>06</v>
      </c>
      <c r="AT87" s="1" t="str">
        <f t="shared" si="40"/>
        <v>02</v>
      </c>
      <c r="AU87" s="90" t="s">
        <v>55</v>
      </c>
      <c r="AV87" s="90"/>
      <c r="AW87" s="90"/>
      <c r="AX87" s="95" t="str">
        <f>AQ87&amp;AR87&amp;AS87&amp;"-"&amp;AT87&amp;AU87&amp;BA87</f>
        <v>A0106-0210OUT</v>
      </c>
      <c r="AY87" s="99" t="str">
        <f>AQ87&amp;AR87&amp;AS87&amp;"-"&amp;AT87&amp;BA87</f>
        <v>A0106-02OUT</v>
      </c>
      <c r="AZ87" s="90"/>
      <c r="BA87" s="1" t="str">
        <f t="shared" si="41"/>
        <v>OUT</v>
      </c>
      <c r="BC87" s="1" t="str">
        <f t="shared" si="25"/>
        <v/>
      </c>
      <c r="BD87" s="90">
        <f t="shared" si="26"/>
        <v>6</v>
      </c>
      <c r="BE87" s="1" t="str">
        <f t="shared" si="44"/>
        <v/>
      </c>
      <c r="BF87" s="1">
        <f t="shared" si="45"/>
        <v>2</v>
      </c>
      <c r="BJ87" t="s">
        <v>428</v>
      </c>
      <c r="BK87" s="1">
        <v>3</v>
      </c>
      <c r="BL87"/>
      <c r="BM87" t="str">
        <f t="shared" si="43"/>
        <v>Kevin copper-Kevin copper-Kevin copper-</v>
      </c>
    </row>
    <row r="88" spans="1:65" ht="11.25" customHeight="1">
      <c r="A88" s="26" t="s">
        <v>429</v>
      </c>
      <c r="B88" s="27" t="s">
        <v>430</v>
      </c>
      <c r="C88" s="28">
        <v>3529.99</v>
      </c>
      <c r="D88" s="28">
        <f t="shared" si="29"/>
        <v>1764.9949999999999</v>
      </c>
      <c r="E88" s="22" t="s">
        <v>40</v>
      </c>
      <c r="F88" s="22" t="s">
        <v>431</v>
      </c>
      <c r="G88" s="22" t="s">
        <v>151</v>
      </c>
      <c r="H88" s="22" t="s">
        <v>432</v>
      </c>
      <c r="I88" s="23" t="s">
        <v>49</v>
      </c>
      <c r="J88" s="22" t="s">
        <v>50</v>
      </c>
      <c r="K88" s="23">
        <v>290</v>
      </c>
      <c r="L88" s="23">
        <v>97</v>
      </c>
      <c r="M88" s="23">
        <v>75</v>
      </c>
      <c r="N88" s="3">
        <f t="shared" si="30"/>
        <v>2.10975</v>
      </c>
      <c r="O88" s="4" t="e">
        <f>(C88-(C88*#REF!))-((C88-(C88*#REF!))*#REF!)</f>
        <v>#REF!</v>
      </c>
      <c r="P88" s="7"/>
      <c r="Q88" s="7"/>
      <c r="R88" s="5">
        <f t="shared" si="31"/>
        <v>0</v>
      </c>
      <c r="S88" s="4">
        <f t="shared" si="32"/>
        <v>0</v>
      </c>
      <c r="T88" s="13">
        <f t="shared" si="33"/>
        <v>2470.9929999999999</v>
      </c>
      <c r="U88" s="13">
        <f t="shared" si="42"/>
        <v>1235.4965</v>
      </c>
      <c r="V88" s="14">
        <f>U88/C88</f>
        <v>0.35000000000000003</v>
      </c>
      <c r="W88" s="14"/>
      <c r="X88" s="19">
        <f t="shared" si="27"/>
        <v>1235.4965</v>
      </c>
      <c r="Y88" s="19">
        <f t="shared" si="28"/>
        <v>2470.9929999999999</v>
      </c>
      <c r="Z88" s="15" t="e">
        <f t="shared" si="23"/>
        <v>#DIV/0!</v>
      </c>
      <c r="AA88" s="22" t="s">
        <v>433</v>
      </c>
      <c r="AG88" s="94" t="s">
        <v>52</v>
      </c>
      <c r="AH88" s="89" t="str">
        <f>VLOOKUP(AG88,Sheet1!$B$3:$D$36,2,FALSE)</f>
        <v>Furniture</v>
      </c>
      <c r="AI88" s="89" t="s">
        <v>53</v>
      </c>
      <c r="AJ88" s="1" t="str">
        <f t="shared" si="34"/>
        <v>Borovets oval</v>
      </c>
      <c r="AK88" s="1" t="str">
        <f t="shared" si="35"/>
        <v>w290 x d97 x h75 x bh70</v>
      </c>
      <c r="AL88" s="1" t="str">
        <f t="shared" si="36"/>
        <v>Natural teak indoor</v>
      </c>
      <c r="AM88" s="1" t="str">
        <f t="shared" si="37"/>
        <v>Natural teak indoor</v>
      </c>
      <c r="AN88" s="1" t="str">
        <f>SUBSTITUTE(AL88,"indoor","")</f>
        <v xml:space="preserve">Natural teak </v>
      </c>
      <c r="AO88" s="1" t="s">
        <v>54</v>
      </c>
      <c r="AQ88" s="1" t="str">
        <f t="shared" si="38"/>
        <v>A</v>
      </c>
      <c r="AR88" s="1" t="str">
        <f>VLOOKUP(TRIM(AI88),Sheet1!$D$3:$E$36,2,FALSE)</f>
        <v>01</v>
      </c>
      <c r="AS88" s="90" t="str">
        <f t="shared" si="39"/>
        <v>01</v>
      </c>
      <c r="AT88" s="1" t="str">
        <f t="shared" si="40"/>
        <v>01</v>
      </c>
      <c r="AU88" s="90" t="s">
        <v>55</v>
      </c>
      <c r="AV88" s="90"/>
      <c r="AW88" s="90"/>
      <c r="AX88" s="95" t="str">
        <f>AQ88&amp;AR88&amp;AS88&amp;"-"&amp;AT88&amp;AU88&amp;BA88</f>
        <v>A0101-0110IND</v>
      </c>
      <c r="AY88" s="99" t="str">
        <f>AQ88&amp;AR88&amp;AS88&amp;"-"&amp;AT88&amp;BA88</f>
        <v>A0101-01IND</v>
      </c>
      <c r="AZ88" s="90"/>
      <c r="BA88" s="1" t="str">
        <f t="shared" si="41"/>
        <v>IND</v>
      </c>
      <c r="BC88" s="1">
        <f t="shared" si="25"/>
        <v>1</v>
      </c>
      <c r="BD88" s="90">
        <f t="shared" si="26"/>
        <v>1</v>
      </c>
      <c r="BE88" s="1">
        <f t="shared" si="44"/>
        <v>1</v>
      </c>
      <c r="BF88" s="1">
        <f t="shared" si="45"/>
        <v>1</v>
      </c>
      <c r="BJ88" t="s">
        <v>434</v>
      </c>
      <c r="BK88" s="1">
        <v>2</v>
      </c>
      <c r="BL88"/>
      <c r="BM88" t="str">
        <f t="shared" si="43"/>
        <v>Kidagil Cabinets-Kidagil Cabinets-</v>
      </c>
    </row>
    <row r="89" spans="1:65" ht="11.25" customHeight="1">
      <c r="A89" s="26" t="s">
        <v>435</v>
      </c>
      <c r="B89" s="27" t="s">
        <v>430</v>
      </c>
      <c r="C89" s="28">
        <v>4069.99</v>
      </c>
      <c r="D89" s="28">
        <f t="shared" si="29"/>
        <v>2034.9949999999999</v>
      </c>
      <c r="E89" s="22" t="s">
        <v>40</v>
      </c>
      <c r="F89" s="22" t="s">
        <v>436</v>
      </c>
      <c r="G89" s="22" t="s">
        <v>151</v>
      </c>
      <c r="H89" s="22" t="s">
        <v>432</v>
      </c>
      <c r="I89" s="23" t="s">
        <v>58</v>
      </c>
      <c r="J89" s="22" t="s">
        <v>50</v>
      </c>
      <c r="K89" s="23">
        <v>290</v>
      </c>
      <c r="L89" s="23">
        <v>97</v>
      </c>
      <c r="M89" s="23">
        <v>75</v>
      </c>
      <c r="N89" s="3">
        <f t="shared" si="30"/>
        <v>2.10975</v>
      </c>
      <c r="O89" s="4" t="e">
        <f>(C89-(C89*#REF!))-((C89-(C89*#REF!))*#REF!)</f>
        <v>#REF!</v>
      </c>
      <c r="P89" s="7"/>
      <c r="Q89" s="7"/>
      <c r="R89" s="5">
        <f t="shared" si="31"/>
        <v>0</v>
      </c>
      <c r="S89" s="4">
        <f t="shared" si="32"/>
        <v>0</v>
      </c>
      <c r="T89" s="13">
        <f t="shared" si="33"/>
        <v>2848.9929999999999</v>
      </c>
      <c r="U89" s="13">
        <f t="shared" si="42"/>
        <v>1424.4965</v>
      </c>
      <c r="V89" s="14">
        <f>U89/C89</f>
        <v>0.35000000000000003</v>
      </c>
      <c r="W89" s="14"/>
      <c r="X89" s="19">
        <f t="shared" si="27"/>
        <v>1424.4965</v>
      </c>
      <c r="Y89" s="19">
        <f t="shared" si="28"/>
        <v>2848.9929999999999</v>
      </c>
      <c r="Z89" s="15" t="e">
        <f t="shared" si="23"/>
        <v>#DIV/0!</v>
      </c>
      <c r="AA89" s="22" t="s">
        <v>433</v>
      </c>
      <c r="AG89" s="94" t="s">
        <v>52</v>
      </c>
      <c r="AH89" s="89" t="str">
        <f>VLOOKUP(AG89,Sheet1!$B$3:$D$36,2,FALSE)</f>
        <v>Furniture</v>
      </c>
      <c r="AI89" s="89" t="s">
        <v>53</v>
      </c>
      <c r="AJ89" s="1" t="str">
        <f t="shared" si="34"/>
        <v>Borovets oval</v>
      </c>
      <c r="AK89" s="1" t="str">
        <f t="shared" si="35"/>
        <v>w290 x d97 x h75 x bh70</v>
      </c>
      <c r="AL89" s="1" t="str">
        <f t="shared" si="36"/>
        <v>Natural teak outdoor</v>
      </c>
      <c r="AM89" s="1" t="str">
        <f t="shared" si="37"/>
        <v>Natural teak outdoor</v>
      </c>
      <c r="AN89" s="1" t="str">
        <f>SUBSTITUTE(AL89,"outdoor","")</f>
        <v xml:space="preserve">Natural teak </v>
      </c>
      <c r="AO89" s="1" t="s">
        <v>59</v>
      </c>
      <c r="AQ89" s="1" t="str">
        <f t="shared" si="38"/>
        <v>A</v>
      </c>
      <c r="AR89" s="1" t="str">
        <f>VLOOKUP(TRIM(AI89),Sheet1!$D$3:$E$36,2,FALSE)</f>
        <v>01</v>
      </c>
      <c r="AS89" s="90" t="str">
        <f t="shared" si="39"/>
        <v>02</v>
      </c>
      <c r="AT89" s="1" t="str">
        <f t="shared" si="40"/>
        <v>02</v>
      </c>
      <c r="AU89" s="90" t="s">
        <v>55</v>
      </c>
      <c r="AV89" s="90"/>
      <c r="AW89" s="90"/>
      <c r="AX89" s="95" t="str">
        <f>AQ89&amp;AR89&amp;AS89&amp;"-"&amp;AT89&amp;AU89&amp;BA89</f>
        <v>A0102-0210OUT</v>
      </c>
      <c r="AY89" s="99" t="str">
        <f>AQ89&amp;AR89&amp;AS89&amp;"-"&amp;AT89&amp;BA89</f>
        <v>A0102-02OUT</v>
      </c>
      <c r="AZ89" s="90"/>
      <c r="BA89" s="1" t="str">
        <f t="shared" si="41"/>
        <v>OUT</v>
      </c>
      <c r="BC89" s="1" t="str">
        <f t="shared" si="25"/>
        <v/>
      </c>
      <c r="BD89" s="90">
        <f t="shared" si="26"/>
        <v>2</v>
      </c>
      <c r="BE89" s="1" t="str">
        <f t="shared" si="44"/>
        <v/>
      </c>
      <c r="BF89" s="1">
        <f t="shared" si="45"/>
        <v>2</v>
      </c>
      <c r="BJ89" t="s">
        <v>437</v>
      </c>
      <c r="BK89" s="1">
        <v>4</v>
      </c>
      <c r="BL89"/>
      <c r="BM89" t="str">
        <f t="shared" si="43"/>
        <v>Klopp-Klopp-Klopp-Klopp-</v>
      </c>
    </row>
    <row r="90" spans="1:65" ht="11.25" customHeight="1">
      <c r="A90" s="26" t="s">
        <v>438</v>
      </c>
      <c r="B90" s="27" t="s">
        <v>439</v>
      </c>
      <c r="C90" s="28">
        <v>3009.99</v>
      </c>
      <c r="D90" s="28">
        <f t="shared" si="29"/>
        <v>1504.9949999999999</v>
      </c>
      <c r="E90" s="22" t="s">
        <v>40</v>
      </c>
      <c r="F90" s="22" t="s">
        <v>440</v>
      </c>
      <c r="G90" s="22" t="s">
        <v>158</v>
      </c>
      <c r="H90" s="22" t="s">
        <v>202</v>
      </c>
      <c r="I90" s="23" t="s">
        <v>49</v>
      </c>
      <c r="J90" s="22" t="s">
        <v>50</v>
      </c>
      <c r="L90" s="23">
        <v>160</v>
      </c>
      <c r="M90" s="23">
        <v>75</v>
      </c>
      <c r="N90" s="3">
        <f t="shared" si="30"/>
        <v>1.92</v>
      </c>
      <c r="O90" s="4" t="e">
        <f>(C90-(C90*#REF!))-((C90-(C90*#REF!))*#REF!)</f>
        <v>#REF!</v>
      </c>
      <c r="P90" s="7"/>
      <c r="Q90" s="7"/>
      <c r="R90" s="5">
        <f t="shared" si="31"/>
        <v>0</v>
      </c>
      <c r="S90" s="4">
        <f t="shared" si="32"/>
        <v>0</v>
      </c>
      <c r="T90" s="13">
        <f t="shared" si="33"/>
        <v>2106.9929999999999</v>
      </c>
      <c r="U90" s="13">
        <f t="shared" si="42"/>
        <v>1053.4965</v>
      </c>
      <c r="V90" s="14">
        <f>U90/C90</f>
        <v>0.35000000000000003</v>
      </c>
      <c r="W90" s="14"/>
      <c r="X90" s="19">
        <f t="shared" si="27"/>
        <v>1053.4965</v>
      </c>
      <c r="Y90" s="19">
        <f t="shared" si="28"/>
        <v>2106.9929999999999</v>
      </c>
      <c r="Z90" s="15" t="e">
        <f t="shared" si="23"/>
        <v>#DIV/0!</v>
      </c>
      <c r="AA90" s="22" t="s">
        <v>441</v>
      </c>
      <c r="AG90" s="94" t="s">
        <v>52</v>
      </c>
      <c r="AH90" s="89" t="str">
        <f>VLOOKUP(AG90,Sheet1!$B$3:$D$36,2,FALSE)</f>
        <v>Furniture</v>
      </c>
      <c r="AI90" s="89" t="s">
        <v>53</v>
      </c>
      <c r="AJ90" s="1" t="str">
        <f t="shared" si="34"/>
        <v>Borovets round</v>
      </c>
      <c r="AK90" s="1" t="str">
        <f t="shared" si="35"/>
        <v>d160 x h75 x bh70</v>
      </c>
      <c r="AL90" s="1" t="str">
        <f t="shared" si="36"/>
        <v>Natural teak indoor</v>
      </c>
      <c r="AM90" s="1" t="str">
        <f t="shared" si="37"/>
        <v>Natural teak indoor</v>
      </c>
      <c r="AN90" s="1" t="str">
        <f>SUBSTITUTE(AL90,"indoor","")</f>
        <v xml:space="preserve">Natural teak </v>
      </c>
      <c r="AO90" s="1" t="s">
        <v>54</v>
      </c>
      <c r="AQ90" s="1" t="str">
        <f t="shared" si="38"/>
        <v>A</v>
      </c>
      <c r="AR90" s="1" t="str">
        <f>VLOOKUP(TRIM(AI90),Sheet1!$D$3:$E$36,2,FALSE)</f>
        <v>01</v>
      </c>
      <c r="AS90" s="90" t="str">
        <f t="shared" si="39"/>
        <v>01</v>
      </c>
      <c r="AT90" s="1" t="str">
        <f t="shared" si="40"/>
        <v>01</v>
      </c>
      <c r="AU90" s="90" t="s">
        <v>55</v>
      </c>
      <c r="AV90" s="90"/>
      <c r="AW90" s="90"/>
      <c r="AX90" s="95" t="str">
        <f>AQ90&amp;AR90&amp;AS90&amp;"-"&amp;AT90&amp;AU90&amp;BA90</f>
        <v>A0101-0110IND</v>
      </c>
      <c r="AY90" s="99" t="str">
        <f>AQ90&amp;AR90&amp;AS90&amp;"-"&amp;AT90&amp;BA90</f>
        <v>A0101-01IND</v>
      </c>
      <c r="AZ90" s="90"/>
      <c r="BA90" s="1" t="str">
        <f t="shared" si="41"/>
        <v>IND</v>
      </c>
      <c r="BC90" s="1">
        <f t="shared" si="25"/>
        <v>1</v>
      </c>
      <c r="BD90" s="90">
        <f t="shared" si="26"/>
        <v>1</v>
      </c>
      <c r="BE90" s="1">
        <f t="shared" si="44"/>
        <v>1</v>
      </c>
      <c r="BF90" s="1">
        <f t="shared" si="45"/>
        <v>1</v>
      </c>
      <c r="BJ90" t="s">
        <v>442</v>
      </c>
      <c r="BK90" s="1">
        <v>3</v>
      </c>
      <c r="BL90"/>
      <c r="BM90" t="str">
        <f t="shared" si="43"/>
        <v>Krasak round plate-Krasak round plate-Krasak round plate-</v>
      </c>
    </row>
    <row r="91" spans="1:65" ht="11.25" customHeight="1">
      <c r="A91" s="26" t="s">
        <v>443</v>
      </c>
      <c r="B91" s="27" t="s">
        <v>439</v>
      </c>
      <c r="C91" s="28">
        <v>3189.99</v>
      </c>
      <c r="D91" s="28">
        <f t="shared" si="29"/>
        <v>1594.9949999999999</v>
      </c>
      <c r="E91" s="22" t="s">
        <v>40</v>
      </c>
      <c r="F91" s="22" t="s">
        <v>444</v>
      </c>
      <c r="G91" s="22" t="s">
        <v>158</v>
      </c>
      <c r="H91" s="22" t="s">
        <v>202</v>
      </c>
      <c r="I91" s="23" t="s">
        <v>58</v>
      </c>
      <c r="J91" s="22" t="s">
        <v>50</v>
      </c>
      <c r="L91" s="23">
        <v>160</v>
      </c>
      <c r="M91" s="23">
        <v>75</v>
      </c>
      <c r="N91" s="3">
        <f t="shared" si="30"/>
        <v>1.92</v>
      </c>
      <c r="O91" s="4" t="e">
        <f>(C91-(C91*#REF!))-((C91-(C91*#REF!))*#REF!)</f>
        <v>#REF!</v>
      </c>
      <c r="P91" s="7"/>
      <c r="Q91" s="7"/>
      <c r="R91" s="5">
        <f t="shared" si="31"/>
        <v>0</v>
      </c>
      <c r="S91" s="4">
        <f t="shared" si="32"/>
        <v>0</v>
      </c>
      <c r="T91" s="13">
        <f t="shared" si="33"/>
        <v>2232.9929999999999</v>
      </c>
      <c r="U91" s="13">
        <f t="shared" si="42"/>
        <v>1116.4965</v>
      </c>
      <c r="V91" s="14">
        <f>U91/C91</f>
        <v>0.35000000000000003</v>
      </c>
      <c r="W91" s="14"/>
      <c r="X91" s="19">
        <f t="shared" si="27"/>
        <v>1116.4965</v>
      </c>
      <c r="Y91" s="19">
        <f t="shared" si="28"/>
        <v>2232.9929999999999</v>
      </c>
      <c r="Z91" s="15" t="e">
        <f t="shared" si="23"/>
        <v>#DIV/0!</v>
      </c>
      <c r="AA91" s="22" t="s">
        <v>441</v>
      </c>
      <c r="AG91" s="94" t="s">
        <v>52</v>
      </c>
      <c r="AH91" s="89" t="str">
        <f>VLOOKUP(AG91,Sheet1!$B$3:$D$36,2,FALSE)</f>
        <v>Furniture</v>
      </c>
      <c r="AI91" s="89" t="s">
        <v>53</v>
      </c>
      <c r="AJ91" s="1" t="str">
        <f t="shared" si="34"/>
        <v>Borovets round</v>
      </c>
      <c r="AK91" s="1" t="str">
        <f t="shared" si="35"/>
        <v>d160 x h75 x bh70</v>
      </c>
      <c r="AL91" s="1" t="str">
        <f t="shared" si="36"/>
        <v>Natural teak outdoor</v>
      </c>
      <c r="AM91" s="1" t="str">
        <f t="shared" si="37"/>
        <v>Natural teak outdoor</v>
      </c>
      <c r="AN91" s="1" t="str">
        <f>SUBSTITUTE(AL91,"outdoor","")</f>
        <v xml:space="preserve">Natural teak </v>
      </c>
      <c r="AO91" s="1" t="s">
        <v>59</v>
      </c>
      <c r="AQ91" s="1" t="str">
        <f t="shared" si="38"/>
        <v>A</v>
      </c>
      <c r="AR91" s="1" t="str">
        <f>VLOOKUP(TRIM(AI91),Sheet1!$D$3:$E$36,2,FALSE)</f>
        <v>01</v>
      </c>
      <c r="AS91" s="90" t="str">
        <f t="shared" si="39"/>
        <v>02</v>
      </c>
      <c r="AT91" s="1" t="str">
        <f t="shared" si="40"/>
        <v>02</v>
      </c>
      <c r="AU91" s="90" t="s">
        <v>55</v>
      </c>
      <c r="AV91" s="90"/>
      <c r="AW91" s="90"/>
      <c r="AX91" s="95" t="str">
        <f>AQ91&amp;AR91&amp;AS91&amp;"-"&amp;AT91&amp;AU91&amp;BA91</f>
        <v>A0102-0210OUT</v>
      </c>
      <c r="AY91" s="99" t="str">
        <f>AQ91&amp;AR91&amp;AS91&amp;"-"&amp;AT91&amp;BA91</f>
        <v>A0102-02OUT</v>
      </c>
      <c r="AZ91" s="90"/>
      <c r="BA91" s="1" t="str">
        <f t="shared" si="41"/>
        <v>OUT</v>
      </c>
      <c r="BC91" s="1" t="str">
        <f t="shared" si="25"/>
        <v/>
      </c>
      <c r="BD91" s="90">
        <f t="shared" si="26"/>
        <v>2</v>
      </c>
      <c r="BE91" s="1" t="str">
        <f t="shared" si="44"/>
        <v/>
      </c>
      <c r="BF91" s="1">
        <f t="shared" si="45"/>
        <v>2</v>
      </c>
      <c r="BJ91" t="s">
        <v>445</v>
      </c>
      <c r="BK91" s="1">
        <v>3</v>
      </c>
      <c r="BL91"/>
      <c r="BM91" t="str">
        <f t="shared" si="43"/>
        <v>Kubo Panel-Kubo Panel-Kubo Panel-</v>
      </c>
    </row>
    <row r="92" spans="1:65" ht="11.25" customHeight="1">
      <c r="A92" s="26" t="s">
        <v>446</v>
      </c>
      <c r="B92" s="27" t="s">
        <v>447</v>
      </c>
      <c r="C92" s="28">
        <v>2359.9899999999998</v>
      </c>
      <c r="D92" s="28">
        <f t="shared" si="29"/>
        <v>1179.9949999999999</v>
      </c>
      <c r="E92" s="22" t="s">
        <v>40</v>
      </c>
      <c r="F92" s="22" t="s">
        <v>448</v>
      </c>
      <c r="G92" s="22" t="s">
        <v>449</v>
      </c>
      <c r="H92" s="22" t="s">
        <v>450</v>
      </c>
      <c r="I92" s="23" t="s">
        <v>49</v>
      </c>
      <c r="J92" s="22" t="s">
        <v>50</v>
      </c>
      <c r="K92" s="23">
        <v>220</v>
      </c>
      <c r="L92" s="23">
        <v>90</v>
      </c>
      <c r="M92" s="23">
        <v>75</v>
      </c>
      <c r="N92" s="3">
        <f t="shared" si="30"/>
        <v>1.4850000000000001</v>
      </c>
      <c r="O92" s="4" t="e">
        <f>(C92-(C92*#REF!))-((C92-(C92*#REF!))*#REF!)</f>
        <v>#REF!</v>
      </c>
      <c r="P92" s="7">
        <v>284.72883797232947</v>
      </c>
      <c r="Q92" s="7">
        <v>0</v>
      </c>
      <c r="R92" s="5">
        <f t="shared" si="31"/>
        <v>284.72883797232947</v>
      </c>
      <c r="S92" s="4">
        <f t="shared" si="32"/>
        <v>1.8981922531488633E-2</v>
      </c>
      <c r="T92" s="13">
        <f t="shared" si="33"/>
        <v>1651.9929999999999</v>
      </c>
      <c r="U92" s="13">
        <f t="shared" si="42"/>
        <v>825.99649999999997</v>
      </c>
      <c r="V92" s="14">
        <f>U92/C92</f>
        <v>0.35000000000000003</v>
      </c>
      <c r="W92" s="14"/>
      <c r="X92" s="19">
        <f t="shared" si="27"/>
        <v>825.99649999999997</v>
      </c>
      <c r="Y92" s="19">
        <f t="shared" si="28"/>
        <v>1651.9929999999999</v>
      </c>
      <c r="Z92" s="15">
        <f t="shared" ref="Z92:Z155" si="46">U92/S92</f>
        <v>43514.902066941599</v>
      </c>
      <c r="AA92" s="22" t="s">
        <v>451</v>
      </c>
      <c r="AG92" s="94" t="s">
        <v>52</v>
      </c>
      <c r="AH92" s="89" t="str">
        <f>VLOOKUP(AG92,Sheet1!$B$3:$D$36,2,FALSE)</f>
        <v>Furniture</v>
      </c>
      <c r="AI92" s="89" t="s">
        <v>53</v>
      </c>
      <c r="AJ92" s="1" t="str">
        <f t="shared" si="34"/>
        <v>Rila rectangular</v>
      </c>
      <c r="AK92" s="1" t="str">
        <f t="shared" si="35"/>
        <v>w220 x d90 x h75 x bh70</v>
      </c>
      <c r="AL92" s="1" t="str">
        <f t="shared" si="36"/>
        <v>Natural teak indoor</v>
      </c>
      <c r="AM92" s="1" t="str">
        <f t="shared" si="37"/>
        <v>Natural teak indoor</v>
      </c>
      <c r="AN92" s="1" t="str">
        <f>SUBSTITUTE(AL92,"indoor","")</f>
        <v xml:space="preserve">Natural teak </v>
      </c>
      <c r="AO92" s="1" t="s">
        <v>54</v>
      </c>
      <c r="AQ92" s="1" t="str">
        <f t="shared" si="38"/>
        <v>A</v>
      </c>
      <c r="AR92" s="1" t="str">
        <f>VLOOKUP(TRIM(AI92),Sheet1!$D$3:$E$36,2,FALSE)</f>
        <v>01</v>
      </c>
      <c r="AS92" s="90" t="str">
        <f t="shared" si="39"/>
        <v>01</v>
      </c>
      <c r="AT92" s="1" t="str">
        <f t="shared" si="40"/>
        <v>01</v>
      </c>
      <c r="AU92" s="90" t="s">
        <v>55</v>
      </c>
      <c r="AV92" s="90"/>
      <c r="AW92" s="90"/>
      <c r="AX92" s="95" t="str">
        <f>AQ92&amp;AR92&amp;AS92&amp;"-"&amp;AT92&amp;AU92&amp;BA92</f>
        <v>A0101-0110IND</v>
      </c>
      <c r="AY92" s="99" t="str">
        <f>AQ92&amp;AR92&amp;AS92&amp;"-"&amp;AT92&amp;BA92</f>
        <v>A0101-01IND</v>
      </c>
      <c r="AZ92" s="90"/>
      <c r="BA92" s="1" t="str">
        <f t="shared" si="41"/>
        <v>IND</v>
      </c>
      <c r="BC92" s="1">
        <f t="shared" si="25"/>
        <v>1</v>
      </c>
      <c r="BD92" s="90">
        <f t="shared" si="26"/>
        <v>1</v>
      </c>
      <c r="BE92" s="1">
        <f t="shared" si="44"/>
        <v>1</v>
      </c>
      <c r="BF92" s="1">
        <f t="shared" si="45"/>
        <v>1</v>
      </c>
      <c r="BJ92" t="s">
        <v>452</v>
      </c>
      <c r="BK92" s="1">
        <v>2</v>
      </c>
      <c r="BL92"/>
      <c r="BM92" t="str">
        <f t="shared" si="43"/>
        <v>L'Église rectangular console-L'Église rectangular console-</v>
      </c>
    </row>
    <row r="93" spans="1:65" ht="11.25" customHeight="1">
      <c r="A93" s="26" t="s">
        <v>453</v>
      </c>
      <c r="B93" s="27" t="s">
        <v>447</v>
      </c>
      <c r="C93" s="28">
        <v>2579.9899999999998</v>
      </c>
      <c r="D93" s="28">
        <f t="shared" si="29"/>
        <v>1289.9949999999999</v>
      </c>
      <c r="E93" s="22" t="s">
        <v>40</v>
      </c>
      <c r="F93" s="22" t="s">
        <v>454</v>
      </c>
      <c r="G93" s="22" t="s">
        <v>449</v>
      </c>
      <c r="H93" s="22" t="s">
        <v>450</v>
      </c>
      <c r="I93" s="23" t="s">
        <v>58</v>
      </c>
      <c r="J93" s="22" t="s">
        <v>50</v>
      </c>
      <c r="K93" s="23">
        <v>220</v>
      </c>
      <c r="L93" s="23">
        <v>90</v>
      </c>
      <c r="M93" s="23">
        <v>75</v>
      </c>
      <c r="N93" s="3">
        <f t="shared" si="30"/>
        <v>1.4850000000000001</v>
      </c>
      <c r="O93" s="4" t="e">
        <f>(C93-(C93*#REF!))-((C93-(C93*#REF!))*#REF!)</f>
        <v>#REF!</v>
      </c>
      <c r="P93" s="7">
        <v>269.62315341060111</v>
      </c>
      <c r="Q93" s="7">
        <v>0</v>
      </c>
      <c r="R93" s="5">
        <f t="shared" si="31"/>
        <v>269.62315341060111</v>
      </c>
      <c r="S93" s="4">
        <f t="shared" si="32"/>
        <v>1.7974876894040075E-2</v>
      </c>
      <c r="T93" s="13">
        <f t="shared" si="33"/>
        <v>1805.9929999999999</v>
      </c>
      <c r="U93" s="13">
        <f t="shared" si="42"/>
        <v>902.99649999999997</v>
      </c>
      <c r="V93" s="14">
        <f>U93/C93</f>
        <v>0.35000000000000003</v>
      </c>
      <c r="W93" s="14"/>
      <c r="X93" s="19">
        <f t="shared" si="27"/>
        <v>902.99649999999997</v>
      </c>
      <c r="Y93" s="19">
        <f t="shared" si="28"/>
        <v>1805.9929999999999</v>
      </c>
      <c r="Z93" s="15">
        <f t="shared" si="46"/>
        <v>50236.588841362594</v>
      </c>
      <c r="AA93" s="22" t="s">
        <v>455</v>
      </c>
      <c r="AG93" s="94" t="s">
        <v>52</v>
      </c>
      <c r="AH93" s="89" t="str">
        <f>VLOOKUP(AG93,Sheet1!$B$3:$D$36,2,FALSE)</f>
        <v>Furniture</v>
      </c>
      <c r="AI93" s="89" t="s">
        <v>53</v>
      </c>
      <c r="AJ93" s="1" t="str">
        <f t="shared" si="34"/>
        <v>Rila rectangular</v>
      </c>
      <c r="AK93" s="1" t="str">
        <f t="shared" si="35"/>
        <v>w220 x d90 x h75 x bh70</v>
      </c>
      <c r="AL93" s="1" t="str">
        <f t="shared" si="36"/>
        <v>Natural teak outdoor</v>
      </c>
      <c r="AM93" s="1" t="str">
        <f t="shared" si="37"/>
        <v>Natural teak outdoor</v>
      </c>
      <c r="AN93" s="1" t="str">
        <f>SUBSTITUTE(AL93,"outdoor","")</f>
        <v xml:space="preserve">Natural teak </v>
      </c>
      <c r="AO93" s="1" t="s">
        <v>59</v>
      </c>
      <c r="AQ93" s="1" t="str">
        <f t="shared" si="38"/>
        <v>A</v>
      </c>
      <c r="AR93" s="1" t="str">
        <f>VLOOKUP(TRIM(AI93),Sheet1!$D$3:$E$36,2,FALSE)</f>
        <v>01</v>
      </c>
      <c r="AS93" s="90" t="str">
        <f t="shared" si="39"/>
        <v>02</v>
      </c>
      <c r="AT93" s="1" t="str">
        <f t="shared" si="40"/>
        <v>02</v>
      </c>
      <c r="AU93" s="90" t="s">
        <v>55</v>
      </c>
      <c r="AV93" s="90"/>
      <c r="AW93" s="90"/>
      <c r="AX93" s="95" t="str">
        <f>AQ93&amp;AR93&amp;AS93&amp;"-"&amp;AT93&amp;AU93&amp;BA93</f>
        <v>A0102-0210OUT</v>
      </c>
      <c r="AY93" s="99" t="str">
        <f>AQ93&amp;AR93&amp;AS93&amp;"-"&amp;AT93&amp;BA93</f>
        <v>A0102-02OUT</v>
      </c>
      <c r="AZ93" s="90"/>
      <c r="BA93" s="1" t="str">
        <f t="shared" si="41"/>
        <v>OUT</v>
      </c>
      <c r="BC93" s="1" t="str">
        <f t="shared" si="25"/>
        <v/>
      </c>
      <c r="BD93" s="90">
        <f t="shared" si="26"/>
        <v>2</v>
      </c>
      <c r="BE93" s="1" t="str">
        <f t="shared" si="44"/>
        <v/>
      </c>
      <c r="BF93" s="1">
        <f t="shared" si="45"/>
        <v>2</v>
      </c>
      <c r="BJ93" t="s">
        <v>456</v>
      </c>
      <c r="BK93" s="1">
        <v>3</v>
      </c>
      <c r="BL93"/>
      <c r="BM93" t="str">
        <f t="shared" si="43"/>
        <v>Looney cracked-Looney cracked-Looney cracked-</v>
      </c>
    </row>
    <row r="94" spans="1:65" ht="11.25" customHeight="1">
      <c r="A94" s="26" t="s">
        <v>457</v>
      </c>
      <c r="B94" s="27" t="s">
        <v>447</v>
      </c>
      <c r="C94" s="28">
        <v>2939.99</v>
      </c>
      <c r="D94" s="28">
        <f t="shared" si="29"/>
        <v>1469.9949999999999</v>
      </c>
      <c r="E94" s="22" t="s">
        <v>40</v>
      </c>
      <c r="F94" s="22" t="s">
        <v>458</v>
      </c>
      <c r="G94" s="22" t="s">
        <v>449</v>
      </c>
      <c r="H94" s="22" t="s">
        <v>459</v>
      </c>
      <c r="I94" s="23" t="s">
        <v>49</v>
      </c>
      <c r="J94" s="22" t="s">
        <v>50</v>
      </c>
      <c r="K94" s="23">
        <v>280</v>
      </c>
      <c r="L94" s="23">
        <v>90</v>
      </c>
      <c r="M94" s="23">
        <v>75</v>
      </c>
      <c r="N94" s="3">
        <f t="shared" si="30"/>
        <v>1.89</v>
      </c>
      <c r="O94" s="4" t="e">
        <f>(C94-(C94*#REF!))-((C94-(C94*#REF!))*#REF!)</f>
        <v>#REF!</v>
      </c>
      <c r="P94" s="7"/>
      <c r="Q94" s="7"/>
      <c r="R94" s="5">
        <f t="shared" si="31"/>
        <v>0</v>
      </c>
      <c r="S94" s="4">
        <f t="shared" si="32"/>
        <v>0</v>
      </c>
      <c r="T94" s="13">
        <f t="shared" si="33"/>
        <v>2057.9929999999999</v>
      </c>
      <c r="U94" s="13">
        <f t="shared" si="42"/>
        <v>1028.9965</v>
      </c>
      <c r="V94" s="14">
        <f>U94/C94</f>
        <v>0.35000000000000003</v>
      </c>
      <c r="W94" s="14"/>
      <c r="X94" s="19">
        <f t="shared" si="27"/>
        <v>1028.9965</v>
      </c>
      <c r="Y94" s="19">
        <f t="shared" si="28"/>
        <v>2057.9929999999999</v>
      </c>
      <c r="Z94" s="15" t="e">
        <f t="shared" si="46"/>
        <v>#DIV/0!</v>
      </c>
      <c r="AA94" s="22" t="s">
        <v>460</v>
      </c>
      <c r="AG94" s="94" t="s">
        <v>52</v>
      </c>
      <c r="AH94" s="89" t="str">
        <f>VLOOKUP(AG94,Sheet1!$B$3:$D$36,2,FALSE)</f>
        <v>Furniture</v>
      </c>
      <c r="AI94" s="89" t="s">
        <v>53</v>
      </c>
      <c r="AJ94" s="1" t="str">
        <f t="shared" si="34"/>
        <v>Rila rectangular</v>
      </c>
      <c r="AK94" s="1" t="str">
        <f t="shared" si="35"/>
        <v>w280 x d90 x h75 x bh70</v>
      </c>
      <c r="AL94" s="1" t="str">
        <f t="shared" si="36"/>
        <v>Natural teak indoor</v>
      </c>
      <c r="AM94" s="1" t="str">
        <f t="shared" si="37"/>
        <v>Natural teak indoor</v>
      </c>
      <c r="AN94" s="1" t="str">
        <f>SUBSTITUTE(AL94,"indoor","")</f>
        <v xml:space="preserve">Natural teak </v>
      </c>
      <c r="AO94" s="1" t="s">
        <v>54</v>
      </c>
      <c r="AQ94" s="1" t="str">
        <f t="shared" si="38"/>
        <v>A</v>
      </c>
      <c r="AR94" s="1" t="str">
        <f>VLOOKUP(TRIM(AI94),Sheet1!$D$3:$E$36,2,FALSE)</f>
        <v>01</v>
      </c>
      <c r="AS94" s="90" t="str">
        <f t="shared" si="39"/>
        <v>03</v>
      </c>
      <c r="AT94" s="1" t="str">
        <f t="shared" si="40"/>
        <v>01</v>
      </c>
      <c r="AU94" s="90" t="s">
        <v>55</v>
      </c>
      <c r="AV94" s="90"/>
      <c r="AW94" s="90"/>
      <c r="AX94" s="95" t="str">
        <f>AQ94&amp;AR94&amp;AS94&amp;"-"&amp;AT94&amp;AU94&amp;BA94</f>
        <v>A0103-0110IND</v>
      </c>
      <c r="AY94" s="99" t="str">
        <f>AQ94&amp;AR94&amp;AS94&amp;"-"&amp;AT94&amp;BA94</f>
        <v>A0103-01IND</v>
      </c>
      <c r="AZ94" s="90"/>
      <c r="BA94" s="1" t="str">
        <f t="shared" si="41"/>
        <v>IND</v>
      </c>
      <c r="BC94" s="1" t="str">
        <f t="shared" si="25"/>
        <v/>
      </c>
      <c r="BD94" s="90">
        <f t="shared" si="26"/>
        <v>3</v>
      </c>
      <c r="BE94" s="1">
        <f t="shared" si="44"/>
        <v>1</v>
      </c>
      <c r="BF94" s="1">
        <f t="shared" si="45"/>
        <v>1</v>
      </c>
      <c r="BJ94" t="s">
        <v>461</v>
      </c>
      <c r="BK94" s="1">
        <v>2</v>
      </c>
      <c r="BL94"/>
      <c r="BM94" t="str">
        <f t="shared" si="43"/>
        <v>Luna bench-Luna bench-</v>
      </c>
    </row>
    <row r="95" spans="1:65" ht="11.25" customHeight="1">
      <c r="A95" s="26" t="s">
        <v>462</v>
      </c>
      <c r="B95" s="27" t="s">
        <v>447</v>
      </c>
      <c r="C95" s="28">
        <v>3139.99</v>
      </c>
      <c r="D95" s="28">
        <f t="shared" si="29"/>
        <v>1569.9949999999999</v>
      </c>
      <c r="E95" s="22" t="s">
        <v>40</v>
      </c>
      <c r="F95" s="22" t="s">
        <v>463</v>
      </c>
      <c r="G95" s="22" t="s">
        <v>449</v>
      </c>
      <c r="H95" s="22" t="s">
        <v>459</v>
      </c>
      <c r="I95" s="23" t="s">
        <v>58</v>
      </c>
      <c r="J95" s="22" t="s">
        <v>50</v>
      </c>
      <c r="K95" s="23">
        <v>280</v>
      </c>
      <c r="L95" s="23">
        <v>90</v>
      </c>
      <c r="M95" s="23">
        <v>75</v>
      </c>
      <c r="N95" s="3">
        <f t="shared" si="30"/>
        <v>1.89</v>
      </c>
      <c r="O95" s="4" t="e">
        <f>(C95-(C95*#REF!))-((C95-(C95*#REF!))*#REF!)</f>
        <v>#REF!</v>
      </c>
      <c r="P95" s="7"/>
      <c r="Q95" s="7"/>
      <c r="R95" s="5">
        <f t="shared" si="31"/>
        <v>0</v>
      </c>
      <c r="S95" s="4">
        <f t="shared" si="32"/>
        <v>0</v>
      </c>
      <c r="T95" s="13">
        <f t="shared" si="33"/>
        <v>2197.9929999999999</v>
      </c>
      <c r="U95" s="13">
        <f t="shared" si="42"/>
        <v>1098.9965</v>
      </c>
      <c r="V95" s="14">
        <f>U95/C95</f>
        <v>0.35000000000000003</v>
      </c>
      <c r="W95" s="14"/>
      <c r="X95" s="19">
        <f t="shared" si="27"/>
        <v>1098.9965</v>
      </c>
      <c r="Y95" s="19">
        <f t="shared" si="28"/>
        <v>2197.9929999999999</v>
      </c>
      <c r="Z95" s="15" t="e">
        <f t="shared" si="46"/>
        <v>#DIV/0!</v>
      </c>
      <c r="AA95" s="22" t="s">
        <v>464</v>
      </c>
      <c r="AG95" s="94" t="s">
        <v>52</v>
      </c>
      <c r="AH95" s="89" t="str">
        <f>VLOOKUP(AG95,Sheet1!$B$3:$D$36,2,FALSE)</f>
        <v>Furniture</v>
      </c>
      <c r="AI95" s="89" t="s">
        <v>53</v>
      </c>
      <c r="AJ95" s="1" t="str">
        <f t="shared" si="34"/>
        <v>Rila rectangular</v>
      </c>
      <c r="AK95" s="1" t="str">
        <f t="shared" si="35"/>
        <v>w280 x d90 x h75 x bh70</v>
      </c>
      <c r="AL95" s="1" t="str">
        <f t="shared" si="36"/>
        <v>Natural teak outdoor</v>
      </c>
      <c r="AM95" s="1" t="str">
        <f t="shared" si="37"/>
        <v>Natural teak outdoor</v>
      </c>
      <c r="AN95" s="1" t="str">
        <f>SUBSTITUTE(AL95,"outdoor","")</f>
        <v xml:space="preserve">Natural teak </v>
      </c>
      <c r="AO95" s="1" t="s">
        <v>59</v>
      </c>
      <c r="AQ95" s="1" t="str">
        <f t="shared" si="38"/>
        <v>A</v>
      </c>
      <c r="AR95" s="1" t="str">
        <f>VLOOKUP(TRIM(AI95),Sheet1!$D$3:$E$36,2,FALSE)</f>
        <v>01</v>
      </c>
      <c r="AS95" s="90" t="str">
        <f t="shared" si="39"/>
        <v>04</v>
      </c>
      <c r="AT95" s="1" t="str">
        <f t="shared" si="40"/>
        <v>02</v>
      </c>
      <c r="AU95" s="90" t="s">
        <v>55</v>
      </c>
      <c r="AV95" s="90"/>
      <c r="AW95" s="90"/>
      <c r="AX95" s="95" t="str">
        <f>AQ95&amp;AR95&amp;AS95&amp;"-"&amp;AT95&amp;AU95&amp;BA95</f>
        <v>A0104-0210OUT</v>
      </c>
      <c r="AY95" s="99" t="str">
        <f>AQ95&amp;AR95&amp;AS95&amp;"-"&amp;AT95&amp;BA95</f>
        <v>A0104-02OUT</v>
      </c>
      <c r="AZ95" s="90"/>
      <c r="BA95" s="1" t="str">
        <f t="shared" si="41"/>
        <v>OUT</v>
      </c>
      <c r="BC95" s="1" t="str">
        <f t="shared" si="25"/>
        <v/>
      </c>
      <c r="BD95" s="90">
        <f t="shared" si="26"/>
        <v>4</v>
      </c>
      <c r="BE95" s="1" t="str">
        <f t="shared" si="44"/>
        <v/>
      </c>
      <c r="BF95" s="1">
        <f t="shared" si="45"/>
        <v>2</v>
      </c>
      <c r="BJ95" t="s">
        <v>465</v>
      </c>
      <c r="BK95" s="1">
        <v>3</v>
      </c>
      <c r="BL95"/>
      <c r="BM95" t="str">
        <f t="shared" si="43"/>
        <v>Madalina-Madalina-Madalina-</v>
      </c>
    </row>
    <row r="96" spans="1:65" ht="11.25" customHeight="1">
      <c r="A96" s="26" t="s">
        <v>466</v>
      </c>
      <c r="B96" s="27" t="s">
        <v>447</v>
      </c>
      <c r="C96" s="28">
        <v>4809.99</v>
      </c>
      <c r="D96" s="28">
        <f t="shared" si="29"/>
        <v>2404.9949999999999</v>
      </c>
      <c r="E96" s="22" t="s">
        <v>40</v>
      </c>
      <c r="F96" s="22" t="s">
        <v>467</v>
      </c>
      <c r="G96" s="22" t="s">
        <v>449</v>
      </c>
      <c r="H96" s="22" t="s">
        <v>468</v>
      </c>
      <c r="I96" s="23" t="s">
        <v>49</v>
      </c>
      <c r="J96" s="22" t="s">
        <v>50</v>
      </c>
      <c r="K96" s="23">
        <v>320</v>
      </c>
      <c r="L96" s="23">
        <v>100</v>
      </c>
      <c r="M96" s="23">
        <v>75</v>
      </c>
      <c r="N96" s="3">
        <f t="shared" si="30"/>
        <v>2.4</v>
      </c>
      <c r="O96" s="4" t="e">
        <f>(C96-(C96*#REF!))-((C96-(C96*#REF!))*#REF!)</f>
        <v>#REF!</v>
      </c>
      <c r="P96" s="7"/>
      <c r="Q96" s="7"/>
      <c r="R96" s="5">
        <f t="shared" si="31"/>
        <v>0</v>
      </c>
      <c r="S96" s="4">
        <f t="shared" si="32"/>
        <v>0</v>
      </c>
      <c r="T96" s="13">
        <f t="shared" si="33"/>
        <v>3366.9929999999999</v>
      </c>
      <c r="U96" s="13">
        <f t="shared" si="42"/>
        <v>1683.4965</v>
      </c>
      <c r="V96" s="14">
        <f>U96/C96</f>
        <v>0.35000000000000003</v>
      </c>
      <c r="W96" s="14"/>
      <c r="X96" s="19">
        <f t="shared" si="27"/>
        <v>1683.4965</v>
      </c>
      <c r="Y96" s="19">
        <f t="shared" si="28"/>
        <v>3366.9929999999999</v>
      </c>
      <c r="Z96" s="15" t="e">
        <f t="shared" si="46"/>
        <v>#DIV/0!</v>
      </c>
      <c r="AA96" s="22" t="s">
        <v>464</v>
      </c>
      <c r="AG96" s="94" t="s">
        <v>52</v>
      </c>
      <c r="AH96" s="89" t="str">
        <f>VLOOKUP(AG96,Sheet1!$B$3:$D$36,2,FALSE)</f>
        <v>Furniture</v>
      </c>
      <c r="AI96" s="89" t="s">
        <v>53</v>
      </c>
      <c r="AJ96" s="1" t="str">
        <f t="shared" si="34"/>
        <v>Rila rectangular</v>
      </c>
      <c r="AK96" s="1" t="str">
        <f t="shared" si="35"/>
        <v>w320 x d100 x h75 x bh70</v>
      </c>
      <c r="AL96" s="1" t="str">
        <f t="shared" si="36"/>
        <v>Natural teak indoor</v>
      </c>
      <c r="AM96" s="1" t="str">
        <f t="shared" si="37"/>
        <v>Natural teak indoor</v>
      </c>
      <c r="AN96" s="1" t="str">
        <f>SUBSTITUTE(AL96,"indoor","")</f>
        <v xml:space="preserve">Natural teak </v>
      </c>
      <c r="AO96" s="1" t="s">
        <v>54</v>
      </c>
      <c r="AQ96" s="1" t="str">
        <f t="shared" si="38"/>
        <v>A</v>
      </c>
      <c r="AR96" s="1" t="str">
        <f>VLOOKUP(TRIM(AI96),Sheet1!$D$3:$E$36,2,FALSE)</f>
        <v>01</v>
      </c>
      <c r="AS96" s="90" t="str">
        <f t="shared" si="39"/>
        <v>05</v>
      </c>
      <c r="AT96" s="1" t="str">
        <f t="shared" si="40"/>
        <v>01</v>
      </c>
      <c r="AU96" s="90" t="s">
        <v>55</v>
      </c>
      <c r="AV96" s="90"/>
      <c r="AW96" s="90"/>
      <c r="AX96" s="95" t="str">
        <f>AQ96&amp;AR96&amp;AS96&amp;"-"&amp;AT96&amp;AU96&amp;BA96</f>
        <v>A0105-0110IND</v>
      </c>
      <c r="AY96" s="99" t="str">
        <f>AQ96&amp;AR96&amp;AS96&amp;"-"&amp;AT96&amp;BA96</f>
        <v>A0105-01IND</v>
      </c>
      <c r="AZ96" s="90"/>
      <c r="BA96" s="1" t="str">
        <f t="shared" si="41"/>
        <v>IND</v>
      </c>
      <c r="BC96" s="1" t="str">
        <f t="shared" si="25"/>
        <v/>
      </c>
      <c r="BD96" s="90">
        <f t="shared" si="26"/>
        <v>5</v>
      </c>
      <c r="BE96" s="1">
        <f t="shared" si="44"/>
        <v>1</v>
      </c>
      <c r="BF96" s="1">
        <f t="shared" si="45"/>
        <v>1</v>
      </c>
      <c r="BJ96" t="s">
        <v>469</v>
      </c>
      <c r="BK96" s="1">
        <v>3</v>
      </c>
      <c r="BL96"/>
      <c r="BM96" t="str">
        <f t="shared" si="43"/>
        <v>Maldini-Maldini-Maldini-</v>
      </c>
    </row>
    <row r="97" spans="1:65" ht="11.25" customHeight="1">
      <c r="A97" s="26" t="s">
        <v>470</v>
      </c>
      <c r="B97" s="27" t="s">
        <v>447</v>
      </c>
      <c r="C97" s="28">
        <v>4979.99</v>
      </c>
      <c r="D97" s="28">
        <f t="shared" si="29"/>
        <v>2489.9949999999999</v>
      </c>
      <c r="E97" s="22" t="s">
        <v>40</v>
      </c>
      <c r="F97" s="22" t="s">
        <v>471</v>
      </c>
      <c r="G97" s="22" t="s">
        <v>449</v>
      </c>
      <c r="H97" s="22" t="s">
        <v>468</v>
      </c>
      <c r="I97" s="23" t="s">
        <v>58</v>
      </c>
      <c r="J97" s="22" t="s">
        <v>50</v>
      </c>
      <c r="K97" s="23">
        <v>320</v>
      </c>
      <c r="L97" s="23">
        <v>100</v>
      </c>
      <c r="M97" s="23">
        <v>75</v>
      </c>
      <c r="N97" s="3">
        <f t="shared" si="30"/>
        <v>2.4</v>
      </c>
      <c r="O97" s="4" t="e">
        <f>(C97-(C97*#REF!))-((C97-(C97*#REF!))*#REF!)</f>
        <v>#REF!</v>
      </c>
      <c r="P97" s="7"/>
      <c r="Q97" s="7"/>
      <c r="R97" s="5">
        <f t="shared" si="31"/>
        <v>0</v>
      </c>
      <c r="S97" s="4">
        <f t="shared" si="32"/>
        <v>0</v>
      </c>
      <c r="T97" s="13">
        <f t="shared" si="33"/>
        <v>3485.9929999999999</v>
      </c>
      <c r="U97" s="13">
        <f t="shared" si="42"/>
        <v>1742.9965</v>
      </c>
      <c r="V97" s="14">
        <f>U97/C97</f>
        <v>0.35000000000000003</v>
      </c>
      <c r="W97" s="14"/>
      <c r="X97" s="19">
        <f t="shared" si="27"/>
        <v>1742.9965</v>
      </c>
      <c r="Y97" s="19">
        <f t="shared" si="28"/>
        <v>3485.9929999999999</v>
      </c>
      <c r="Z97" s="15" t="e">
        <f t="shared" si="46"/>
        <v>#DIV/0!</v>
      </c>
      <c r="AA97" s="22" t="s">
        <v>464</v>
      </c>
      <c r="AG97" s="94" t="s">
        <v>52</v>
      </c>
      <c r="AH97" s="89" t="str">
        <f>VLOOKUP(AG97,Sheet1!$B$3:$D$36,2,FALSE)</f>
        <v>Furniture</v>
      </c>
      <c r="AI97" s="89" t="s">
        <v>53</v>
      </c>
      <c r="AJ97" s="1" t="str">
        <f t="shared" si="34"/>
        <v>Rila rectangular</v>
      </c>
      <c r="AK97" s="1" t="str">
        <f t="shared" si="35"/>
        <v>w320 x d100 x h75 x bh70</v>
      </c>
      <c r="AL97" s="1" t="str">
        <f t="shared" si="36"/>
        <v>Natural teak outdoor</v>
      </c>
      <c r="AM97" s="1" t="str">
        <f t="shared" si="37"/>
        <v>Natural teak outdoor</v>
      </c>
      <c r="AN97" s="1" t="str">
        <f>SUBSTITUTE(AL97,"outdoor","")</f>
        <v xml:space="preserve">Natural teak </v>
      </c>
      <c r="AO97" s="1" t="s">
        <v>59</v>
      </c>
      <c r="AQ97" s="1" t="str">
        <f t="shared" si="38"/>
        <v>A</v>
      </c>
      <c r="AR97" s="1" t="str">
        <f>VLOOKUP(TRIM(AI97),Sheet1!$D$3:$E$36,2,FALSE)</f>
        <v>01</v>
      </c>
      <c r="AS97" s="90" t="str">
        <f t="shared" si="39"/>
        <v>06</v>
      </c>
      <c r="AT97" s="1" t="str">
        <f t="shared" si="40"/>
        <v>02</v>
      </c>
      <c r="AU97" s="90" t="s">
        <v>55</v>
      </c>
      <c r="AV97" s="90"/>
      <c r="AW97" s="90"/>
      <c r="AX97" s="95" t="str">
        <f>AQ97&amp;AR97&amp;AS97&amp;"-"&amp;AT97&amp;AU97&amp;BA97</f>
        <v>A0106-0210OUT</v>
      </c>
      <c r="AY97" s="99" t="str">
        <f>AQ97&amp;AR97&amp;AS97&amp;"-"&amp;AT97&amp;BA97</f>
        <v>A0106-02OUT</v>
      </c>
      <c r="AZ97" s="90"/>
      <c r="BA97" s="1" t="str">
        <f t="shared" si="41"/>
        <v>OUT</v>
      </c>
      <c r="BC97" s="1" t="str">
        <f t="shared" si="25"/>
        <v/>
      </c>
      <c r="BD97" s="90">
        <f t="shared" si="26"/>
        <v>6</v>
      </c>
      <c r="BE97" s="1" t="str">
        <f t="shared" si="44"/>
        <v/>
      </c>
      <c r="BF97" s="1">
        <f t="shared" si="45"/>
        <v>2</v>
      </c>
      <c r="BJ97" t="s">
        <v>472</v>
      </c>
      <c r="BK97" s="1">
        <v>2</v>
      </c>
      <c r="BL97"/>
      <c r="BM97" t="str">
        <f t="shared" si="43"/>
        <v>Marco-Marco-</v>
      </c>
    </row>
    <row r="98" spans="1:65" ht="11.25" customHeight="1">
      <c r="A98" s="26" t="s">
        <v>473</v>
      </c>
      <c r="B98" s="27" t="s">
        <v>474</v>
      </c>
      <c r="C98" s="28">
        <v>12619.99</v>
      </c>
      <c r="D98" s="28">
        <f t="shared" si="29"/>
        <v>6309.9949999999999</v>
      </c>
      <c r="E98" s="22" t="s">
        <v>40</v>
      </c>
      <c r="F98" s="22" t="s">
        <v>475</v>
      </c>
      <c r="G98" s="22" t="s">
        <v>100</v>
      </c>
      <c r="H98" s="22" t="s">
        <v>476</v>
      </c>
      <c r="I98" s="23" t="s">
        <v>49</v>
      </c>
      <c r="J98" s="22" t="s">
        <v>50</v>
      </c>
      <c r="K98" s="23">
        <v>500</v>
      </c>
      <c r="L98" s="23">
        <v>75</v>
      </c>
      <c r="M98" s="23">
        <v>78</v>
      </c>
      <c r="N98" s="3">
        <f t="shared" si="30"/>
        <v>2.9249999999999998</v>
      </c>
      <c r="O98" s="4" t="e">
        <f>(C98-(C98*#REF!))-((C98-(C98*#REF!))*#REF!)</f>
        <v>#REF!</v>
      </c>
      <c r="P98" s="7">
        <v>10353399.161772162</v>
      </c>
      <c r="Q98" s="7">
        <v>0</v>
      </c>
      <c r="R98" s="5">
        <f>P98+Q98</f>
        <v>10353399.161772162</v>
      </c>
      <c r="S98" s="4">
        <f t="shared" si="32"/>
        <v>690.22661078481076</v>
      </c>
      <c r="T98" s="13">
        <f t="shared" si="33"/>
        <v>8833.9930000000004</v>
      </c>
      <c r="U98" s="13">
        <f t="shared" si="42"/>
        <v>4416.9965000000002</v>
      </c>
      <c r="V98" s="14">
        <f>U98/C98</f>
        <v>0.35000000000000003</v>
      </c>
      <c r="W98" s="14"/>
      <c r="X98" s="19">
        <f t="shared" si="27"/>
        <v>4416.9965000000002</v>
      </c>
      <c r="Y98" s="19">
        <f t="shared" si="28"/>
        <v>8833.9930000000004</v>
      </c>
      <c r="Z98" s="15">
        <f t="shared" si="46"/>
        <v>6.3993425216940381</v>
      </c>
      <c r="AA98" s="22" t="s">
        <v>477</v>
      </c>
      <c r="AG98" s="94" t="s">
        <v>52</v>
      </c>
      <c r="AH98" s="89" t="str">
        <f>VLOOKUP(AG98,Sheet1!$B$3:$D$36,2,FALSE)</f>
        <v>Furniture</v>
      </c>
      <c r="AI98" s="89" t="s">
        <v>53</v>
      </c>
      <c r="AJ98" s="1" t="str">
        <f t="shared" si="34"/>
        <v>Bansko rectangular</v>
      </c>
      <c r="AK98" s="1" t="str">
        <f t="shared" si="35"/>
        <v>w500 x d75 x h78 x bh70</v>
      </c>
      <c r="AL98" s="1" t="str">
        <f t="shared" si="36"/>
        <v>Natural teak indoor</v>
      </c>
      <c r="AM98" s="1" t="str">
        <f t="shared" si="37"/>
        <v>Natural teak indoor</v>
      </c>
      <c r="AN98" s="1" t="str">
        <f>SUBSTITUTE(AL98,"indoor","")</f>
        <v xml:space="preserve">Natural teak </v>
      </c>
      <c r="AO98" s="1" t="s">
        <v>54</v>
      </c>
      <c r="AQ98" s="1" t="str">
        <f t="shared" si="38"/>
        <v>A</v>
      </c>
      <c r="AR98" s="1" t="str">
        <f>VLOOKUP(TRIM(AI98),Sheet1!$D$3:$E$36,2,FALSE)</f>
        <v>01</v>
      </c>
      <c r="AS98" s="90" t="str">
        <f t="shared" si="39"/>
        <v>01</v>
      </c>
      <c r="AT98" s="1" t="str">
        <f t="shared" si="40"/>
        <v>01</v>
      </c>
      <c r="AU98" s="90" t="s">
        <v>55</v>
      </c>
      <c r="AV98" s="90"/>
      <c r="AW98" s="90"/>
      <c r="AX98" s="95" t="str">
        <f>AQ98&amp;AR98&amp;AS98&amp;"-"&amp;AT98&amp;AU98&amp;BA98</f>
        <v>A0101-0110IND</v>
      </c>
      <c r="AY98" s="99" t="str">
        <f>AQ98&amp;AR98&amp;AS98&amp;"-"&amp;AT98&amp;BA98</f>
        <v>A0101-01IND</v>
      </c>
      <c r="AZ98" s="90"/>
      <c r="BA98" s="1" t="str">
        <f t="shared" si="41"/>
        <v>IND</v>
      </c>
      <c r="BC98" s="1">
        <f t="shared" si="25"/>
        <v>1</v>
      </c>
      <c r="BD98" s="90">
        <f t="shared" si="26"/>
        <v>1</v>
      </c>
      <c r="BE98" s="1">
        <f t="shared" si="44"/>
        <v>1</v>
      </c>
      <c r="BF98" s="1">
        <f t="shared" si="45"/>
        <v>1</v>
      </c>
      <c r="BJ98" t="s">
        <v>478</v>
      </c>
      <c r="BK98" s="1">
        <v>4</v>
      </c>
      <c r="BL98"/>
      <c r="BM98" t="str">
        <f t="shared" si="43"/>
        <v>Marina plate teak-Marina plate teak-Marina plate teak-Marina plate teak-</v>
      </c>
    </row>
    <row r="99" spans="1:65" ht="11.25" customHeight="1">
      <c r="A99" s="26" t="s">
        <v>479</v>
      </c>
      <c r="B99" s="27" t="s">
        <v>474</v>
      </c>
      <c r="C99" s="28">
        <v>13339.99</v>
      </c>
      <c r="D99" s="28">
        <f t="shared" si="29"/>
        <v>6669.9949999999999</v>
      </c>
      <c r="E99" s="22" t="s">
        <v>40</v>
      </c>
      <c r="F99" s="22" t="s">
        <v>480</v>
      </c>
      <c r="G99" s="22" t="s">
        <v>100</v>
      </c>
      <c r="H99" s="22" t="s">
        <v>476</v>
      </c>
      <c r="I99" s="23" t="s">
        <v>58</v>
      </c>
      <c r="J99" s="22" t="s">
        <v>50</v>
      </c>
      <c r="K99" s="23">
        <v>500</v>
      </c>
      <c r="L99" s="23">
        <v>75</v>
      </c>
      <c r="M99" s="23">
        <v>78</v>
      </c>
      <c r="N99" s="3">
        <f t="shared" si="30"/>
        <v>2.9249999999999998</v>
      </c>
      <c r="O99" s="4" t="e">
        <f>(C99-(C99*#REF!))-((C99-(C99*#REF!))*#REF!)</f>
        <v>#REF!</v>
      </c>
      <c r="P99" s="7">
        <v>9683892.903670311</v>
      </c>
      <c r="Q99" s="7">
        <v>0</v>
      </c>
      <c r="R99" s="5">
        <f t="shared" si="31"/>
        <v>9683892.903670311</v>
      </c>
      <c r="S99" s="4">
        <f t="shared" si="32"/>
        <v>645.59286024468736</v>
      </c>
      <c r="T99" s="13">
        <f t="shared" si="33"/>
        <v>9337.9930000000004</v>
      </c>
      <c r="U99" s="13">
        <f t="shared" si="42"/>
        <v>4668.9965000000002</v>
      </c>
      <c r="V99" s="14">
        <f>U99/C99</f>
        <v>0.35000000000000003</v>
      </c>
      <c r="W99" s="14"/>
      <c r="X99" s="19">
        <f t="shared" si="27"/>
        <v>4668.9965000000002</v>
      </c>
      <c r="Y99" s="19">
        <f t="shared" si="28"/>
        <v>9337.9930000000004</v>
      </c>
      <c r="Z99" s="15">
        <f t="shared" si="46"/>
        <v>7.2321067773742032</v>
      </c>
      <c r="AA99" s="22" t="s">
        <v>481</v>
      </c>
      <c r="AG99" s="94" t="s">
        <v>52</v>
      </c>
      <c r="AH99" s="89" t="str">
        <f>VLOOKUP(AG99,Sheet1!$B$3:$D$36,2,FALSE)</f>
        <v>Furniture</v>
      </c>
      <c r="AI99" s="89" t="s">
        <v>53</v>
      </c>
      <c r="AJ99" s="1" t="str">
        <f t="shared" si="34"/>
        <v>Bansko rectangular</v>
      </c>
      <c r="AK99" s="1" t="str">
        <f t="shared" si="35"/>
        <v>w500 x d75 x h78 x bh70</v>
      </c>
      <c r="AL99" s="1" t="str">
        <f t="shared" si="36"/>
        <v>Natural teak outdoor</v>
      </c>
      <c r="AM99" s="1" t="str">
        <f t="shared" si="37"/>
        <v>Natural teak outdoor</v>
      </c>
      <c r="AN99" s="1" t="str">
        <f>SUBSTITUTE(AL99,"outdoor","")</f>
        <v xml:space="preserve">Natural teak </v>
      </c>
      <c r="AO99" s="1" t="s">
        <v>59</v>
      </c>
      <c r="AQ99" s="1" t="str">
        <f t="shared" si="38"/>
        <v>A</v>
      </c>
      <c r="AR99" s="1" t="str">
        <f>VLOOKUP(TRIM(AI99),Sheet1!$D$3:$E$36,2,FALSE)</f>
        <v>01</v>
      </c>
      <c r="AS99" s="90" t="str">
        <f t="shared" si="39"/>
        <v>02</v>
      </c>
      <c r="AT99" s="1" t="str">
        <f t="shared" si="40"/>
        <v>02</v>
      </c>
      <c r="AU99" s="90" t="s">
        <v>55</v>
      </c>
      <c r="AV99" s="90"/>
      <c r="AW99" s="90"/>
      <c r="AX99" s="95" t="str">
        <f>AQ99&amp;AR99&amp;AS99&amp;"-"&amp;AT99&amp;AU99&amp;BA99</f>
        <v>A0102-0210OUT</v>
      </c>
      <c r="AY99" s="99" t="str">
        <f>AQ99&amp;AR99&amp;AS99&amp;"-"&amp;AT99&amp;BA99</f>
        <v>A0102-02OUT</v>
      </c>
      <c r="AZ99" s="90"/>
      <c r="BA99" s="1" t="str">
        <f t="shared" si="41"/>
        <v>OUT</v>
      </c>
      <c r="BC99" s="1" t="str">
        <f t="shared" si="25"/>
        <v/>
      </c>
      <c r="BD99" s="90">
        <f t="shared" si="26"/>
        <v>2</v>
      </c>
      <c r="BE99" s="1" t="str">
        <f t="shared" si="44"/>
        <v/>
      </c>
      <c r="BF99" s="1">
        <f t="shared" si="45"/>
        <v>2</v>
      </c>
      <c r="BJ99" t="s">
        <v>482</v>
      </c>
      <c r="BK99" s="1">
        <v>2</v>
      </c>
      <c r="BL99"/>
      <c r="BM99" t="str">
        <f t="shared" si="43"/>
        <v>Martin rectangular console-Martin rectangular console-</v>
      </c>
    </row>
    <row r="100" spans="1:65" ht="11.25" customHeight="1">
      <c r="A100" s="26" t="s">
        <v>483</v>
      </c>
      <c r="B100" s="27" t="s">
        <v>484</v>
      </c>
      <c r="C100" s="28">
        <v>5439.99</v>
      </c>
      <c r="D100" s="28">
        <f t="shared" si="29"/>
        <v>2719.9949999999999</v>
      </c>
      <c r="E100" s="22" t="s">
        <v>40</v>
      </c>
      <c r="F100" s="22" t="s">
        <v>485</v>
      </c>
      <c r="G100" s="22" t="s">
        <v>230</v>
      </c>
      <c r="H100" s="22" t="s">
        <v>486</v>
      </c>
      <c r="I100" s="23" t="s">
        <v>49</v>
      </c>
      <c r="J100" s="22" t="s">
        <v>50</v>
      </c>
      <c r="K100" s="23">
        <v>300</v>
      </c>
      <c r="L100" s="23">
        <v>110</v>
      </c>
      <c r="M100" s="23">
        <v>78</v>
      </c>
      <c r="N100" s="3">
        <f t="shared" si="30"/>
        <v>2.5739999999999998</v>
      </c>
      <c r="O100" s="4" t="e">
        <f>(C100-(C100*#REF!))-((C100-(C100*#REF!))*#REF!)</f>
        <v>#REF!</v>
      </c>
      <c r="P100" s="7">
        <v>9526489.4883173015</v>
      </c>
      <c r="Q100" s="7">
        <v>0</v>
      </c>
      <c r="R100" s="5">
        <f t="shared" si="31"/>
        <v>9526489.4883173015</v>
      </c>
      <c r="S100" s="4">
        <f t="shared" si="32"/>
        <v>635.09929922115339</v>
      </c>
      <c r="T100" s="13">
        <f t="shared" si="33"/>
        <v>3807.9929999999999</v>
      </c>
      <c r="U100" s="13">
        <f t="shared" si="42"/>
        <v>1903.9965</v>
      </c>
      <c r="V100" s="14">
        <f>U100/C100</f>
        <v>0.35000000000000003</v>
      </c>
      <c r="W100" s="14"/>
      <c r="X100" s="19">
        <f t="shared" si="27"/>
        <v>1903.9965</v>
      </c>
      <c r="Y100" s="19">
        <f t="shared" si="28"/>
        <v>3807.9929999999999</v>
      </c>
      <c r="Z100" s="15">
        <f t="shared" si="46"/>
        <v>2.9979508752961053</v>
      </c>
      <c r="AA100" s="22" t="s">
        <v>487</v>
      </c>
      <c r="AG100" s="94" t="s">
        <v>52</v>
      </c>
      <c r="AH100" s="89" t="str">
        <f>VLOOKUP(AG100,Sheet1!$B$3:$D$36,2,FALSE)</f>
        <v>Furniture</v>
      </c>
      <c r="AI100" s="89" t="s">
        <v>53</v>
      </c>
      <c r="AJ100" s="1" t="str">
        <f t="shared" si="34"/>
        <v>Elena rectangular</v>
      </c>
      <c r="AK100" s="1" t="str">
        <f t="shared" si="35"/>
        <v>w300 x d110 x h78 x bh70</v>
      </c>
      <c r="AL100" s="1" t="str">
        <f t="shared" si="36"/>
        <v>Natural teak indoor</v>
      </c>
      <c r="AM100" s="1" t="str">
        <f t="shared" si="37"/>
        <v>Natural teak indoor</v>
      </c>
      <c r="AN100" s="1" t="str">
        <f>SUBSTITUTE(AL100,"indoor","")</f>
        <v xml:space="preserve">Natural teak </v>
      </c>
      <c r="AO100" s="1" t="s">
        <v>54</v>
      </c>
      <c r="AQ100" s="1" t="str">
        <f t="shared" si="38"/>
        <v>A</v>
      </c>
      <c r="AR100" s="1" t="str">
        <f>VLOOKUP(TRIM(AI100),Sheet1!$D$3:$E$36,2,FALSE)</f>
        <v>01</v>
      </c>
      <c r="AS100" s="90" t="str">
        <f t="shared" si="39"/>
        <v>01</v>
      </c>
      <c r="AT100" s="1" t="str">
        <f t="shared" si="40"/>
        <v>01</v>
      </c>
      <c r="AU100" s="90" t="s">
        <v>55</v>
      </c>
      <c r="AV100" s="90"/>
      <c r="AW100" s="90"/>
      <c r="AX100" s="95" t="str">
        <f>AQ100&amp;AR100&amp;AS100&amp;"-"&amp;AT100&amp;AU100&amp;BA100</f>
        <v>A0101-0110IND</v>
      </c>
      <c r="AY100" s="99" t="str">
        <f>AQ100&amp;AR100&amp;AS100&amp;"-"&amp;AT100&amp;BA100</f>
        <v>A0101-01IND</v>
      </c>
      <c r="AZ100" s="90"/>
      <c r="BA100" s="1" t="str">
        <f t="shared" si="41"/>
        <v>IND</v>
      </c>
      <c r="BC100" s="1">
        <f t="shared" si="25"/>
        <v>1</v>
      </c>
      <c r="BD100" s="90">
        <f t="shared" si="26"/>
        <v>1</v>
      </c>
      <c r="BE100" s="1">
        <f t="shared" si="44"/>
        <v>1</v>
      </c>
      <c r="BF100" s="1">
        <f t="shared" si="45"/>
        <v>1</v>
      </c>
      <c r="BJ100" t="s">
        <v>488</v>
      </c>
      <c r="BK100" s="1">
        <v>2</v>
      </c>
      <c r="BL100"/>
      <c r="BM100" t="str">
        <f t="shared" si="43"/>
        <v>Mason plate lavastone-Mason plate lavastone-</v>
      </c>
    </row>
    <row r="101" spans="1:65" ht="11.25" customHeight="1">
      <c r="A101" s="26" t="s">
        <v>489</v>
      </c>
      <c r="B101" s="27" t="s">
        <v>484</v>
      </c>
      <c r="C101" s="28">
        <v>5949.99</v>
      </c>
      <c r="D101" s="28">
        <f t="shared" si="29"/>
        <v>2974.9949999999999</v>
      </c>
      <c r="E101" s="22" t="s">
        <v>40</v>
      </c>
      <c r="F101" s="22" t="s">
        <v>490</v>
      </c>
      <c r="G101" s="22" t="s">
        <v>230</v>
      </c>
      <c r="H101" s="22" t="s">
        <v>486</v>
      </c>
      <c r="I101" s="23" t="s">
        <v>58</v>
      </c>
      <c r="J101" s="22" t="s">
        <v>50</v>
      </c>
      <c r="K101" s="23">
        <v>300</v>
      </c>
      <c r="L101" s="23">
        <v>110</v>
      </c>
      <c r="M101" s="23">
        <v>78</v>
      </c>
      <c r="N101" s="3">
        <f t="shared" si="30"/>
        <v>2.5739999999999998</v>
      </c>
      <c r="O101" s="4" t="e">
        <f>(C101-(C101*#REF!))-((C101-(C101*#REF!))*#REF!)</f>
        <v>#REF!</v>
      </c>
      <c r="P101" s="7">
        <v>8941801.0873913746</v>
      </c>
      <c r="Q101" s="7">
        <v>0</v>
      </c>
      <c r="R101" s="5">
        <f t="shared" si="31"/>
        <v>8941801.0873913746</v>
      </c>
      <c r="S101" s="4">
        <f t="shared" si="32"/>
        <v>596.12007249275825</v>
      </c>
      <c r="T101" s="13">
        <f t="shared" si="33"/>
        <v>4164.9930000000004</v>
      </c>
      <c r="U101" s="13">
        <f t="shared" si="42"/>
        <v>2082.4965000000002</v>
      </c>
      <c r="V101" s="14">
        <f>U101/C101</f>
        <v>0.35000000000000003</v>
      </c>
      <c r="W101" s="14"/>
      <c r="X101" s="19">
        <f t="shared" si="27"/>
        <v>2082.4965000000002</v>
      </c>
      <c r="Y101" s="19">
        <f t="shared" si="28"/>
        <v>4164.9930000000004</v>
      </c>
      <c r="Z101" s="15">
        <f t="shared" si="46"/>
        <v>3.4934178466625925</v>
      </c>
      <c r="AA101" s="22" t="s">
        <v>487</v>
      </c>
      <c r="AG101" s="94" t="s">
        <v>52</v>
      </c>
      <c r="AH101" s="89" t="str">
        <f>VLOOKUP(AG101,Sheet1!$B$3:$D$36,2,FALSE)</f>
        <v>Furniture</v>
      </c>
      <c r="AI101" s="89" t="s">
        <v>53</v>
      </c>
      <c r="AJ101" s="1" t="str">
        <f t="shared" si="34"/>
        <v>Elena rectangular</v>
      </c>
      <c r="AK101" s="1" t="str">
        <f t="shared" si="35"/>
        <v>w300 x d110 x h78 x bh70</v>
      </c>
      <c r="AL101" s="1" t="str">
        <f t="shared" si="36"/>
        <v>Natural teak outdoor</v>
      </c>
      <c r="AM101" s="1" t="str">
        <f t="shared" si="37"/>
        <v>Natural teak outdoor</v>
      </c>
      <c r="AN101" s="1" t="str">
        <f>SUBSTITUTE(AL101,"outdoor","")</f>
        <v xml:space="preserve">Natural teak </v>
      </c>
      <c r="AO101" s="1" t="s">
        <v>59</v>
      </c>
      <c r="AQ101" s="1" t="str">
        <f t="shared" si="38"/>
        <v>A</v>
      </c>
      <c r="AR101" s="1" t="str">
        <f>VLOOKUP(TRIM(AI101),Sheet1!$D$3:$E$36,2,FALSE)</f>
        <v>01</v>
      </c>
      <c r="AS101" s="90" t="str">
        <f t="shared" si="39"/>
        <v>02</v>
      </c>
      <c r="AT101" s="1" t="str">
        <f t="shared" si="40"/>
        <v>02</v>
      </c>
      <c r="AU101" s="90" t="s">
        <v>55</v>
      </c>
      <c r="AV101" s="90"/>
      <c r="AW101" s="90"/>
      <c r="AX101" s="95" t="str">
        <f>AQ101&amp;AR101&amp;AS101&amp;"-"&amp;AT101&amp;AU101&amp;BA101</f>
        <v>A0102-0210OUT</v>
      </c>
      <c r="AY101" s="99" t="str">
        <f>AQ101&amp;AR101&amp;AS101&amp;"-"&amp;AT101&amp;BA101</f>
        <v>A0102-02OUT</v>
      </c>
      <c r="AZ101" s="90"/>
      <c r="BA101" s="1" t="str">
        <f t="shared" si="41"/>
        <v>OUT</v>
      </c>
      <c r="BC101" s="1" t="str">
        <f t="shared" si="25"/>
        <v/>
      </c>
      <c r="BD101" s="90">
        <f t="shared" si="26"/>
        <v>2</v>
      </c>
      <c r="BE101" s="1" t="str">
        <f t="shared" si="44"/>
        <v/>
      </c>
      <c r="BF101" s="1">
        <f t="shared" si="45"/>
        <v>2</v>
      </c>
      <c r="BJ101" t="s">
        <v>491</v>
      </c>
      <c r="BK101" s="1">
        <v>6</v>
      </c>
      <c r="BL101"/>
      <c r="BM101" t="str">
        <f t="shared" si="43"/>
        <v>Maverick bench-Maverick bench-Maverick bench-Maverick bench-Maverick bench-Maverick bench-</v>
      </c>
    </row>
    <row r="102" spans="1:65" ht="11.25" customHeight="1">
      <c r="A102" s="26" t="s">
        <v>492</v>
      </c>
      <c r="B102" s="27" t="s">
        <v>484</v>
      </c>
      <c r="C102" s="28">
        <v>17749.990000000002</v>
      </c>
      <c r="D102" s="28">
        <f t="shared" si="29"/>
        <v>8874.9950000000008</v>
      </c>
      <c r="E102" s="22" t="s">
        <v>40</v>
      </c>
      <c r="F102" s="22" t="s">
        <v>493</v>
      </c>
      <c r="G102" s="22" t="s">
        <v>230</v>
      </c>
      <c r="H102" s="22" t="s">
        <v>494</v>
      </c>
      <c r="I102" s="23" t="s">
        <v>49</v>
      </c>
      <c r="J102" s="22" t="s">
        <v>50</v>
      </c>
      <c r="K102" s="23">
        <v>450</v>
      </c>
      <c r="L102" s="23">
        <v>110</v>
      </c>
      <c r="M102" s="23">
        <v>78</v>
      </c>
      <c r="N102" s="3">
        <f t="shared" si="30"/>
        <v>3.8610000000000002</v>
      </c>
      <c r="O102" s="4" t="e">
        <f>(C102-(C102*#REF!))-((C102-(C102*#REF!))*#REF!)</f>
        <v>#REF!</v>
      </c>
      <c r="P102" s="7">
        <v>14093610.751794592</v>
      </c>
      <c r="Q102" s="7">
        <v>0</v>
      </c>
      <c r="R102" s="5">
        <f t="shared" si="31"/>
        <v>14093610.751794592</v>
      </c>
      <c r="S102" s="4">
        <f t="shared" si="32"/>
        <v>939.57405011963942</v>
      </c>
      <c r="T102" s="13">
        <f t="shared" si="33"/>
        <v>12424.993000000002</v>
      </c>
      <c r="U102" s="13">
        <f t="shared" si="42"/>
        <v>6212.4965000000011</v>
      </c>
      <c r="V102" s="14">
        <f>U102/C102</f>
        <v>0.35000000000000003</v>
      </c>
      <c r="W102" s="14"/>
      <c r="X102" s="19">
        <f t="shared" si="27"/>
        <v>6212.4965000000011</v>
      </c>
      <c r="Y102" s="19">
        <f t="shared" si="28"/>
        <v>12424.993000000002</v>
      </c>
      <c r="Z102" s="15">
        <f t="shared" si="46"/>
        <v>6.6120349952288926</v>
      </c>
      <c r="AA102" s="22" t="s">
        <v>495</v>
      </c>
      <c r="AG102" s="94" t="s">
        <v>52</v>
      </c>
      <c r="AH102" s="89" t="str">
        <f>VLOOKUP(AG102,Sheet1!$B$3:$D$36,2,FALSE)</f>
        <v>Furniture</v>
      </c>
      <c r="AI102" s="89" t="s">
        <v>53</v>
      </c>
      <c r="AJ102" s="1" t="str">
        <f t="shared" si="34"/>
        <v>Elena rectangular</v>
      </c>
      <c r="AK102" s="1" t="str">
        <f t="shared" si="35"/>
        <v>w450 x d110 x h78 x bh70</v>
      </c>
      <c r="AL102" s="1" t="str">
        <f t="shared" si="36"/>
        <v>Natural teak indoor</v>
      </c>
      <c r="AM102" s="1" t="str">
        <f t="shared" si="37"/>
        <v>Natural teak indoor</v>
      </c>
      <c r="AN102" s="1" t="str">
        <f>SUBSTITUTE(AL102,"indoor","")</f>
        <v xml:space="preserve">Natural teak </v>
      </c>
      <c r="AO102" s="1" t="s">
        <v>54</v>
      </c>
      <c r="AQ102" s="1" t="str">
        <f t="shared" si="38"/>
        <v>A</v>
      </c>
      <c r="AR102" s="1" t="str">
        <f>VLOOKUP(TRIM(AI102),Sheet1!$D$3:$E$36,2,FALSE)</f>
        <v>01</v>
      </c>
      <c r="AS102" s="90" t="str">
        <f t="shared" si="39"/>
        <v>03</v>
      </c>
      <c r="AT102" s="1" t="str">
        <f t="shared" si="40"/>
        <v>01</v>
      </c>
      <c r="AU102" s="90" t="s">
        <v>55</v>
      </c>
      <c r="AV102" s="90"/>
      <c r="AW102" s="90"/>
      <c r="AX102" s="95" t="str">
        <f>AQ102&amp;AR102&amp;AS102&amp;"-"&amp;AT102&amp;AU102&amp;BA102</f>
        <v>A0103-0110IND</v>
      </c>
      <c r="AY102" s="99" t="str">
        <f>AQ102&amp;AR102&amp;AS102&amp;"-"&amp;AT102&amp;BA102</f>
        <v>A0103-01IND</v>
      </c>
      <c r="AZ102" s="90"/>
      <c r="BA102" s="1" t="str">
        <f t="shared" si="41"/>
        <v>IND</v>
      </c>
      <c r="BC102" s="1" t="str">
        <f t="shared" si="25"/>
        <v/>
      </c>
      <c r="BD102" s="90">
        <f t="shared" si="26"/>
        <v>3</v>
      </c>
      <c r="BE102" s="1">
        <f t="shared" si="44"/>
        <v>1</v>
      </c>
      <c r="BF102" s="1">
        <f t="shared" si="45"/>
        <v>1</v>
      </c>
      <c r="BJ102" t="s">
        <v>496</v>
      </c>
      <c r="BK102" s="1">
        <v>2</v>
      </c>
      <c r="BL102"/>
      <c r="BM102" t="str">
        <f t="shared" si="43"/>
        <v>Melvin-Melvin-</v>
      </c>
    </row>
    <row r="103" spans="1:65" ht="11.25" customHeight="1">
      <c r="A103" s="26" t="s">
        <v>497</v>
      </c>
      <c r="B103" s="27" t="s">
        <v>484</v>
      </c>
      <c r="C103" s="28">
        <v>18229.990000000002</v>
      </c>
      <c r="D103" s="28">
        <f t="shared" si="29"/>
        <v>9114.9950000000008</v>
      </c>
      <c r="E103" s="22" t="s">
        <v>40</v>
      </c>
      <c r="F103" s="22" t="s">
        <v>498</v>
      </c>
      <c r="G103" s="22" t="s">
        <v>230</v>
      </c>
      <c r="H103" s="22" t="s">
        <v>494</v>
      </c>
      <c r="I103" s="23" t="s">
        <v>58</v>
      </c>
      <c r="J103" s="22" t="s">
        <v>50</v>
      </c>
      <c r="K103" s="23">
        <v>450</v>
      </c>
      <c r="L103" s="23">
        <v>110</v>
      </c>
      <c r="M103" s="23">
        <v>78</v>
      </c>
      <c r="N103" s="3">
        <f t="shared" si="30"/>
        <v>3.8610000000000002</v>
      </c>
      <c r="O103" s="4" t="e">
        <f>(C103-(C103*#REF!))-((C103-(C103*#REF!))*#REF!)</f>
        <v>#REF!</v>
      </c>
      <c r="P103" s="7">
        <v>13249294.163368665</v>
      </c>
      <c r="Q103" s="7">
        <v>0</v>
      </c>
      <c r="R103" s="5">
        <f t="shared" si="31"/>
        <v>13249294.163368665</v>
      </c>
      <c r="S103" s="4">
        <f t="shared" si="32"/>
        <v>883.28627755791103</v>
      </c>
      <c r="T103" s="13">
        <f t="shared" si="33"/>
        <v>12760.993000000002</v>
      </c>
      <c r="U103" s="13">
        <f t="shared" si="42"/>
        <v>6380.4965000000011</v>
      </c>
      <c r="V103" s="14">
        <f>U103/C103</f>
        <v>0.35000000000000003</v>
      </c>
      <c r="W103" s="14"/>
      <c r="X103" s="19">
        <f t="shared" si="27"/>
        <v>6380.4965000000011</v>
      </c>
      <c r="Y103" s="19">
        <f t="shared" si="28"/>
        <v>12760.993000000002</v>
      </c>
      <c r="Z103" s="15">
        <f t="shared" si="46"/>
        <v>7.223588390437409</v>
      </c>
      <c r="AA103" s="22" t="s">
        <v>495</v>
      </c>
      <c r="AG103" s="94" t="s">
        <v>52</v>
      </c>
      <c r="AH103" s="89" t="str">
        <f>VLOOKUP(AG103,Sheet1!$B$3:$D$36,2,FALSE)</f>
        <v>Furniture</v>
      </c>
      <c r="AI103" s="89" t="s">
        <v>53</v>
      </c>
      <c r="AJ103" s="1" t="str">
        <f t="shared" si="34"/>
        <v>Elena rectangular</v>
      </c>
      <c r="AK103" s="1" t="str">
        <f t="shared" si="35"/>
        <v>w450 x d110 x h78 x bh70</v>
      </c>
      <c r="AL103" s="1" t="str">
        <f t="shared" si="36"/>
        <v>Natural teak outdoor</v>
      </c>
      <c r="AM103" s="1" t="str">
        <f t="shared" si="37"/>
        <v>Natural teak outdoor</v>
      </c>
      <c r="AN103" s="1" t="str">
        <f>SUBSTITUTE(AL103,"outdoor","")</f>
        <v xml:space="preserve">Natural teak </v>
      </c>
      <c r="AO103" s="1" t="s">
        <v>59</v>
      </c>
      <c r="AQ103" s="1" t="str">
        <f t="shared" si="38"/>
        <v>A</v>
      </c>
      <c r="AR103" s="1" t="str">
        <f>VLOOKUP(TRIM(AI103),Sheet1!$D$3:$E$36,2,FALSE)</f>
        <v>01</v>
      </c>
      <c r="AS103" s="90" t="str">
        <f t="shared" si="39"/>
        <v>04</v>
      </c>
      <c r="AT103" s="1" t="str">
        <f t="shared" si="40"/>
        <v>02</v>
      </c>
      <c r="AU103" s="90" t="s">
        <v>55</v>
      </c>
      <c r="AV103" s="90"/>
      <c r="AW103" s="90"/>
      <c r="AX103" s="95" t="str">
        <f>AQ103&amp;AR103&amp;AS103&amp;"-"&amp;AT103&amp;AU103&amp;BA103</f>
        <v>A0104-0210OUT</v>
      </c>
      <c r="AY103" s="99" t="str">
        <f>AQ103&amp;AR103&amp;AS103&amp;"-"&amp;AT103&amp;BA103</f>
        <v>A0104-02OUT</v>
      </c>
      <c r="AZ103" s="90"/>
      <c r="BA103" s="1" t="str">
        <f t="shared" si="41"/>
        <v>OUT</v>
      </c>
      <c r="BC103" s="1" t="str">
        <f t="shared" si="25"/>
        <v/>
      </c>
      <c r="BD103" s="90">
        <f t="shared" si="26"/>
        <v>4</v>
      </c>
      <c r="BE103" s="1" t="str">
        <f t="shared" si="44"/>
        <v/>
      </c>
      <c r="BF103" s="1">
        <f t="shared" si="45"/>
        <v>2</v>
      </c>
      <c r="BJ103" t="s">
        <v>499</v>
      </c>
      <c r="BK103" s="1">
        <v>2</v>
      </c>
      <c r="BL103"/>
      <c r="BM103" t="str">
        <f t="shared" si="43"/>
        <v>Mer square aged-Mer square aged-</v>
      </c>
    </row>
    <row r="104" spans="1:65" ht="11.25" customHeight="1">
      <c r="A104" s="26" t="s">
        <v>500</v>
      </c>
      <c r="B104" s="27" t="s">
        <v>501</v>
      </c>
      <c r="C104" s="28">
        <v>6819.99</v>
      </c>
      <c r="D104" s="28">
        <f t="shared" si="29"/>
        <v>3409.9949999999999</v>
      </c>
      <c r="E104" s="22" t="s">
        <v>40</v>
      </c>
      <c r="F104" s="22" t="s">
        <v>502</v>
      </c>
      <c r="G104" s="22" t="s">
        <v>226</v>
      </c>
      <c r="H104" s="22" t="s">
        <v>503</v>
      </c>
      <c r="I104" s="23" t="s">
        <v>49</v>
      </c>
      <c r="J104" s="22" t="s">
        <v>50</v>
      </c>
      <c r="K104" s="23">
        <v>330</v>
      </c>
      <c r="L104" s="23">
        <v>110</v>
      </c>
      <c r="M104" s="23">
        <v>78</v>
      </c>
      <c r="N104" s="3">
        <f t="shared" si="30"/>
        <v>2.8313999999999999</v>
      </c>
      <c r="O104" s="4" t="e">
        <f>(C104-(C104*#REF!))-((C104-(C104*#REF!))*#REF!)</f>
        <v>#REF!</v>
      </c>
      <c r="P104" s="7">
        <v>11531223.593331134</v>
      </c>
      <c r="Q104" s="7">
        <v>0</v>
      </c>
      <c r="R104" s="5">
        <f t="shared" si="31"/>
        <v>11531223.593331134</v>
      </c>
      <c r="S104" s="4">
        <f t="shared" si="32"/>
        <v>768.74823955540899</v>
      </c>
      <c r="T104" s="13">
        <f t="shared" si="33"/>
        <v>4773.9930000000004</v>
      </c>
      <c r="U104" s="13">
        <f t="shared" si="42"/>
        <v>2386.9965000000002</v>
      </c>
      <c r="V104" s="14">
        <f>U104/C104</f>
        <v>0.35000000000000003</v>
      </c>
      <c r="W104" s="14"/>
      <c r="X104" s="19">
        <f t="shared" si="27"/>
        <v>2386.9965000000002</v>
      </c>
      <c r="Y104" s="19">
        <f t="shared" si="28"/>
        <v>4773.9930000000004</v>
      </c>
      <c r="Z104" s="15">
        <f t="shared" si="46"/>
        <v>3.1050432081385635</v>
      </c>
      <c r="AA104" s="22" t="s">
        <v>504</v>
      </c>
      <c r="AG104" s="94" t="s">
        <v>52</v>
      </c>
      <c r="AH104" s="89" t="str">
        <f>VLOOKUP(AG104,Sheet1!$B$3:$D$36,2,FALSE)</f>
        <v>Furniture</v>
      </c>
      <c r="AI104" s="89" t="s">
        <v>53</v>
      </c>
      <c r="AJ104" s="1" t="str">
        <f t="shared" si="34"/>
        <v>Elena oval</v>
      </c>
      <c r="AK104" s="1" t="str">
        <f t="shared" si="35"/>
        <v>w330 x d110 x h78 x bh70</v>
      </c>
      <c r="AL104" s="1" t="str">
        <f t="shared" si="36"/>
        <v>Natural teak indoor</v>
      </c>
      <c r="AM104" s="1" t="str">
        <f t="shared" si="37"/>
        <v>Natural teak indoor</v>
      </c>
      <c r="AN104" s="1" t="str">
        <f>SUBSTITUTE(AL104,"indoor","")</f>
        <v xml:space="preserve">Natural teak </v>
      </c>
      <c r="AO104" s="1" t="s">
        <v>54</v>
      </c>
      <c r="AQ104" s="1" t="str">
        <f t="shared" si="38"/>
        <v>A</v>
      </c>
      <c r="AR104" s="1" t="str">
        <f>VLOOKUP(TRIM(AI104),Sheet1!$D$3:$E$36,2,FALSE)</f>
        <v>01</v>
      </c>
      <c r="AS104" s="90" t="str">
        <f t="shared" si="39"/>
        <v>01</v>
      </c>
      <c r="AT104" s="1" t="str">
        <f t="shared" si="40"/>
        <v>01</v>
      </c>
      <c r="AU104" s="90" t="s">
        <v>55</v>
      </c>
      <c r="AV104" s="90"/>
      <c r="AW104" s="90"/>
      <c r="AX104" s="95" t="str">
        <f>AQ104&amp;AR104&amp;AS104&amp;"-"&amp;AT104&amp;AU104&amp;BA104</f>
        <v>A0101-0110IND</v>
      </c>
      <c r="AY104" s="99" t="str">
        <f>AQ104&amp;AR104&amp;AS104&amp;"-"&amp;AT104&amp;BA104</f>
        <v>A0101-01IND</v>
      </c>
      <c r="AZ104" s="90"/>
      <c r="BA104" s="1" t="str">
        <f t="shared" si="41"/>
        <v>IND</v>
      </c>
      <c r="BC104" s="1">
        <f t="shared" si="25"/>
        <v>1</v>
      </c>
      <c r="BD104" s="90">
        <f t="shared" si="26"/>
        <v>1</v>
      </c>
      <c r="BE104" s="1">
        <f t="shared" si="44"/>
        <v>1</v>
      </c>
      <c r="BF104" s="1">
        <f t="shared" si="45"/>
        <v>1</v>
      </c>
      <c r="BJ104" t="s">
        <v>249</v>
      </c>
      <c r="BK104" s="1">
        <v>4</v>
      </c>
      <c r="BL104"/>
      <c r="BM104" t="str">
        <f t="shared" si="43"/>
        <v>Mila rectangular-Mila rectangular-Mila rectangular-Mila rectangular-</v>
      </c>
    </row>
    <row r="105" spans="1:65" ht="11.25" customHeight="1">
      <c r="A105" s="26" t="s">
        <v>505</v>
      </c>
      <c r="B105" s="27" t="s">
        <v>501</v>
      </c>
      <c r="C105" s="28">
        <v>7269.99</v>
      </c>
      <c r="D105" s="28">
        <f t="shared" si="29"/>
        <v>3634.9949999999999</v>
      </c>
      <c r="E105" s="22" t="s">
        <v>40</v>
      </c>
      <c r="F105" s="22" t="s">
        <v>506</v>
      </c>
      <c r="G105" s="22" t="s">
        <v>226</v>
      </c>
      <c r="H105" s="22" t="s">
        <v>503</v>
      </c>
      <c r="I105" s="23" t="s">
        <v>58</v>
      </c>
      <c r="J105" s="22" t="s">
        <v>50</v>
      </c>
      <c r="K105" s="23">
        <v>330</v>
      </c>
      <c r="L105" s="23">
        <v>110</v>
      </c>
      <c r="M105" s="23">
        <v>78</v>
      </c>
      <c r="N105" s="3">
        <f t="shared" si="30"/>
        <v>2.8313999999999999</v>
      </c>
      <c r="O105" s="4" t="e">
        <f>(C105-(C105*#REF!))-((C105-(C105*#REF!))*#REF!)</f>
        <v>#REF!</v>
      </c>
      <c r="P105" s="7">
        <v>10899977.699118171</v>
      </c>
      <c r="Q105" s="7">
        <v>0</v>
      </c>
      <c r="R105" s="5">
        <f t="shared" si="31"/>
        <v>10899977.699118171</v>
      </c>
      <c r="S105" s="4">
        <f t="shared" si="32"/>
        <v>726.66517994121136</v>
      </c>
      <c r="T105" s="13">
        <f t="shared" si="33"/>
        <v>5088.9930000000004</v>
      </c>
      <c r="U105" s="13">
        <f t="shared" si="42"/>
        <v>2544.4965000000002</v>
      </c>
      <c r="V105" s="14">
        <f>U105/C105</f>
        <v>0.35000000000000003</v>
      </c>
      <c r="W105" s="14"/>
      <c r="X105" s="19">
        <f t="shared" si="27"/>
        <v>2544.4965000000002</v>
      </c>
      <c r="Y105" s="19">
        <f t="shared" si="28"/>
        <v>5088.9930000000004</v>
      </c>
      <c r="Z105" s="15">
        <f t="shared" si="46"/>
        <v>3.501607852196599</v>
      </c>
      <c r="AA105" s="22" t="s">
        <v>507</v>
      </c>
      <c r="AG105" s="94" t="s">
        <v>52</v>
      </c>
      <c r="AH105" s="89" t="str">
        <f>VLOOKUP(AG105,Sheet1!$B$3:$D$36,2,FALSE)</f>
        <v>Furniture</v>
      </c>
      <c r="AI105" s="89" t="s">
        <v>53</v>
      </c>
      <c r="AJ105" s="1" t="str">
        <f t="shared" si="34"/>
        <v>Elena oval</v>
      </c>
      <c r="AK105" s="1" t="str">
        <f t="shared" si="35"/>
        <v>w330 x d110 x h78 x bh70</v>
      </c>
      <c r="AL105" s="1" t="str">
        <f t="shared" si="36"/>
        <v>Natural teak outdoor</v>
      </c>
      <c r="AM105" s="1" t="str">
        <f t="shared" si="37"/>
        <v>Natural teak outdoor</v>
      </c>
      <c r="AN105" s="1" t="str">
        <f>SUBSTITUTE(AL105,"outdoor","")</f>
        <v xml:space="preserve">Natural teak </v>
      </c>
      <c r="AO105" s="1" t="s">
        <v>59</v>
      </c>
      <c r="AQ105" s="1" t="str">
        <f t="shared" si="38"/>
        <v>A</v>
      </c>
      <c r="AR105" s="1" t="str">
        <f>VLOOKUP(TRIM(AI105),Sheet1!$D$3:$E$36,2,FALSE)</f>
        <v>01</v>
      </c>
      <c r="AS105" s="90" t="str">
        <f t="shared" si="39"/>
        <v>02</v>
      </c>
      <c r="AT105" s="1" t="str">
        <f t="shared" si="40"/>
        <v>02</v>
      </c>
      <c r="AU105" s="90" t="s">
        <v>55</v>
      </c>
      <c r="AV105" s="90"/>
      <c r="AW105" s="90"/>
      <c r="AX105" s="95" t="str">
        <f>AQ105&amp;AR105&amp;AS105&amp;"-"&amp;AT105&amp;AU105&amp;BA105</f>
        <v>A0102-0210OUT</v>
      </c>
      <c r="AY105" s="99" t="str">
        <f>AQ105&amp;AR105&amp;AS105&amp;"-"&amp;AT105&amp;BA105</f>
        <v>A0102-02OUT</v>
      </c>
      <c r="AZ105" s="90"/>
      <c r="BA105" s="1" t="str">
        <f t="shared" si="41"/>
        <v>OUT</v>
      </c>
      <c r="BC105" s="1" t="str">
        <f t="shared" ref="BC105:BC168" si="47">IF(AJ104&lt;&gt;AJ105,1,"")</f>
        <v/>
      </c>
      <c r="BD105" s="90">
        <f t="shared" ref="BD105:BD168" si="48">IF(BC105=1,1,BD104+1)</f>
        <v>2</v>
      </c>
      <c r="BE105" s="1" t="str">
        <f t="shared" si="44"/>
        <v/>
      </c>
      <c r="BF105" s="1">
        <f t="shared" si="45"/>
        <v>2</v>
      </c>
      <c r="BJ105" t="s">
        <v>268</v>
      </c>
      <c r="BK105" s="1">
        <v>10</v>
      </c>
      <c r="BL105"/>
      <c r="BM105" t="str">
        <f t="shared" si="43"/>
        <v>Mila round-Mila round-Mila round-Mila round-Mila round-Mila round-Mila round-Mila round-Mila round-Mila round-</v>
      </c>
    </row>
    <row r="106" spans="1:65" s="63" customFormat="1" ht="15.75">
      <c r="A106" s="65" t="s">
        <v>508</v>
      </c>
      <c r="B106" s="66"/>
      <c r="C106" s="67"/>
      <c r="D106" s="75"/>
      <c r="E106" s="68"/>
      <c r="F106" s="69"/>
      <c r="G106" s="68"/>
      <c r="H106" s="68"/>
      <c r="I106" s="65"/>
      <c r="J106" s="68"/>
      <c r="K106" s="65"/>
      <c r="L106" s="65"/>
      <c r="M106" s="65"/>
      <c r="N106" s="68"/>
      <c r="O106" s="68"/>
      <c r="P106" s="76"/>
      <c r="Q106" s="76"/>
      <c r="R106" s="77"/>
      <c r="S106" s="68"/>
      <c r="T106" s="78">
        <f t="shared" si="33"/>
        <v>0</v>
      </c>
      <c r="U106" s="78">
        <f t="shared" si="42"/>
        <v>0</v>
      </c>
      <c r="V106" s="75" t="e">
        <f>U106/C106</f>
        <v>#DIV/0!</v>
      </c>
      <c r="W106" s="75"/>
      <c r="X106" s="75"/>
      <c r="Y106" s="75"/>
      <c r="Z106" s="79" t="e">
        <f t="shared" si="46"/>
        <v>#DIV/0!</v>
      </c>
      <c r="AA106" s="68"/>
      <c r="AB106" s="66"/>
      <c r="AC106" s="66"/>
      <c r="AD106" s="66"/>
      <c r="AE106" s="66"/>
      <c r="AF106" s="66"/>
      <c r="AG106" s="94" t="s">
        <v>52</v>
      </c>
      <c r="AH106" s="89" t="str">
        <f>VLOOKUP(AG106,Sheet1!$B$3:$D$36,2,FALSE)</f>
        <v>Furniture</v>
      </c>
      <c r="AI106" s="89"/>
      <c r="AJ106" s="1"/>
      <c r="AK106" s="1" t="str">
        <f t="shared" si="35"/>
        <v/>
      </c>
      <c r="AL106" s="1">
        <f t="shared" si="36"/>
        <v>0</v>
      </c>
      <c r="AM106" s="1">
        <f t="shared" si="37"/>
        <v>0</v>
      </c>
      <c r="AQ106" s="1"/>
      <c r="AR106" s="1"/>
      <c r="AS106" s="90" t="str">
        <f t="shared" si="39"/>
        <v>01</v>
      </c>
      <c r="AT106" s="1" t="str">
        <f t="shared" si="40"/>
        <v>01</v>
      </c>
      <c r="AU106" s="90"/>
      <c r="AV106" s="90"/>
      <c r="AW106" s="90"/>
      <c r="AX106" s="95" t="str">
        <f>AQ106&amp;AR106&amp;AS106&amp;"-"&amp;AT106&amp;AU106&amp;BA106</f>
        <v>01-01</v>
      </c>
      <c r="AY106" s="99" t="str">
        <f>AQ106&amp;AR106&amp;AS106&amp;"-"&amp;AT106&amp;BA106</f>
        <v>01-01</v>
      </c>
      <c r="AZ106" s="90"/>
      <c r="BA106" s="1" t="str">
        <f t="shared" si="41"/>
        <v/>
      </c>
      <c r="BC106" s="1">
        <f t="shared" si="47"/>
        <v>1</v>
      </c>
      <c r="BD106" s="90">
        <f t="shared" si="48"/>
        <v>1</v>
      </c>
      <c r="BE106" s="1">
        <f t="shared" si="44"/>
        <v>1</v>
      </c>
      <c r="BF106" s="1">
        <f t="shared" si="45"/>
        <v>1</v>
      </c>
      <c r="BI106" s="1"/>
      <c r="BJ106" t="s">
        <v>308</v>
      </c>
      <c r="BK106" s="1">
        <v>10</v>
      </c>
      <c r="BL106"/>
      <c r="BM106" t="str">
        <f t="shared" si="43"/>
        <v>Mila square-Mila square-Mila square-Mila square-Mila square-Mila square-Mila square-Mila square-Mila square-Mila square-</v>
      </c>
    </row>
    <row r="107" spans="1:65" ht="11.25" customHeight="1">
      <c r="A107" s="26" t="s">
        <v>509</v>
      </c>
      <c r="B107" s="27" t="s">
        <v>510</v>
      </c>
      <c r="C107" s="28">
        <v>3809.99</v>
      </c>
      <c r="D107" s="28">
        <f t="shared" si="29"/>
        <v>1904.9949999999999</v>
      </c>
      <c r="E107" s="22" t="s">
        <v>508</v>
      </c>
      <c r="F107" s="22" t="s">
        <v>511</v>
      </c>
      <c r="G107" s="22" t="s">
        <v>512</v>
      </c>
      <c r="H107" s="22" t="s">
        <v>513</v>
      </c>
      <c r="I107" s="23" t="s">
        <v>49</v>
      </c>
      <c r="J107" s="22" t="s">
        <v>50</v>
      </c>
      <c r="K107" s="23">
        <v>250</v>
      </c>
      <c r="L107" s="23">
        <v>100</v>
      </c>
      <c r="M107" s="23">
        <v>110</v>
      </c>
      <c r="N107" s="3">
        <f t="shared" si="30"/>
        <v>2.75</v>
      </c>
      <c r="O107" s="4" t="e">
        <f>(C107-(C107*#REF!))-((C107-(C107*#REF!))*#REF!)</f>
        <v>#REF!</v>
      </c>
      <c r="P107" s="7"/>
      <c r="Q107" s="7"/>
      <c r="R107" s="5">
        <f>P107+Q107</f>
        <v>0</v>
      </c>
      <c r="S107" s="4">
        <f>R107/15000</f>
        <v>0</v>
      </c>
      <c r="T107" s="13">
        <f t="shared" si="33"/>
        <v>2666.9929999999999</v>
      </c>
      <c r="U107" s="13">
        <f t="shared" si="42"/>
        <v>1333.4965</v>
      </c>
      <c r="V107" s="14">
        <f>U107/C107</f>
        <v>0.35000000000000003</v>
      </c>
      <c r="W107" s="14"/>
      <c r="X107" s="19">
        <f t="shared" ref="X107:X142" si="49">IF(ISBLANK(W107),U107, W107)</f>
        <v>1333.4965</v>
      </c>
      <c r="Y107" s="19">
        <f t="shared" ref="Y107:Y142" si="50">X107*2</f>
        <v>2666.9929999999999</v>
      </c>
      <c r="Z107" s="15" t="e">
        <f t="shared" si="46"/>
        <v>#DIV/0!</v>
      </c>
      <c r="AA107" s="22" t="s">
        <v>514</v>
      </c>
      <c r="AG107" s="94" t="s">
        <v>52</v>
      </c>
      <c r="AH107" s="89" t="str">
        <f>VLOOKUP(AG107,Sheet1!$B$3:$D$36,2,FALSE)</f>
        <v>Furniture</v>
      </c>
      <c r="AI107" s="89" t="s">
        <v>515</v>
      </c>
      <c r="AJ107" s="1" t="str">
        <f t="shared" si="34"/>
        <v xml:space="preserve"> Carrickfergus rectangular bar</v>
      </c>
      <c r="AK107" s="1" t="str">
        <f t="shared" si="35"/>
        <v>w250 x d100 x h110 x bh105</v>
      </c>
      <c r="AL107" s="1" t="str">
        <f t="shared" si="36"/>
        <v>Natural teak indoor</v>
      </c>
      <c r="AM107" s="1" t="str">
        <f t="shared" si="37"/>
        <v>Natural teak indoor</v>
      </c>
      <c r="AN107" s="1" t="str">
        <f>SUBSTITUTE(AL107,"indoor","")</f>
        <v xml:space="preserve">Natural teak </v>
      </c>
      <c r="AO107" s="1" t="s">
        <v>54</v>
      </c>
      <c r="AQ107" s="1" t="str">
        <f t="shared" si="38"/>
        <v>A</v>
      </c>
      <c r="AR107" s="1" t="str">
        <f>VLOOKUP(TRIM(AI107),Sheet1!$D$3:$E$36,2,FALSE)</f>
        <v>02</v>
      </c>
      <c r="AS107" s="90" t="str">
        <f t="shared" si="39"/>
        <v>01</v>
      </c>
      <c r="AT107" s="1" t="str">
        <f t="shared" si="40"/>
        <v>01</v>
      </c>
      <c r="AU107" s="90" t="s">
        <v>55</v>
      </c>
      <c r="AV107" s="90"/>
      <c r="AW107" s="90"/>
      <c r="AX107" s="95" t="str">
        <f>AQ107&amp;AR107&amp;AS107&amp;"-"&amp;AT107&amp;AU107&amp;BA107</f>
        <v>A0201-0110IND</v>
      </c>
      <c r="AY107" s="99" t="str">
        <f>AQ107&amp;AR107&amp;AS107&amp;"-"&amp;AT107&amp;BA107</f>
        <v>A0201-01IND</v>
      </c>
      <c r="AZ107" s="90"/>
      <c r="BA107" s="1" t="str">
        <f t="shared" si="41"/>
        <v>IND</v>
      </c>
      <c r="BC107" s="1">
        <f t="shared" si="47"/>
        <v>1</v>
      </c>
      <c r="BD107" s="90">
        <f t="shared" si="48"/>
        <v>1</v>
      </c>
      <c r="BE107" s="1">
        <f t="shared" si="44"/>
        <v>1</v>
      </c>
      <c r="BF107" s="1">
        <f t="shared" si="45"/>
        <v>1</v>
      </c>
      <c r="BJ107" t="s">
        <v>349</v>
      </c>
      <c r="BK107" s="1">
        <v>2</v>
      </c>
      <c r="BL107"/>
      <c r="BM107" t="str">
        <f t="shared" si="43"/>
        <v>Mila square extension-Mila square extension-</v>
      </c>
    </row>
    <row r="108" spans="1:65" ht="11.25" customHeight="1">
      <c r="A108" s="26" t="s">
        <v>516</v>
      </c>
      <c r="B108" s="27" t="s">
        <v>510</v>
      </c>
      <c r="C108" s="28">
        <v>4039.99</v>
      </c>
      <c r="D108" s="28">
        <f t="shared" si="29"/>
        <v>2019.9949999999999</v>
      </c>
      <c r="E108" s="22" t="s">
        <v>508</v>
      </c>
      <c r="F108" s="22" t="s">
        <v>517</v>
      </c>
      <c r="G108" s="22" t="s">
        <v>512</v>
      </c>
      <c r="H108" s="22" t="s">
        <v>513</v>
      </c>
      <c r="I108" s="23" t="s">
        <v>58</v>
      </c>
      <c r="J108" s="22" t="s">
        <v>50</v>
      </c>
      <c r="K108" s="23">
        <v>250</v>
      </c>
      <c r="L108" s="23">
        <v>100</v>
      </c>
      <c r="M108" s="23">
        <v>110</v>
      </c>
      <c r="N108" s="3">
        <f t="shared" si="30"/>
        <v>2.75</v>
      </c>
      <c r="O108" s="4" t="e">
        <f>(C108-(C108*#REF!))-((C108-(C108*#REF!))*#REF!)</f>
        <v>#REF!</v>
      </c>
      <c r="P108" s="7"/>
      <c r="Q108" s="7"/>
      <c r="R108" s="5">
        <f t="shared" ref="R108:R142" si="51">P108+Q108</f>
        <v>0</v>
      </c>
      <c r="S108" s="4">
        <f t="shared" ref="S108:S142" si="52">R108/15000</f>
        <v>0</v>
      </c>
      <c r="T108" s="13">
        <f t="shared" si="33"/>
        <v>2827.9929999999999</v>
      </c>
      <c r="U108" s="13">
        <f t="shared" si="42"/>
        <v>1413.9965</v>
      </c>
      <c r="V108" s="14">
        <f>U108/C108</f>
        <v>0.35000000000000003</v>
      </c>
      <c r="W108" s="14"/>
      <c r="X108" s="19">
        <f t="shared" si="49"/>
        <v>1413.9965</v>
      </c>
      <c r="Y108" s="19">
        <f t="shared" si="50"/>
        <v>2827.9929999999999</v>
      </c>
      <c r="Z108" s="15" t="e">
        <f t="shared" si="46"/>
        <v>#DIV/0!</v>
      </c>
      <c r="AA108" s="22" t="s">
        <v>518</v>
      </c>
      <c r="AG108" s="94" t="s">
        <v>52</v>
      </c>
      <c r="AH108" s="89" t="str">
        <f>VLOOKUP(AG108,Sheet1!$B$3:$D$36,2,FALSE)</f>
        <v>Furniture</v>
      </c>
      <c r="AI108" s="89" t="s">
        <v>515</v>
      </c>
      <c r="AJ108" s="1" t="str">
        <f t="shared" si="34"/>
        <v xml:space="preserve"> Carrickfergus rectangular bar</v>
      </c>
      <c r="AK108" s="1" t="str">
        <f t="shared" si="35"/>
        <v>w250 x d100 x h110 x bh105</v>
      </c>
      <c r="AL108" s="1" t="str">
        <f t="shared" si="36"/>
        <v>Natural teak outdoor</v>
      </c>
      <c r="AM108" s="1" t="str">
        <f t="shared" si="37"/>
        <v>Natural teak outdoor</v>
      </c>
      <c r="AN108" s="1" t="str">
        <f>SUBSTITUTE(AL108,"outdoor","")</f>
        <v xml:space="preserve">Natural teak </v>
      </c>
      <c r="AO108" s="1" t="s">
        <v>59</v>
      </c>
      <c r="AQ108" s="1" t="str">
        <f t="shared" si="38"/>
        <v>A</v>
      </c>
      <c r="AR108" s="1" t="str">
        <f>VLOOKUP(TRIM(AI108),Sheet1!$D$3:$E$36,2,FALSE)</f>
        <v>02</v>
      </c>
      <c r="AS108" s="90" t="str">
        <f t="shared" si="39"/>
        <v>02</v>
      </c>
      <c r="AT108" s="1" t="str">
        <f t="shared" si="40"/>
        <v>02</v>
      </c>
      <c r="AU108" s="90" t="s">
        <v>55</v>
      </c>
      <c r="AV108" s="90"/>
      <c r="AW108" s="90"/>
      <c r="AX108" s="95" t="str">
        <f>AQ108&amp;AR108&amp;AS108&amp;"-"&amp;AT108&amp;AU108&amp;BA108</f>
        <v>A0202-0210OUT</v>
      </c>
      <c r="AY108" s="99" t="str">
        <f>AQ108&amp;AR108&amp;AS108&amp;"-"&amp;AT108&amp;BA108</f>
        <v>A0202-02OUT</v>
      </c>
      <c r="AZ108" s="90"/>
      <c r="BA108" s="1" t="str">
        <f t="shared" si="41"/>
        <v>OUT</v>
      </c>
      <c r="BC108" s="1" t="str">
        <f t="shared" si="47"/>
        <v/>
      </c>
      <c r="BD108" s="90">
        <f t="shared" si="48"/>
        <v>2</v>
      </c>
      <c r="BE108" s="1" t="str">
        <f t="shared" si="44"/>
        <v/>
      </c>
      <c r="BF108" s="1">
        <f t="shared" si="45"/>
        <v>2</v>
      </c>
      <c r="BJ108" t="s">
        <v>519</v>
      </c>
      <c r="BK108" s="1">
        <v>4</v>
      </c>
      <c r="BL108"/>
      <c r="BM108" t="str">
        <f t="shared" si="43"/>
        <v>Mirror Sivana-Mirror Sivana-Mirror Sivana-Mirror Sivana-</v>
      </c>
    </row>
    <row r="109" spans="1:65" ht="11.25" customHeight="1">
      <c r="A109" s="26" t="s">
        <v>520</v>
      </c>
      <c r="B109" s="27" t="s">
        <v>521</v>
      </c>
      <c r="C109" s="28">
        <v>4289.99</v>
      </c>
      <c r="D109" s="28">
        <f t="shared" si="29"/>
        <v>2144.9949999999999</v>
      </c>
      <c r="E109" s="22" t="s">
        <v>508</v>
      </c>
      <c r="F109" s="22" t="s">
        <v>522</v>
      </c>
      <c r="G109" s="22" t="s">
        <v>523</v>
      </c>
      <c r="H109" s="22" t="s">
        <v>524</v>
      </c>
      <c r="I109" s="23" t="s">
        <v>49</v>
      </c>
      <c r="J109" s="22" t="s">
        <v>50</v>
      </c>
      <c r="K109" s="23">
        <v>285</v>
      </c>
      <c r="L109" s="23">
        <v>85</v>
      </c>
      <c r="M109" s="23">
        <v>110</v>
      </c>
      <c r="N109" s="3">
        <f t="shared" si="30"/>
        <v>2.6647500000000002</v>
      </c>
      <c r="O109" s="4" t="e">
        <f>(C109-(C109*#REF!))-((C109-(C109*#REF!))*#REF!)</f>
        <v>#REF!</v>
      </c>
      <c r="P109" s="7"/>
      <c r="Q109" s="7"/>
      <c r="R109" s="5">
        <f t="shared" si="51"/>
        <v>0</v>
      </c>
      <c r="S109" s="4">
        <f t="shared" si="52"/>
        <v>0</v>
      </c>
      <c r="T109" s="13">
        <f t="shared" si="33"/>
        <v>3002.9929999999999</v>
      </c>
      <c r="U109" s="13">
        <f t="shared" si="42"/>
        <v>1501.4965</v>
      </c>
      <c r="V109" s="14">
        <f>U109/C109</f>
        <v>0.35000000000000003</v>
      </c>
      <c r="W109" s="14"/>
      <c r="X109" s="19">
        <f t="shared" si="49"/>
        <v>1501.4965</v>
      </c>
      <c r="Y109" s="19">
        <f t="shared" si="50"/>
        <v>3002.9929999999999</v>
      </c>
      <c r="Z109" s="15" t="e">
        <f t="shared" si="46"/>
        <v>#DIV/0!</v>
      </c>
      <c r="AA109" s="22" t="s">
        <v>525</v>
      </c>
      <c r="AG109" s="94" t="s">
        <v>52</v>
      </c>
      <c r="AH109" s="89" t="str">
        <f>VLOOKUP(AG109,Sheet1!$B$3:$D$36,2,FALSE)</f>
        <v>Furniture</v>
      </c>
      <c r="AI109" s="89" t="s">
        <v>515</v>
      </c>
      <c r="AJ109" s="1" t="str">
        <f t="shared" si="34"/>
        <v xml:space="preserve"> Riquewihr rectangular bar</v>
      </c>
      <c r="AK109" s="1" t="str">
        <f t="shared" si="35"/>
        <v>w285 x d85 x h110 x bh103</v>
      </c>
      <c r="AL109" s="1" t="str">
        <f t="shared" si="36"/>
        <v>Natural teak indoor</v>
      </c>
      <c r="AM109" s="1" t="str">
        <f t="shared" si="37"/>
        <v>Natural teak indoor</v>
      </c>
      <c r="AN109" s="1" t="str">
        <f>SUBSTITUTE(AL109,"indoor","")</f>
        <v xml:space="preserve">Natural teak </v>
      </c>
      <c r="AO109" s="1" t="s">
        <v>54</v>
      </c>
      <c r="AQ109" s="1" t="str">
        <f t="shared" si="38"/>
        <v>A</v>
      </c>
      <c r="AR109" s="1" t="str">
        <f>VLOOKUP(TRIM(AI109),Sheet1!$D$3:$E$36,2,FALSE)</f>
        <v>02</v>
      </c>
      <c r="AS109" s="90" t="str">
        <f t="shared" si="39"/>
        <v>01</v>
      </c>
      <c r="AT109" s="1" t="str">
        <f t="shared" si="40"/>
        <v>01</v>
      </c>
      <c r="AU109" s="90" t="s">
        <v>55</v>
      </c>
      <c r="AV109" s="90"/>
      <c r="AW109" s="90"/>
      <c r="AX109" s="95" t="str">
        <f>AQ109&amp;AR109&amp;AS109&amp;"-"&amp;AT109&amp;AU109&amp;BA109</f>
        <v>A0201-0110IND</v>
      </c>
      <c r="AY109" s="99" t="str">
        <f>AQ109&amp;AR109&amp;AS109&amp;"-"&amp;AT109&amp;BA109</f>
        <v>A0201-01IND</v>
      </c>
      <c r="AZ109" s="90"/>
      <c r="BA109" s="1" t="str">
        <f t="shared" si="41"/>
        <v>IND</v>
      </c>
      <c r="BC109" s="1">
        <f t="shared" si="47"/>
        <v>1</v>
      </c>
      <c r="BD109" s="90">
        <f t="shared" si="48"/>
        <v>1</v>
      </c>
      <c r="BE109" s="1">
        <f t="shared" si="44"/>
        <v>1</v>
      </c>
      <c r="BF109" s="1">
        <f t="shared" si="45"/>
        <v>1</v>
      </c>
      <c r="BJ109" t="s">
        <v>526</v>
      </c>
      <c r="BK109" s="1">
        <v>2</v>
      </c>
      <c r="BL109"/>
      <c r="BM109" t="str">
        <f t="shared" si="43"/>
        <v>Moldy-Moldy-</v>
      </c>
    </row>
    <row r="110" spans="1:65" ht="11.25" customHeight="1">
      <c r="A110" s="26" t="s">
        <v>527</v>
      </c>
      <c r="B110" s="27" t="s">
        <v>521</v>
      </c>
      <c r="C110" s="28">
        <v>4559.99</v>
      </c>
      <c r="D110" s="28">
        <f t="shared" si="29"/>
        <v>2279.9949999999999</v>
      </c>
      <c r="E110" s="22" t="s">
        <v>508</v>
      </c>
      <c r="F110" s="22" t="s">
        <v>528</v>
      </c>
      <c r="G110" s="22" t="s">
        <v>523</v>
      </c>
      <c r="H110" s="22" t="s">
        <v>524</v>
      </c>
      <c r="I110" s="23" t="s">
        <v>58</v>
      </c>
      <c r="J110" s="22" t="s">
        <v>50</v>
      </c>
      <c r="K110" s="23">
        <v>285</v>
      </c>
      <c r="L110" s="23">
        <v>85</v>
      </c>
      <c r="M110" s="23">
        <v>110</v>
      </c>
      <c r="N110" s="3">
        <f t="shared" si="30"/>
        <v>2.6647500000000002</v>
      </c>
      <c r="O110" s="4" t="e">
        <f>(C110-(C110*#REF!))-((C110-(C110*#REF!))*#REF!)</f>
        <v>#REF!</v>
      </c>
      <c r="P110" s="7"/>
      <c r="Q110" s="7"/>
      <c r="R110" s="5">
        <f t="shared" si="51"/>
        <v>0</v>
      </c>
      <c r="S110" s="4">
        <f t="shared" si="52"/>
        <v>0</v>
      </c>
      <c r="T110" s="13">
        <f t="shared" si="33"/>
        <v>3191.9929999999999</v>
      </c>
      <c r="U110" s="13">
        <f t="shared" si="42"/>
        <v>1595.9965</v>
      </c>
      <c r="V110" s="14">
        <f>U110/C110</f>
        <v>0.35000000000000003</v>
      </c>
      <c r="W110" s="14"/>
      <c r="X110" s="19">
        <f t="shared" si="49"/>
        <v>1595.9965</v>
      </c>
      <c r="Y110" s="19">
        <f t="shared" si="50"/>
        <v>3191.9929999999999</v>
      </c>
      <c r="Z110" s="15" t="e">
        <f t="shared" si="46"/>
        <v>#DIV/0!</v>
      </c>
      <c r="AA110" s="22" t="s">
        <v>525</v>
      </c>
      <c r="AG110" s="94" t="s">
        <v>52</v>
      </c>
      <c r="AH110" s="89" t="str">
        <f>VLOOKUP(AG110,Sheet1!$B$3:$D$36,2,FALSE)</f>
        <v>Furniture</v>
      </c>
      <c r="AI110" s="89" t="s">
        <v>515</v>
      </c>
      <c r="AJ110" s="1" t="str">
        <f t="shared" si="34"/>
        <v xml:space="preserve"> Riquewihr rectangular bar</v>
      </c>
      <c r="AK110" s="1" t="str">
        <f t="shared" si="35"/>
        <v>w285 x d85 x h110 x bh103</v>
      </c>
      <c r="AL110" s="1" t="str">
        <f t="shared" si="36"/>
        <v>Natural teak outdoor</v>
      </c>
      <c r="AM110" s="1" t="str">
        <f t="shared" si="37"/>
        <v>Natural teak outdoor</v>
      </c>
      <c r="AN110" s="1" t="str">
        <f>SUBSTITUTE(AL110,"outdoor","")</f>
        <v xml:space="preserve">Natural teak </v>
      </c>
      <c r="AO110" s="1" t="s">
        <v>59</v>
      </c>
      <c r="AQ110" s="1" t="str">
        <f t="shared" si="38"/>
        <v>A</v>
      </c>
      <c r="AR110" s="1" t="str">
        <f>VLOOKUP(TRIM(AI110),Sheet1!$D$3:$E$36,2,FALSE)</f>
        <v>02</v>
      </c>
      <c r="AS110" s="90" t="str">
        <f t="shared" si="39"/>
        <v>02</v>
      </c>
      <c r="AT110" s="1" t="str">
        <f t="shared" si="40"/>
        <v>02</v>
      </c>
      <c r="AU110" s="90" t="s">
        <v>55</v>
      </c>
      <c r="AV110" s="90"/>
      <c r="AW110" s="90"/>
      <c r="AX110" s="95" t="str">
        <f>AQ110&amp;AR110&amp;AS110&amp;"-"&amp;AT110&amp;AU110&amp;BA110</f>
        <v>A0202-0210OUT</v>
      </c>
      <c r="AY110" s="99" t="str">
        <f>AQ110&amp;AR110&amp;AS110&amp;"-"&amp;AT110&amp;BA110</f>
        <v>A0202-02OUT</v>
      </c>
      <c r="AZ110" s="90"/>
      <c r="BA110" s="1" t="str">
        <f t="shared" si="41"/>
        <v>OUT</v>
      </c>
      <c r="BC110" s="1" t="str">
        <f t="shared" si="47"/>
        <v/>
      </c>
      <c r="BD110" s="90">
        <f t="shared" si="48"/>
        <v>2</v>
      </c>
      <c r="BE110" s="1" t="str">
        <f t="shared" si="44"/>
        <v/>
      </c>
      <c r="BF110" s="1">
        <f t="shared" si="45"/>
        <v>2</v>
      </c>
      <c r="BJ110" t="s">
        <v>529</v>
      </c>
      <c r="BK110" s="1">
        <v>2</v>
      </c>
      <c r="BL110"/>
      <c r="BM110" t="str">
        <f t="shared" si="43"/>
        <v>Mona round basket-Mona round basket-</v>
      </c>
    </row>
    <row r="111" spans="1:65" ht="11.25" customHeight="1">
      <c r="A111" s="26" t="s">
        <v>530</v>
      </c>
      <c r="B111" s="27" t="s">
        <v>531</v>
      </c>
      <c r="C111" s="28">
        <v>2579.9899999999998</v>
      </c>
      <c r="D111" s="28">
        <f t="shared" si="29"/>
        <v>1289.9949999999999</v>
      </c>
      <c r="E111" s="22" t="s">
        <v>508</v>
      </c>
      <c r="F111" s="22" t="s">
        <v>532</v>
      </c>
      <c r="G111" s="22" t="s">
        <v>533</v>
      </c>
      <c r="H111" s="22" t="s">
        <v>534</v>
      </c>
      <c r="I111" s="23" t="s">
        <v>49</v>
      </c>
      <c r="J111" s="22" t="s">
        <v>50</v>
      </c>
      <c r="L111" s="23">
        <v>120</v>
      </c>
      <c r="M111" s="23">
        <v>110</v>
      </c>
      <c r="N111" s="3">
        <f t="shared" si="30"/>
        <v>1.5840000000000001</v>
      </c>
      <c r="O111" s="4" t="e">
        <f>(C111-(C111*#REF!))-((C111-(C111*#REF!))*#REF!)</f>
        <v>#REF!</v>
      </c>
      <c r="P111" s="7"/>
      <c r="Q111" s="7"/>
      <c r="R111" s="5">
        <f t="shared" si="51"/>
        <v>0</v>
      </c>
      <c r="S111" s="4">
        <f t="shared" si="52"/>
        <v>0</v>
      </c>
      <c r="T111" s="13">
        <f t="shared" si="33"/>
        <v>1805.9929999999999</v>
      </c>
      <c r="U111" s="13">
        <f t="shared" si="42"/>
        <v>902.99649999999997</v>
      </c>
      <c r="V111" s="14">
        <f>U111/C111</f>
        <v>0.35000000000000003</v>
      </c>
      <c r="W111" s="14"/>
      <c r="X111" s="19">
        <f t="shared" si="49"/>
        <v>902.99649999999997</v>
      </c>
      <c r="Y111" s="19">
        <f t="shared" si="50"/>
        <v>1805.9929999999999</v>
      </c>
      <c r="Z111" s="15" t="e">
        <f t="shared" si="46"/>
        <v>#DIV/0!</v>
      </c>
      <c r="AA111" s="22" t="s">
        <v>535</v>
      </c>
      <c r="AG111" s="94" t="s">
        <v>52</v>
      </c>
      <c r="AH111" s="89" t="str">
        <f>VLOOKUP(AG111,Sheet1!$B$3:$D$36,2,FALSE)</f>
        <v>Furniture</v>
      </c>
      <c r="AI111" s="89" t="s">
        <v>515</v>
      </c>
      <c r="AJ111" s="1" t="str">
        <f t="shared" si="34"/>
        <v xml:space="preserve"> Hallstatt round bar</v>
      </c>
      <c r="AK111" s="1" t="str">
        <f t="shared" si="35"/>
        <v>ø120 x h110 x bh105</v>
      </c>
      <c r="AL111" s="1" t="str">
        <f t="shared" si="36"/>
        <v>Natural teak indoor</v>
      </c>
      <c r="AM111" s="1" t="str">
        <f t="shared" si="37"/>
        <v>Natural teak indoor</v>
      </c>
      <c r="AN111" s="1" t="str">
        <f>SUBSTITUTE(AL111,"indoor","")</f>
        <v xml:space="preserve">Natural teak </v>
      </c>
      <c r="AO111" s="1" t="s">
        <v>54</v>
      </c>
      <c r="AQ111" s="1" t="str">
        <f t="shared" si="38"/>
        <v>A</v>
      </c>
      <c r="AR111" s="1" t="str">
        <f>VLOOKUP(TRIM(AI111),Sheet1!$D$3:$E$36,2,FALSE)</f>
        <v>02</v>
      </c>
      <c r="AS111" s="90" t="str">
        <f t="shared" si="39"/>
        <v>01</v>
      </c>
      <c r="AT111" s="1" t="str">
        <f t="shared" si="40"/>
        <v>01</v>
      </c>
      <c r="AU111" s="90" t="s">
        <v>55</v>
      </c>
      <c r="AV111" s="90"/>
      <c r="AW111" s="90"/>
      <c r="AX111" s="95" t="str">
        <f>AQ111&amp;AR111&amp;AS111&amp;"-"&amp;AT111&amp;AU111&amp;BA111</f>
        <v>A0201-0110IND</v>
      </c>
      <c r="AY111" s="99" t="str">
        <f>AQ111&amp;AR111&amp;AS111&amp;"-"&amp;AT111&amp;BA111</f>
        <v>A0201-01IND</v>
      </c>
      <c r="AZ111" s="90"/>
      <c r="BA111" s="1" t="str">
        <f t="shared" si="41"/>
        <v>IND</v>
      </c>
      <c r="BC111" s="1">
        <f t="shared" si="47"/>
        <v>1</v>
      </c>
      <c r="BD111" s="90">
        <f t="shared" si="48"/>
        <v>1</v>
      </c>
      <c r="BE111" s="1">
        <f t="shared" si="44"/>
        <v>1</v>
      </c>
      <c r="BF111" s="1">
        <f t="shared" si="45"/>
        <v>1</v>
      </c>
      <c r="BJ111" t="s">
        <v>536</v>
      </c>
      <c r="BK111" s="1">
        <v>2</v>
      </c>
      <c r="BL111"/>
      <c r="BM111" t="str">
        <f t="shared" si="43"/>
        <v>Monata-Monata-</v>
      </c>
    </row>
    <row r="112" spans="1:65" ht="11.25" customHeight="1">
      <c r="A112" s="26" t="s">
        <v>537</v>
      </c>
      <c r="B112" s="27" t="s">
        <v>531</v>
      </c>
      <c r="C112" s="28">
        <v>2739.99</v>
      </c>
      <c r="D112" s="28">
        <f t="shared" si="29"/>
        <v>1369.9949999999999</v>
      </c>
      <c r="E112" s="22" t="s">
        <v>508</v>
      </c>
      <c r="F112" s="22" t="s">
        <v>538</v>
      </c>
      <c r="G112" s="22" t="s">
        <v>533</v>
      </c>
      <c r="H112" s="22" t="s">
        <v>534</v>
      </c>
      <c r="I112" s="23" t="s">
        <v>58</v>
      </c>
      <c r="J112" s="22" t="s">
        <v>50</v>
      </c>
      <c r="L112" s="23">
        <v>120</v>
      </c>
      <c r="M112" s="23">
        <v>110</v>
      </c>
      <c r="N112" s="3">
        <f t="shared" si="30"/>
        <v>1.5840000000000001</v>
      </c>
      <c r="O112" s="4" t="e">
        <f>(C112-(C112*#REF!))-((C112-(C112*#REF!))*#REF!)</f>
        <v>#REF!</v>
      </c>
      <c r="P112" s="7"/>
      <c r="Q112" s="7"/>
      <c r="R112" s="5">
        <f t="shared" si="51"/>
        <v>0</v>
      </c>
      <c r="S112" s="4">
        <f t="shared" si="52"/>
        <v>0</v>
      </c>
      <c r="T112" s="13">
        <f t="shared" si="33"/>
        <v>1917.9929999999999</v>
      </c>
      <c r="U112" s="13">
        <f t="shared" si="42"/>
        <v>958.99649999999997</v>
      </c>
      <c r="V112" s="14">
        <f>U112/C112</f>
        <v>0.35000000000000003</v>
      </c>
      <c r="W112" s="14"/>
      <c r="X112" s="19">
        <f t="shared" si="49"/>
        <v>958.99649999999997</v>
      </c>
      <c r="Y112" s="19">
        <f t="shared" si="50"/>
        <v>1917.9929999999999</v>
      </c>
      <c r="Z112" s="15" t="e">
        <f t="shared" si="46"/>
        <v>#DIV/0!</v>
      </c>
      <c r="AA112" s="22" t="s">
        <v>535</v>
      </c>
      <c r="AG112" s="94" t="s">
        <v>52</v>
      </c>
      <c r="AH112" s="89" t="str">
        <f>VLOOKUP(AG112,Sheet1!$B$3:$D$36,2,FALSE)</f>
        <v>Furniture</v>
      </c>
      <c r="AI112" s="89" t="s">
        <v>515</v>
      </c>
      <c r="AJ112" s="1" t="str">
        <f t="shared" si="34"/>
        <v xml:space="preserve"> Hallstatt round bar</v>
      </c>
      <c r="AK112" s="1" t="str">
        <f t="shared" si="35"/>
        <v>ø120 x h110 x bh105</v>
      </c>
      <c r="AL112" s="1" t="str">
        <f t="shared" si="36"/>
        <v>Natural teak outdoor</v>
      </c>
      <c r="AM112" s="1" t="str">
        <f t="shared" si="37"/>
        <v>Natural teak outdoor</v>
      </c>
      <c r="AN112" s="1" t="str">
        <f>SUBSTITUTE(AL112,"outdoor","")</f>
        <v xml:space="preserve">Natural teak </v>
      </c>
      <c r="AO112" s="1" t="s">
        <v>59</v>
      </c>
      <c r="AQ112" s="1" t="str">
        <f t="shared" si="38"/>
        <v>A</v>
      </c>
      <c r="AR112" s="1" t="str">
        <f>VLOOKUP(TRIM(AI112),Sheet1!$D$3:$E$36,2,FALSE)</f>
        <v>02</v>
      </c>
      <c r="AS112" s="90" t="str">
        <f t="shared" si="39"/>
        <v>02</v>
      </c>
      <c r="AT112" s="1" t="str">
        <f t="shared" si="40"/>
        <v>02</v>
      </c>
      <c r="AU112" s="90" t="s">
        <v>55</v>
      </c>
      <c r="AV112" s="90"/>
      <c r="AW112" s="90"/>
      <c r="AX112" s="95" t="str">
        <f>AQ112&amp;AR112&amp;AS112&amp;"-"&amp;AT112&amp;AU112&amp;BA112</f>
        <v>A0202-0210OUT</v>
      </c>
      <c r="AY112" s="99" t="str">
        <f>AQ112&amp;AR112&amp;AS112&amp;"-"&amp;AT112&amp;BA112</f>
        <v>A0202-02OUT</v>
      </c>
      <c r="AZ112" s="90"/>
      <c r="BA112" s="1" t="str">
        <f t="shared" si="41"/>
        <v>OUT</v>
      </c>
      <c r="BC112" s="1" t="str">
        <f t="shared" si="47"/>
        <v/>
      </c>
      <c r="BD112" s="90">
        <f t="shared" si="48"/>
        <v>2</v>
      </c>
      <c r="BE112" s="1" t="str">
        <f t="shared" si="44"/>
        <v/>
      </c>
      <c r="BF112" s="1">
        <f t="shared" si="45"/>
        <v>2</v>
      </c>
      <c r="BJ112" t="s">
        <v>539</v>
      </c>
      <c r="BK112" s="1">
        <v>8</v>
      </c>
      <c r="BL112"/>
      <c r="BM112" t="str">
        <f t="shared" si="43"/>
        <v>Mufazza-Mufazza-Mufazza-Mufazza-Mufazza-Mufazza-Mufazza-Mufazza-</v>
      </c>
    </row>
    <row r="113" spans="1:65" ht="11.25" customHeight="1">
      <c r="A113" s="26" t="s">
        <v>540</v>
      </c>
      <c r="B113" s="27" t="s">
        <v>541</v>
      </c>
      <c r="C113" s="28">
        <v>2849.99</v>
      </c>
      <c r="D113" s="28">
        <f t="shared" si="29"/>
        <v>1424.9949999999999</v>
      </c>
      <c r="E113" s="22" t="s">
        <v>508</v>
      </c>
      <c r="F113" s="22" t="s">
        <v>542</v>
      </c>
      <c r="G113" s="22" t="s">
        <v>543</v>
      </c>
      <c r="H113" s="22" t="s">
        <v>544</v>
      </c>
      <c r="I113" s="23" t="s">
        <v>49</v>
      </c>
      <c r="J113" s="22" t="s">
        <v>50</v>
      </c>
      <c r="K113" s="23">
        <v>200</v>
      </c>
      <c r="L113" s="23">
        <v>70</v>
      </c>
      <c r="M113" s="23">
        <v>110</v>
      </c>
      <c r="N113" s="3">
        <f t="shared" si="30"/>
        <v>1.54</v>
      </c>
      <c r="O113" s="4" t="e">
        <f>(C113-(C113*#REF!))-((C113-(C113*#REF!))*#REF!)</f>
        <v>#REF!</v>
      </c>
      <c r="P113" s="7"/>
      <c r="Q113" s="7"/>
      <c r="R113" s="5">
        <f t="shared" si="51"/>
        <v>0</v>
      </c>
      <c r="S113" s="4">
        <f t="shared" si="52"/>
        <v>0</v>
      </c>
      <c r="T113" s="13">
        <f t="shared" si="33"/>
        <v>1994.9929999999999</v>
      </c>
      <c r="U113" s="13">
        <f t="shared" si="42"/>
        <v>997.49649999999997</v>
      </c>
      <c r="V113" s="14">
        <f>U113/C113</f>
        <v>0.35000000000000003</v>
      </c>
      <c r="W113" s="14"/>
      <c r="X113" s="19">
        <f t="shared" si="49"/>
        <v>997.49649999999997</v>
      </c>
      <c r="Y113" s="19">
        <f t="shared" si="50"/>
        <v>1994.9929999999999</v>
      </c>
      <c r="Z113" s="15" t="e">
        <f t="shared" si="46"/>
        <v>#DIV/0!</v>
      </c>
      <c r="AA113" s="22" t="s">
        <v>545</v>
      </c>
      <c r="AG113" s="94" t="s">
        <v>52</v>
      </c>
      <c r="AH113" s="89" t="str">
        <f>VLOOKUP(AG113,Sheet1!$B$3:$D$36,2,FALSE)</f>
        <v>Furniture</v>
      </c>
      <c r="AI113" s="89" t="s">
        <v>515</v>
      </c>
      <c r="AJ113" s="1" t="str">
        <f t="shared" si="34"/>
        <v xml:space="preserve"> Bibury oval bar</v>
      </c>
      <c r="AK113" s="1" t="str">
        <f t="shared" si="35"/>
        <v>w200 x d70 x h110 x bh105</v>
      </c>
      <c r="AL113" s="1" t="str">
        <f t="shared" si="36"/>
        <v>Natural teak indoor</v>
      </c>
      <c r="AM113" s="1" t="str">
        <f t="shared" si="37"/>
        <v>Natural teak indoor</v>
      </c>
      <c r="AN113" s="1" t="str">
        <f>SUBSTITUTE(AL113,"indoor","")</f>
        <v xml:space="preserve">Natural teak </v>
      </c>
      <c r="AO113" s="1" t="s">
        <v>54</v>
      </c>
      <c r="AQ113" s="1" t="str">
        <f t="shared" si="38"/>
        <v>A</v>
      </c>
      <c r="AR113" s="1" t="str">
        <f>VLOOKUP(TRIM(AI113),Sheet1!$D$3:$E$36,2,FALSE)</f>
        <v>02</v>
      </c>
      <c r="AS113" s="90" t="str">
        <f t="shared" si="39"/>
        <v>01</v>
      </c>
      <c r="AT113" s="1" t="str">
        <f t="shared" si="40"/>
        <v>01</v>
      </c>
      <c r="AU113" s="90" t="s">
        <v>55</v>
      </c>
      <c r="AV113" s="90"/>
      <c r="AW113" s="90"/>
      <c r="AX113" s="95" t="str">
        <f>AQ113&amp;AR113&amp;AS113&amp;"-"&amp;AT113&amp;AU113&amp;BA113</f>
        <v>A0201-0110IND</v>
      </c>
      <c r="AY113" s="99" t="str">
        <f>AQ113&amp;AR113&amp;AS113&amp;"-"&amp;AT113&amp;BA113</f>
        <v>A0201-01IND</v>
      </c>
      <c r="AZ113" s="90"/>
      <c r="BA113" s="1" t="str">
        <f t="shared" si="41"/>
        <v>IND</v>
      </c>
      <c r="BC113" s="1">
        <f t="shared" si="47"/>
        <v>1</v>
      </c>
      <c r="BD113" s="90">
        <f t="shared" si="48"/>
        <v>1</v>
      </c>
      <c r="BE113" s="1">
        <f t="shared" si="44"/>
        <v>1</v>
      </c>
      <c r="BF113" s="1">
        <f t="shared" si="45"/>
        <v>1</v>
      </c>
      <c r="BJ113" t="s">
        <v>546</v>
      </c>
      <c r="BK113" s="1">
        <v>2</v>
      </c>
      <c r="BL113"/>
      <c r="BM113" t="str">
        <f t="shared" si="43"/>
        <v>Nada oval server-Nada oval server-</v>
      </c>
    </row>
    <row r="114" spans="1:65" ht="11.25" customHeight="1">
      <c r="A114" s="26" t="s">
        <v>547</v>
      </c>
      <c r="B114" s="27" t="s">
        <v>541</v>
      </c>
      <c r="C114" s="28">
        <v>3029.99</v>
      </c>
      <c r="D114" s="28">
        <f t="shared" si="29"/>
        <v>1514.9949999999999</v>
      </c>
      <c r="E114" s="22" t="s">
        <v>508</v>
      </c>
      <c r="F114" s="22" t="s">
        <v>548</v>
      </c>
      <c r="G114" s="22" t="s">
        <v>543</v>
      </c>
      <c r="H114" s="22" t="s">
        <v>544</v>
      </c>
      <c r="I114" s="23" t="s">
        <v>58</v>
      </c>
      <c r="J114" s="22" t="s">
        <v>50</v>
      </c>
      <c r="K114" s="23">
        <v>200</v>
      </c>
      <c r="L114" s="23">
        <v>70</v>
      </c>
      <c r="M114" s="23">
        <v>110</v>
      </c>
      <c r="N114" s="3">
        <f t="shared" si="30"/>
        <v>1.54</v>
      </c>
      <c r="O114" s="4" t="e">
        <f>(C114-(C114*#REF!))-((C114-(C114*#REF!))*#REF!)</f>
        <v>#REF!</v>
      </c>
      <c r="P114" s="7"/>
      <c r="Q114" s="7"/>
      <c r="R114" s="5">
        <f t="shared" si="51"/>
        <v>0</v>
      </c>
      <c r="S114" s="4">
        <f t="shared" si="52"/>
        <v>0</v>
      </c>
      <c r="T114" s="13">
        <f t="shared" si="33"/>
        <v>2120.9929999999999</v>
      </c>
      <c r="U114" s="13">
        <f t="shared" si="42"/>
        <v>1060.4965</v>
      </c>
      <c r="V114" s="14">
        <f>U114/C114</f>
        <v>0.35000000000000003</v>
      </c>
      <c r="W114" s="14"/>
      <c r="X114" s="19">
        <f t="shared" si="49"/>
        <v>1060.4965</v>
      </c>
      <c r="Y114" s="19">
        <f t="shared" si="50"/>
        <v>2120.9929999999999</v>
      </c>
      <c r="Z114" s="15" t="e">
        <f t="shared" si="46"/>
        <v>#DIV/0!</v>
      </c>
      <c r="AA114" s="22" t="s">
        <v>549</v>
      </c>
      <c r="AG114" s="94" t="s">
        <v>52</v>
      </c>
      <c r="AH114" s="89" t="str">
        <f>VLOOKUP(AG114,Sheet1!$B$3:$D$36,2,FALSE)</f>
        <v>Furniture</v>
      </c>
      <c r="AI114" s="89" t="s">
        <v>515</v>
      </c>
      <c r="AJ114" s="1" t="str">
        <f t="shared" si="34"/>
        <v xml:space="preserve"> Bibury oval bar</v>
      </c>
      <c r="AK114" s="1" t="str">
        <f t="shared" si="35"/>
        <v>w200 x d70 x h110 x bh105</v>
      </c>
      <c r="AL114" s="1" t="str">
        <f t="shared" si="36"/>
        <v>Natural teak outdoor</v>
      </c>
      <c r="AM114" s="1" t="str">
        <f t="shared" si="37"/>
        <v>Natural teak outdoor</v>
      </c>
      <c r="AN114" s="1" t="str">
        <f>SUBSTITUTE(AL114,"outdoor","")</f>
        <v xml:space="preserve">Natural teak </v>
      </c>
      <c r="AO114" s="1" t="s">
        <v>59</v>
      </c>
      <c r="AQ114" s="1" t="str">
        <f t="shared" si="38"/>
        <v>A</v>
      </c>
      <c r="AR114" s="1" t="str">
        <f>VLOOKUP(TRIM(AI114),Sheet1!$D$3:$E$36,2,FALSE)</f>
        <v>02</v>
      </c>
      <c r="AS114" s="90" t="str">
        <f t="shared" si="39"/>
        <v>02</v>
      </c>
      <c r="AT114" s="1" t="str">
        <f t="shared" si="40"/>
        <v>02</v>
      </c>
      <c r="AU114" s="90" t="s">
        <v>55</v>
      </c>
      <c r="AV114" s="90"/>
      <c r="AW114" s="90"/>
      <c r="AX114" s="95" t="str">
        <f>AQ114&amp;AR114&amp;AS114&amp;"-"&amp;AT114&amp;AU114&amp;BA114</f>
        <v>A0202-0210OUT</v>
      </c>
      <c r="AY114" s="99" t="str">
        <f>AQ114&amp;AR114&amp;AS114&amp;"-"&amp;AT114&amp;BA114</f>
        <v>A0202-02OUT</v>
      </c>
      <c r="AZ114" s="90"/>
      <c r="BA114" s="1" t="str">
        <f t="shared" si="41"/>
        <v>OUT</v>
      </c>
      <c r="BC114" s="1" t="str">
        <f t="shared" si="47"/>
        <v/>
      </c>
      <c r="BD114" s="90">
        <f t="shared" si="48"/>
        <v>2</v>
      </c>
      <c r="BE114" s="1" t="str">
        <f t="shared" si="44"/>
        <v/>
      </c>
      <c r="BF114" s="1">
        <f t="shared" si="45"/>
        <v>2</v>
      </c>
      <c r="BJ114" t="s">
        <v>550</v>
      </c>
      <c r="BK114" s="1">
        <v>2</v>
      </c>
      <c r="BL114"/>
      <c r="BM114" t="str">
        <f t="shared" si="43"/>
        <v>Nebula cushion-Nebula cushion-</v>
      </c>
    </row>
    <row r="115" spans="1:65" ht="11.25" customHeight="1">
      <c r="A115" s="26" t="s">
        <v>551</v>
      </c>
      <c r="B115" s="27" t="s">
        <v>552</v>
      </c>
      <c r="C115" s="28">
        <v>2069.9899999999998</v>
      </c>
      <c r="D115" s="28">
        <f t="shared" si="29"/>
        <v>1034.9949999999999</v>
      </c>
      <c r="E115" s="22" t="s">
        <v>508</v>
      </c>
      <c r="F115" s="22" t="s">
        <v>553</v>
      </c>
      <c r="G115" s="22" t="s">
        <v>554</v>
      </c>
      <c r="H115" s="22" t="s">
        <v>555</v>
      </c>
      <c r="I115" s="23" t="s">
        <v>49</v>
      </c>
      <c r="J115" s="22" t="s">
        <v>50</v>
      </c>
      <c r="K115" s="23">
        <v>180</v>
      </c>
      <c r="L115" s="23">
        <v>70</v>
      </c>
      <c r="M115" s="23">
        <v>110</v>
      </c>
      <c r="N115" s="3">
        <f t="shared" si="30"/>
        <v>1.3859999999999999</v>
      </c>
      <c r="O115" s="4" t="e">
        <f>(C115-(C115*#REF!))-((C115-(C115*#REF!))*#REF!)</f>
        <v>#REF!</v>
      </c>
      <c r="P115" s="7">
        <v>3066575.3309229836</v>
      </c>
      <c r="Q115" s="7">
        <v>0</v>
      </c>
      <c r="R115" s="5">
        <f t="shared" si="51"/>
        <v>3066575.3309229836</v>
      </c>
      <c r="S115" s="4">
        <f t="shared" si="52"/>
        <v>204.43835539486557</v>
      </c>
      <c r="T115" s="13">
        <f t="shared" si="33"/>
        <v>1448.9929999999999</v>
      </c>
      <c r="U115" s="13">
        <f t="shared" si="42"/>
        <v>724.49649999999997</v>
      </c>
      <c r="V115" s="14">
        <f>U115/C115</f>
        <v>0.35000000000000003</v>
      </c>
      <c r="W115" s="14"/>
      <c r="X115" s="19">
        <f t="shared" si="49"/>
        <v>724.49649999999997</v>
      </c>
      <c r="Y115" s="19">
        <f t="shared" si="50"/>
        <v>1448.9929999999999</v>
      </c>
      <c r="Z115" s="15">
        <f t="shared" si="46"/>
        <v>3.5438384279733626</v>
      </c>
      <c r="AA115" s="22" t="s">
        <v>556</v>
      </c>
      <c r="AG115" s="94" t="s">
        <v>52</v>
      </c>
      <c r="AH115" s="89" t="str">
        <f>VLOOKUP(AG115,Sheet1!$B$3:$D$36,2,FALSE)</f>
        <v>Furniture</v>
      </c>
      <c r="AI115" s="89" t="s">
        <v>515</v>
      </c>
      <c r="AJ115" s="1" t="str">
        <f t="shared" si="34"/>
        <v xml:space="preserve"> Sintra rectangular bar</v>
      </c>
      <c r="AK115" s="1" t="str">
        <f t="shared" si="35"/>
        <v>w180 x d70 x h110 x bh100</v>
      </c>
      <c r="AL115" s="1" t="str">
        <f t="shared" si="36"/>
        <v>Natural teak indoor</v>
      </c>
      <c r="AM115" s="1" t="str">
        <f t="shared" si="37"/>
        <v>Natural teak indoor</v>
      </c>
      <c r="AN115" s="1" t="str">
        <f>SUBSTITUTE(AL115,"indoor","")</f>
        <v xml:space="preserve">Natural teak </v>
      </c>
      <c r="AO115" s="1" t="s">
        <v>54</v>
      </c>
      <c r="AQ115" s="1" t="str">
        <f t="shared" si="38"/>
        <v>A</v>
      </c>
      <c r="AR115" s="1" t="str">
        <f>VLOOKUP(TRIM(AI115),Sheet1!$D$3:$E$36,2,FALSE)</f>
        <v>02</v>
      </c>
      <c r="AS115" s="90" t="str">
        <f t="shared" si="39"/>
        <v>01</v>
      </c>
      <c r="AT115" s="1" t="str">
        <f t="shared" si="40"/>
        <v>01</v>
      </c>
      <c r="AU115" s="90" t="s">
        <v>55</v>
      </c>
      <c r="AV115" s="90"/>
      <c r="AW115" s="90"/>
      <c r="AX115" s="95" t="str">
        <f>AQ115&amp;AR115&amp;AS115&amp;"-"&amp;AT115&amp;AU115&amp;BA115</f>
        <v>A0201-0110IND</v>
      </c>
      <c r="AY115" s="99" t="str">
        <f>AQ115&amp;AR115&amp;AS115&amp;"-"&amp;AT115&amp;BA115</f>
        <v>A0201-01IND</v>
      </c>
      <c r="AZ115" s="90"/>
      <c r="BA115" s="1" t="str">
        <f t="shared" si="41"/>
        <v>IND</v>
      </c>
      <c r="BC115" s="1">
        <f t="shared" si="47"/>
        <v>1</v>
      </c>
      <c r="BD115" s="90">
        <f t="shared" si="48"/>
        <v>1</v>
      </c>
      <c r="BE115" s="1">
        <f t="shared" si="44"/>
        <v>1</v>
      </c>
      <c r="BF115" s="1">
        <f t="shared" si="45"/>
        <v>1</v>
      </c>
      <c r="BJ115" t="s">
        <v>557</v>
      </c>
      <c r="BK115" s="1">
        <v>2</v>
      </c>
      <c r="BL115"/>
      <c r="BM115" t="str">
        <f t="shared" si="43"/>
        <v>Nebula sofa-double-Nebula sofa-double-</v>
      </c>
    </row>
    <row r="116" spans="1:65" ht="11.25" customHeight="1">
      <c r="A116" s="26" t="s">
        <v>558</v>
      </c>
      <c r="B116" s="27" t="s">
        <v>552</v>
      </c>
      <c r="C116" s="28">
        <v>2199.9899999999998</v>
      </c>
      <c r="D116" s="28">
        <f t="shared" si="29"/>
        <v>1099.9949999999999</v>
      </c>
      <c r="E116" s="22" t="s">
        <v>508</v>
      </c>
      <c r="F116" s="22" t="s">
        <v>559</v>
      </c>
      <c r="G116" s="22" t="s">
        <v>554</v>
      </c>
      <c r="H116" s="22" t="s">
        <v>555</v>
      </c>
      <c r="I116" s="23" t="s">
        <v>58</v>
      </c>
      <c r="J116" s="22" t="s">
        <v>50</v>
      </c>
      <c r="K116" s="23">
        <v>180</v>
      </c>
      <c r="L116" s="23">
        <v>70</v>
      </c>
      <c r="M116" s="23">
        <v>110</v>
      </c>
      <c r="N116" s="3">
        <f t="shared" si="30"/>
        <v>1.3859999999999999</v>
      </c>
      <c r="O116" s="4" t="e">
        <f>(C116-(C116*#REF!))-((C116-(C116*#REF!))*#REF!)</f>
        <v>#REF!</v>
      </c>
      <c r="P116" s="7">
        <v>3008601.726571132</v>
      </c>
      <c r="Q116" s="7">
        <v>0</v>
      </c>
      <c r="R116" s="5">
        <f t="shared" si="51"/>
        <v>3008601.726571132</v>
      </c>
      <c r="S116" s="4">
        <f t="shared" si="52"/>
        <v>200.57344843807547</v>
      </c>
      <c r="T116" s="13">
        <f t="shared" si="33"/>
        <v>1539.9929999999999</v>
      </c>
      <c r="U116" s="13">
        <f t="shared" si="42"/>
        <v>769.99649999999997</v>
      </c>
      <c r="V116" s="14">
        <f>U116/C116</f>
        <v>0.35000000000000003</v>
      </c>
      <c r="W116" s="14"/>
      <c r="X116" s="19">
        <f t="shared" si="49"/>
        <v>769.99649999999997</v>
      </c>
      <c r="Y116" s="19">
        <f t="shared" si="50"/>
        <v>1539.9929999999999</v>
      </c>
      <c r="Z116" s="15">
        <f t="shared" si="46"/>
        <v>3.8389752282577256</v>
      </c>
      <c r="AA116" s="22" t="s">
        <v>560</v>
      </c>
      <c r="AG116" s="94" t="s">
        <v>52</v>
      </c>
      <c r="AH116" s="89" t="str">
        <f>VLOOKUP(AG116,Sheet1!$B$3:$D$36,2,FALSE)</f>
        <v>Furniture</v>
      </c>
      <c r="AI116" s="89" t="s">
        <v>515</v>
      </c>
      <c r="AJ116" s="1" t="str">
        <f t="shared" si="34"/>
        <v xml:space="preserve"> Sintra rectangular bar</v>
      </c>
      <c r="AK116" s="1" t="str">
        <f t="shared" si="35"/>
        <v>w180 x d70 x h110 x bh100</v>
      </c>
      <c r="AL116" s="1" t="str">
        <f t="shared" si="36"/>
        <v>Natural teak outdoor</v>
      </c>
      <c r="AM116" s="1" t="str">
        <f t="shared" si="37"/>
        <v>Natural teak outdoor</v>
      </c>
      <c r="AN116" s="1" t="str">
        <f>SUBSTITUTE(AL116,"outdoor","")</f>
        <v xml:space="preserve">Natural teak </v>
      </c>
      <c r="AO116" s="1" t="s">
        <v>59</v>
      </c>
      <c r="AQ116" s="1" t="str">
        <f t="shared" si="38"/>
        <v>A</v>
      </c>
      <c r="AR116" s="1" t="str">
        <f>VLOOKUP(TRIM(AI116),Sheet1!$D$3:$E$36,2,FALSE)</f>
        <v>02</v>
      </c>
      <c r="AS116" s="90" t="str">
        <f t="shared" si="39"/>
        <v>02</v>
      </c>
      <c r="AT116" s="1" t="str">
        <f t="shared" si="40"/>
        <v>02</v>
      </c>
      <c r="AU116" s="90" t="s">
        <v>55</v>
      </c>
      <c r="AV116" s="90"/>
      <c r="AW116" s="90"/>
      <c r="AX116" s="95" t="str">
        <f>AQ116&amp;AR116&amp;AS116&amp;"-"&amp;AT116&amp;AU116&amp;BA116</f>
        <v>A0202-0210OUT</v>
      </c>
      <c r="AY116" s="99" t="str">
        <f>AQ116&amp;AR116&amp;AS116&amp;"-"&amp;AT116&amp;BA116</f>
        <v>A0202-02OUT</v>
      </c>
      <c r="AZ116" s="90"/>
      <c r="BA116" s="1" t="str">
        <f t="shared" si="41"/>
        <v>OUT</v>
      </c>
      <c r="BC116" s="1" t="str">
        <f t="shared" si="47"/>
        <v/>
      </c>
      <c r="BD116" s="90">
        <f t="shared" si="48"/>
        <v>2</v>
      </c>
      <c r="BE116" s="1" t="str">
        <f t="shared" si="44"/>
        <v/>
      </c>
      <c r="BF116" s="1">
        <f t="shared" si="45"/>
        <v>2</v>
      </c>
      <c r="BJ116" t="s">
        <v>561</v>
      </c>
      <c r="BK116" s="1">
        <v>5</v>
      </c>
      <c r="BL116"/>
      <c r="BM116" t="str">
        <f t="shared" si="43"/>
        <v>Ness-Ness-Ness-Ness-Ness-</v>
      </c>
    </row>
    <row r="117" spans="1:65" ht="11.25" customHeight="1">
      <c r="A117" s="26" t="s">
        <v>562</v>
      </c>
      <c r="B117" s="27" t="s">
        <v>563</v>
      </c>
      <c r="C117" s="28">
        <v>1679.99</v>
      </c>
      <c r="D117" s="28">
        <f t="shared" si="29"/>
        <v>839.995</v>
      </c>
      <c r="E117" s="22" t="s">
        <v>508</v>
      </c>
      <c r="F117" s="22" t="s">
        <v>564</v>
      </c>
      <c r="G117" s="22" t="s">
        <v>565</v>
      </c>
      <c r="H117" s="22" t="s">
        <v>566</v>
      </c>
      <c r="I117" s="23" t="s">
        <v>49</v>
      </c>
      <c r="J117" s="22" t="s">
        <v>50</v>
      </c>
      <c r="K117" s="23">
        <v>85</v>
      </c>
      <c r="L117" s="23">
        <v>85</v>
      </c>
      <c r="M117" s="23">
        <v>110</v>
      </c>
      <c r="N117" s="3">
        <f t="shared" si="30"/>
        <v>0.79474999999999996</v>
      </c>
      <c r="O117" s="4" t="e">
        <f>(C117-(C117*#REF!))-((C117-(C117*#REF!))*#REF!)</f>
        <v>#REF!</v>
      </c>
      <c r="P117" s="7"/>
      <c r="Q117" s="7"/>
      <c r="R117" s="5">
        <f t="shared" si="51"/>
        <v>0</v>
      </c>
      <c r="S117" s="4">
        <f t="shared" si="52"/>
        <v>0</v>
      </c>
      <c r="T117" s="13">
        <f t="shared" si="33"/>
        <v>1175.9929999999999</v>
      </c>
      <c r="U117" s="13">
        <f t="shared" si="42"/>
        <v>587.99649999999997</v>
      </c>
      <c r="V117" s="14">
        <f>U117/C117</f>
        <v>0.35</v>
      </c>
      <c r="W117" s="14"/>
      <c r="X117" s="19">
        <f t="shared" si="49"/>
        <v>587.99649999999997</v>
      </c>
      <c r="Y117" s="19">
        <f t="shared" si="50"/>
        <v>1175.9929999999999</v>
      </c>
      <c r="Z117" s="15" t="e">
        <f t="shared" si="46"/>
        <v>#DIV/0!</v>
      </c>
      <c r="AA117" s="22" t="s">
        <v>567</v>
      </c>
      <c r="AG117" s="94" t="s">
        <v>52</v>
      </c>
      <c r="AH117" s="89" t="str">
        <f>VLOOKUP(AG117,Sheet1!$B$3:$D$36,2,FALSE)</f>
        <v>Furniture</v>
      </c>
      <c r="AI117" s="89" t="s">
        <v>515</v>
      </c>
      <c r="AJ117" s="1" t="str">
        <f t="shared" si="34"/>
        <v xml:space="preserve"> Giethoorn square bar</v>
      </c>
      <c r="AK117" s="1" t="str">
        <f t="shared" si="35"/>
        <v>w85 x d85 x h110 x bh100</v>
      </c>
      <c r="AL117" s="1" t="str">
        <f t="shared" si="36"/>
        <v>Natural teak indoor</v>
      </c>
      <c r="AM117" s="1" t="str">
        <f t="shared" si="37"/>
        <v>Natural teak indoor</v>
      </c>
      <c r="AN117" s="1" t="str">
        <f>SUBSTITUTE(AL117,"indoor","")</f>
        <v xml:space="preserve">Natural teak </v>
      </c>
      <c r="AO117" s="1" t="s">
        <v>54</v>
      </c>
      <c r="AQ117" s="1" t="str">
        <f t="shared" si="38"/>
        <v>A</v>
      </c>
      <c r="AR117" s="1" t="str">
        <f>VLOOKUP(TRIM(AI117),Sheet1!$D$3:$E$36,2,FALSE)</f>
        <v>02</v>
      </c>
      <c r="AS117" s="90" t="str">
        <f t="shared" si="39"/>
        <v>01</v>
      </c>
      <c r="AT117" s="1" t="str">
        <f t="shared" si="40"/>
        <v>01</v>
      </c>
      <c r="AU117" s="90" t="s">
        <v>55</v>
      </c>
      <c r="AV117" s="90"/>
      <c r="AW117" s="90"/>
      <c r="AX117" s="95" t="str">
        <f>AQ117&amp;AR117&amp;AS117&amp;"-"&amp;AT117&amp;AU117&amp;BA117</f>
        <v>A0201-0110IND</v>
      </c>
      <c r="AY117" s="99" t="str">
        <f>AQ117&amp;AR117&amp;AS117&amp;"-"&amp;AT117&amp;BA117</f>
        <v>A0201-01IND</v>
      </c>
      <c r="AZ117" s="90"/>
      <c r="BA117" s="1" t="str">
        <f t="shared" si="41"/>
        <v>IND</v>
      </c>
      <c r="BC117" s="1">
        <f t="shared" si="47"/>
        <v>1</v>
      </c>
      <c r="BD117" s="90">
        <f t="shared" si="48"/>
        <v>1</v>
      </c>
      <c r="BE117" s="1">
        <f t="shared" si="44"/>
        <v>1</v>
      </c>
      <c r="BF117" s="1">
        <f t="shared" si="45"/>
        <v>1</v>
      </c>
      <c r="BJ117" t="s">
        <v>238</v>
      </c>
      <c r="BK117" s="1">
        <v>2</v>
      </c>
      <c r="BL117"/>
      <c r="BM117" t="str">
        <f t="shared" si="43"/>
        <v>Neva rectangular-Neva rectangular-</v>
      </c>
    </row>
    <row r="118" spans="1:65" ht="11.25" customHeight="1">
      <c r="A118" s="26" t="s">
        <v>568</v>
      </c>
      <c r="B118" s="27" t="s">
        <v>563</v>
      </c>
      <c r="C118" s="28">
        <v>1719.99</v>
      </c>
      <c r="D118" s="28">
        <f t="shared" si="29"/>
        <v>859.995</v>
      </c>
      <c r="E118" s="22" t="s">
        <v>508</v>
      </c>
      <c r="F118" s="22" t="s">
        <v>569</v>
      </c>
      <c r="G118" s="22" t="s">
        <v>565</v>
      </c>
      <c r="H118" s="22" t="s">
        <v>566</v>
      </c>
      <c r="I118" s="23" t="s">
        <v>58</v>
      </c>
      <c r="J118" s="22" t="s">
        <v>50</v>
      </c>
      <c r="K118" s="23">
        <v>85</v>
      </c>
      <c r="L118" s="23">
        <v>85</v>
      </c>
      <c r="M118" s="23">
        <v>110</v>
      </c>
      <c r="N118" s="3">
        <f t="shared" si="30"/>
        <v>0.79474999999999996</v>
      </c>
      <c r="O118" s="4" t="e">
        <f>(C118-(C118*#REF!))-((C118-(C118*#REF!))*#REF!)</f>
        <v>#REF!</v>
      </c>
      <c r="P118" s="7"/>
      <c r="Q118" s="7"/>
      <c r="R118" s="5">
        <f t="shared" si="51"/>
        <v>0</v>
      </c>
      <c r="S118" s="4">
        <f t="shared" si="52"/>
        <v>0</v>
      </c>
      <c r="T118" s="13">
        <f t="shared" si="33"/>
        <v>1203.9929999999999</v>
      </c>
      <c r="U118" s="13">
        <f t="shared" si="42"/>
        <v>601.99649999999997</v>
      </c>
      <c r="V118" s="14">
        <f>U118/C118</f>
        <v>0.35</v>
      </c>
      <c r="W118" s="14"/>
      <c r="X118" s="19">
        <f t="shared" si="49"/>
        <v>601.99649999999997</v>
      </c>
      <c r="Y118" s="19">
        <f t="shared" si="50"/>
        <v>1203.9929999999999</v>
      </c>
      <c r="Z118" s="15" t="e">
        <f t="shared" si="46"/>
        <v>#DIV/0!</v>
      </c>
      <c r="AA118" s="22" t="s">
        <v>570</v>
      </c>
      <c r="AG118" s="94" t="s">
        <v>52</v>
      </c>
      <c r="AH118" s="89" t="str">
        <f>VLOOKUP(AG118,Sheet1!$B$3:$D$36,2,FALSE)</f>
        <v>Furniture</v>
      </c>
      <c r="AI118" s="89" t="s">
        <v>515</v>
      </c>
      <c r="AJ118" s="1" t="str">
        <f t="shared" si="34"/>
        <v xml:space="preserve"> Giethoorn square bar</v>
      </c>
      <c r="AK118" s="1" t="str">
        <f t="shared" si="35"/>
        <v>w85 x d85 x h110 x bh100</v>
      </c>
      <c r="AL118" s="1" t="str">
        <f t="shared" si="36"/>
        <v>Natural teak outdoor</v>
      </c>
      <c r="AM118" s="1" t="str">
        <f t="shared" si="37"/>
        <v>Natural teak outdoor</v>
      </c>
      <c r="AN118" s="1" t="str">
        <f>SUBSTITUTE(AL118,"outdoor","")</f>
        <v xml:space="preserve">Natural teak </v>
      </c>
      <c r="AO118" s="1" t="s">
        <v>59</v>
      </c>
      <c r="AQ118" s="1" t="str">
        <f t="shared" si="38"/>
        <v>A</v>
      </c>
      <c r="AR118" s="1" t="str">
        <f>VLOOKUP(TRIM(AI118),Sheet1!$D$3:$E$36,2,FALSE)</f>
        <v>02</v>
      </c>
      <c r="AS118" s="90" t="str">
        <f t="shared" si="39"/>
        <v>02</v>
      </c>
      <c r="AT118" s="1" t="str">
        <f t="shared" si="40"/>
        <v>02</v>
      </c>
      <c r="AU118" s="90" t="s">
        <v>55</v>
      </c>
      <c r="AV118" s="90"/>
      <c r="AW118" s="90"/>
      <c r="AX118" s="95" t="str">
        <f>AQ118&amp;AR118&amp;AS118&amp;"-"&amp;AT118&amp;AU118&amp;BA118</f>
        <v>A0202-0210OUT</v>
      </c>
      <c r="AY118" s="99" t="str">
        <f>AQ118&amp;AR118&amp;AS118&amp;"-"&amp;AT118&amp;BA118</f>
        <v>A0202-02OUT</v>
      </c>
      <c r="AZ118" s="90"/>
      <c r="BA118" s="1" t="str">
        <f t="shared" si="41"/>
        <v>OUT</v>
      </c>
      <c r="BC118" s="1" t="str">
        <f t="shared" si="47"/>
        <v/>
      </c>
      <c r="BD118" s="90">
        <f t="shared" si="48"/>
        <v>2</v>
      </c>
      <c r="BE118" s="1" t="str">
        <f t="shared" si="44"/>
        <v/>
      </c>
      <c r="BF118" s="1">
        <f t="shared" si="45"/>
        <v>2</v>
      </c>
      <c r="BJ118" t="s">
        <v>389</v>
      </c>
      <c r="BK118" s="1">
        <v>4</v>
      </c>
      <c r="BL118"/>
      <c r="BM118" t="str">
        <f t="shared" si="43"/>
        <v>Neva round-Neva round-Neva round-Neva round-</v>
      </c>
    </row>
    <row r="119" spans="1:65" ht="11.25" customHeight="1">
      <c r="A119" s="26" t="s">
        <v>571</v>
      </c>
      <c r="B119" s="27" t="s">
        <v>572</v>
      </c>
      <c r="C119" s="28">
        <v>3799.99</v>
      </c>
      <c r="D119" s="28">
        <f t="shared" si="29"/>
        <v>1899.9949999999999</v>
      </c>
      <c r="E119" s="22" t="s">
        <v>508</v>
      </c>
      <c r="F119" s="22" t="s">
        <v>573</v>
      </c>
      <c r="G119" s="22" t="s">
        <v>574</v>
      </c>
      <c r="H119" s="22" t="s">
        <v>575</v>
      </c>
      <c r="I119" s="23" t="s">
        <v>49</v>
      </c>
      <c r="J119" s="22" t="s">
        <v>50</v>
      </c>
      <c r="K119" s="23">
        <v>300</v>
      </c>
      <c r="L119" s="23">
        <v>85</v>
      </c>
      <c r="M119" s="23">
        <v>110</v>
      </c>
      <c r="N119" s="3">
        <f t="shared" si="30"/>
        <v>2.8050000000000002</v>
      </c>
      <c r="O119" s="4" t="e">
        <f>(C119-(C119*#REF!))-((C119-(C119*#REF!))*#REF!)</f>
        <v>#REF!</v>
      </c>
      <c r="P119" s="7"/>
      <c r="Q119" s="7"/>
      <c r="R119" s="5">
        <f t="shared" si="51"/>
        <v>0</v>
      </c>
      <c r="S119" s="4">
        <f t="shared" si="52"/>
        <v>0</v>
      </c>
      <c r="T119" s="13">
        <f t="shared" si="33"/>
        <v>2659.9929999999999</v>
      </c>
      <c r="U119" s="13">
        <f t="shared" si="42"/>
        <v>1329.9965</v>
      </c>
      <c r="V119" s="14">
        <f>U119/C119</f>
        <v>0.35000000000000003</v>
      </c>
      <c r="W119" s="14"/>
      <c r="X119" s="19">
        <f t="shared" si="49"/>
        <v>1329.9965</v>
      </c>
      <c r="Y119" s="19">
        <f t="shared" si="50"/>
        <v>2659.9929999999999</v>
      </c>
      <c r="Z119" s="15" t="e">
        <f t="shared" si="46"/>
        <v>#DIV/0!</v>
      </c>
      <c r="AA119" s="22" t="s">
        <v>576</v>
      </c>
      <c r="AG119" s="94" t="s">
        <v>52</v>
      </c>
      <c r="AH119" s="89" t="str">
        <f>VLOOKUP(AG119,Sheet1!$B$3:$D$36,2,FALSE)</f>
        <v>Furniture</v>
      </c>
      <c r="AI119" s="89" t="s">
        <v>515</v>
      </c>
      <c r="AJ119" s="1" t="str">
        <f t="shared" si="34"/>
        <v xml:space="preserve"> Collioure rectangular bar</v>
      </c>
      <c r="AK119" s="1" t="str">
        <f t="shared" si="35"/>
        <v>w300 x d85 x h110 x bh105</v>
      </c>
      <c r="AL119" s="1" t="str">
        <f t="shared" si="36"/>
        <v>Natural teak indoor</v>
      </c>
      <c r="AM119" s="1" t="str">
        <f t="shared" si="37"/>
        <v>Natural teak indoor</v>
      </c>
      <c r="AN119" s="1" t="str">
        <f>SUBSTITUTE(AL119,"indoor","")</f>
        <v xml:space="preserve">Natural teak </v>
      </c>
      <c r="AO119" s="1" t="s">
        <v>54</v>
      </c>
      <c r="AQ119" s="1" t="str">
        <f t="shared" si="38"/>
        <v>A</v>
      </c>
      <c r="AR119" s="1" t="str">
        <f>VLOOKUP(TRIM(AI119),Sheet1!$D$3:$E$36,2,FALSE)</f>
        <v>02</v>
      </c>
      <c r="AS119" s="90" t="str">
        <f t="shared" si="39"/>
        <v>01</v>
      </c>
      <c r="AT119" s="1" t="str">
        <f t="shared" si="40"/>
        <v>01</v>
      </c>
      <c r="AU119" s="90" t="s">
        <v>55</v>
      </c>
      <c r="AV119" s="90"/>
      <c r="AW119" s="90"/>
      <c r="AX119" s="95" t="str">
        <f>AQ119&amp;AR119&amp;AS119&amp;"-"&amp;AT119&amp;AU119&amp;BA119</f>
        <v>A0201-0110IND</v>
      </c>
      <c r="AY119" s="99" t="str">
        <f>AQ119&amp;AR119&amp;AS119&amp;"-"&amp;AT119&amp;BA119</f>
        <v>A0201-01IND</v>
      </c>
      <c r="AZ119" s="90"/>
      <c r="BA119" s="1" t="str">
        <f t="shared" si="41"/>
        <v>IND</v>
      </c>
      <c r="BC119" s="1">
        <f t="shared" si="47"/>
        <v>1</v>
      </c>
      <c r="BD119" s="90">
        <f t="shared" si="48"/>
        <v>1</v>
      </c>
      <c r="BE119" s="1">
        <f t="shared" si="44"/>
        <v>1</v>
      </c>
      <c r="BF119" s="1">
        <f t="shared" si="45"/>
        <v>1</v>
      </c>
      <c r="BJ119" t="s">
        <v>577</v>
      </c>
      <c r="BK119" s="1">
        <v>2</v>
      </c>
      <c r="BL119"/>
      <c r="BM119" t="str">
        <f t="shared" si="43"/>
        <v>Noel-Noel-</v>
      </c>
    </row>
    <row r="120" spans="1:65" ht="11.25" customHeight="1">
      <c r="A120" s="26" t="s">
        <v>578</v>
      </c>
      <c r="B120" s="27" t="s">
        <v>572</v>
      </c>
      <c r="C120" s="28">
        <v>4029.99</v>
      </c>
      <c r="D120" s="28">
        <f t="shared" si="29"/>
        <v>2014.9949999999999</v>
      </c>
      <c r="E120" s="22" t="s">
        <v>508</v>
      </c>
      <c r="F120" s="22" t="s">
        <v>579</v>
      </c>
      <c r="G120" s="22" t="s">
        <v>574</v>
      </c>
      <c r="H120" s="22" t="s">
        <v>575</v>
      </c>
      <c r="I120" s="23" t="s">
        <v>58</v>
      </c>
      <c r="J120" s="22" t="s">
        <v>50</v>
      </c>
      <c r="K120" s="23">
        <v>300</v>
      </c>
      <c r="L120" s="23">
        <v>85</v>
      </c>
      <c r="M120" s="23">
        <v>110</v>
      </c>
      <c r="N120" s="3">
        <f t="shared" si="30"/>
        <v>2.8050000000000002</v>
      </c>
      <c r="O120" s="4" t="e">
        <f>(C120-(C120*#REF!))-((C120-(C120*#REF!))*#REF!)</f>
        <v>#REF!</v>
      </c>
      <c r="P120" s="7"/>
      <c r="Q120" s="7"/>
      <c r="R120" s="5">
        <f t="shared" si="51"/>
        <v>0</v>
      </c>
      <c r="S120" s="4">
        <f t="shared" si="52"/>
        <v>0</v>
      </c>
      <c r="T120" s="13">
        <f t="shared" si="33"/>
        <v>2820.9929999999999</v>
      </c>
      <c r="U120" s="13">
        <f t="shared" si="42"/>
        <v>1410.4965</v>
      </c>
      <c r="V120" s="14">
        <f>U120/C120</f>
        <v>0.35000000000000003</v>
      </c>
      <c r="W120" s="14"/>
      <c r="X120" s="19">
        <f t="shared" si="49"/>
        <v>1410.4965</v>
      </c>
      <c r="Y120" s="19">
        <f t="shared" si="50"/>
        <v>2820.9929999999999</v>
      </c>
      <c r="Z120" s="15" t="e">
        <f t="shared" si="46"/>
        <v>#DIV/0!</v>
      </c>
      <c r="AA120" s="22" t="s">
        <v>580</v>
      </c>
      <c r="AG120" s="94" t="s">
        <v>52</v>
      </c>
      <c r="AH120" s="89" t="str">
        <f>VLOOKUP(AG120,Sheet1!$B$3:$D$36,2,FALSE)</f>
        <v>Furniture</v>
      </c>
      <c r="AI120" s="89" t="s">
        <v>515</v>
      </c>
      <c r="AJ120" s="1" t="str">
        <f t="shared" si="34"/>
        <v xml:space="preserve"> Collioure rectangular bar</v>
      </c>
      <c r="AK120" s="1" t="str">
        <f t="shared" si="35"/>
        <v>w300 x d85 x h110 x bh105</v>
      </c>
      <c r="AL120" s="1" t="str">
        <f t="shared" si="36"/>
        <v>Natural teak outdoor</v>
      </c>
      <c r="AM120" s="1" t="str">
        <f t="shared" si="37"/>
        <v>Natural teak outdoor</v>
      </c>
      <c r="AN120" s="1" t="str">
        <f>SUBSTITUTE(AL120,"outdoor","")</f>
        <v xml:space="preserve">Natural teak </v>
      </c>
      <c r="AO120" s="1" t="s">
        <v>59</v>
      </c>
      <c r="AQ120" s="1" t="str">
        <f t="shared" si="38"/>
        <v>A</v>
      </c>
      <c r="AR120" s="1" t="str">
        <f>VLOOKUP(TRIM(AI120),Sheet1!$D$3:$E$36,2,FALSE)</f>
        <v>02</v>
      </c>
      <c r="AS120" s="90" t="str">
        <f t="shared" si="39"/>
        <v>02</v>
      </c>
      <c r="AT120" s="1" t="str">
        <f t="shared" si="40"/>
        <v>02</v>
      </c>
      <c r="AU120" s="90" t="s">
        <v>55</v>
      </c>
      <c r="AV120" s="90"/>
      <c r="AW120" s="90"/>
      <c r="AX120" s="95" t="str">
        <f>AQ120&amp;AR120&amp;AS120&amp;"-"&amp;AT120&amp;AU120&amp;BA120</f>
        <v>A0202-0210OUT</v>
      </c>
      <c r="AY120" s="99" t="str">
        <f>AQ120&amp;AR120&amp;AS120&amp;"-"&amp;AT120&amp;BA120</f>
        <v>A0202-02OUT</v>
      </c>
      <c r="AZ120" s="90"/>
      <c r="BA120" s="1" t="str">
        <f t="shared" si="41"/>
        <v>OUT</v>
      </c>
      <c r="BC120" s="1" t="str">
        <f t="shared" si="47"/>
        <v/>
      </c>
      <c r="BD120" s="90">
        <f t="shared" si="48"/>
        <v>2</v>
      </c>
      <c r="BE120" s="1" t="str">
        <f t="shared" si="44"/>
        <v/>
      </c>
      <c r="BF120" s="1">
        <f t="shared" si="45"/>
        <v>2</v>
      </c>
      <c r="BJ120" t="s">
        <v>581</v>
      </c>
      <c r="BK120" s="1">
        <v>2</v>
      </c>
      <c r="BL120"/>
      <c r="BM120" t="str">
        <f t="shared" si="43"/>
        <v>nomi sake server-nomi sake server-</v>
      </c>
    </row>
    <row r="121" spans="1:65" ht="11.25" customHeight="1">
      <c r="A121" s="26" t="s">
        <v>582</v>
      </c>
      <c r="B121" s="27" t="s">
        <v>583</v>
      </c>
      <c r="C121" s="28">
        <v>3489.99</v>
      </c>
      <c r="D121" s="28">
        <f t="shared" si="29"/>
        <v>1744.9949999999999</v>
      </c>
      <c r="E121" s="22" t="s">
        <v>508</v>
      </c>
      <c r="F121" s="22" t="s">
        <v>584</v>
      </c>
      <c r="G121" s="22" t="s">
        <v>585</v>
      </c>
      <c r="H121" s="22" t="s">
        <v>586</v>
      </c>
      <c r="I121" s="23" t="s">
        <v>49</v>
      </c>
      <c r="J121" s="22" t="s">
        <v>50</v>
      </c>
      <c r="K121" s="23">
        <v>240</v>
      </c>
      <c r="L121" s="23">
        <v>80</v>
      </c>
      <c r="M121" s="23">
        <v>110</v>
      </c>
      <c r="N121" s="3">
        <f t="shared" si="30"/>
        <v>2.1120000000000001</v>
      </c>
      <c r="O121" s="4" t="e">
        <f>(C121-(C121*#REF!))-((C121-(C121*#REF!))*#REF!)</f>
        <v>#REF!</v>
      </c>
      <c r="P121" s="7"/>
      <c r="Q121" s="7"/>
      <c r="R121" s="5">
        <f t="shared" si="51"/>
        <v>0</v>
      </c>
      <c r="S121" s="4">
        <f t="shared" si="52"/>
        <v>0</v>
      </c>
      <c r="T121" s="13">
        <f t="shared" si="33"/>
        <v>2442.9929999999999</v>
      </c>
      <c r="U121" s="13">
        <f t="shared" si="42"/>
        <v>1221.4965</v>
      </c>
      <c r="V121" s="14">
        <f>U121/C121</f>
        <v>0.35000000000000003</v>
      </c>
      <c r="W121" s="14"/>
      <c r="X121" s="19">
        <f t="shared" si="49"/>
        <v>1221.4965</v>
      </c>
      <c r="Y121" s="19">
        <f t="shared" si="50"/>
        <v>2442.9929999999999</v>
      </c>
      <c r="Z121" s="15" t="e">
        <f t="shared" si="46"/>
        <v>#DIV/0!</v>
      </c>
      <c r="AA121" s="22" t="s">
        <v>587</v>
      </c>
      <c r="AG121" s="94" t="s">
        <v>52</v>
      </c>
      <c r="AH121" s="89" t="str">
        <f>VLOOKUP(AG121,Sheet1!$B$3:$D$36,2,FALSE)</f>
        <v>Furniture</v>
      </c>
      <c r="AI121" s="89" t="s">
        <v>515</v>
      </c>
      <c r="AJ121" s="1" t="str">
        <f t="shared" si="34"/>
        <v xml:space="preserve"> Ravello rectangular bar</v>
      </c>
      <c r="AK121" s="1" t="str">
        <f t="shared" si="35"/>
        <v>w240 x d80 x h110 x bh103</v>
      </c>
      <c r="AL121" s="1" t="str">
        <f t="shared" si="36"/>
        <v>Natural teak indoor</v>
      </c>
      <c r="AM121" s="1" t="str">
        <f t="shared" si="37"/>
        <v>Natural teak indoor</v>
      </c>
      <c r="AN121" s="1" t="str">
        <f>SUBSTITUTE(AL121,"indoor","")</f>
        <v xml:space="preserve">Natural teak </v>
      </c>
      <c r="AO121" s="1" t="s">
        <v>54</v>
      </c>
      <c r="AQ121" s="1" t="str">
        <f t="shared" si="38"/>
        <v>A</v>
      </c>
      <c r="AR121" s="1" t="str">
        <f>VLOOKUP(TRIM(AI121),Sheet1!$D$3:$E$36,2,FALSE)</f>
        <v>02</v>
      </c>
      <c r="AS121" s="90" t="str">
        <f t="shared" si="39"/>
        <v>01</v>
      </c>
      <c r="AT121" s="1" t="str">
        <f t="shared" si="40"/>
        <v>01</v>
      </c>
      <c r="AU121" s="90" t="s">
        <v>55</v>
      </c>
      <c r="AV121" s="90"/>
      <c r="AW121" s="90"/>
      <c r="AX121" s="95" t="str">
        <f>AQ121&amp;AR121&amp;AS121&amp;"-"&amp;AT121&amp;AU121&amp;BA121</f>
        <v>A0201-0110IND</v>
      </c>
      <c r="AY121" s="99" t="str">
        <f>AQ121&amp;AR121&amp;AS121&amp;"-"&amp;AT121&amp;BA121</f>
        <v>A0201-01IND</v>
      </c>
      <c r="AZ121" s="90"/>
      <c r="BA121" s="1" t="str">
        <f t="shared" si="41"/>
        <v>IND</v>
      </c>
      <c r="BC121" s="1">
        <f t="shared" si="47"/>
        <v>1</v>
      </c>
      <c r="BD121" s="90">
        <f t="shared" si="48"/>
        <v>1</v>
      </c>
      <c r="BE121" s="1">
        <f t="shared" si="44"/>
        <v>1</v>
      </c>
      <c r="BF121" s="1">
        <f t="shared" si="45"/>
        <v>1</v>
      </c>
      <c r="BJ121" t="s">
        <v>588</v>
      </c>
      <c r="BK121" s="1">
        <v>2</v>
      </c>
      <c r="BL121"/>
      <c r="BM121" t="str">
        <f t="shared" si="43"/>
        <v>Onana hanging trog planter-Onana hanging trog planter-</v>
      </c>
    </row>
    <row r="122" spans="1:65" ht="11.25" customHeight="1">
      <c r="A122" s="26" t="s">
        <v>589</v>
      </c>
      <c r="B122" s="27" t="s">
        <v>583</v>
      </c>
      <c r="C122" s="28">
        <v>3699.99</v>
      </c>
      <c r="D122" s="28">
        <f t="shared" si="29"/>
        <v>1849.9949999999999</v>
      </c>
      <c r="E122" s="22" t="s">
        <v>508</v>
      </c>
      <c r="F122" s="22" t="s">
        <v>590</v>
      </c>
      <c r="G122" s="22" t="s">
        <v>585</v>
      </c>
      <c r="H122" s="22" t="s">
        <v>586</v>
      </c>
      <c r="I122" s="23" t="s">
        <v>58</v>
      </c>
      <c r="J122" s="22" t="s">
        <v>50</v>
      </c>
      <c r="K122" s="23">
        <v>240</v>
      </c>
      <c r="L122" s="23">
        <v>80</v>
      </c>
      <c r="M122" s="23">
        <v>110</v>
      </c>
      <c r="N122" s="3">
        <f t="shared" si="30"/>
        <v>2.1120000000000001</v>
      </c>
      <c r="O122" s="4" t="e">
        <f>(C122-(C122*#REF!))-((C122-(C122*#REF!))*#REF!)</f>
        <v>#REF!</v>
      </c>
      <c r="P122" s="7"/>
      <c r="Q122" s="7"/>
      <c r="R122" s="5">
        <f t="shared" si="51"/>
        <v>0</v>
      </c>
      <c r="S122" s="4">
        <f t="shared" si="52"/>
        <v>0</v>
      </c>
      <c r="T122" s="13">
        <f t="shared" si="33"/>
        <v>2589.9929999999999</v>
      </c>
      <c r="U122" s="13">
        <f t="shared" si="42"/>
        <v>1294.9965</v>
      </c>
      <c r="V122" s="14">
        <f>U122/C122</f>
        <v>0.35000000000000003</v>
      </c>
      <c r="W122" s="14"/>
      <c r="X122" s="19">
        <f t="shared" si="49"/>
        <v>1294.9965</v>
      </c>
      <c r="Y122" s="19">
        <f t="shared" si="50"/>
        <v>2589.9929999999999</v>
      </c>
      <c r="Z122" s="15" t="e">
        <f t="shared" si="46"/>
        <v>#DIV/0!</v>
      </c>
      <c r="AA122" s="22" t="s">
        <v>591</v>
      </c>
      <c r="AG122" s="94" t="s">
        <v>52</v>
      </c>
      <c r="AH122" s="89" t="str">
        <f>VLOOKUP(AG122,Sheet1!$B$3:$D$36,2,FALSE)</f>
        <v>Furniture</v>
      </c>
      <c r="AI122" s="89" t="s">
        <v>515</v>
      </c>
      <c r="AJ122" s="1" t="str">
        <f t="shared" si="34"/>
        <v xml:space="preserve"> Ravello rectangular bar</v>
      </c>
      <c r="AK122" s="1" t="str">
        <f t="shared" si="35"/>
        <v>w240 x d80 x h110 x bh103</v>
      </c>
      <c r="AL122" s="1" t="str">
        <f t="shared" si="36"/>
        <v>Natural teak outdoor</v>
      </c>
      <c r="AM122" s="1" t="str">
        <f t="shared" si="37"/>
        <v>Natural teak outdoor</v>
      </c>
      <c r="AN122" s="1" t="str">
        <f>SUBSTITUTE(AL122,"outdoor","")</f>
        <v xml:space="preserve">Natural teak </v>
      </c>
      <c r="AO122" s="1" t="s">
        <v>59</v>
      </c>
      <c r="AQ122" s="1" t="str">
        <f t="shared" si="38"/>
        <v>A</v>
      </c>
      <c r="AR122" s="1" t="str">
        <f>VLOOKUP(TRIM(AI122),Sheet1!$D$3:$E$36,2,FALSE)</f>
        <v>02</v>
      </c>
      <c r="AS122" s="90" t="str">
        <f t="shared" si="39"/>
        <v>02</v>
      </c>
      <c r="AT122" s="1" t="str">
        <f t="shared" si="40"/>
        <v>02</v>
      </c>
      <c r="AU122" s="90" t="s">
        <v>55</v>
      </c>
      <c r="AV122" s="90"/>
      <c r="AW122" s="90"/>
      <c r="AX122" s="95" t="str">
        <f>AQ122&amp;AR122&amp;AS122&amp;"-"&amp;AT122&amp;AU122&amp;BA122</f>
        <v>A0202-0210OUT</v>
      </c>
      <c r="AY122" s="99" t="str">
        <f>AQ122&amp;AR122&amp;AS122&amp;"-"&amp;AT122&amp;BA122</f>
        <v>A0202-02OUT</v>
      </c>
      <c r="AZ122" s="90"/>
      <c r="BA122" s="1" t="str">
        <f t="shared" si="41"/>
        <v>OUT</v>
      </c>
      <c r="BC122" s="1" t="str">
        <f t="shared" si="47"/>
        <v/>
      </c>
      <c r="BD122" s="90">
        <f t="shared" si="48"/>
        <v>2</v>
      </c>
      <c r="BE122" s="1" t="str">
        <f t="shared" si="44"/>
        <v/>
      </c>
      <c r="BF122" s="1">
        <f t="shared" si="45"/>
        <v>2</v>
      </c>
      <c r="BJ122" t="s">
        <v>592</v>
      </c>
      <c r="BK122" s="1">
        <v>4</v>
      </c>
      <c r="BL122"/>
      <c r="BM122" t="str">
        <f t="shared" si="43"/>
        <v>Orion bench-Orion bench-Orion bench-Orion bench-</v>
      </c>
    </row>
    <row r="123" spans="1:65" ht="11.25" customHeight="1">
      <c r="A123" s="26" t="s">
        <v>593</v>
      </c>
      <c r="B123" s="27" t="s">
        <v>594</v>
      </c>
      <c r="C123" s="28">
        <v>2099.9899999999998</v>
      </c>
      <c r="D123" s="28">
        <f t="shared" si="29"/>
        <v>1049.9949999999999</v>
      </c>
      <c r="E123" s="22" t="s">
        <v>508</v>
      </c>
      <c r="F123" s="22" t="s">
        <v>595</v>
      </c>
      <c r="G123" s="22" t="s">
        <v>596</v>
      </c>
      <c r="H123" s="22" t="s">
        <v>534</v>
      </c>
      <c r="I123" s="23" t="s">
        <v>49</v>
      </c>
      <c r="J123" s="22" t="s">
        <v>50</v>
      </c>
      <c r="L123" s="23">
        <v>120</v>
      </c>
      <c r="M123" s="23">
        <v>110</v>
      </c>
      <c r="N123" s="3">
        <f t="shared" si="30"/>
        <v>1.5840000000000001</v>
      </c>
      <c r="O123" s="4" t="e">
        <f>(C123-(C123*#REF!))-((C123-(C123*#REF!))*#REF!)</f>
        <v>#REF!</v>
      </c>
      <c r="P123" s="7"/>
      <c r="Q123" s="7"/>
      <c r="R123" s="5">
        <f t="shared" si="51"/>
        <v>0</v>
      </c>
      <c r="S123" s="4">
        <f t="shared" si="52"/>
        <v>0</v>
      </c>
      <c r="T123" s="13">
        <f t="shared" si="33"/>
        <v>1469.9929999999999</v>
      </c>
      <c r="U123" s="13">
        <f t="shared" si="42"/>
        <v>734.99649999999997</v>
      </c>
      <c r="V123" s="14">
        <f>U123/C123</f>
        <v>0.35000000000000003</v>
      </c>
      <c r="W123" s="14"/>
      <c r="X123" s="19">
        <f t="shared" si="49"/>
        <v>734.99649999999997</v>
      </c>
      <c r="Y123" s="19">
        <f t="shared" si="50"/>
        <v>1469.9929999999999</v>
      </c>
      <c r="Z123" s="15" t="e">
        <f t="shared" si="46"/>
        <v>#DIV/0!</v>
      </c>
      <c r="AA123" s="22" t="s">
        <v>597</v>
      </c>
      <c r="AG123" s="94" t="s">
        <v>52</v>
      </c>
      <c r="AH123" s="89" t="str">
        <f>VLOOKUP(AG123,Sheet1!$B$3:$D$36,2,FALSE)</f>
        <v>Furniture</v>
      </c>
      <c r="AI123" s="89" t="s">
        <v>515</v>
      </c>
      <c r="AJ123" s="1" t="str">
        <f t="shared" si="34"/>
        <v xml:space="preserve"> Zermatt round bar 3L</v>
      </c>
      <c r="AK123" s="1" t="str">
        <f t="shared" si="35"/>
        <v>ø120 x h110 x bh105</v>
      </c>
      <c r="AL123" s="1" t="str">
        <f t="shared" si="36"/>
        <v>Natural teak indoor</v>
      </c>
      <c r="AM123" s="1" t="str">
        <f t="shared" si="37"/>
        <v>Natural teak indoor</v>
      </c>
      <c r="AN123" s="1" t="str">
        <f>SUBSTITUTE(AL123,"indoor","")</f>
        <v xml:space="preserve">Natural teak </v>
      </c>
      <c r="AO123" s="1" t="s">
        <v>54</v>
      </c>
      <c r="AQ123" s="1" t="str">
        <f t="shared" si="38"/>
        <v>A</v>
      </c>
      <c r="AR123" s="1" t="str">
        <f>VLOOKUP(TRIM(AI123),Sheet1!$D$3:$E$36,2,FALSE)</f>
        <v>02</v>
      </c>
      <c r="AS123" s="90" t="str">
        <f t="shared" si="39"/>
        <v>01</v>
      </c>
      <c r="AT123" s="1" t="str">
        <f t="shared" si="40"/>
        <v>01</v>
      </c>
      <c r="AU123" s="90" t="s">
        <v>55</v>
      </c>
      <c r="AV123" s="90"/>
      <c r="AW123" s="90"/>
      <c r="AX123" s="95" t="str">
        <f>AQ123&amp;AR123&amp;AS123&amp;"-"&amp;AT123&amp;AU123&amp;BA123</f>
        <v>A0201-0110IND</v>
      </c>
      <c r="AY123" s="99" t="str">
        <f>AQ123&amp;AR123&amp;AS123&amp;"-"&amp;AT123&amp;BA123</f>
        <v>A0201-01IND</v>
      </c>
      <c r="AZ123" s="90"/>
      <c r="BA123" s="1" t="str">
        <f t="shared" si="41"/>
        <v>IND</v>
      </c>
      <c r="BC123" s="1">
        <f t="shared" si="47"/>
        <v>1</v>
      </c>
      <c r="BD123" s="90">
        <f t="shared" si="48"/>
        <v>1</v>
      </c>
      <c r="BE123" s="1">
        <f t="shared" si="44"/>
        <v>1</v>
      </c>
      <c r="BF123" s="1">
        <f t="shared" si="45"/>
        <v>1</v>
      </c>
      <c r="BJ123" t="s">
        <v>598</v>
      </c>
      <c r="BK123" s="1">
        <v>2</v>
      </c>
      <c r="BL123"/>
      <c r="BM123" t="str">
        <f t="shared" si="43"/>
        <v>Ornate Accent Stand-Ornate Accent Stand-</v>
      </c>
    </row>
    <row r="124" spans="1:65" ht="11.25" customHeight="1">
      <c r="A124" s="26" t="s">
        <v>599</v>
      </c>
      <c r="B124" s="27" t="s">
        <v>594</v>
      </c>
      <c r="C124" s="28">
        <v>2219.9899999999998</v>
      </c>
      <c r="D124" s="28">
        <f t="shared" si="29"/>
        <v>1109.9949999999999</v>
      </c>
      <c r="E124" s="22" t="s">
        <v>508</v>
      </c>
      <c r="F124" s="22" t="s">
        <v>600</v>
      </c>
      <c r="G124" s="22" t="s">
        <v>596</v>
      </c>
      <c r="H124" s="22" t="s">
        <v>534</v>
      </c>
      <c r="I124" s="23" t="s">
        <v>58</v>
      </c>
      <c r="J124" s="22" t="s">
        <v>50</v>
      </c>
      <c r="L124" s="23">
        <v>120</v>
      </c>
      <c r="M124" s="23">
        <v>110</v>
      </c>
      <c r="N124" s="3">
        <f t="shared" si="30"/>
        <v>1.5840000000000001</v>
      </c>
      <c r="O124" s="4" t="e">
        <f>(C124-(C124*#REF!))-((C124-(C124*#REF!))*#REF!)</f>
        <v>#REF!</v>
      </c>
      <c r="P124" s="7"/>
      <c r="Q124" s="7"/>
      <c r="R124" s="5">
        <f t="shared" si="51"/>
        <v>0</v>
      </c>
      <c r="S124" s="4">
        <f t="shared" si="52"/>
        <v>0</v>
      </c>
      <c r="T124" s="13">
        <f t="shared" si="33"/>
        <v>1553.9929999999999</v>
      </c>
      <c r="U124" s="13">
        <f t="shared" si="42"/>
        <v>776.99649999999997</v>
      </c>
      <c r="V124" s="14">
        <f>U124/C124</f>
        <v>0.35000000000000003</v>
      </c>
      <c r="W124" s="14"/>
      <c r="X124" s="19">
        <f t="shared" si="49"/>
        <v>776.99649999999997</v>
      </c>
      <c r="Y124" s="19">
        <f t="shared" si="50"/>
        <v>1553.9929999999999</v>
      </c>
      <c r="Z124" s="15" t="e">
        <f t="shared" si="46"/>
        <v>#DIV/0!</v>
      </c>
      <c r="AA124" s="22" t="s">
        <v>601</v>
      </c>
      <c r="AG124" s="94" t="s">
        <v>52</v>
      </c>
      <c r="AH124" s="89" t="str">
        <f>VLOOKUP(AG124,Sheet1!$B$3:$D$36,2,FALSE)</f>
        <v>Furniture</v>
      </c>
      <c r="AI124" s="89" t="s">
        <v>515</v>
      </c>
      <c r="AJ124" s="1" t="str">
        <f t="shared" si="34"/>
        <v xml:space="preserve"> Zermatt round bar 3L</v>
      </c>
      <c r="AK124" s="1" t="str">
        <f t="shared" si="35"/>
        <v>ø120 x h110 x bh105</v>
      </c>
      <c r="AL124" s="1" t="str">
        <f t="shared" si="36"/>
        <v>Natural teak outdoor</v>
      </c>
      <c r="AM124" s="1" t="str">
        <f t="shared" si="37"/>
        <v>Natural teak outdoor</v>
      </c>
      <c r="AN124" s="1" t="str">
        <f>SUBSTITUTE(AL124,"outdoor","")</f>
        <v xml:space="preserve">Natural teak </v>
      </c>
      <c r="AO124" s="1" t="s">
        <v>59</v>
      </c>
      <c r="AQ124" s="1" t="str">
        <f t="shared" si="38"/>
        <v>A</v>
      </c>
      <c r="AR124" s="1" t="str">
        <f>VLOOKUP(TRIM(AI124),Sheet1!$D$3:$E$36,2,FALSE)</f>
        <v>02</v>
      </c>
      <c r="AS124" s="90" t="str">
        <f t="shared" si="39"/>
        <v>02</v>
      </c>
      <c r="AT124" s="1" t="str">
        <f t="shared" si="40"/>
        <v>02</v>
      </c>
      <c r="AU124" s="90" t="s">
        <v>55</v>
      </c>
      <c r="AV124" s="90"/>
      <c r="AW124" s="90"/>
      <c r="AX124" s="95" t="str">
        <f>AQ124&amp;AR124&amp;AS124&amp;"-"&amp;AT124&amp;AU124&amp;BA124</f>
        <v>A0202-0210OUT</v>
      </c>
      <c r="AY124" s="99" t="str">
        <f>AQ124&amp;AR124&amp;AS124&amp;"-"&amp;AT124&amp;BA124</f>
        <v>A0202-02OUT</v>
      </c>
      <c r="AZ124" s="90"/>
      <c r="BA124" s="1" t="str">
        <f t="shared" si="41"/>
        <v>OUT</v>
      </c>
      <c r="BC124" s="1" t="str">
        <f t="shared" si="47"/>
        <v/>
      </c>
      <c r="BD124" s="90">
        <f t="shared" si="48"/>
        <v>2</v>
      </c>
      <c r="BE124" s="1" t="str">
        <f t="shared" si="44"/>
        <v/>
      </c>
      <c r="BF124" s="1">
        <f t="shared" si="45"/>
        <v>2</v>
      </c>
      <c r="BJ124" t="s">
        <v>602</v>
      </c>
      <c r="BK124" s="1">
        <v>2</v>
      </c>
      <c r="BL124"/>
      <c r="BM124" t="str">
        <f t="shared" si="43"/>
        <v>Peni-Peni-</v>
      </c>
    </row>
    <row r="125" spans="1:65" ht="11.25" customHeight="1">
      <c r="A125" s="26" t="s">
        <v>603</v>
      </c>
      <c r="B125" s="27" t="s">
        <v>604</v>
      </c>
      <c r="C125" s="28">
        <v>2269.9899999999998</v>
      </c>
      <c r="D125" s="28">
        <f t="shared" si="29"/>
        <v>1134.9949999999999</v>
      </c>
      <c r="E125" s="22" t="s">
        <v>508</v>
      </c>
      <c r="F125" s="22" t="s">
        <v>605</v>
      </c>
      <c r="G125" s="22" t="s">
        <v>606</v>
      </c>
      <c r="H125" s="22" t="s">
        <v>534</v>
      </c>
      <c r="I125" s="23" t="s">
        <v>49</v>
      </c>
      <c r="J125" s="22" t="s">
        <v>50</v>
      </c>
      <c r="L125" s="23">
        <v>120</v>
      </c>
      <c r="M125" s="23">
        <v>110</v>
      </c>
      <c r="N125" s="3">
        <f t="shared" si="30"/>
        <v>1.5840000000000001</v>
      </c>
      <c r="O125" s="4" t="e">
        <f>(C125-(C125*#REF!))-((C125-(C125*#REF!))*#REF!)</f>
        <v>#REF!</v>
      </c>
      <c r="P125" s="7"/>
      <c r="Q125" s="7"/>
      <c r="R125" s="5">
        <f t="shared" si="51"/>
        <v>0</v>
      </c>
      <c r="S125" s="4">
        <f t="shared" si="52"/>
        <v>0</v>
      </c>
      <c r="T125" s="13">
        <f t="shared" si="33"/>
        <v>1588.9929999999999</v>
      </c>
      <c r="U125" s="13">
        <f t="shared" si="42"/>
        <v>794.49649999999997</v>
      </c>
      <c r="V125" s="14">
        <f>U125/C125</f>
        <v>0.35000000000000003</v>
      </c>
      <c r="W125" s="14"/>
      <c r="X125" s="19">
        <f t="shared" si="49"/>
        <v>794.49649999999997</v>
      </c>
      <c r="Y125" s="19">
        <f t="shared" si="50"/>
        <v>1588.9929999999999</v>
      </c>
      <c r="Z125" s="15" t="e">
        <f t="shared" si="46"/>
        <v>#DIV/0!</v>
      </c>
      <c r="AA125" s="22" t="s">
        <v>607</v>
      </c>
      <c r="AG125" s="94" t="s">
        <v>52</v>
      </c>
      <c r="AH125" s="89" t="str">
        <f>VLOOKUP(AG125,Sheet1!$B$3:$D$36,2,FALSE)</f>
        <v>Furniture</v>
      </c>
      <c r="AI125" s="89" t="s">
        <v>515</v>
      </c>
      <c r="AJ125" s="1" t="str">
        <f t="shared" si="34"/>
        <v xml:space="preserve"> Gimmelwald round bar 4L</v>
      </c>
      <c r="AK125" s="1" t="str">
        <f t="shared" si="35"/>
        <v>ø120 x h110 x bh105</v>
      </c>
      <c r="AL125" s="1" t="str">
        <f t="shared" si="36"/>
        <v>Natural teak indoor</v>
      </c>
      <c r="AM125" s="1" t="str">
        <f t="shared" si="37"/>
        <v>Natural teak indoor</v>
      </c>
      <c r="AN125" s="1" t="str">
        <f>SUBSTITUTE(AL125,"indoor","")</f>
        <v xml:space="preserve">Natural teak </v>
      </c>
      <c r="AO125" s="1" t="s">
        <v>54</v>
      </c>
      <c r="AQ125" s="1" t="str">
        <f t="shared" si="38"/>
        <v>A</v>
      </c>
      <c r="AR125" s="1" t="str">
        <f>VLOOKUP(TRIM(AI125),Sheet1!$D$3:$E$36,2,FALSE)</f>
        <v>02</v>
      </c>
      <c r="AS125" s="90" t="str">
        <f t="shared" si="39"/>
        <v>01</v>
      </c>
      <c r="AT125" s="1" t="str">
        <f t="shared" si="40"/>
        <v>03</v>
      </c>
      <c r="AU125" s="90" t="s">
        <v>55</v>
      </c>
      <c r="AV125" s="90"/>
      <c r="AW125" s="90"/>
      <c r="AX125" s="95" t="str">
        <f>AQ125&amp;AR125&amp;AS125&amp;"-"&amp;AT125&amp;AU125&amp;BA125</f>
        <v>A0201-0310IND</v>
      </c>
      <c r="AY125" s="99" t="str">
        <f>AQ125&amp;AR125&amp;AS125&amp;"-"&amp;AT125&amp;BA125</f>
        <v>A0201-03IND</v>
      </c>
      <c r="AZ125" s="90"/>
      <c r="BA125" s="1" t="str">
        <f t="shared" si="41"/>
        <v>IND</v>
      </c>
      <c r="BC125" s="1">
        <f t="shared" si="47"/>
        <v>1</v>
      </c>
      <c r="BD125" s="90">
        <f t="shared" si="48"/>
        <v>1</v>
      </c>
      <c r="BE125" s="1" t="str">
        <f t="shared" si="44"/>
        <v/>
      </c>
      <c r="BF125" s="1">
        <f t="shared" si="45"/>
        <v>3</v>
      </c>
      <c r="BJ125" t="s">
        <v>608</v>
      </c>
      <c r="BK125" s="1">
        <v>2</v>
      </c>
      <c r="BL125"/>
      <c r="BM125" t="str">
        <f t="shared" si="43"/>
        <v>Pierre rectangular console-Pierre rectangular console-</v>
      </c>
    </row>
    <row r="126" spans="1:65" ht="11.25" customHeight="1">
      <c r="A126" s="26" t="s">
        <v>609</v>
      </c>
      <c r="B126" s="27" t="s">
        <v>604</v>
      </c>
      <c r="C126" s="28">
        <v>2409.9899999999998</v>
      </c>
      <c r="D126" s="28">
        <f t="shared" si="29"/>
        <v>1204.9949999999999</v>
      </c>
      <c r="E126" s="22" t="s">
        <v>508</v>
      </c>
      <c r="F126" s="22" t="s">
        <v>610</v>
      </c>
      <c r="G126" s="22" t="s">
        <v>606</v>
      </c>
      <c r="H126" s="22" t="s">
        <v>534</v>
      </c>
      <c r="I126" s="23" t="s">
        <v>58</v>
      </c>
      <c r="J126" s="22" t="s">
        <v>50</v>
      </c>
      <c r="L126" s="23">
        <v>120</v>
      </c>
      <c r="M126" s="23">
        <v>110</v>
      </c>
      <c r="N126" s="3">
        <f t="shared" si="30"/>
        <v>1.5840000000000001</v>
      </c>
      <c r="O126" s="4" t="e">
        <f>(C126-(C126*#REF!))-((C126-(C126*#REF!))*#REF!)</f>
        <v>#REF!</v>
      </c>
      <c r="P126" s="7"/>
      <c r="Q126" s="7"/>
      <c r="R126" s="5">
        <f t="shared" si="51"/>
        <v>0</v>
      </c>
      <c r="S126" s="4">
        <f t="shared" si="52"/>
        <v>0</v>
      </c>
      <c r="T126" s="13">
        <f t="shared" si="33"/>
        <v>1686.9929999999999</v>
      </c>
      <c r="U126" s="13">
        <f t="shared" si="42"/>
        <v>843.49649999999997</v>
      </c>
      <c r="V126" s="14">
        <f>U126/C126</f>
        <v>0.35000000000000003</v>
      </c>
      <c r="W126" s="14"/>
      <c r="X126" s="19">
        <f t="shared" si="49"/>
        <v>843.49649999999997</v>
      </c>
      <c r="Y126" s="19">
        <f t="shared" si="50"/>
        <v>1686.9929999999999</v>
      </c>
      <c r="Z126" s="15" t="e">
        <f t="shared" si="46"/>
        <v>#DIV/0!</v>
      </c>
      <c r="AA126" s="22" t="s">
        <v>607</v>
      </c>
      <c r="AG126" s="94" t="s">
        <v>52</v>
      </c>
      <c r="AH126" s="89" t="str">
        <f>VLOOKUP(AG126,Sheet1!$B$3:$D$36,2,FALSE)</f>
        <v>Furniture</v>
      </c>
      <c r="AI126" s="89" t="s">
        <v>515</v>
      </c>
      <c r="AJ126" s="1" t="str">
        <f t="shared" si="34"/>
        <v xml:space="preserve"> Gimmelwald round bar 4L</v>
      </c>
      <c r="AK126" s="1" t="str">
        <f t="shared" si="35"/>
        <v>ø120 x h110 x bh105</v>
      </c>
      <c r="AL126" s="1" t="str">
        <f t="shared" si="36"/>
        <v>Natural teak outdoor</v>
      </c>
      <c r="AM126" s="1" t="str">
        <f t="shared" si="37"/>
        <v>Natural teak outdoor</v>
      </c>
      <c r="AN126" s="1" t="str">
        <f>SUBSTITUTE(AL126,"outdoor","")</f>
        <v xml:space="preserve">Natural teak </v>
      </c>
      <c r="AO126" s="1" t="s">
        <v>59</v>
      </c>
      <c r="AQ126" s="1" t="str">
        <f t="shared" si="38"/>
        <v>A</v>
      </c>
      <c r="AR126" s="1" t="str">
        <f>VLOOKUP(TRIM(AI126),Sheet1!$D$3:$E$36,2,FALSE)</f>
        <v>02</v>
      </c>
      <c r="AS126" s="90" t="str">
        <f t="shared" si="39"/>
        <v>02</v>
      </c>
      <c r="AT126" s="1" t="str">
        <f t="shared" si="40"/>
        <v>04</v>
      </c>
      <c r="AU126" s="90" t="s">
        <v>55</v>
      </c>
      <c r="AV126" s="90"/>
      <c r="AW126" s="90"/>
      <c r="AX126" s="95" t="str">
        <f>AQ126&amp;AR126&amp;AS126&amp;"-"&amp;AT126&amp;AU126&amp;BA126</f>
        <v>A0202-0410OUT</v>
      </c>
      <c r="AY126" s="99" t="str">
        <f>AQ126&amp;AR126&amp;AS126&amp;"-"&amp;AT126&amp;BA126</f>
        <v>A0202-04OUT</v>
      </c>
      <c r="AZ126" s="90"/>
      <c r="BA126" s="1" t="str">
        <f t="shared" si="41"/>
        <v>OUT</v>
      </c>
      <c r="BC126" s="1" t="str">
        <f t="shared" si="47"/>
        <v/>
      </c>
      <c r="BD126" s="90">
        <f t="shared" si="48"/>
        <v>2</v>
      </c>
      <c r="BE126" s="1" t="str">
        <f t="shared" si="44"/>
        <v/>
      </c>
      <c r="BF126" s="1">
        <f t="shared" si="45"/>
        <v>4</v>
      </c>
      <c r="BJ126" t="s">
        <v>611</v>
      </c>
      <c r="BK126" s="1">
        <v>3</v>
      </c>
      <c r="BL126"/>
      <c r="BM126" t="str">
        <f t="shared" si="43"/>
        <v>Pinot glass high-Pinot glass high-Pinot glass high-</v>
      </c>
    </row>
    <row r="127" spans="1:65" ht="11.25" customHeight="1">
      <c r="A127" s="26" t="s">
        <v>612</v>
      </c>
      <c r="B127" s="27" t="s">
        <v>613</v>
      </c>
      <c r="C127" s="28">
        <v>4419.99</v>
      </c>
      <c r="D127" s="28">
        <f t="shared" si="29"/>
        <v>2209.9949999999999</v>
      </c>
      <c r="E127" s="22" t="s">
        <v>508</v>
      </c>
      <c r="F127" s="22" t="s">
        <v>614</v>
      </c>
      <c r="G127" s="22" t="s">
        <v>615</v>
      </c>
      <c r="H127" s="22" t="s">
        <v>616</v>
      </c>
      <c r="I127" s="23" t="s">
        <v>49</v>
      </c>
      <c r="J127" s="22" t="s">
        <v>50</v>
      </c>
      <c r="K127" s="23">
        <v>280</v>
      </c>
      <c r="L127" s="23">
        <v>100</v>
      </c>
      <c r="M127" s="23">
        <v>110</v>
      </c>
      <c r="N127" s="3">
        <f t="shared" si="30"/>
        <v>3.08</v>
      </c>
      <c r="O127" s="4" t="e">
        <f>(C127-(C127*#REF!))-((C127-(C127*#REF!))*#REF!)</f>
        <v>#REF!</v>
      </c>
      <c r="P127" s="7"/>
      <c r="Q127" s="7"/>
      <c r="R127" s="5">
        <f t="shared" si="51"/>
        <v>0</v>
      </c>
      <c r="S127" s="4">
        <f t="shared" si="52"/>
        <v>0</v>
      </c>
      <c r="T127" s="13">
        <f t="shared" si="33"/>
        <v>3093.9929999999999</v>
      </c>
      <c r="U127" s="13">
        <f t="shared" si="42"/>
        <v>1546.9965</v>
      </c>
      <c r="V127" s="14">
        <f>U127/C127</f>
        <v>0.35000000000000003</v>
      </c>
      <c r="W127" s="14"/>
      <c r="X127" s="19">
        <f t="shared" si="49"/>
        <v>1546.9965</v>
      </c>
      <c r="Y127" s="19">
        <f t="shared" si="50"/>
        <v>3093.9929999999999</v>
      </c>
      <c r="Z127" s="15" t="e">
        <f t="shared" si="46"/>
        <v>#DIV/0!</v>
      </c>
      <c r="AA127" s="22" t="s">
        <v>617</v>
      </c>
      <c r="AG127" s="94" t="s">
        <v>52</v>
      </c>
      <c r="AH127" s="89" t="str">
        <f>VLOOKUP(AG127,Sheet1!$B$3:$D$36,2,FALSE)</f>
        <v>Furniture</v>
      </c>
      <c r="AI127" s="89" t="s">
        <v>515</v>
      </c>
      <c r="AJ127" s="1" t="str">
        <f t="shared" si="34"/>
        <v xml:space="preserve"> Rüdesheim rectangular bar</v>
      </c>
      <c r="AK127" s="1" t="str">
        <f t="shared" si="35"/>
        <v>w280 x d100 x h110 x bh105</v>
      </c>
      <c r="AL127" s="1" t="str">
        <f t="shared" si="36"/>
        <v>Natural teak indoor</v>
      </c>
      <c r="AM127" s="1" t="str">
        <f t="shared" si="37"/>
        <v>Natural teak indoor</v>
      </c>
      <c r="AN127" s="1" t="str">
        <f>SUBSTITUTE(AL127,"indoor","")</f>
        <v xml:space="preserve">Natural teak </v>
      </c>
      <c r="AO127" s="1" t="s">
        <v>54</v>
      </c>
      <c r="AQ127" s="1" t="str">
        <f t="shared" si="38"/>
        <v>A</v>
      </c>
      <c r="AR127" s="1" t="str">
        <f>VLOOKUP(TRIM(AI127),Sheet1!$D$3:$E$36,2,FALSE)</f>
        <v>02</v>
      </c>
      <c r="AS127" s="90" t="str">
        <f t="shared" si="39"/>
        <v>01</v>
      </c>
      <c r="AT127" s="1" t="str">
        <f t="shared" si="40"/>
        <v>01</v>
      </c>
      <c r="AU127" s="90" t="s">
        <v>55</v>
      </c>
      <c r="AV127" s="90"/>
      <c r="AW127" s="90"/>
      <c r="AX127" s="95" t="str">
        <f>AQ127&amp;AR127&amp;AS127&amp;"-"&amp;AT127&amp;AU127&amp;BA127</f>
        <v>A0201-0110IND</v>
      </c>
      <c r="AY127" s="99" t="str">
        <f>AQ127&amp;AR127&amp;AS127&amp;"-"&amp;AT127&amp;BA127</f>
        <v>A0201-01IND</v>
      </c>
      <c r="AZ127" s="90"/>
      <c r="BA127" s="1" t="str">
        <f t="shared" si="41"/>
        <v>IND</v>
      </c>
      <c r="BC127" s="1">
        <f t="shared" si="47"/>
        <v>1</v>
      </c>
      <c r="BD127" s="90">
        <f t="shared" si="48"/>
        <v>1</v>
      </c>
      <c r="BE127" s="1">
        <f t="shared" si="44"/>
        <v>1</v>
      </c>
      <c r="BF127" s="1">
        <f t="shared" si="45"/>
        <v>1</v>
      </c>
      <c r="BJ127" t="s">
        <v>618</v>
      </c>
      <c r="BK127" s="1">
        <v>3</v>
      </c>
      <c r="BL127"/>
      <c r="BM127" t="str">
        <f t="shared" si="43"/>
        <v>Pinot glass low-Pinot glass low-Pinot glass low-</v>
      </c>
    </row>
    <row r="128" spans="1:65" ht="11.25" customHeight="1">
      <c r="A128" s="26" t="s">
        <v>619</v>
      </c>
      <c r="B128" s="27" t="s">
        <v>613</v>
      </c>
      <c r="C128" s="28">
        <v>4689.99</v>
      </c>
      <c r="D128" s="28">
        <f t="shared" si="29"/>
        <v>2344.9949999999999</v>
      </c>
      <c r="E128" s="22" t="s">
        <v>508</v>
      </c>
      <c r="F128" s="22" t="s">
        <v>620</v>
      </c>
      <c r="G128" s="22" t="s">
        <v>615</v>
      </c>
      <c r="H128" s="22" t="s">
        <v>616</v>
      </c>
      <c r="I128" s="23" t="s">
        <v>58</v>
      </c>
      <c r="J128" s="22" t="s">
        <v>50</v>
      </c>
      <c r="K128" s="23">
        <v>280</v>
      </c>
      <c r="L128" s="23">
        <v>100</v>
      </c>
      <c r="M128" s="23">
        <v>110</v>
      </c>
      <c r="N128" s="3">
        <f t="shared" si="30"/>
        <v>3.08</v>
      </c>
      <c r="O128" s="4" t="e">
        <f>(C128-(C128*#REF!))-((C128-(C128*#REF!))*#REF!)</f>
        <v>#REF!</v>
      </c>
      <c r="P128" s="7"/>
      <c r="Q128" s="7"/>
      <c r="R128" s="5">
        <f t="shared" si="51"/>
        <v>0</v>
      </c>
      <c r="S128" s="4">
        <f t="shared" si="52"/>
        <v>0</v>
      </c>
      <c r="T128" s="13">
        <f t="shared" si="33"/>
        <v>3282.9929999999999</v>
      </c>
      <c r="U128" s="13">
        <f t="shared" si="42"/>
        <v>1641.4965</v>
      </c>
      <c r="V128" s="14">
        <f>U128/C128</f>
        <v>0.35000000000000003</v>
      </c>
      <c r="W128" s="14"/>
      <c r="X128" s="19">
        <f t="shared" si="49"/>
        <v>1641.4965</v>
      </c>
      <c r="Y128" s="19">
        <f t="shared" si="50"/>
        <v>3282.9929999999999</v>
      </c>
      <c r="Z128" s="15" t="e">
        <f t="shared" si="46"/>
        <v>#DIV/0!</v>
      </c>
      <c r="AA128" s="22" t="s">
        <v>621</v>
      </c>
      <c r="AG128" s="94" t="s">
        <v>52</v>
      </c>
      <c r="AH128" s="89" t="str">
        <f>VLOOKUP(AG128,Sheet1!$B$3:$D$36,2,FALSE)</f>
        <v>Furniture</v>
      </c>
      <c r="AI128" s="89" t="s">
        <v>515</v>
      </c>
      <c r="AJ128" s="1" t="str">
        <f t="shared" si="34"/>
        <v xml:space="preserve"> Rüdesheim rectangular bar</v>
      </c>
      <c r="AK128" s="1" t="str">
        <f t="shared" si="35"/>
        <v>w280 x d100 x h110 x bh105</v>
      </c>
      <c r="AL128" s="1" t="str">
        <f t="shared" si="36"/>
        <v>Natural teak outdoor</v>
      </c>
      <c r="AM128" s="1" t="str">
        <f t="shared" si="37"/>
        <v>Natural teak outdoor</v>
      </c>
      <c r="AN128" s="1" t="str">
        <f>SUBSTITUTE(AL128,"outdoor","")</f>
        <v xml:space="preserve">Natural teak </v>
      </c>
      <c r="AO128" s="1" t="s">
        <v>59</v>
      </c>
      <c r="AQ128" s="1" t="str">
        <f t="shared" si="38"/>
        <v>A</v>
      </c>
      <c r="AR128" s="1" t="str">
        <f>VLOOKUP(TRIM(AI128),Sheet1!$D$3:$E$36,2,FALSE)</f>
        <v>02</v>
      </c>
      <c r="AS128" s="90" t="str">
        <f t="shared" si="39"/>
        <v>02</v>
      </c>
      <c r="AT128" s="1" t="str">
        <f t="shared" si="40"/>
        <v>02</v>
      </c>
      <c r="AU128" s="90" t="s">
        <v>55</v>
      </c>
      <c r="AV128" s="90"/>
      <c r="AW128" s="90"/>
      <c r="AX128" s="95" t="str">
        <f>AQ128&amp;AR128&amp;AS128&amp;"-"&amp;AT128&amp;AU128&amp;BA128</f>
        <v>A0202-0210OUT</v>
      </c>
      <c r="AY128" s="99" t="str">
        <f>AQ128&amp;AR128&amp;AS128&amp;"-"&amp;AT128&amp;BA128</f>
        <v>A0202-02OUT</v>
      </c>
      <c r="AZ128" s="90"/>
      <c r="BA128" s="1" t="str">
        <f t="shared" si="41"/>
        <v>OUT</v>
      </c>
      <c r="BC128" s="1" t="str">
        <f t="shared" si="47"/>
        <v/>
      </c>
      <c r="BD128" s="90">
        <f t="shared" si="48"/>
        <v>2</v>
      </c>
      <c r="BE128" s="1" t="str">
        <f t="shared" si="44"/>
        <v/>
      </c>
      <c r="BF128" s="1">
        <f t="shared" si="45"/>
        <v>2</v>
      </c>
      <c r="BJ128" t="s">
        <v>97</v>
      </c>
      <c r="BK128" s="1">
        <v>4</v>
      </c>
      <c r="BL128"/>
      <c r="BM128" t="str">
        <f t="shared" si="43"/>
        <v>Pirin rectangular-Pirin rectangular-Pirin rectangular-Pirin rectangular-</v>
      </c>
    </row>
    <row r="129" spans="1:65" ht="11.25" customHeight="1">
      <c r="A129" s="26" t="s">
        <v>622</v>
      </c>
      <c r="B129" s="27" t="s">
        <v>623</v>
      </c>
      <c r="C129" s="28">
        <v>1039.99</v>
      </c>
      <c r="D129" s="28">
        <f t="shared" si="29"/>
        <v>519.995</v>
      </c>
      <c r="E129" s="22" t="s">
        <v>508</v>
      </c>
      <c r="F129" s="22" t="s">
        <v>624</v>
      </c>
      <c r="G129" s="22" t="s">
        <v>625</v>
      </c>
      <c r="H129" s="22" t="s">
        <v>626</v>
      </c>
      <c r="I129" s="23" t="s">
        <v>49</v>
      </c>
      <c r="J129" s="22" t="s">
        <v>50</v>
      </c>
      <c r="L129" s="23">
        <v>70</v>
      </c>
      <c r="M129" s="23">
        <v>90</v>
      </c>
      <c r="N129" s="3">
        <f t="shared" si="30"/>
        <v>0.441</v>
      </c>
      <c r="O129" s="4" t="e">
        <f>(C129-(C129*#REF!))-((C129-(C129*#REF!))*#REF!)</f>
        <v>#REF!</v>
      </c>
      <c r="P129" s="7"/>
      <c r="Q129" s="7"/>
      <c r="R129" s="5">
        <f t="shared" si="51"/>
        <v>0</v>
      </c>
      <c r="S129" s="4">
        <f t="shared" si="52"/>
        <v>0</v>
      </c>
      <c r="T129" s="13">
        <f t="shared" si="33"/>
        <v>727.99299999999994</v>
      </c>
      <c r="U129" s="13">
        <f t="shared" si="42"/>
        <v>363.99649999999997</v>
      </c>
      <c r="V129" s="14">
        <f>U129/C129</f>
        <v>0.35</v>
      </c>
      <c r="W129" s="14"/>
      <c r="X129" s="19">
        <f t="shared" si="49"/>
        <v>363.99649999999997</v>
      </c>
      <c r="Y129" s="19">
        <f t="shared" si="50"/>
        <v>727.99299999999994</v>
      </c>
      <c r="Z129" s="15" t="e">
        <f t="shared" si="46"/>
        <v>#DIV/0!</v>
      </c>
      <c r="AA129" s="22" t="s">
        <v>627</v>
      </c>
      <c r="AG129" s="94" t="s">
        <v>52</v>
      </c>
      <c r="AH129" s="89" t="str">
        <f>VLOOKUP(AG129,Sheet1!$B$3:$D$36,2,FALSE)</f>
        <v>Furniture</v>
      </c>
      <c r="AI129" s="89" t="s">
        <v>515</v>
      </c>
      <c r="AJ129" s="1" t="str">
        <f t="shared" si="34"/>
        <v xml:space="preserve"> Santorini round bar table</v>
      </c>
      <c r="AK129" s="1" t="str">
        <f t="shared" si="35"/>
        <v>ø70 x h90 x bh85</v>
      </c>
      <c r="AL129" s="1" t="str">
        <f t="shared" si="36"/>
        <v>Natural teak indoor</v>
      </c>
      <c r="AM129" s="1" t="str">
        <f t="shared" si="37"/>
        <v>Natural teak indoor</v>
      </c>
      <c r="AN129" s="1" t="str">
        <f>SUBSTITUTE(AL129,"indoor","")</f>
        <v xml:space="preserve">Natural teak </v>
      </c>
      <c r="AO129" s="1" t="s">
        <v>54</v>
      </c>
      <c r="AQ129" s="1" t="str">
        <f t="shared" si="38"/>
        <v>A</v>
      </c>
      <c r="AR129" s="1" t="str">
        <f>VLOOKUP(TRIM(AI129),Sheet1!$D$3:$E$36,2,FALSE)</f>
        <v>02</v>
      </c>
      <c r="AS129" s="90" t="str">
        <f t="shared" si="39"/>
        <v>01</v>
      </c>
      <c r="AT129" s="1" t="str">
        <f t="shared" si="40"/>
        <v>01</v>
      </c>
      <c r="AU129" s="90" t="s">
        <v>55</v>
      </c>
      <c r="AV129" s="90"/>
      <c r="AW129" s="90"/>
      <c r="AX129" s="95" t="str">
        <f>AQ129&amp;AR129&amp;AS129&amp;"-"&amp;AT129&amp;AU129&amp;BA129</f>
        <v>A0201-0110IND</v>
      </c>
      <c r="AY129" s="99" t="str">
        <f>AQ129&amp;AR129&amp;AS129&amp;"-"&amp;AT129&amp;BA129</f>
        <v>A0201-01IND</v>
      </c>
      <c r="AZ129" s="90"/>
      <c r="BA129" s="1" t="str">
        <f t="shared" si="41"/>
        <v>IND</v>
      </c>
      <c r="BC129" s="1">
        <f t="shared" si="47"/>
        <v>1</v>
      </c>
      <c r="BD129" s="90">
        <f t="shared" si="48"/>
        <v>1</v>
      </c>
      <c r="BE129" s="1">
        <f t="shared" si="44"/>
        <v>1</v>
      </c>
      <c r="BF129" s="1">
        <f t="shared" si="45"/>
        <v>1</v>
      </c>
      <c r="BJ129" t="s">
        <v>628</v>
      </c>
      <c r="BK129" s="1">
        <v>3</v>
      </c>
      <c r="BL129"/>
      <c r="BM129" t="str">
        <f t="shared" si="43"/>
        <v>Plasa bowl-Plasa bowl-Plasa bowl-</v>
      </c>
    </row>
    <row r="130" spans="1:65" ht="11.25" customHeight="1">
      <c r="A130" s="26" t="s">
        <v>629</v>
      </c>
      <c r="B130" s="27" t="s">
        <v>623</v>
      </c>
      <c r="C130" s="28">
        <v>1099.99</v>
      </c>
      <c r="D130" s="28">
        <f t="shared" si="29"/>
        <v>549.995</v>
      </c>
      <c r="E130" s="22" t="s">
        <v>508</v>
      </c>
      <c r="F130" s="22" t="s">
        <v>630</v>
      </c>
      <c r="G130" s="22" t="s">
        <v>625</v>
      </c>
      <c r="H130" s="22" t="s">
        <v>626</v>
      </c>
      <c r="I130" s="23" t="s">
        <v>58</v>
      </c>
      <c r="J130" s="22" t="s">
        <v>50</v>
      </c>
      <c r="L130" s="23">
        <v>70</v>
      </c>
      <c r="M130" s="23">
        <v>90</v>
      </c>
      <c r="N130" s="3">
        <f t="shared" si="30"/>
        <v>0.441</v>
      </c>
      <c r="O130" s="4" t="e">
        <f>(C130-(C130*#REF!))-((C130-(C130*#REF!))*#REF!)</f>
        <v>#REF!</v>
      </c>
      <c r="P130" s="7"/>
      <c r="Q130" s="7"/>
      <c r="R130" s="5">
        <f t="shared" si="51"/>
        <v>0</v>
      </c>
      <c r="S130" s="4">
        <f t="shared" si="52"/>
        <v>0</v>
      </c>
      <c r="T130" s="13">
        <f t="shared" si="33"/>
        <v>769.99299999999994</v>
      </c>
      <c r="U130" s="13">
        <f t="shared" si="42"/>
        <v>384.99649999999997</v>
      </c>
      <c r="V130" s="14">
        <f>U130/C130</f>
        <v>0.35</v>
      </c>
      <c r="W130" s="14"/>
      <c r="X130" s="19">
        <f t="shared" si="49"/>
        <v>384.99649999999997</v>
      </c>
      <c r="Y130" s="19">
        <f t="shared" si="50"/>
        <v>769.99299999999994</v>
      </c>
      <c r="Z130" s="15" t="e">
        <f t="shared" si="46"/>
        <v>#DIV/0!</v>
      </c>
      <c r="AA130" s="22" t="s">
        <v>631</v>
      </c>
      <c r="AG130" s="94" t="s">
        <v>52</v>
      </c>
      <c r="AH130" s="89" t="str">
        <f>VLOOKUP(AG130,Sheet1!$B$3:$D$36,2,FALSE)</f>
        <v>Furniture</v>
      </c>
      <c r="AI130" s="89" t="s">
        <v>515</v>
      </c>
      <c r="AJ130" s="1" t="str">
        <f t="shared" si="34"/>
        <v xml:space="preserve"> Santorini round bar table</v>
      </c>
      <c r="AK130" s="1" t="str">
        <f t="shared" si="35"/>
        <v>ø70 x h90 x bh85</v>
      </c>
      <c r="AL130" s="1" t="str">
        <f t="shared" si="36"/>
        <v>Natural teak outdoor</v>
      </c>
      <c r="AM130" s="1" t="str">
        <f t="shared" si="37"/>
        <v>Natural teak outdoor</v>
      </c>
      <c r="AN130" s="1" t="str">
        <f>SUBSTITUTE(AL130,"outdoor","")</f>
        <v xml:space="preserve">Natural teak </v>
      </c>
      <c r="AO130" s="1" t="s">
        <v>59</v>
      </c>
      <c r="AQ130" s="1" t="str">
        <f t="shared" si="38"/>
        <v>A</v>
      </c>
      <c r="AR130" s="1" t="str">
        <f>VLOOKUP(TRIM(AI130),Sheet1!$D$3:$E$36,2,FALSE)</f>
        <v>02</v>
      </c>
      <c r="AS130" s="90" t="str">
        <f t="shared" si="39"/>
        <v>02</v>
      </c>
      <c r="AT130" s="1" t="str">
        <f t="shared" si="40"/>
        <v>02</v>
      </c>
      <c r="AU130" s="90" t="s">
        <v>55</v>
      </c>
      <c r="AV130" s="90"/>
      <c r="AW130" s="90"/>
      <c r="AX130" s="95" t="str">
        <f>AQ130&amp;AR130&amp;AS130&amp;"-"&amp;AT130&amp;AU130&amp;BA130</f>
        <v>A0202-0210OUT</v>
      </c>
      <c r="AY130" s="99" t="str">
        <f>AQ130&amp;AR130&amp;AS130&amp;"-"&amp;AT130&amp;BA130</f>
        <v>A0202-02OUT</v>
      </c>
      <c r="AZ130" s="90"/>
      <c r="BA130" s="1" t="str">
        <f t="shared" si="41"/>
        <v>OUT</v>
      </c>
      <c r="BC130" s="1" t="str">
        <f t="shared" si="47"/>
        <v/>
      </c>
      <c r="BD130" s="90">
        <f t="shared" si="48"/>
        <v>2</v>
      </c>
      <c r="BE130" s="1" t="str">
        <f t="shared" si="44"/>
        <v/>
      </c>
      <c r="BF130" s="1">
        <f t="shared" si="45"/>
        <v>2</v>
      </c>
      <c r="BJ130" t="s">
        <v>406</v>
      </c>
      <c r="BK130" s="1">
        <v>6</v>
      </c>
      <c r="BL130"/>
      <c r="BM130" t="str">
        <f t="shared" si="43"/>
        <v>Pliska rectangular-Pliska rectangular-Pliska rectangular-Pliska rectangular-Pliska rectangular-Pliska rectangular-</v>
      </c>
    </row>
    <row r="131" spans="1:65" ht="11.25" customHeight="1">
      <c r="A131" s="26" t="s">
        <v>632</v>
      </c>
      <c r="B131" s="27" t="s">
        <v>623</v>
      </c>
      <c r="C131" s="28">
        <v>1079.99</v>
      </c>
      <c r="D131" s="28">
        <f t="shared" si="29"/>
        <v>539.995</v>
      </c>
      <c r="E131" s="22" t="s">
        <v>508</v>
      </c>
      <c r="F131" s="22" t="s">
        <v>633</v>
      </c>
      <c r="G131" s="22" t="s">
        <v>625</v>
      </c>
      <c r="H131" s="22" t="s">
        <v>634</v>
      </c>
      <c r="I131" s="23" t="s">
        <v>49</v>
      </c>
      <c r="J131" s="22" t="s">
        <v>50</v>
      </c>
      <c r="L131" s="23">
        <v>70</v>
      </c>
      <c r="M131" s="23">
        <v>110</v>
      </c>
      <c r="N131" s="3">
        <f t="shared" si="30"/>
        <v>0.53900000000000003</v>
      </c>
      <c r="O131" s="4" t="e">
        <f>(C131-(C131*#REF!))-((C131-(C131*#REF!))*#REF!)</f>
        <v>#REF!</v>
      </c>
      <c r="P131" s="7"/>
      <c r="Q131" s="7"/>
      <c r="R131" s="5">
        <f t="shared" si="51"/>
        <v>0</v>
      </c>
      <c r="S131" s="4">
        <f t="shared" si="52"/>
        <v>0</v>
      </c>
      <c r="T131" s="13">
        <f t="shared" si="33"/>
        <v>755.99299999999994</v>
      </c>
      <c r="U131" s="13">
        <f t="shared" si="42"/>
        <v>377.99649999999997</v>
      </c>
      <c r="V131" s="14">
        <f>U131/C131</f>
        <v>0.35</v>
      </c>
      <c r="W131" s="14"/>
      <c r="X131" s="19">
        <f t="shared" si="49"/>
        <v>377.99649999999997</v>
      </c>
      <c r="Y131" s="19">
        <f t="shared" si="50"/>
        <v>755.99299999999994</v>
      </c>
      <c r="Z131" s="15" t="e">
        <f t="shared" si="46"/>
        <v>#DIV/0!</v>
      </c>
      <c r="AA131" s="22" t="s">
        <v>635</v>
      </c>
      <c r="AG131" s="94" t="s">
        <v>52</v>
      </c>
      <c r="AH131" s="89" t="str">
        <f>VLOOKUP(AG131,Sheet1!$B$3:$D$36,2,FALSE)</f>
        <v>Furniture</v>
      </c>
      <c r="AI131" s="89" t="s">
        <v>515</v>
      </c>
      <c r="AJ131" s="1" t="str">
        <f t="shared" si="34"/>
        <v xml:space="preserve"> Santorini round bar table</v>
      </c>
      <c r="AK131" s="1" t="str">
        <f t="shared" si="35"/>
        <v>ø70 x h110 x bh105</v>
      </c>
      <c r="AL131" s="1" t="str">
        <f t="shared" si="36"/>
        <v>Natural teak indoor</v>
      </c>
      <c r="AM131" s="1" t="str">
        <f t="shared" si="37"/>
        <v>Natural teak indoor</v>
      </c>
      <c r="AN131" s="1" t="str">
        <f>SUBSTITUTE(AL131,"indoor","")</f>
        <v xml:space="preserve">Natural teak </v>
      </c>
      <c r="AO131" s="1" t="s">
        <v>54</v>
      </c>
      <c r="AQ131" s="1" t="str">
        <f t="shared" si="38"/>
        <v>A</v>
      </c>
      <c r="AR131" s="1" t="str">
        <f>VLOOKUP(TRIM(AI131),Sheet1!$D$3:$E$36,2,FALSE)</f>
        <v>02</v>
      </c>
      <c r="AS131" s="90" t="str">
        <f t="shared" si="39"/>
        <v>03</v>
      </c>
      <c r="AT131" s="1" t="str">
        <f t="shared" si="40"/>
        <v>01</v>
      </c>
      <c r="AU131" s="90" t="s">
        <v>55</v>
      </c>
      <c r="AV131" s="90"/>
      <c r="AW131" s="90"/>
      <c r="AX131" s="95" t="str">
        <f>AQ131&amp;AR131&amp;AS131&amp;"-"&amp;AT131&amp;AU131&amp;BA131</f>
        <v>A0203-0110IND</v>
      </c>
      <c r="AY131" s="99" t="str">
        <f>AQ131&amp;AR131&amp;AS131&amp;"-"&amp;AT131&amp;BA131</f>
        <v>A0203-01IND</v>
      </c>
      <c r="AZ131" s="90"/>
      <c r="BA131" s="1" t="str">
        <f t="shared" si="41"/>
        <v>IND</v>
      </c>
      <c r="BC131" s="1" t="str">
        <f t="shared" si="47"/>
        <v/>
      </c>
      <c r="BD131" s="90">
        <f t="shared" si="48"/>
        <v>3</v>
      </c>
      <c r="BE131" s="1">
        <f t="shared" si="44"/>
        <v>1</v>
      </c>
      <c r="BF131" s="1">
        <f t="shared" si="45"/>
        <v>1</v>
      </c>
      <c r="BJ131" t="s">
        <v>636</v>
      </c>
      <c r="BK131" s="1">
        <v>2</v>
      </c>
      <c r="BL131"/>
      <c r="BM131" t="str">
        <f t="shared" si="43"/>
        <v>Quadrant Footed Platter-Quadrant Footed Platter-</v>
      </c>
    </row>
    <row r="132" spans="1:65" ht="11.25" customHeight="1">
      <c r="A132" s="26" t="s">
        <v>637</v>
      </c>
      <c r="B132" s="27" t="s">
        <v>623</v>
      </c>
      <c r="C132" s="28">
        <v>1139.99</v>
      </c>
      <c r="D132" s="28">
        <f t="shared" si="29"/>
        <v>569.995</v>
      </c>
      <c r="E132" s="22" t="s">
        <v>508</v>
      </c>
      <c r="F132" s="22" t="s">
        <v>638</v>
      </c>
      <c r="G132" s="22" t="s">
        <v>625</v>
      </c>
      <c r="H132" s="22" t="s">
        <v>634</v>
      </c>
      <c r="I132" s="23" t="s">
        <v>58</v>
      </c>
      <c r="J132" s="22" t="s">
        <v>50</v>
      </c>
      <c r="L132" s="23">
        <v>70</v>
      </c>
      <c r="M132" s="23">
        <v>110</v>
      </c>
      <c r="N132" s="3">
        <f t="shared" si="30"/>
        <v>0.53900000000000003</v>
      </c>
      <c r="O132" s="4" t="e">
        <f>(C132-(C132*#REF!))-((C132-(C132*#REF!))*#REF!)</f>
        <v>#REF!</v>
      </c>
      <c r="P132" s="7"/>
      <c r="Q132" s="7"/>
      <c r="R132" s="5">
        <f t="shared" si="51"/>
        <v>0</v>
      </c>
      <c r="S132" s="4">
        <f t="shared" si="52"/>
        <v>0</v>
      </c>
      <c r="T132" s="13">
        <f t="shared" si="33"/>
        <v>797.99299999999994</v>
      </c>
      <c r="U132" s="13">
        <f t="shared" si="42"/>
        <v>398.99649999999997</v>
      </c>
      <c r="V132" s="14">
        <f>U132/C132</f>
        <v>0.35</v>
      </c>
      <c r="W132" s="14"/>
      <c r="X132" s="19">
        <f t="shared" si="49"/>
        <v>398.99649999999997</v>
      </c>
      <c r="Y132" s="19">
        <f t="shared" si="50"/>
        <v>797.99299999999994</v>
      </c>
      <c r="Z132" s="15" t="e">
        <f t="shared" si="46"/>
        <v>#DIV/0!</v>
      </c>
      <c r="AA132" s="22" t="s">
        <v>635</v>
      </c>
      <c r="AG132" s="94" t="s">
        <v>52</v>
      </c>
      <c r="AH132" s="89" t="str">
        <f>VLOOKUP(AG132,Sheet1!$B$3:$D$36,2,FALSE)</f>
        <v>Furniture</v>
      </c>
      <c r="AI132" s="89" t="s">
        <v>515</v>
      </c>
      <c r="AJ132" s="1" t="str">
        <f t="shared" si="34"/>
        <v xml:space="preserve"> Santorini round bar table</v>
      </c>
      <c r="AK132" s="1" t="str">
        <f t="shared" si="35"/>
        <v>ø70 x h110 x bh105</v>
      </c>
      <c r="AL132" s="1" t="str">
        <f t="shared" si="36"/>
        <v>Natural teak outdoor</v>
      </c>
      <c r="AM132" s="1" t="str">
        <f t="shared" si="37"/>
        <v>Natural teak outdoor</v>
      </c>
      <c r="AN132" s="1" t="str">
        <f>SUBSTITUTE(AL132,"outdoor","")</f>
        <v xml:space="preserve">Natural teak </v>
      </c>
      <c r="AO132" s="1" t="s">
        <v>59</v>
      </c>
      <c r="AQ132" s="1" t="str">
        <f t="shared" si="38"/>
        <v>A</v>
      </c>
      <c r="AR132" s="1" t="str">
        <f>VLOOKUP(TRIM(AI132),Sheet1!$D$3:$E$36,2,FALSE)</f>
        <v>02</v>
      </c>
      <c r="AS132" s="90" t="str">
        <f t="shared" si="39"/>
        <v>04</v>
      </c>
      <c r="AT132" s="1" t="str">
        <f t="shared" si="40"/>
        <v>02</v>
      </c>
      <c r="AU132" s="90" t="s">
        <v>55</v>
      </c>
      <c r="AV132" s="90"/>
      <c r="AW132" s="90"/>
      <c r="AX132" s="95" t="str">
        <f>AQ132&amp;AR132&amp;AS132&amp;"-"&amp;AT132&amp;AU132&amp;BA132</f>
        <v>A0204-0210OUT</v>
      </c>
      <c r="AY132" s="99" t="str">
        <f>AQ132&amp;AR132&amp;AS132&amp;"-"&amp;AT132&amp;BA132</f>
        <v>A0204-02OUT</v>
      </c>
      <c r="AZ132" s="90"/>
      <c r="BA132" s="1" t="str">
        <f t="shared" si="41"/>
        <v>OUT</v>
      </c>
      <c r="BC132" s="1" t="str">
        <f t="shared" si="47"/>
        <v/>
      </c>
      <c r="BD132" s="90">
        <f t="shared" si="48"/>
        <v>4</v>
      </c>
      <c r="BE132" s="1" t="str">
        <f t="shared" si="44"/>
        <v/>
      </c>
      <c r="BF132" s="1">
        <f t="shared" si="45"/>
        <v>2</v>
      </c>
      <c r="BJ132" t="s">
        <v>639</v>
      </c>
      <c r="BK132" s="1">
        <v>2</v>
      </c>
      <c r="BL132"/>
      <c r="BM132" t="str">
        <f t="shared" si="43"/>
        <v>Ran punch bowl-Ran punch bowl-</v>
      </c>
    </row>
    <row r="133" spans="1:65" ht="11.25" customHeight="1">
      <c r="A133" s="26" t="s">
        <v>640</v>
      </c>
      <c r="B133" s="27" t="s">
        <v>641</v>
      </c>
      <c r="C133" s="28">
        <v>807.99</v>
      </c>
      <c r="D133" s="28">
        <f t="shared" ref="D133:D196" si="53">C133*$D$1</f>
        <v>403.995</v>
      </c>
      <c r="E133" s="22" t="s">
        <v>508</v>
      </c>
      <c r="F133" s="22" t="s">
        <v>642</v>
      </c>
      <c r="G133" s="22" t="s">
        <v>643</v>
      </c>
      <c r="H133" s="22" t="s">
        <v>644</v>
      </c>
      <c r="I133" s="23" t="s">
        <v>645</v>
      </c>
      <c r="J133" s="22" t="s">
        <v>646</v>
      </c>
      <c r="L133" s="23">
        <v>90</v>
      </c>
      <c r="M133" s="23">
        <v>100</v>
      </c>
      <c r="N133" s="3">
        <f t="shared" ref="N133:N196" si="54">(IF(ISBLANK(K133),(L133*L133*M133),(K133*L133*M133)))/1000000</f>
        <v>0.81</v>
      </c>
      <c r="O133" s="4" t="e">
        <f>(C133-(C133*#REF!))-((C133-(C133*#REF!))*#REF!)</f>
        <v>#REF!</v>
      </c>
      <c r="P133" s="7"/>
      <c r="Q133" s="7"/>
      <c r="R133" s="5">
        <f t="shared" si="51"/>
        <v>0</v>
      </c>
      <c r="S133" s="4">
        <f t="shared" si="52"/>
        <v>0</v>
      </c>
      <c r="T133" s="13">
        <f t="shared" ref="T133:T196" si="55">C133-(C133*$T$1)</f>
        <v>565.59300000000007</v>
      </c>
      <c r="U133" s="13">
        <f t="shared" si="42"/>
        <v>282.79650000000004</v>
      </c>
      <c r="V133" s="14">
        <f>U133/C133</f>
        <v>0.35000000000000003</v>
      </c>
      <c r="W133" s="14"/>
      <c r="X133" s="19">
        <f t="shared" si="49"/>
        <v>282.79650000000004</v>
      </c>
      <c r="Y133" s="19">
        <f t="shared" si="50"/>
        <v>565.59300000000007</v>
      </c>
      <c r="Z133" s="15" t="e">
        <f t="shared" si="46"/>
        <v>#DIV/0!</v>
      </c>
      <c r="AA133" s="22" t="s">
        <v>647</v>
      </c>
      <c r="AG133" s="94" t="s">
        <v>52</v>
      </c>
      <c r="AH133" s="89" t="str">
        <f>VLOOKUP(AG133,Sheet1!$B$3:$D$36,2,FALSE)</f>
        <v>Furniture</v>
      </c>
      <c r="AI133" s="89" t="s">
        <v>515</v>
      </c>
      <c r="AJ133" s="1" t="str">
        <f t="shared" ref="AJ133:AJ196" si="56">G133</f>
        <v xml:space="preserve"> Giverny bar table</v>
      </c>
      <c r="AK133" s="1" t="str">
        <f t="shared" ref="AK133:AK196" si="57">TRIM(H133)</f>
        <v>ø90 x h100</v>
      </c>
      <c r="AL133" s="1" t="str">
        <f t="shared" ref="AL133:AL196" si="58">I133</f>
        <v>teak root</v>
      </c>
      <c r="AM133" s="1" t="str">
        <f t="shared" ref="AM133:AM196" si="59">I133</f>
        <v>teak root</v>
      </c>
      <c r="AN133" s="1" t="str">
        <f t="shared" ref="AN133:AN140" si="60">SUBSTITUTE(AL133,"indoor","")</f>
        <v>teak root</v>
      </c>
      <c r="AQ133" s="1" t="str">
        <f t="shared" ref="AQ133:AQ196" si="61">IF(TRIM(AG133)="01","A",IF(TRIM(AG133)="02","B",IF(TRIM(AG133)="03","C",IF(TRIM(AG133)="04","D",IF(TRIM(AG133)="05","E","F")))))</f>
        <v>A</v>
      </c>
      <c r="AR133" s="1" t="str">
        <f>VLOOKUP(TRIM(AI133),Sheet1!$D$3:$E$36,2,FALSE)</f>
        <v>02</v>
      </c>
      <c r="AS133" s="90" t="str">
        <f t="shared" ref="AS133:AS196" si="62">IF(LEN(BD133)=1,"0"&amp;BD133,BD133)</f>
        <v>01</v>
      </c>
      <c r="AT133" s="1" t="str">
        <f t="shared" ref="AT133:AT196" si="63">IF(LEN(BF133)=1,"0"&amp;BF133,BF133)</f>
        <v>01</v>
      </c>
      <c r="AU133" s="90" t="s">
        <v>648</v>
      </c>
      <c r="AV133" s="90"/>
      <c r="AW133" s="90"/>
      <c r="AX133" s="95" t="str">
        <f>AQ133&amp;AR133&amp;AS133&amp;"-"&amp;AT133&amp;AU133&amp;BA133</f>
        <v>A0201-0132</v>
      </c>
      <c r="AY133" s="99" t="str">
        <f>AQ133&amp;AR133&amp;AS133&amp;"-"&amp;AT133&amp;BA133</f>
        <v>A0201-01</v>
      </c>
      <c r="AZ133" s="90"/>
      <c r="BA133" s="1" t="str">
        <f t="shared" ref="BA133:BA196" si="64">IF(AO133="","",UPPER(LEFT(AO133,3)))</f>
        <v/>
      </c>
      <c r="BC133" s="1">
        <f t="shared" si="47"/>
        <v>1</v>
      </c>
      <c r="BD133" s="90">
        <f t="shared" si="48"/>
        <v>1</v>
      </c>
      <c r="BE133" s="1">
        <f t="shared" si="44"/>
        <v>1</v>
      </c>
      <c r="BF133" s="1">
        <f t="shared" si="45"/>
        <v>1</v>
      </c>
      <c r="BJ133" t="s">
        <v>649</v>
      </c>
      <c r="BK133" s="1">
        <v>3</v>
      </c>
      <c r="BL133"/>
      <c r="BM133" t="str">
        <f t="shared" si="43"/>
        <v>Ratchaburi Cabinets-Ratchaburi Cabinets-Ratchaburi Cabinets-</v>
      </c>
    </row>
    <row r="134" spans="1:65" ht="11.25" customHeight="1">
      <c r="A134" s="26" t="s">
        <v>650</v>
      </c>
      <c r="B134" s="27" t="s">
        <v>651</v>
      </c>
      <c r="C134" s="28">
        <v>619.99</v>
      </c>
      <c r="D134" s="28">
        <f t="shared" si="53"/>
        <v>309.995</v>
      </c>
      <c r="E134" s="22" t="s">
        <v>508</v>
      </c>
      <c r="F134" s="22" t="s">
        <v>652</v>
      </c>
      <c r="G134" s="22" t="s">
        <v>653</v>
      </c>
      <c r="H134" s="22" t="s">
        <v>654</v>
      </c>
      <c r="I134" s="23" t="s">
        <v>645</v>
      </c>
      <c r="J134" s="22" t="s">
        <v>646</v>
      </c>
      <c r="K134" s="23">
        <v>120</v>
      </c>
      <c r="L134" s="23">
        <v>120</v>
      </c>
      <c r="M134" s="23">
        <v>110</v>
      </c>
      <c r="N134" s="3">
        <f t="shared" si="54"/>
        <v>1.5840000000000001</v>
      </c>
      <c r="O134" s="4" t="e">
        <f>(C134-(C134*#REF!))-((C134-(C134*#REF!))*#REF!)</f>
        <v>#REF!</v>
      </c>
      <c r="P134" s="7"/>
      <c r="Q134" s="7"/>
      <c r="R134" s="5">
        <f t="shared" si="51"/>
        <v>0</v>
      </c>
      <c r="S134" s="4">
        <f t="shared" si="52"/>
        <v>0</v>
      </c>
      <c r="T134" s="13">
        <f t="shared" si="55"/>
        <v>433.99300000000005</v>
      </c>
      <c r="U134" s="13">
        <f t="shared" ref="U134:U197" si="65">T134-(T134*$U$1)</f>
        <v>216.99650000000003</v>
      </c>
      <c r="V134" s="14">
        <f>U134/C134</f>
        <v>0.35000000000000003</v>
      </c>
      <c r="W134" s="14"/>
      <c r="X134" s="19">
        <f t="shared" si="49"/>
        <v>216.99650000000003</v>
      </c>
      <c r="Y134" s="19">
        <f t="shared" si="50"/>
        <v>433.99300000000005</v>
      </c>
      <c r="Z134" s="15" t="e">
        <f t="shared" si="46"/>
        <v>#DIV/0!</v>
      </c>
      <c r="AA134" s="22" t="s">
        <v>655</v>
      </c>
      <c r="AG134" s="94" t="s">
        <v>52</v>
      </c>
      <c r="AH134" s="89" t="str">
        <f>VLOOKUP(AG134,Sheet1!$B$3:$D$36,2,FALSE)</f>
        <v>Furniture</v>
      </c>
      <c r="AI134" s="89" t="s">
        <v>515</v>
      </c>
      <c r="AJ134" s="1" t="str">
        <f t="shared" si="56"/>
        <v>Bled Table Root</v>
      </c>
      <c r="AK134" s="1" t="str">
        <f t="shared" si="57"/>
        <v>w120 x d120 x h110</v>
      </c>
      <c r="AL134" s="1" t="str">
        <f t="shared" si="58"/>
        <v>teak root</v>
      </c>
      <c r="AM134" s="1" t="str">
        <f t="shared" si="59"/>
        <v>teak root</v>
      </c>
      <c r="AN134" s="1" t="str">
        <f t="shared" si="60"/>
        <v>teak root</v>
      </c>
      <c r="AQ134" s="1" t="str">
        <f t="shared" si="61"/>
        <v>A</v>
      </c>
      <c r="AR134" s="1" t="str">
        <f>VLOOKUP(TRIM(AI134),Sheet1!$D$3:$E$36,2,FALSE)</f>
        <v>02</v>
      </c>
      <c r="AS134" s="90" t="str">
        <f t="shared" si="62"/>
        <v>01</v>
      </c>
      <c r="AT134" s="1" t="str">
        <f t="shared" si="63"/>
        <v>01</v>
      </c>
      <c r="AU134" s="90" t="s">
        <v>648</v>
      </c>
      <c r="AV134" s="90"/>
      <c r="AW134" s="90"/>
      <c r="AX134" s="95" t="str">
        <f>AQ134&amp;AR134&amp;AS134&amp;"-"&amp;AT134&amp;AU134&amp;BA134</f>
        <v>A0201-0132</v>
      </c>
      <c r="AY134" s="99" t="str">
        <f>AQ134&amp;AR134&amp;AS134&amp;"-"&amp;AT134&amp;BA134</f>
        <v>A0201-01</v>
      </c>
      <c r="AZ134" s="90"/>
      <c r="BA134" s="1" t="str">
        <f t="shared" si="64"/>
        <v/>
      </c>
      <c r="BC134" s="1">
        <f t="shared" si="47"/>
        <v>1</v>
      </c>
      <c r="BD134" s="90">
        <f t="shared" si="48"/>
        <v>1</v>
      </c>
      <c r="BE134" s="1">
        <f t="shared" si="44"/>
        <v>1</v>
      </c>
      <c r="BF134" s="1">
        <f t="shared" si="45"/>
        <v>1</v>
      </c>
      <c r="BJ134" t="s">
        <v>656</v>
      </c>
      <c r="BK134" s="1">
        <v>2</v>
      </c>
      <c r="BL134"/>
      <c r="BM134" t="str">
        <f t="shared" si="43"/>
        <v>Ravello rectangular bar-Ravello rectangular bar-</v>
      </c>
    </row>
    <row r="135" spans="1:65" ht="11.25" customHeight="1">
      <c r="A135" s="26" t="s">
        <v>657</v>
      </c>
      <c r="B135" s="27" t="s">
        <v>658</v>
      </c>
      <c r="C135" s="28">
        <v>529.99</v>
      </c>
      <c r="D135" s="28">
        <f t="shared" si="53"/>
        <v>264.995</v>
      </c>
      <c r="E135" s="22" t="s">
        <v>508</v>
      </c>
      <c r="F135" s="22" t="s">
        <v>659</v>
      </c>
      <c r="G135" s="22" t="s">
        <v>660</v>
      </c>
      <c r="H135" s="22" t="s">
        <v>661</v>
      </c>
      <c r="I135" s="23" t="s">
        <v>662</v>
      </c>
      <c r="J135" s="22" t="s">
        <v>646</v>
      </c>
      <c r="L135" s="23">
        <v>70</v>
      </c>
      <c r="M135" s="23">
        <v>105</v>
      </c>
      <c r="N135" s="3">
        <f t="shared" si="54"/>
        <v>0.51449999999999996</v>
      </c>
      <c r="O135" s="4" t="e">
        <f>(C135-(C135*#REF!))-((C135-(C135*#REF!))*#REF!)</f>
        <v>#REF!</v>
      </c>
      <c r="P135" s="7"/>
      <c r="Q135" s="7"/>
      <c r="R135" s="5">
        <f t="shared" si="51"/>
        <v>0</v>
      </c>
      <c r="S135" s="4">
        <f t="shared" si="52"/>
        <v>0</v>
      </c>
      <c r="T135" s="13">
        <f t="shared" si="55"/>
        <v>370.99300000000005</v>
      </c>
      <c r="U135" s="13">
        <f t="shared" si="65"/>
        <v>185.49650000000003</v>
      </c>
      <c r="V135" s="14">
        <f>U135/C135</f>
        <v>0.35000000000000003</v>
      </c>
      <c r="W135" s="14"/>
      <c r="X135" s="19">
        <f t="shared" si="49"/>
        <v>185.49650000000003</v>
      </c>
      <c r="Y135" s="19">
        <f t="shared" si="50"/>
        <v>370.99300000000005</v>
      </c>
      <c r="Z135" s="15" t="e">
        <f t="shared" si="46"/>
        <v>#DIV/0!</v>
      </c>
      <c r="AA135" s="22" t="s">
        <v>663</v>
      </c>
      <c r="AG135" s="94" t="s">
        <v>52</v>
      </c>
      <c r="AH135" s="89" t="str">
        <f>VLOOKUP(AG135,Sheet1!$B$3:$D$36,2,FALSE)</f>
        <v>Furniture</v>
      </c>
      <c r="AI135" s="89" t="s">
        <v>515</v>
      </c>
      <c r="AJ135" s="1" t="str">
        <f t="shared" si="56"/>
        <v xml:space="preserve"> Tuscany bar table</v>
      </c>
      <c r="AK135" s="1" t="str">
        <f t="shared" si="57"/>
        <v>ø70 x h105</v>
      </c>
      <c r="AL135" s="1" t="str">
        <f t="shared" si="58"/>
        <v>teak branches</v>
      </c>
      <c r="AM135" s="1" t="str">
        <f t="shared" si="59"/>
        <v>teak branches</v>
      </c>
      <c r="AN135" s="1" t="str">
        <f t="shared" si="60"/>
        <v>teak branches</v>
      </c>
      <c r="AQ135" s="1" t="str">
        <f t="shared" si="61"/>
        <v>A</v>
      </c>
      <c r="AR135" s="1" t="str">
        <f>VLOOKUP(TRIM(AI135),Sheet1!$D$3:$E$36,2,FALSE)</f>
        <v>02</v>
      </c>
      <c r="AS135" s="90" t="str">
        <f t="shared" si="62"/>
        <v>01</v>
      </c>
      <c r="AT135" s="1" t="str">
        <f t="shared" si="63"/>
        <v>01</v>
      </c>
      <c r="AU135" s="90" t="s">
        <v>664</v>
      </c>
      <c r="AV135" s="90"/>
      <c r="AW135" s="90"/>
      <c r="AX135" s="95" t="str">
        <f>AQ135&amp;AR135&amp;AS135&amp;"-"&amp;AT135&amp;AU135&amp;BA135</f>
        <v>A0201-0127</v>
      </c>
      <c r="AY135" s="99" t="str">
        <f>AQ135&amp;AR135&amp;AS135&amp;"-"&amp;AT135&amp;BA135</f>
        <v>A0201-01</v>
      </c>
      <c r="AZ135" s="90"/>
      <c r="BA135" s="1" t="str">
        <f t="shared" si="64"/>
        <v/>
      </c>
      <c r="BC135" s="1">
        <f t="shared" si="47"/>
        <v>1</v>
      </c>
      <c r="BD135" s="90">
        <f t="shared" si="48"/>
        <v>1</v>
      </c>
      <c r="BE135" s="1">
        <f t="shared" si="44"/>
        <v>1</v>
      </c>
      <c r="BF135" s="1">
        <f t="shared" si="45"/>
        <v>1</v>
      </c>
      <c r="BJ135" t="s">
        <v>665</v>
      </c>
      <c r="BK135" s="1">
        <v>2</v>
      </c>
      <c r="BL135"/>
      <c r="BM135" t="str">
        <f t="shared" si="43"/>
        <v>Regina Tray-Regina Tray-</v>
      </c>
    </row>
    <row r="136" spans="1:65" ht="11.25" customHeight="1">
      <c r="A136" s="26" t="s">
        <v>666</v>
      </c>
      <c r="B136" s="27" t="s">
        <v>667</v>
      </c>
      <c r="C136" s="28">
        <v>404.99</v>
      </c>
      <c r="D136" s="28">
        <f t="shared" si="53"/>
        <v>202.495</v>
      </c>
      <c r="E136" s="22" t="s">
        <v>508</v>
      </c>
      <c r="F136" s="22" t="s">
        <v>668</v>
      </c>
      <c r="G136" s="22" t="s">
        <v>669</v>
      </c>
      <c r="J136" s="22" t="s">
        <v>670</v>
      </c>
      <c r="N136" s="3">
        <f t="shared" si="54"/>
        <v>0</v>
      </c>
      <c r="O136" s="4" t="e">
        <f>(C136-(C136*#REF!))-((C136-(C136*#REF!))*#REF!)</f>
        <v>#REF!</v>
      </c>
      <c r="P136" s="7"/>
      <c r="Q136" s="7"/>
      <c r="R136" s="5">
        <f t="shared" si="51"/>
        <v>0</v>
      </c>
      <c r="S136" s="4">
        <f t="shared" si="52"/>
        <v>0</v>
      </c>
      <c r="T136" s="13">
        <f t="shared" si="55"/>
        <v>283.49299999999999</v>
      </c>
      <c r="U136" s="13">
        <f t="shared" si="65"/>
        <v>141.7465</v>
      </c>
      <c r="V136" s="14">
        <f>U136/C136</f>
        <v>0.35</v>
      </c>
      <c r="W136" s="14"/>
      <c r="X136" s="19">
        <f t="shared" si="49"/>
        <v>141.7465</v>
      </c>
      <c r="Y136" s="19">
        <f t="shared" si="50"/>
        <v>283.49299999999999</v>
      </c>
      <c r="Z136" s="15" t="e">
        <f t="shared" si="46"/>
        <v>#DIV/0!</v>
      </c>
      <c r="AA136" s="22" t="s">
        <v>671</v>
      </c>
      <c r="AG136" s="94" t="s">
        <v>52</v>
      </c>
      <c r="AH136" s="89" t="str">
        <f>VLOOKUP(AG136,Sheet1!$B$3:$D$36,2,FALSE)</f>
        <v>Furniture</v>
      </c>
      <c r="AI136" s="89" t="s">
        <v>515</v>
      </c>
      <c r="AJ136" s="1" t="str">
        <f t="shared" si="56"/>
        <v xml:space="preserve"> Adare bluestone FL107</v>
      </c>
      <c r="AK136" s="1" t="str">
        <f t="shared" si="57"/>
        <v/>
      </c>
      <c r="AL136" s="1">
        <f t="shared" si="58"/>
        <v>0</v>
      </c>
      <c r="AM136" s="1">
        <f t="shared" si="59"/>
        <v>0</v>
      </c>
      <c r="AN136" s="1" t="str">
        <f t="shared" si="60"/>
        <v>0</v>
      </c>
      <c r="AQ136" s="1" t="str">
        <f t="shared" si="61"/>
        <v>A</v>
      </c>
      <c r="AR136" s="1" t="str">
        <f>VLOOKUP(TRIM(AI136),Sheet1!$D$3:$E$36,2,FALSE)</f>
        <v>02</v>
      </c>
      <c r="AS136" s="90" t="str">
        <f t="shared" si="62"/>
        <v>01</v>
      </c>
      <c r="AT136" s="1" t="str">
        <f t="shared" si="63"/>
        <v>01</v>
      </c>
      <c r="AU136" s="90"/>
      <c r="AV136" s="90"/>
      <c r="AW136" s="90"/>
      <c r="AX136" s="95" t="str">
        <f>AQ136&amp;AR136&amp;AS136&amp;"-"&amp;AT136&amp;AU136&amp;BA136</f>
        <v>A0201-01</v>
      </c>
      <c r="AY136" s="99" t="str">
        <f>AQ136&amp;AR136&amp;AS136&amp;"-"&amp;AT136&amp;BA136</f>
        <v>A0201-01</v>
      </c>
      <c r="AZ136" s="90"/>
      <c r="BA136" s="1" t="str">
        <f t="shared" si="64"/>
        <v/>
      </c>
      <c r="BC136" s="1">
        <f t="shared" si="47"/>
        <v>1</v>
      </c>
      <c r="BD136" s="90">
        <f t="shared" si="48"/>
        <v>1</v>
      </c>
      <c r="BE136" s="1">
        <f t="shared" si="44"/>
        <v>1</v>
      </c>
      <c r="BF136" s="1">
        <f t="shared" si="45"/>
        <v>1</v>
      </c>
      <c r="BJ136" t="s">
        <v>672</v>
      </c>
      <c r="BK136" s="1">
        <v>2</v>
      </c>
      <c r="BL136"/>
      <c r="BM136" t="str">
        <f t="shared" si="43"/>
        <v>Rhein riverstone Axel-Rhein riverstone Axel-</v>
      </c>
    </row>
    <row r="137" spans="1:65" ht="11.25" customHeight="1">
      <c r="A137" s="26" t="s">
        <v>666</v>
      </c>
      <c r="B137" s="27" t="s">
        <v>673</v>
      </c>
      <c r="C137" s="28">
        <v>404.99</v>
      </c>
      <c r="D137" s="28">
        <f t="shared" si="53"/>
        <v>202.495</v>
      </c>
      <c r="E137" s="22" t="s">
        <v>508</v>
      </c>
      <c r="F137" s="22" t="s">
        <v>674</v>
      </c>
      <c r="G137" s="22" t="s">
        <v>669</v>
      </c>
      <c r="J137" s="22" t="s">
        <v>670</v>
      </c>
      <c r="N137" s="3">
        <f t="shared" si="54"/>
        <v>0</v>
      </c>
      <c r="O137" s="4" t="e">
        <f>(C137-(C137*#REF!))-((C137-(C137*#REF!))*#REF!)</f>
        <v>#REF!</v>
      </c>
      <c r="P137" s="7"/>
      <c r="Q137" s="7"/>
      <c r="R137" s="5">
        <f t="shared" si="51"/>
        <v>0</v>
      </c>
      <c r="S137" s="4">
        <f t="shared" si="52"/>
        <v>0</v>
      </c>
      <c r="T137" s="13">
        <f t="shared" si="55"/>
        <v>283.49299999999999</v>
      </c>
      <c r="U137" s="13">
        <f t="shared" si="65"/>
        <v>141.7465</v>
      </c>
      <c r="V137" s="14">
        <f>U137/C137</f>
        <v>0.35</v>
      </c>
      <c r="W137" s="14"/>
      <c r="X137" s="19">
        <f t="shared" si="49"/>
        <v>141.7465</v>
      </c>
      <c r="Y137" s="19">
        <f t="shared" si="50"/>
        <v>283.49299999999999</v>
      </c>
      <c r="Z137" s="15" t="e">
        <f t="shared" si="46"/>
        <v>#DIV/0!</v>
      </c>
      <c r="AA137" s="22" t="s">
        <v>675</v>
      </c>
      <c r="AG137" s="94" t="s">
        <v>52</v>
      </c>
      <c r="AH137" s="89" t="str">
        <f>VLOOKUP(AG137,Sheet1!$B$3:$D$36,2,FALSE)</f>
        <v>Furniture</v>
      </c>
      <c r="AI137" s="89" t="s">
        <v>515</v>
      </c>
      <c r="AJ137" s="1" t="str">
        <f t="shared" si="56"/>
        <v xml:space="preserve"> Adare bluestone FL107</v>
      </c>
      <c r="AK137" s="1" t="str">
        <f t="shared" si="57"/>
        <v/>
      </c>
      <c r="AL137" s="1">
        <f t="shared" si="58"/>
        <v>0</v>
      </c>
      <c r="AM137" s="1">
        <f t="shared" si="59"/>
        <v>0</v>
      </c>
      <c r="AN137" s="1" t="str">
        <f t="shared" si="60"/>
        <v>0</v>
      </c>
      <c r="AQ137" s="1" t="str">
        <f t="shared" si="61"/>
        <v>A</v>
      </c>
      <c r="AR137" s="1" t="str">
        <f>VLOOKUP(TRIM(AI137),Sheet1!$D$3:$E$36,2,FALSE)</f>
        <v>02</v>
      </c>
      <c r="AS137" s="90" t="str">
        <f t="shared" si="62"/>
        <v>02</v>
      </c>
      <c r="AT137" s="1" t="str">
        <f t="shared" si="63"/>
        <v>02</v>
      </c>
      <c r="AU137" s="90"/>
      <c r="AV137" s="90"/>
      <c r="AW137" s="90"/>
      <c r="AX137" s="95" t="str">
        <f>AQ137&amp;AR137&amp;AS137&amp;"-"&amp;AT137&amp;AU137&amp;BA137</f>
        <v>A0202-02</v>
      </c>
      <c r="AY137" s="99" t="str">
        <f>AQ137&amp;AR137&amp;AS137&amp;"-"&amp;AT137&amp;BA137</f>
        <v>A0202-02</v>
      </c>
      <c r="AZ137" s="90"/>
      <c r="BA137" s="1" t="str">
        <f t="shared" si="64"/>
        <v/>
      </c>
      <c r="BC137" s="1" t="str">
        <f t="shared" si="47"/>
        <v/>
      </c>
      <c r="BD137" s="90">
        <f t="shared" si="48"/>
        <v>2</v>
      </c>
      <c r="BE137" s="1" t="str">
        <f t="shared" si="44"/>
        <v/>
      </c>
      <c r="BF137" s="1">
        <f t="shared" si="45"/>
        <v>2</v>
      </c>
      <c r="BJ137" t="s">
        <v>449</v>
      </c>
      <c r="BK137" s="1">
        <v>6</v>
      </c>
      <c r="BL137"/>
      <c r="BM137" t="str">
        <f t="shared" ref="BM137:BM200" si="66">REPT(BJ137&amp;"-",BK137)</f>
        <v>Rila rectangular-Rila rectangular-Rila rectangular-Rila rectangular-Rila rectangular-Rila rectangular-</v>
      </c>
    </row>
    <row r="138" spans="1:65" ht="11.25" customHeight="1">
      <c r="A138" s="26">
        <v>21950</v>
      </c>
      <c r="B138" s="27" t="s">
        <v>676</v>
      </c>
      <c r="C138" s="28">
        <v>267.99</v>
      </c>
      <c r="D138" s="28">
        <f t="shared" si="53"/>
        <v>133.995</v>
      </c>
      <c r="E138" s="22" t="s">
        <v>508</v>
      </c>
      <c r="F138" s="22" t="s">
        <v>677</v>
      </c>
      <c r="G138" s="22" t="s">
        <v>678</v>
      </c>
      <c r="H138" s="22" t="s">
        <v>679</v>
      </c>
      <c r="J138" s="22" t="s">
        <v>670</v>
      </c>
      <c r="L138" s="23">
        <v>120</v>
      </c>
      <c r="N138" s="3">
        <f t="shared" si="54"/>
        <v>0</v>
      </c>
      <c r="O138" s="4" t="e">
        <f>(C138-(C138*#REF!))-((C138-(C138*#REF!))*#REF!)</f>
        <v>#REF!</v>
      </c>
      <c r="P138" s="7"/>
      <c r="Q138" s="7"/>
      <c r="R138" s="5">
        <f t="shared" si="51"/>
        <v>0</v>
      </c>
      <c r="S138" s="4">
        <f t="shared" si="52"/>
        <v>0</v>
      </c>
      <c r="T138" s="13">
        <f t="shared" si="55"/>
        <v>187.59300000000002</v>
      </c>
      <c r="U138" s="13">
        <f t="shared" si="65"/>
        <v>93.796500000000009</v>
      </c>
      <c r="V138" s="14">
        <f>U138/C138</f>
        <v>0.35000000000000003</v>
      </c>
      <c r="W138" s="14"/>
      <c r="X138" s="19">
        <f t="shared" si="49"/>
        <v>93.796500000000009</v>
      </c>
      <c r="Y138" s="19">
        <f t="shared" si="50"/>
        <v>187.59300000000002</v>
      </c>
      <c r="Z138" s="15" t="e">
        <f t="shared" si="46"/>
        <v>#DIV/0!</v>
      </c>
      <c r="AA138" s="22" t="s">
        <v>680</v>
      </c>
      <c r="AG138" s="94" t="s">
        <v>52</v>
      </c>
      <c r="AH138" s="89" t="str">
        <f>VLOOKUP(AG138,Sheet1!$B$3:$D$36,2,FALSE)</f>
        <v>Furniture</v>
      </c>
      <c r="AI138" s="89" t="s">
        <v>515</v>
      </c>
      <c r="AJ138" s="1" t="str">
        <f t="shared" si="56"/>
        <v xml:space="preserve"> Amalfi rattan Ø120</v>
      </c>
      <c r="AK138" s="1" t="str">
        <f t="shared" si="57"/>
        <v>ø120</v>
      </c>
      <c r="AL138" s="1">
        <f t="shared" si="58"/>
        <v>0</v>
      </c>
      <c r="AM138" s="1">
        <f t="shared" si="59"/>
        <v>0</v>
      </c>
      <c r="AN138" s="1" t="str">
        <f t="shared" si="60"/>
        <v>0</v>
      </c>
      <c r="AQ138" s="1" t="str">
        <f t="shared" si="61"/>
        <v>A</v>
      </c>
      <c r="AR138" s="1" t="str">
        <f>VLOOKUP(TRIM(AI138),Sheet1!$D$3:$E$36,2,FALSE)</f>
        <v>02</v>
      </c>
      <c r="AS138" s="90" t="str">
        <f t="shared" si="62"/>
        <v>01</v>
      </c>
      <c r="AT138" s="1" t="str">
        <f t="shared" si="63"/>
        <v>01</v>
      </c>
      <c r="AU138" s="90"/>
      <c r="AV138" s="90"/>
      <c r="AW138" s="90"/>
      <c r="AX138" s="95" t="str">
        <f>AQ138&amp;AR138&amp;AS138&amp;"-"&amp;AT138&amp;AU138&amp;BA138</f>
        <v>A0201-01</v>
      </c>
      <c r="AY138" s="99" t="str">
        <f>AQ138&amp;AR138&amp;AS138&amp;"-"&amp;AT138&amp;BA138</f>
        <v>A0201-01</v>
      </c>
      <c r="AZ138" s="90"/>
      <c r="BA138" s="1" t="str">
        <f t="shared" si="64"/>
        <v/>
      </c>
      <c r="BC138" s="1">
        <f t="shared" si="47"/>
        <v>1</v>
      </c>
      <c r="BD138" s="90">
        <f t="shared" si="48"/>
        <v>1</v>
      </c>
      <c r="BE138" s="1">
        <f t="shared" si="44"/>
        <v>1</v>
      </c>
      <c r="BF138" s="1">
        <f t="shared" si="45"/>
        <v>1</v>
      </c>
      <c r="BJ138" t="s">
        <v>155</v>
      </c>
      <c r="BK138" s="1">
        <v>2</v>
      </c>
      <c r="BL138"/>
      <c r="BM138" t="str">
        <f t="shared" si="66"/>
        <v>Rila round-Rila round-</v>
      </c>
    </row>
    <row r="139" spans="1:65" ht="11.25" customHeight="1">
      <c r="A139" s="26" t="s">
        <v>681</v>
      </c>
      <c r="B139" s="27" t="s">
        <v>682</v>
      </c>
      <c r="C139" s="28">
        <v>449.99</v>
      </c>
      <c r="D139" s="28">
        <f t="shared" si="53"/>
        <v>224.995</v>
      </c>
      <c r="E139" s="22" t="s">
        <v>508</v>
      </c>
      <c r="F139" s="22" t="s">
        <v>683</v>
      </c>
      <c r="G139" s="22" t="s">
        <v>684</v>
      </c>
      <c r="J139" s="22" t="s">
        <v>670</v>
      </c>
      <c r="N139" s="3">
        <f t="shared" si="54"/>
        <v>0</v>
      </c>
      <c r="O139" s="4" t="e">
        <f>(C139-(C139*#REF!))-((C139-(C139*#REF!))*#REF!)</f>
        <v>#REF!</v>
      </c>
      <c r="P139" s="7"/>
      <c r="Q139" s="7"/>
      <c r="R139" s="5">
        <f t="shared" si="51"/>
        <v>0</v>
      </c>
      <c r="S139" s="4">
        <f t="shared" si="52"/>
        <v>0</v>
      </c>
      <c r="T139" s="13">
        <f t="shared" si="55"/>
        <v>314.99300000000005</v>
      </c>
      <c r="U139" s="13">
        <f t="shared" si="65"/>
        <v>157.49650000000003</v>
      </c>
      <c r="V139" s="14">
        <f>U139/C139</f>
        <v>0.35000000000000003</v>
      </c>
      <c r="W139" s="14"/>
      <c r="X139" s="19">
        <f t="shared" si="49"/>
        <v>157.49650000000003</v>
      </c>
      <c r="Y139" s="19">
        <f t="shared" si="50"/>
        <v>314.99300000000005</v>
      </c>
      <c r="Z139" s="15" t="e">
        <f t="shared" si="46"/>
        <v>#DIV/0!</v>
      </c>
      <c r="AA139" s="22" t="s">
        <v>685</v>
      </c>
      <c r="AG139" s="94" t="s">
        <v>52</v>
      </c>
      <c r="AH139" s="89" t="str">
        <f>VLOOKUP(AG139,Sheet1!$B$3:$D$36,2,FALSE)</f>
        <v>Furniture</v>
      </c>
      <c r="AI139" s="89" t="s">
        <v>515</v>
      </c>
      <c r="AJ139" s="1" t="str">
        <f t="shared" si="56"/>
        <v xml:space="preserve"> Ravello holder bluestone antique for article 21950</v>
      </c>
      <c r="AK139" s="1" t="str">
        <f t="shared" si="57"/>
        <v/>
      </c>
      <c r="AL139" s="1">
        <f t="shared" si="58"/>
        <v>0</v>
      </c>
      <c r="AM139" s="1">
        <f t="shared" si="59"/>
        <v>0</v>
      </c>
      <c r="AN139" s="1" t="str">
        <f t="shared" si="60"/>
        <v>0</v>
      </c>
      <c r="AQ139" s="1" t="str">
        <f t="shared" si="61"/>
        <v>A</v>
      </c>
      <c r="AR139" s="1" t="str">
        <f>VLOOKUP(TRIM(AI139),Sheet1!$D$3:$E$36,2,FALSE)</f>
        <v>02</v>
      </c>
      <c r="AS139" s="90" t="str">
        <f t="shared" si="62"/>
        <v>01</v>
      </c>
      <c r="AT139" s="1" t="str">
        <f t="shared" si="63"/>
        <v>01</v>
      </c>
      <c r="AU139" s="90"/>
      <c r="AV139" s="90"/>
      <c r="AW139" s="90"/>
      <c r="AX139" s="95" t="str">
        <f>AQ139&amp;AR139&amp;AS139&amp;"-"&amp;AT139&amp;AU139&amp;BA139</f>
        <v>A0201-01</v>
      </c>
      <c r="AY139" s="99" t="str">
        <f>AQ139&amp;AR139&amp;AS139&amp;"-"&amp;AT139&amp;BA139</f>
        <v>A0201-01</v>
      </c>
      <c r="AZ139" s="90"/>
      <c r="BA139" s="1" t="str">
        <f t="shared" si="64"/>
        <v/>
      </c>
      <c r="BC139" s="1">
        <f t="shared" si="47"/>
        <v>1</v>
      </c>
      <c r="BD139" s="90">
        <f t="shared" si="48"/>
        <v>1</v>
      </c>
      <c r="BE139" s="1">
        <f t="shared" si="44"/>
        <v>1</v>
      </c>
      <c r="BF139" s="1">
        <f t="shared" si="45"/>
        <v>1</v>
      </c>
      <c r="BJ139" t="s">
        <v>686</v>
      </c>
      <c r="BK139" s="1">
        <v>2</v>
      </c>
      <c r="BL139"/>
      <c r="BM139" t="str">
        <f t="shared" si="66"/>
        <v>Riquewihr rectangular bar-Riquewihr rectangular bar-</v>
      </c>
    </row>
    <row r="140" spans="1:65" ht="11.25" customHeight="1">
      <c r="A140" s="26" t="s">
        <v>687</v>
      </c>
      <c r="B140" s="27" t="s">
        <v>688</v>
      </c>
      <c r="C140" s="28">
        <v>189.99</v>
      </c>
      <c r="D140" s="28">
        <f t="shared" si="53"/>
        <v>94.995000000000005</v>
      </c>
      <c r="E140" s="22" t="s">
        <v>508</v>
      </c>
      <c r="F140" s="22" t="s">
        <v>689</v>
      </c>
      <c r="G140" s="22" t="s">
        <v>690</v>
      </c>
      <c r="J140" s="22" t="s">
        <v>646</v>
      </c>
      <c r="N140" s="3">
        <f t="shared" si="54"/>
        <v>0</v>
      </c>
      <c r="O140" s="4" t="e">
        <f>(C140-(C140*#REF!))-((C140-(C140*#REF!))*#REF!)</f>
        <v>#REF!</v>
      </c>
      <c r="P140" s="7"/>
      <c r="Q140" s="7"/>
      <c r="R140" s="5">
        <f t="shared" si="51"/>
        <v>0</v>
      </c>
      <c r="S140" s="4">
        <f t="shared" si="52"/>
        <v>0</v>
      </c>
      <c r="T140" s="13">
        <f t="shared" si="55"/>
        <v>132.99299999999999</v>
      </c>
      <c r="U140" s="13">
        <f t="shared" si="65"/>
        <v>66.496499999999997</v>
      </c>
      <c r="V140" s="14">
        <f>U140/C140</f>
        <v>0.35</v>
      </c>
      <c r="W140" s="14"/>
      <c r="X140" s="19">
        <f t="shared" si="49"/>
        <v>66.496499999999997</v>
      </c>
      <c r="Y140" s="19">
        <f t="shared" si="50"/>
        <v>132.99299999999999</v>
      </c>
      <c r="Z140" s="15" t="e">
        <f t="shared" si="46"/>
        <v>#DIV/0!</v>
      </c>
      <c r="AA140" s="22" t="s">
        <v>691</v>
      </c>
      <c r="AG140" s="94" t="s">
        <v>52</v>
      </c>
      <c r="AH140" s="89" t="str">
        <f>VLOOKUP(AG140,Sheet1!$B$3:$D$36,2,FALSE)</f>
        <v>Furniture</v>
      </c>
      <c r="AI140" s="89" t="s">
        <v>515</v>
      </c>
      <c r="AJ140" s="1" t="str">
        <f t="shared" si="56"/>
        <v xml:space="preserve"> Portofino umbrella for item 21950</v>
      </c>
      <c r="AK140" s="1" t="str">
        <f t="shared" si="57"/>
        <v/>
      </c>
      <c r="AL140" s="1">
        <f t="shared" si="58"/>
        <v>0</v>
      </c>
      <c r="AM140" s="1">
        <f t="shared" si="59"/>
        <v>0</v>
      </c>
      <c r="AN140" s="1" t="str">
        <f t="shared" si="60"/>
        <v>0</v>
      </c>
      <c r="AQ140" s="1" t="str">
        <f t="shared" si="61"/>
        <v>A</v>
      </c>
      <c r="AR140" s="1" t="str">
        <f>VLOOKUP(TRIM(AI140),Sheet1!$D$3:$E$36,2,FALSE)</f>
        <v>02</v>
      </c>
      <c r="AS140" s="90" t="str">
        <f t="shared" si="62"/>
        <v>01</v>
      </c>
      <c r="AT140" s="1" t="str">
        <f t="shared" si="63"/>
        <v>02</v>
      </c>
      <c r="AU140" s="90"/>
      <c r="AV140" s="90"/>
      <c r="AW140" s="90"/>
      <c r="AX140" s="95" t="str">
        <f>AQ140&amp;AR140&amp;AS140&amp;"-"&amp;AT140&amp;AU140&amp;BA140</f>
        <v>A0201-02</v>
      </c>
      <c r="AY140" s="99" t="str">
        <f>AQ140&amp;AR140&amp;AS140&amp;"-"&amp;AT140&amp;BA140</f>
        <v>A0201-02</v>
      </c>
      <c r="AZ140" s="90"/>
      <c r="BA140" s="1" t="str">
        <f t="shared" si="64"/>
        <v/>
      </c>
      <c r="BC140" s="1">
        <f t="shared" si="47"/>
        <v>1</v>
      </c>
      <c r="BD140" s="90">
        <f t="shared" si="48"/>
        <v>1</v>
      </c>
      <c r="BE140" s="1" t="str">
        <f t="shared" si="44"/>
        <v/>
      </c>
      <c r="BF140" s="1">
        <f t="shared" si="45"/>
        <v>2</v>
      </c>
      <c r="BJ140" t="s">
        <v>692</v>
      </c>
      <c r="BK140" s="1">
        <v>3</v>
      </c>
      <c r="BL140"/>
      <c r="BM140" t="str">
        <f t="shared" si="66"/>
        <v>Rocky End Stand-Rocky End Stand-Rocky End Stand-</v>
      </c>
    </row>
    <row r="141" spans="1:65" ht="11.25" customHeight="1">
      <c r="A141" s="26" t="s">
        <v>693</v>
      </c>
      <c r="B141" s="27" t="s">
        <v>694</v>
      </c>
      <c r="C141" s="28">
        <v>419.99</v>
      </c>
      <c r="D141" s="28">
        <f t="shared" si="53"/>
        <v>209.995</v>
      </c>
      <c r="E141" s="22" t="s">
        <v>508</v>
      </c>
      <c r="F141" s="22" t="s">
        <v>695</v>
      </c>
      <c r="G141" s="22" t="s">
        <v>696</v>
      </c>
      <c r="H141" s="22" t="s">
        <v>697</v>
      </c>
      <c r="I141" s="23" t="s">
        <v>698</v>
      </c>
      <c r="J141" s="22" t="s">
        <v>646</v>
      </c>
      <c r="L141" s="23">
        <v>70</v>
      </c>
      <c r="M141" s="23">
        <v>110</v>
      </c>
      <c r="N141" s="3">
        <f t="shared" si="54"/>
        <v>0.53900000000000003</v>
      </c>
      <c r="O141" s="4" t="e">
        <f>(C141-(C141*#REF!))-((C141-(C141*#REF!))*#REF!)</f>
        <v>#REF!</v>
      </c>
      <c r="P141" s="7"/>
      <c r="Q141" s="7"/>
      <c r="R141" s="5">
        <f t="shared" si="51"/>
        <v>0</v>
      </c>
      <c r="S141" s="4">
        <f t="shared" si="52"/>
        <v>0</v>
      </c>
      <c r="T141" s="13">
        <f t="shared" si="55"/>
        <v>293.99299999999999</v>
      </c>
      <c r="U141" s="13">
        <f t="shared" si="65"/>
        <v>146.9965</v>
      </c>
      <c r="V141" s="14">
        <f>U141/C141</f>
        <v>0.35</v>
      </c>
      <c r="W141" s="14"/>
      <c r="X141" s="19">
        <f t="shared" si="49"/>
        <v>146.9965</v>
      </c>
      <c r="Y141" s="19">
        <f t="shared" si="50"/>
        <v>293.99299999999999</v>
      </c>
      <c r="Z141" s="15" t="e">
        <f t="shared" si="46"/>
        <v>#DIV/0!</v>
      </c>
      <c r="AA141" s="22" t="s">
        <v>699</v>
      </c>
      <c r="AG141" s="94" t="s">
        <v>52</v>
      </c>
      <c r="AH141" s="89" t="str">
        <f>VLOOKUP(AG141,Sheet1!$B$3:$D$36,2,FALSE)</f>
        <v>Furniture</v>
      </c>
      <c r="AI141" s="89" t="s">
        <v>515</v>
      </c>
      <c r="AJ141" s="1" t="str">
        <f t="shared" si="56"/>
        <v>Zenith table Branch</v>
      </c>
      <c r="AK141" s="1" t="str">
        <f t="shared" si="57"/>
        <v>ø70 x h110</v>
      </c>
      <c r="AL141" s="1" t="str">
        <f t="shared" si="58"/>
        <v xml:space="preserve">teak branches semi-outdoor </v>
      </c>
      <c r="AM141" s="1" t="str">
        <f t="shared" si="59"/>
        <v xml:space="preserve">teak branches semi-outdoor </v>
      </c>
      <c r="AN141" s="1" t="str">
        <f t="shared" ref="AN141:AN142" si="67">SUBSTITUTE(AL141,"outdoor","")</f>
        <v xml:space="preserve">teak branches semi- </v>
      </c>
      <c r="AO141" s="1" t="s">
        <v>59</v>
      </c>
      <c r="AQ141" s="1" t="str">
        <f t="shared" si="61"/>
        <v>A</v>
      </c>
      <c r="AR141" s="1" t="str">
        <f>VLOOKUP(TRIM(AI141),Sheet1!$D$3:$E$36,2,FALSE)</f>
        <v>02</v>
      </c>
      <c r="AS141" s="90" t="str">
        <f t="shared" si="62"/>
        <v>01</v>
      </c>
      <c r="AT141" s="1" t="str">
        <f t="shared" si="63"/>
        <v>01</v>
      </c>
      <c r="AU141" s="90" t="s">
        <v>664</v>
      </c>
      <c r="AV141" s="90"/>
      <c r="AW141" s="90"/>
      <c r="AX141" s="95" t="str">
        <f>AQ141&amp;AR141&amp;AS141&amp;"-"&amp;AT141&amp;AU141&amp;BA141</f>
        <v>A0201-0127OUT</v>
      </c>
      <c r="AY141" s="99" t="str">
        <f>AQ141&amp;AR141&amp;AS141&amp;"-"&amp;AT141&amp;BA141</f>
        <v>A0201-01OUT</v>
      </c>
      <c r="AZ141" s="90"/>
      <c r="BA141" s="1" t="str">
        <f t="shared" si="64"/>
        <v>OUT</v>
      </c>
      <c r="BC141" s="1">
        <f t="shared" si="47"/>
        <v>1</v>
      </c>
      <c r="BD141" s="90">
        <f t="shared" si="48"/>
        <v>1</v>
      </c>
      <c r="BE141" s="1">
        <f t="shared" ref="BE141:BE204" si="68">IF(AK140&lt;&gt;AK141,1,"")</f>
        <v>1</v>
      </c>
      <c r="BF141" s="1">
        <f t="shared" ref="BF141:BF204" si="69">IF(BE141=1,1,BF140+1)</f>
        <v>1</v>
      </c>
      <c r="BJ141" t="s">
        <v>700</v>
      </c>
      <c r="BK141" s="1">
        <v>2</v>
      </c>
      <c r="BL141"/>
      <c r="BM141" t="str">
        <f t="shared" si="66"/>
        <v>Rood Divider-Rood Divider-</v>
      </c>
    </row>
    <row r="142" spans="1:65" ht="11.25" customHeight="1">
      <c r="A142" s="26" t="s">
        <v>701</v>
      </c>
      <c r="B142" s="27" t="s">
        <v>694</v>
      </c>
      <c r="C142" s="28">
        <v>399.99</v>
      </c>
      <c r="D142" s="28">
        <f t="shared" si="53"/>
        <v>199.995</v>
      </c>
      <c r="E142" s="22" t="s">
        <v>508</v>
      </c>
      <c r="F142" s="22" t="s">
        <v>702</v>
      </c>
      <c r="G142" s="22" t="s">
        <v>696</v>
      </c>
      <c r="H142" s="22" t="s">
        <v>703</v>
      </c>
      <c r="I142" s="23" t="s">
        <v>698</v>
      </c>
      <c r="J142" s="22" t="s">
        <v>646</v>
      </c>
      <c r="L142" s="23">
        <v>70</v>
      </c>
      <c r="M142" s="23">
        <v>90</v>
      </c>
      <c r="N142" s="3">
        <f t="shared" si="54"/>
        <v>0.441</v>
      </c>
      <c r="O142" s="4" t="e">
        <f>(C142-(C142*#REF!))-((C142-(C142*#REF!))*#REF!)</f>
        <v>#REF!</v>
      </c>
      <c r="P142" s="7"/>
      <c r="Q142" s="7"/>
      <c r="R142" s="5">
        <f t="shared" si="51"/>
        <v>0</v>
      </c>
      <c r="S142" s="4">
        <f t="shared" si="52"/>
        <v>0</v>
      </c>
      <c r="T142" s="13">
        <f t="shared" si="55"/>
        <v>279.99299999999999</v>
      </c>
      <c r="U142" s="13">
        <f t="shared" si="65"/>
        <v>139.9965</v>
      </c>
      <c r="V142" s="14">
        <f>U142/C142</f>
        <v>0.35</v>
      </c>
      <c r="W142" s="14"/>
      <c r="X142" s="19">
        <f t="shared" si="49"/>
        <v>139.9965</v>
      </c>
      <c r="Y142" s="19">
        <f t="shared" si="50"/>
        <v>279.99299999999999</v>
      </c>
      <c r="Z142" s="15" t="e">
        <f t="shared" si="46"/>
        <v>#DIV/0!</v>
      </c>
      <c r="AA142" s="22" t="s">
        <v>704</v>
      </c>
      <c r="AG142" s="94" t="s">
        <v>52</v>
      </c>
      <c r="AH142" s="89" t="str">
        <f>VLOOKUP(AG142,Sheet1!$B$3:$D$36,2,FALSE)</f>
        <v>Furniture</v>
      </c>
      <c r="AI142" s="89" t="s">
        <v>515</v>
      </c>
      <c r="AJ142" s="1" t="str">
        <f t="shared" si="56"/>
        <v>Zenith table Branch</v>
      </c>
      <c r="AK142" s="1" t="str">
        <f t="shared" si="57"/>
        <v>ø70 x h90</v>
      </c>
      <c r="AL142" s="1" t="str">
        <f t="shared" si="58"/>
        <v xml:space="preserve">teak branches semi-outdoor </v>
      </c>
      <c r="AM142" s="1" t="str">
        <f t="shared" si="59"/>
        <v xml:space="preserve">teak branches semi-outdoor </v>
      </c>
      <c r="AN142" s="1" t="str">
        <f t="shared" si="67"/>
        <v xml:space="preserve">teak branches semi- </v>
      </c>
      <c r="AO142" s="1" t="s">
        <v>59</v>
      </c>
      <c r="AQ142" s="1" t="str">
        <f t="shared" si="61"/>
        <v>A</v>
      </c>
      <c r="AR142" s="1" t="str">
        <f>VLOOKUP(TRIM(AI142),Sheet1!$D$3:$E$36,2,FALSE)</f>
        <v>02</v>
      </c>
      <c r="AS142" s="90" t="str">
        <f t="shared" si="62"/>
        <v>02</v>
      </c>
      <c r="AT142" s="1" t="str">
        <f t="shared" si="63"/>
        <v>01</v>
      </c>
      <c r="AU142" s="90" t="s">
        <v>664</v>
      </c>
      <c r="AV142" s="90"/>
      <c r="AW142" s="90"/>
      <c r="AX142" s="95" t="str">
        <f>AQ142&amp;AR142&amp;AS142&amp;"-"&amp;AT142&amp;AU142&amp;BA142</f>
        <v>A0202-0127OUT</v>
      </c>
      <c r="AY142" s="99" t="str">
        <f>AQ142&amp;AR142&amp;AS142&amp;"-"&amp;AT142&amp;BA142</f>
        <v>A0202-01OUT</v>
      </c>
      <c r="AZ142" s="90"/>
      <c r="BA142" s="1" t="str">
        <f t="shared" si="64"/>
        <v>OUT</v>
      </c>
      <c r="BC142" s="1" t="str">
        <f t="shared" si="47"/>
        <v/>
      </c>
      <c r="BD142" s="90">
        <f t="shared" si="48"/>
        <v>2</v>
      </c>
      <c r="BE142" s="1">
        <f t="shared" si="68"/>
        <v>1</v>
      </c>
      <c r="BF142" s="1">
        <f t="shared" si="69"/>
        <v>1</v>
      </c>
      <c r="BJ142" t="s">
        <v>129</v>
      </c>
      <c r="BK142" s="1">
        <v>6</v>
      </c>
      <c r="BL142"/>
      <c r="BM142" t="str">
        <f t="shared" si="66"/>
        <v>Rousse rectangular-Rousse rectangular-Rousse rectangular-Rousse rectangular-Rousse rectangular-Rousse rectangular-</v>
      </c>
    </row>
    <row r="143" spans="1:65" s="63" customFormat="1" ht="15.75">
      <c r="A143" s="65" t="s">
        <v>705</v>
      </c>
      <c r="B143" s="66"/>
      <c r="C143" s="67"/>
      <c r="D143" s="75"/>
      <c r="E143" s="68"/>
      <c r="F143" s="69"/>
      <c r="G143" s="68"/>
      <c r="H143" s="68"/>
      <c r="I143" s="65"/>
      <c r="J143" s="68"/>
      <c r="K143" s="65"/>
      <c r="L143" s="65"/>
      <c r="M143" s="65"/>
      <c r="N143" s="68"/>
      <c r="O143" s="68"/>
      <c r="P143" s="76"/>
      <c r="Q143" s="76"/>
      <c r="R143" s="77"/>
      <c r="S143" s="68"/>
      <c r="T143" s="78"/>
      <c r="U143" s="78"/>
      <c r="V143" s="75"/>
      <c r="W143" s="75"/>
      <c r="X143" s="75"/>
      <c r="Y143" s="75"/>
      <c r="Z143" s="79"/>
      <c r="AA143" s="68"/>
      <c r="AB143" s="66"/>
      <c r="AC143" s="66"/>
      <c r="AD143" s="66"/>
      <c r="AE143" s="66"/>
      <c r="AF143" s="66"/>
      <c r="AG143" s="94"/>
      <c r="AH143" s="89"/>
      <c r="AI143" s="89"/>
      <c r="AJ143" s="1"/>
      <c r="AK143" s="1"/>
      <c r="AL143" s="1"/>
      <c r="AM143" s="1"/>
      <c r="AQ143" s="1"/>
      <c r="AR143" s="1"/>
      <c r="AS143" s="90"/>
      <c r="AT143" s="1"/>
      <c r="AU143" s="90"/>
      <c r="AV143" s="90"/>
      <c r="AW143" s="90"/>
      <c r="AX143" s="95"/>
      <c r="AY143" s="99" t="str">
        <f>AQ143&amp;AR143&amp;AS143&amp;"-"&amp;AT143&amp;BA143</f>
        <v>-</v>
      </c>
      <c r="AZ143" s="90"/>
      <c r="BA143" s="1"/>
      <c r="BC143" s="1"/>
      <c r="BD143" s="90"/>
      <c r="BE143" s="1"/>
      <c r="BF143" s="1"/>
      <c r="BI143" s="1"/>
      <c r="BJ143" t="s">
        <v>115</v>
      </c>
      <c r="BK143" s="1">
        <v>2</v>
      </c>
      <c r="BL143"/>
      <c r="BM143" t="str">
        <f t="shared" si="66"/>
        <v>Rousse rectangular rustic-Rousse rectangular rustic-</v>
      </c>
    </row>
    <row r="144" spans="1:65" ht="11.25" customHeight="1">
      <c r="A144" s="26" t="s">
        <v>706</v>
      </c>
      <c r="B144" s="27" t="s">
        <v>707</v>
      </c>
      <c r="C144" s="28">
        <v>1319.99</v>
      </c>
      <c r="D144" s="28">
        <f t="shared" si="53"/>
        <v>659.995</v>
      </c>
      <c r="E144" s="22" t="s">
        <v>705</v>
      </c>
      <c r="F144" s="22" t="s">
        <v>708</v>
      </c>
      <c r="G144" s="22" t="s">
        <v>709</v>
      </c>
      <c r="H144" s="22" t="s">
        <v>710</v>
      </c>
      <c r="I144" s="23" t="s">
        <v>711</v>
      </c>
      <c r="J144" s="22" t="s">
        <v>50</v>
      </c>
      <c r="K144" s="23">
        <v>90</v>
      </c>
      <c r="L144" s="23">
        <v>90</v>
      </c>
      <c r="M144" s="23">
        <v>35</v>
      </c>
      <c r="N144" s="3">
        <f t="shared" si="54"/>
        <v>0.28349999999999997</v>
      </c>
      <c r="O144" s="4" t="e">
        <f>(C144-(C144*#REF!))-((C144-(C144*#REF!))*#REF!)</f>
        <v>#REF!</v>
      </c>
      <c r="P144" s="7">
        <v>1797740.03257928</v>
      </c>
      <c r="Q144" s="7">
        <v>0</v>
      </c>
      <c r="R144" s="5">
        <f t="shared" ref="R144:R158" si="70">P144+Q144</f>
        <v>1797740.03257928</v>
      </c>
      <c r="S144" s="4">
        <f t="shared" ref="S144:S158" si="71">R144/15000</f>
        <v>119.84933550528532</v>
      </c>
      <c r="T144" s="13">
        <f>C144-(C144*$T$1)</f>
        <v>923.99299999999994</v>
      </c>
      <c r="U144" s="13">
        <f t="shared" si="65"/>
        <v>461.99649999999997</v>
      </c>
      <c r="V144" s="14">
        <f>U144/C144</f>
        <v>0.35</v>
      </c>
      <c r="W144" s="14"/>
      <c r="X144" s="19">
        <f t="shared" ref="X144:X158" si="72">IF(ISBLANK(W144),U144, W144)</f>
        <v>461.99649999999997</v>
      </c>
      <c r="Y144" s="19">
        <f t="shared" ref="Y144:Y158" si="73">X144*2</f>
        <v>923.99299999999994</v>
      </c>
      <c r="Z144" s="15">
        <f t="shared" si="46"/>
        <v>3.8548106925434396</v>
      </c>
      <c r="AA144" s="22" t="s">
        <v>712</v>
      </c>
      <c r="AG144" s="94" t="s">
        <v>52</v>
      </c>
      <c r="AH144" s="89" t="str">
        <f>VLOOKUP(AG144,Sheet1!$B$3:$D$36,2,FALSE)</f>
        <v>Furniture</v>
      </c>
      <c r="AI144" s="89" t="s">
        <v>713</v>
      </c>
      <c r="AJ144" s="1" t="str">
        <f t="shared" si="56"/>
        <v>Grindelwald Rustic Village</v>
      </c>
      <c r="AK144" s="1" t="str">
        <f t="shared" si="57"/>
        <v>w90 x d90 x h35</v>
      </c>
      <c r="AL144" s="1" t="str">
        <f t="shared" si="58"/>
        <v>teak rustic</v>
      </c>
      <c r="AM144" s="1" t="str">
        <f t="shared" si="59"/>
        <v>teak rustic</v>
      </c>
      <c r="AN144" s="1" t="str">
        <f t="shared" ref="AN144:AN145" si="74">SUBSTITUTE(AL144,"indoor","")</f>
        <v>teak rustic</v>
      </c>
      <c r="AQ144" s="1" t="str">
        <f t="shared" si="61"/>
        <v>A</v>
      </c>
      <c r="AR144" s="1" t="str">
        <f>VLOOKUP(TRIM(AI144),Sheet1!$D$3:$E$36,2,FALSE)</f>
        <v>03</v>
      </c>
      <c r="AS144" s="90" t="str">
        <f t="shared" si="62"/>
        <v>01</v>
      </c>
      <c r="AT144" s="1" t="str">
        <f t="shared" si="63"/>
        <v>01</v>
      </c>
      <c r="AU144" s="90" t="s">
        <v>714</v>
      </c>
      <c r="AV144" s="90"/>
      <c r="AW144" s="90"/>
      <c r="AX144" s="95" t="str">
        <f>AQ144&amp;AR144&amp;AS144&amp;"-"&amp;AT144&amp;AU144&amp;BA144</f>
        <v>A0301-0133</v>
      </c>
      <c r="AY144" s="99" t="str">
        <f>AQ144&amp;AR144&amp;AS144&amp;"-"&amp;AT144&amp;BA144</f>
        <v>A0301-01</v>
      </c>
      <c r="AZ144" s="90"/>
      <c r="BA144" s="1" t="str">
        <f t="shared" si="64"/>
        <v/>
      </c>
      <c r="BC144" s="1">
        <f t="shared" si="47"/>
        <v>1</v>
      </c>
      <c r="BD144" s="90">
        <f t="shared" si="48"/>
        <v>1</v>
      </c>
      <c r="BE144" s="1">
        <f t="shared" si="68"/>
        <v>1</v>
      </c>
      <c r="BF144" s="1">
        <f t="shared" si="69"/>
        <v>1</v>
      </c>
      <c r="BJ144" t="s">
        <v>715</v>
      </c>
      <c r="BK144" s="1">
        <v>2</v>
      </c>
      <c r="BL144"/>
      <c r="BM144" t="str">
        <f t="shared" si="66"/>
        <v>Rüdesheim rectangular bar-Rüdesheim rectangular bar-</v>
      </c>
    </row>
    <row r="145" spans="1:65" ht="11.25" customHeight="1">
      <c r="A145" s="26" t="s">
        <v>716</v>
      </c>
      <c r="B145" s="27" t="s">
        <v>707</v>
      </c>
      <c r="C145" s="28">
        <v>889.99</v>
      </c>
      <c r="D145" s="28">
        <f t="shared" si="53"/>
        <v>444.995</v>
      </c>
      <c r="E145" s="22" t="s">
        <v>705</v>
      </c>
      <c r="F145" s="22" t="s">
        <v>717</v>
      </c>
      <c r="G145" s="22" t="s">
        <v>718</v>
      </c>
      <c r="H145" s="22" t="s">
        <v>719</v>
      </c>
      <c r="I145" s="23" t="s">
        <v>711</v>
      </c>
      <c r="J145" s="22" t="s">
        <v>50</v>
      </c>
      <c r="K145" s="23">
        <v>120</v>
      </c>
      <c r="L145" s="23">
        <v>40</v>
      </c>
      <c r="M145" s="23">
        <v>35</v>
      </c>
      <c r="N145" s="3">
        <f t="shared" si="54"/>
        <v>0.16800000000000001</v>
      </c>
      <c r="O145" s="4" t="e">
        <f>(C145-(C145*#REF!))-((C145-(C145*#REF!))*#REF!)</f>
        <v>#REF!</v>
      </c>
      <c r="P145" s="7">
        <v>1230847.1338546851</v>
      </c>
      <c r="Q145" s="7">
        <v>0</v>
      </c>
      <c r="R145" s="5">
        <f t="shared" si="70"/>
        <v>1230847.1338546851</v>
      </c>
      <c r="S145" s="4">
        <f t="shared" si="71"/>
        <v>82.056475590312346</v>
      </c>
      <c r="T145" s="13">
        <f t="shared" si="55"/>
        <v>622.99299999999994</v>
      </c>
      <c r="U145" s="13">
        <f t="shared" si="65"/>
        <v>311.49649999999997</v>
      </c>
      <c r="V145" s="14">
        <f>U145/C145</f>
        <v>0.35</v>
      </c>
      <c r="W145" s="14"/>
      <c r="X145" s="19">
        <f t="shared" si="72"/>
        <v>311.49649999999997</v>
      </c>
      <c r="Y145" s="19">
        <f t="shared" si="73"/>
        <v>622.99299999999994</v>
      </c>
      <c r="Z145" s="15">
        <f t="shared" si="46"/>
        <v>3.7961233133534131</v>
      </c>
      <c r="AA145" s="22" t="s">
        <v>720</v>
      </c>
      <c r="AG145" s="94" t="s">
        <v>52</v>
      </c>
      <c r="AH145" s="89" t="str">
        <f>VLOOKUP(AG145,Sheet1!$B$3:$D$36,2,FALSE)</f>
        <v>Furniture</v>
      </c>
      <c r="AI145" s="89" t="s">
        <v>713</v>
      </c>
      <c r="AJ145" s="1" t="str">
        <f t="shared" si="56"/>
        <v>Wengen Rustic Hamlet</v>
      </c>
      <c r="AK145" s="1" t="str">
        <f t="shared" si="57"/>
        <v>w120 x d40 x h35</v>
      </c>
      <c r="AL145" s="1" t="str">
        <f t="shared" si="58"/>
        <v>teak rustic</v>
      </c>
      <c r="AM145" s="1" t="str">
        <f t="shared" si="59"/>
        <v>teak rustic</v>
      </c>
      <c r="AN145" s="1" t="str">
        <f t="shared" si="74"/>
        <v>teak rustic</v>
      </c>
      <c r="AQ145" s="1" t="str">
        <f t="shared" si="61"/>
        <v>A</v>
      </c>
      <c r="AR145" s="1" t="str">
        <f>VLOOKUP(TRIM(AI145),Sheet1!$D$3:$E$36,2,FALSE)</f>
        <v>03</v>
      </c>
      <c r="AS145" s="90" t="str">
        <f t="shared" si="62"/>
        <v>01</v>
      </c>
      <c r="AT145" s="1" t="str">
        <f t="shared" si="63"/>
        <v>01</v>
      </c>
      <c r="AU145" s="90" t="s">
        <v>714</v>
      </c>
      <c r="AV145" s="90"/>
      <c r="AW145" s="90"/>
      <c r="AX145" s="95" t="str">
        <f>AQ145&amp;AR145&amp;AS145&amp;"-"&amp;AT145&amp;AU145&amp;BA145</f>
        <v>A0301-0133</v>
      </c>
      <c r="AY145" s="99" t="str">
        <f>AQ145&amp;AR145&amp;AS145&amp;"-"&amp;AT145&amp;BA145</f>
        <v>A0301-01</v>
      </c>
      <c r="AZ145" s="90"/>
      <c r="BA145" s="1" t="str">
        <f t="shared" si="64"/>
        <v/>
      </c>
      <c r="BC145" s="1">
        <f t="shared" si="47"/>
        <v>1</v>
      </c>
      <c r="BD145" s="90">
        <f t="shared" si="48"/>
        <v>1</v>
      </c>
      <c r="BE145" s="1">
        <f t="shared" si="68"/>
        <v>1</v>
      </c>
      <c r="BF145" s="1">
        <f t="shared" si="69"/>
        <v>1</v>
      </c>
      <c r="BJ145" t="s">
        <v>721</v>
      </c>
      <c r="BK145" s="1">
        <v>2</v>
      </c>
      <c r="BL145"/>
      <c r="BM145" t="str">
        <f t="shared" si="66"/>
        <v>Rye Bar Chair-Rye Bar Chair-</v>
      </c>
    </row>
    <row r="146" spans="1:65" ht="11.25" customHeight="1">
      <c r="A146" s="26" t="s">
        <v>722</v>
      </c>
      <c r="B146" s="27" t="s">
        <v>707</v>
      </c>
      <c r="C146" s="28">
        <v>2219.9899999999998</v>
      </c>
      <c r="D146" s="28">
        <f t="shared" si="53"/>
        <v>1109.9949999999999</v>
      </c>
      <c r="E146" s="22" t="s">
        <v>705</v>
      </c>
      <c r="F146" s="22" t="s">
        <v>723</v>
      </c>
      <c r="G146" s="22" t="s">
        <v>724</v>
      </c>
      <c r="H146" s="22" t="s">
        <v>725</v>
      </c>
      <c r="I146" s="23" t="s">
        <v>726</v>
      </c>
      <c r="J146" s="22" t="s">
        <v>50</v>
      </c>
      <c r="K146" s="23">
        <v>200</v>
      </c>
      <c r="L146" s="23">
        <v>100</v>
      </c>
      <c r="M146" s="23">
        <v>35</v>
      </c>
      <c r="N146" s="3">
        <f t="shared" si="54"/>
        <v>0.7</v>
      </c>
      <c r="O146" s="4" t="e">
        <f>(C146-(C146*#REF!))-((C146-(C146*#REF!))*#REF!)</f>
        <v>#REF!</v>
      </c>
      <c r="P146" s="7"/>
      <c r="Q146" s="7"/>
      <c r="R146" s="5">
        <f t="shared" si="70"/>
        <v>0</v>
      </c>
      <c r="S146" s="4">
        <f t="shared" si="71"/>
        <v>0</v>
      </c>
      <c r="T146" s="13">
        <f t="shared" si="55"/>
        <v>1553.9929999999999</v>
      </c>
      <c r="U146" s="13">
        <f t="shared" si="65"/>
        <v>776.99649999999997</v>
      </c>
      <c r="V146" s="14">
        <f>U146/C146</f>
        <v>0.35000000000000003</v>
      </c>
      <c r="W146" s="14"/>
      <c r="X146" s="19">
        <f t="shared" si="72"/>
        <v>776.99649999999997</v>
      </c>
      <c r="Y146" s="19">
        <f t="shared" si="73"/>
        <v>1553.9929999999999</v>
      </c>
      <c r="Z146" s="15" t="e">
        <f t="shared" si="46"/>
        <v>#DIV/0!</v>
      </c>
      <c r="AA146" s="22" t="s">
        <v>727</v>
      </c>
      <c r="AG146" s="94" t="s">
        <v>52</v>
      </c>
      <c r="AH146" s="89" t="str">
        <f>VLOOKUP(AG146,Sheet1!$B$3:$D$36,2,FALSE)</f>
        <v>Furniture</v>
      </c>
      <c r="AI146" s="89" t="s">
        <v>713</v>
      </c>
      <c r="AJ146" s="1" t="str">
        <f t="shared" si="56"/>
        <v>Hallstatt Rustic Town</v>
      </c>
      <c r="AK146" s="1" t="str">
        <f t="shared" si="57"/>
        <v>w200 x d100 x h35</v>
      </c>
      <c r="AL146" s="1" t="str">
        <f t="shared" si="58"/>
        <v>rustic teak indoor</v>
      </c>
      <c r="AM146" s="1" t="str">
        <f t="shared" si="59"/>
        <v>rustic teak indoor</v>
      </c>
      <c r="AN146" s="1" t="str">
        <f t="shared" ref="AN146:AN149" si="75">SUBSTITUTE(AL146,"indoor","")</f>
        <v xml:space="preserve">rustic teak </v>
      </c>
      <c r="AO146" s="1" t="s">
        <v>54</v>
      </c>
      <c r="AQ146" s="1" t="str">
        <f t="shared" si="61"/>
        <v>A</v>
      </c>
      <c r="AR146" s="1" t="str">
        <f>VLOOKUP(TRIM(AI146),Sheet1!$D$3:$E$36,2,FALSE)</f>
        <v>03</v>
      </c>
      <c r="AS146" s="90" t="str">
        <f t="shared" si="62"/>
        <v>01</v>
      </c>
      <c r="AT146" s="1" t="str">
        <f t="shared" si="63"/>
        <v>01</v>
      </c>
      <c r="AU146" s="90" t="s">
        <v>728</v>
      </c>
      <c r="AV146" s="90"/>
      <c r="AW146" s="90"/>
      <c r="AX146" s="95" t="str">
        <f>AQ146&amp;AR146&amp;AS146&amp;"-"&amp;AT146&amp;AU146&amp;BA146</f>
        <v>A0301-0120IND</v>
      </c>
      <c r="AY146" s="99" t="str">
        <f>AQ146&amp;AR146&amp;AS146&amp;"-"&amp;AT146&amp;BA146</f>
        <v>A0301-01IND</v>
      </c>
      <c r="AZ146" s="90"/>
      <c r="BA146" s="1" t="str">
        <f t="shared" si="64"/>
        <v>IND</v>
      </c>
      <c r="BC146" s="1">
        <f t="shared" si="47"/>
        <v>1</v>
      </c>
      <c r="BD146" s="90">
        <f t="shared" si="48"/>
        <v>1</v>
      </c>
      <c r="BE146" s="1">
        <f t="shared" si="68"/>
        <v>1</v>
      </c>
      <c r="BF146" s="1">
        <f t="shared" si="69"/>
        <v>1</v>
      </c>
      <c r="BJ146" t="s">
        <v>729</v>
      </c>
      <c r="BK146" s="1">
        <v>3</v>
      </c>
      <c r="BL146"/>
      <c r="BM146" t="str">
        <f t="shared" si="66"/>
        <v>Ryu server-Ryu server-Ryu server-</v>
      </c>
    </row>
    <row r="147" spans="1:65" ht="11.25" customHeight="1">
      <c r="A147" s="26" t="s">
        <v>730</v>
      </c>
      <c r="B147" s="27" t="s">
        <v>731</v>
      </c>
      <c r="C147" s="28">
        <v>1269.99</v>
      </c>
      <c r="D147" s="28">
        <f t="shared" si="53"/>
        <v>634.995</v>
      </c>
      <c r="E147" s="22" t="s">
        <v>705</v>
      </c>
      <c r="F147" s="22" t="s">
        <v>732</v>
      </c>
      <c r="G147" s="22" t="s">
        <v>733</v>
      </c>
      <c r="H147" s="22" t="s">
        <v>734</v>
      </c>
      <c r="I147" s="23" t="s">
        <v>726</v>
      </c>
      <c r="J147" s="22" t="s">
        <v>50</v>
      </c>
      <c r="K147" s="23">
        <v>80</v>
      </c>
      <c r="L147" s="23">
        <v>80</v>
      </c>
      <c r="M147" s="23">
        <v>35</v>
      </c>
      <c r="N147" s="3">
        <f t="shared" si="54"/>
        <v>0.224</v>
      </c>
      <c r="O147" s="4" t="e">
        <f>(C147-(C147*#REF!))-((C147-(C147*#REF!))*#REF!)</f>
        <v>#REF!</v>
      </c>
      <c r="P147" s="7"/>
      <c r="Q147" s="7"/>
      <c r="R147" s="5">
        <f t="shared" si="70"/>
        <v>0</v>
      </c>
      <c r="S147" s="4">
        <f t="shared" si="71"/>
        <v>0</v>
      </c>
      <c r="T147" s="13">
        <f t="shared" si="55"/>
        <v>888.99299999999994</v>
      </c>
      <c r="U147" s="13">
        <f t="shared" si="65"/>
        <v>444.49649999999997</v>
      </c>
      <c r="V147" s="14">
        <f>U147/C147</f>
        <v>0.35</v>
      </c>
      <c r="W147" s="14"/>
      <c r="X147" s="19">
        <f t="shared" si="72"/>
        <v>444.49649999999997</v>
      </c>
      <c r="Y147" s="19">
        <f t="shared" si="73"/>
        <v>888.99299999999994</v>
      </c>
      <c r="Z147" s="15" t="e">
        <f t="shared" si="46"/>
        <v>#DIV/0!</v>
      </c>
      <c r="AA147" s="22" t="s">
        <v>735</v>
      </c>
      <c r="AG147" s="94" t="s">
        <v>52</v>
      </c>
      <c r="AH147" s="89" t="str">
        <f>VLOOKUP(AG147,Sheet1!$B$3:$D$36,2,FALSE)</f>
        <v>Furniture</v>
      </c>
      <c r="AI147" s="89" t="s">
        <v>713</v>
      </c>
      <c r="AJ147" s="1" t="str">
        <f t="shared" si="56"/>
        <v>Ravello Wheels Hamlet</v>
      </c>
      <c r="AK147" s="1" t="str">
        <f t="shared" si="57"/>
        <v>w80 x d80 x h35</v>
      </c>
      <c r="AL147" s="1" t="str">
        <f t="shared" si="58"/>
        <v>rustic teak indoor</v>
      </c>
      <c r="AM147" s="1" t="str">
        <f t="shared" si="59"/>
        <v>rustic teak indoor</v>
      </c>
      <c r="AN147" s="1" t="str">
        <f t="shared" si="75"/>
        <v xml:space="preserve">rustic teak </v>
      </c>
      <c r="AO147" s="1" t="s">
        <v>54</v>
      </c>
      <c r="AQ147" s="1" t="str">
        <f t="shared" si="61"/>
        <v>A</v>
      </c>
      <c r="AR147" s="1" t="str">
        <f>VLOOKUP(TRIM(AI147),Sheet1!$D$3:$E$36,2,FALSE)</f>
        <v>03</v>
      </c>
      <c r="AS147" s="90" t="str">
        <f t="shared" si="62"/>
        <v>01</v>
      </c>
      <c r="AT147" s="1" t="str">
        <f t="shared" si="63"/>
        <v>01</v>
      </c>
      <c r="AU147" s="90" t="s">
        <v>728</v>
      </c>
      <c r="AV147" s="90"/>
      <c r="AW147" s="90"/>
      <c r="AX147" s="95" t="str">
        <f>AQ147&amp;AR147&amp;AS147&amp;"-"&amp;AT147&amp;AU147&amp;BA147</f>
        <v>A0301-0120IND</v>
      </c>
      <c r="AY147" s="99" t="str">
        <f>AQ147&amp;AR147&amp;AS147&amp;"-"&amp;AT147&amp;BA147</f>
        <v>A0301-01IND</v>
      </c>
      <c r="AZ147" s="90"/>
      <c r="BA147" s="1" t="str">
        <f t="shared" si="64"/>
        <v>IND</v>
      </c>
      <c r="BC147" s="1">
        <f t="shared" si="47"/>
        <v>1</v>
      </c>
      <c r="BD147" s="90">
        <f t="shared" si="48"/>
        <v>1</v>
      </c>
      <c r="BE147" s="1">
        <f t="shared" si="68"/>
        <v>1</v>
      </c>
      <c r="BF147" s="1">
        <f t="shared" si="69"/>
        <v>1</v>
      </c>
      <c r="BJ147" t="s">
        <v>736</v>
      </c>
      <c r="BK147" s="1">
        <v>2</v>
      </c>
      <c r="BL147"/>
      <c r="BM147" t="str">
        <f t="shared" si="66"/>
        <v>Saintes Bar Stool-Saintes Bar Stool-</v>
      </c>
    </row>
    <row r="148" spans="1:65" ht="11.25" customHeight="1">
      <c r="A148" s="26" t="s">
        <v>737</v>
      </c>
      <c r="B148" s="27" t="s">
        <v>731</v>
      </c>
      <c r="C148" s="28">
        <v>1169.99</v>
      </c>
      <c r="D148" s="28">
        <f t="shared" si="53"/>
        <v>584.995</v>
      </c>
      <c r="E148" s="22" t="s">
        <v>705</v>
      </c>
      <c r="F148" s="22" t="s">
        <v>738</v>
      </c>
      <c r="G148" s="22" t="s">
        <v>739</v>
      </c>
      <c r="H148" s="22" t="s">
        <v>740</v>
      </c>
      <c r="I148" s="23" t="s">
        <v>726</v>
      </c>
      <c r="J148" s="22" t="s">
        <v>50</v>
      </c>
      <c r="K148" s="23">
        <v>100</v>
      </c>
      <c r="L148" s="23">
        <v>40</v>
      </c>
      <c r="M148" s="23">
        <v>35</v>
      </c>
      <c r="N148" s="3">
        <f t="shared" si="54"/>
        <v>0.14000000000000001</v>
      </c>
      <c r="O148" s="4" t="e">
        <f>(C148-(C148*#REF!))-((C148-(C148*#REF!))*#REF!)</f>
        <v>#REF!</v>
      </c>
      <c r="P148" s="7"/>
      <c r="Q148" s="7"/>
      <c r="R148" s="5">
        <f t="shared" si="70"/>
        <v>0</v>
      </c>
      <c r="S148" s="4">
        <f t="shared" si="71"/>
        <v>0</v>
      </c>
      <c r="T148" s="13">
        <f t="shared" si="55"/>
        <v>818.99299999999994</v>
      </c>
      <c r="U148" s="13">
        <f t="shared" si="65"/>
        <v>409.49649999999997</v>
      </c>
      <c r="V148" s="14">
        <f>U148/C148</f>
        <v>0.35</v>
      </c>
      <c r="W148" s="14"/>
      <c r="X148" s="19">
        <f t="shared" si="72"/>
        <v>409.49649999999997</v>
      </c>
      <c r="Y148" s="19">
        <f t="shared" si="73"/>
        <v>818.99299999999994</v>
      </c>
      <c r="Z148" s="15" t="e">
        <f t="shared" si="46"/>
        <v>#DIV/0!</v>
      </c>
      <c r="AA148" s="22" t="s">
        <v>741</v>
      </c>
      <c r="AG148" s="94" t="s">
        <v>52</v>
      </c>
      <c r="AH148" s="89" t="str">
        <f>VLOOKUP(AG148,Sheet1!$B$3:$D$36,2,FALSE)</f>
        <v>Furniture</v>
      </c>
      <c r="AI148" s="89" t="s">
        <v>713</v>
      </c>
      <c r="AJ148" s="1" t="str">
        <f t="shared" si="56"/>
        <v>Positano Wheels Village</v>
      </c>
      <c r="AK148" s="1" t="str">
        <f t="shared" si="57"/>
        <v>w100 x d40 x h35</v>
      </c>
      <c r="AL148" s="1" t="str">
        <f t="shared" si="58"/>
        <v>rustic teak indoor</v>
      </c>
      <c r="AM148" s="1" t="str">
        <f t="shared" si="59"/>
        <v>rustic teak indoor</v>
      </c>
      <c r="AN148" s="1" t="str">
        <f t="shared" si="75"/>
        <v xml:space="preserve">rustic teak </v>
      </c>
      <c r="AO148" s="1" t="s">
        <v>54</v>
      </c>
      <c r="AQ148" s="1" t="str">
        <f t="shared" si="61"/>
        <v>A</v>
      </c>
      <c r="AR148" s="1" t="str">
        <f>VLOOKUP(TRIM(AI148),Sheet1!$D$3:$E$36,2,FALSE)</f>
        <v>03</v>
      </c>
      <c r="AS148" s="90" t="str">
        <f t="shared" si="62"/>
        <v>01</v>
      </c>
      <c r="AT148" s="1" t="str">
        <f t="shared" si="63"/>
        <v>01</v>
      </c>
      <c r="AU148" s="90" t="s">
        <v>728</v>
      </c>
      <c r="AV148" s="90"/>
      <c r="AW148" s="90"/>
      <c r="AX148" s="95" t="str">
        <f>AQ148&amp;AR148&amp;AS148&amp;"-"&amp;AT148&amp;AU148&amp;BA148</f>
        <v>A0301-0120IND</v>
      </c>
      <c r="AY148" s="99" t="str">
        <f>AQ148&amp;AR148&amp;AS148&amp;"-"&amp;AT148&amp;BA148</f>
        <v>A0301-01IND</v>
      </c>
      <c r="AZ148" s="90"/>
      <c r="BA148" s="1" t="str">
        <f t="shared" si="64"/>
        <v>IND</v>
      </c>
      <c r="BC148" s="1">
        <f t="shared" si="47"/>
        <v>1</v>
      </c>
      <c r="BD148" s="90">
        <f t="shared" si="48"/>
        <v>1</v>
      </c>
      <c r="BE148" s="1">
        <f t="shared" si="68"/>
        <v>1</v>
      </c>
      <c r="BF148" s="1">
        <f t="shared" si="69"/>
        <v>1</v>
      </c>
      <c r="BJ148" t="s">
        <v>742</v>
      </c>
      <c r="BK148" s="1">
        <v>5</v>
      </c>
      <c r="BL148"/>
      <c r="BM148" t="str">
        <f t="shared" si="66"/>
        <v>Sam-Sam-Sam-Sam-Sam-</v>
      </c>
    </row>
    <row r="149" spans="1:65" ht="11.25" customHeight="1">
      <c r="A149" s="26" t="s">
        <v>743</v>
      </c>
      <c r="B149" s="27" t="s">
        <v>731</v>
      </c>
      <c r="C149" s="28">
        <v>2229.9899999999998</v>
      </c>
      <c r="D149" s="28">
        <f t="shared" si="53"/>
        <v>1114.9949999999999</v>
      </c>
      <c r="E149" s="22" t="s">
        <v>705</v>
      </c>
      <c r="F149" s="22" t="s">
        <v>744</v>
      </c>
      <c r="G149" s="22" t="s">
        <v>745</v>
      </c>
      <c r="H149" s="22" t="s">
        <v>746</v>
      </c>
      <c r="I149" s="23" t="s">
        <v>726</v>
      </c>
      <c r="J149" s="22" t="s">
        <v>50</v>
      </c>
      <c r="K149" s="23">
        <v>220</v>
      </c>
      <c r="L149" s="23">
        <v>100</v>
      </c>
      <c r="M149" s="23">
        <v>35</v>
      </c>
      <c r="N149" s="3">
        <f t="shared" si="54"/>
        <v>0.77</v>
      </c>
      <c r="O149" s="4" t="e">
        <f>(C149-(C149*#REF!))-((C149-(C149*#REF!))*#REF!)</f>
        <v>#REF!</v>
      </c>
      <c r="P149" s="7">
        <v>3446702.751525241</v>
      </c>
      <c r="Q149" s="7">
        <v>0</v>
      </c>
      <c r="R149" s="5">
        <f t="shared" si="70"/>
        <v>3446702.751525241</v>
      </c>
      <c r="S149" s="4">
        <f t="shared" si="71"/>
        <v>229.78018343501606</v>
      </c>
      <c r="T149" s="13">
        <f t="shared" si="55"/>
        <v>1560.9929999999999</v>
      </c>
      <c r="U149" s="13">
        <f t="shared" si="65"/>
        <v>780.49649999999997</v>
      </c>
      <c r="V149" s="14">
        <f>U149/C149</f>
        <v>0.35000000000000003</v>
      </c>
      <c r="W149" s="14"/>
      <c r="X149" s="19">
        <f t="shared" si="72"/>
        <v>780.49649999999997</v>
      </c>
      <c r="Y149" s="19">
        <f t="shared" si="73"/>
        <v>1560.9929999999999</v>
      </c>
      <c r="Z149" s="15">
        <f t="shared" si="46"/>
        <v>3.3967093607997381</v>
      </c>
      <c r="AA149" s="22" t="s">
        <v>747</v>
      </c>
      <c r="AG149" s="94" t="s">
        <v>52</v>
      </c>
      <c r="AH149" s="89" t="str">
        <f>VLOOKUP(AG149,Sheet1!$B$3:$D$36,2,FALSE)</f>
        <v>Furniture</v>
      </c>
      <c r="AI149" s="89" t="s">
        <v>713</v>
      </c>
      <c r="AJ149" s="1" t="str">
        <f t="shared" si="56"/>
        <v>Santorini Wheels Town</v>
      </c>
      <c r="AK149" s="1" t="str">
        <f t="shared" si="57"/>
        <v>w220 x d100 x h35</v>
      </c>
      <c r="AL149" s="1" t="str">
        <f t="shared" si="58"/>
        <v>rustic teak indoor</v>
      </c>
      <c r="AM149" s="1" t="str">
        <f t="shared" si="59"/>
        <v>rustic teak indoor</v>
      </c>
      <c r="AN149" s="1" t="str">
        <f t="shared" si="75"/>
        <v xml:space="preserve">rustic teak </v>
      </c>
      <c r="AO149" s="1" t="s">
        <v>54</v>
      </c>
      <c r="AQ149" s="1" t="str">
        <f t="shared" si="61"/>
        <v>A</v>
      </c>
      <c r="AR149" s="1" t="str">
        <f>VLOOKUP(TRIM(AI149),Sheet1!$D$3:$E$36,2,FALSE)</f>
        <v>03</v>
      </c>
      <c r="AS149" s="90" t="str">
        <f t="shared" si="62"/>
        <v>01</v>
      </c>
      <c r="AT149" s="1" t="str">
        <f t="shared" si="63"/>
        <v>01</v>
      </c>
      <c r="AU149" s="90" t="s">
        <v>728</v>
      </c>
      <c r="AV149" s="90"/>
      <c r="AW149" s="90"/>
      <c r="AX149" s="95" t="str">
        <f>AQ149&amp;AR149&amp;AS149&amp;"-"&amp;AT149&amp;AU149&amp;BA149</f>
        <v>A0301-0120IND</v>
      </c>
      <c r="AY149" s="99" t="str">
        <f>AQ149&amp;AR149&amp;AS149&amp;"-"&amp;AT149&amp;BA149</f>
        <v>A0301-01IND</v>
      </c>
      <c r="AZ149" s="90"/>
      <c r="BA149" s="1" t="str">
        <f t="shared" si="64"/>
        <v>IND</v>
      </c>
      <c r="BC149" s="1">
        <f t="shared" si="47"/>
        <v>1</v>
      </c>
      <c r="BD149" s="90">
        <f t="shared" si="48"/>
        <v>1</v>
      </c>
      <c r="BE149" s="1">
        <f t="shared" si="68"/>
        <v>1</v>
      </c>
      <c r="BF149" s="1">
        <f t="shared" si="69"/>
        <v>1</v>
      </c>
      <c r="BJ149" t="s">
        <v>748</v>
      </c>
      <c r="BK149" s="1">
        <v>4</v>
      </c>
      <c r="BL149"/>
      <c r="BM149" t="str">
        <f t="shared" si="66"/>
        <v>Santorini round bar table-Santorini round bar table-Santorini round bar table-Santorini round bar table-</v>
      </c>
    </row>
    <row r="150" spans="1:65" ht="11.25" customHeight="1">
      <c r="A150" s="26" t="s">
        <v>749</v>
      </c>
      <c r="B150" s="27" t="s">
        <v>750</v>
      </c>
      <c r="C150" s="28">
        <v>1539.99</v>
      </c>
      <c r="D150" s="28">
        <f t="shared" si="53"/>
        <v>769.995</v>
      </c>
      <c r="E150" s="22" t="s">
        <v>705</v>
      </c>
      <c r="F150" s="22" t="s">
        <v>751</v>
      </c>
      <c r="G150" s="22" t="s">
        <v>752</v>
      </c>
      <c r="H150" s="22" t="s">
        <v>753</v>
      </c>
      <c r="I150" s="23" t="s">
        <v>754</v>
      </c>
      <c r="J150" s="22" t="s">
        <v>50</v>
      </c>
      <c r="K150" s="23">
        <v>120</v>
      </c>
      <c r="L150" s="23">
        <v>120</v>
      </c>
      <c r="M150" s="23">
        <v>35</v>
      </c>
      <c r="N150" s="3">
        <f t="shared" si="54"/>
        <v>0.504</v>
      </c>
      <c r="O150" s="4" t="e">
        <f>(C150-(C150*#REF!))-((C150-(C150*#REF!))*#REF!)</f>
        <v>#REF!</v>
      </c>
      <c r="P150" s="7"/>
      <c r="Q150" s="7"/>
      <c r="R150" s="5">
        <f t="shared" si="70"/>
        <v>0</v>
      </c>
      <c r="S150" s="4">
        <f t="shared" si="71"/>
        <v>0</v>
      </c>
      <c r="T150" s="13">
        <f t="shared" si="55"/>
        <v>1077.9929999999999</v>
      </c>
      <c r="U150" s="13">
        <f t="shared" si="65"/>
        <v>538.99649999999997</v>
      </c>
      <c r="V150" s="14">
        <f>U150/C150</f>
        <v>0.35</v>
      </c>
      <c r="W150" s="14"/>
      <c r="X150" s="19">
        <f t="shared" si="72"/>
        <v>538.99649999999997</v>
      </c>
      <c r="Y150" s="19">
        <f t="shared" si="73"/>
        <v>1077.9929999999999</v>
      </c>
      <c r="Z150" s="15" t="e">
        <f t="shared" si="46"/>
        <v>#DIV/0!</v>
      </c>
      <c r="AA150" s="22" t="s">
        <v>755</v>
      </c>
      <c r="AG150" s="94" t="s">
        <v>52</v>
      </c>
      <c r="AH150" s="89" t="str">
        <f>VLOOKUP(AG150,Sheet1!$B$3:$D$36,2,FALSE)</f>
        <v>Furniture</v>
      </c>
      <c r="AI150" s="89" t="s">
        <v>713</v>
      </c>
      <c r="AJ150" s="1" t="str">
        <f t="shared" si="56"/>
        <v>Riquewihr Mendoza Village</v>
      </c>
      <c r="AK150" s="1" t="str">
        <f t="shared" si="57"/>
        <v>w120 x d120 x h35</v>
      </c>
      <c r="AL150" s="1" t="str">
        <f t="shared" si="58"/>
        <v>teak reailway outdoor</v>
      </c>
      <c r="AM150" s="1" t="str">
        <f t="shared" si="59"/>
        <v>teak reailway outdoor</v>
      </c>
      <c r="AN150" s="1" t="str">
        <f t="shared" ref="AN150:AN158" si="76">SUBSTITUTE(AL150,"outdoor","")</f>
        <v xml:space="preserve">teak reailway </v>
      </c>
      <c r="AO150" s="1" t="s">
        <v>59</v>
      </c>
      <c r="AQ150" s="1" t="str">
        <f t="shared" si="61"/>
        <v>A</v>
      </c>
      <c r="AR150" s="1" t="str">
        <f>VLOOKUP(TRIM(AI150),Sheet1!$D$3:$E$36,2,FALSE)</f>
        <v>03</v>
      </c>
      <c r="AS150" s="90" t="str">
        <f t="shared" si="62"/>
        <v>01</v>
      </c>
      <c r="AT150" s="1" t="str">
        <f t="shared" si="63"/>
        <v>01</v>
      </c>
      <c r="AU150" s="90" t="s">
        <v>756</v>
      </c>
      <c r="AV150" s="90"/>
      <c r="AW150" s="90"/>
      <c r="AX150" s="95" t="str">
        <f>AQ150&amp;AR150&amp;AS150&amp;"-"&amp;AT150&amp;AU150&amp;BA150</f>
        <v>A0301-0131OUT</v>
      </c>
      <c r="AY150" s="99" t="str">
        <f>AQ150&amp;AR150&amp;AS150&amp;"-"&amp;AT150&amp;BA150</f>
        <v>A0301-01OUT</v>
      </c>
      <c r="AZ150" s="90"/>
      <c r="BA150" s="1" t="str">
        <f t="shared" si="64"/>
        <v>OUT</v>
      </c>
      <c r="BC150" s="1">
        <f t="shared" si="47"/>
        <v>1</v>
      </c>
      <c r="BD150" s="90">
        <f t="shared" si="48"/>
        <v>1</v>
      </c>
      <c r="BE150" s="1">
        <f t="shared" si="68"/>
        <v>1</v>
      </c>
      <c r="BF150" s="1">
        <f t="shared" si="69"/>
        <v>1</v>
      </c>
      <c r="BJ150" t="s">
        <v>757</v>
      </c>
      <c r="BK150" s="1">
        <v>2</v>
      </c>
      <c r="BL150"/>
      <c r="BM150" t="str">
        <f t="shared" si="66"/>
        <v>Shaw-Shaw-</v>
      </c>
    </row>
    <row r="151" spans="1:65" ht="11.25" customHeight="1">
      <c r="A151" s="26" t="s">
        <v>758</v>
      </c>
      <c r="B151" s="27" t="s">
        <v>750</v>
      </c>
      <c r="C151" s="28">
        <v>899.99</v>
      </c>
      <c r="D151" s="28">
        <f t="shared" si="53"/>
        <v>449.995</v>
      </c>
      <c r="E151" s="22" t="s">
        <v>705</v>
      </c>
      <c r="F151" s="22" t="s">
        <v>759</v>
      </c>
      <c r="G151" s="22" t="s">
        <v>760</v>
      </c>
      <c r="H151" s="22" t="s">
        <v>761</v>
      </c>
      <c r="I151" s="23" t="s">
        <v>754</v>
      </c>
      <c r="J151" s="22" t="s">
        <v>50</v>
      </c>
      <c r="K151" s="23">
        <v>120</v>
      </c>
      <c r="L151" s="23">
        <v>35</v>
      </c>
      <c r="M151" s="23">
        <v>35</v>
      </c>
      <c r="N151" s="3">
        <f t="shared" si="54"/>
        <v>0.14699999999999999</v>
      </c>
      <c r="O151" s="4" t="e">
        <f>(C151-(C151*#REF!))-((C151-(C151*#REF!))*#REF!)</f>
        <v>#REF!</v>
      </c>
      <c r="P151" s="7"/>
      <c r="Q151" s="7"/>
      <c r="R151" s="5">
        <f t="shared" si="70"/>
        <v>0</v>
      </c>
      <c r="S151" s="4">
        <f t="shared" si="71"/>
        <v>0</v>
      </c>
      <c r="T151" s="13">
        <f t="shared" si="55"/>
        <v>629.99299999999994</v>
      </c>
      <c r="U151" s="13">
        <f t="shared" si="65"/>
        <v>314.99649999999997</v>
      </c>
      <c r="V151" s="14">
        <f>U151/C151</f>
        <v>0.35</v>
      </c>
      <c r="W151" s="14"/>
      <c r="X151" s="19">
        <f t="shared" si="72"/>
        <v>314.99649999999997</v>
      </c>
      <c r="Y151" s="19">
        <f t="shared" si="73"/>
        <v>629.99299999999994</v>
      </c>
      <c r="Z151" s="15" t="e">
        <f t="shared" si="46"/>
        <v>#DIV/0!</v>
      </c>
      <c r="AA151" s="22" t="s">
        <v>762</v>
      </c>
      <c r="AG151" s="94" t="s">
        <v>52</v>
      </c>
      <c r="AH151" s="89" t="str">
        <f>VLOOKUP(AG151,Sheet1!$B$3:$D$36,2,FALSE)</f>
        <v>Furniture</v>
      </c>
      <c r="AI151" s="89" t="s">
        <v>713</v>
      </c>
      <c r="AJ151" s="1" t="str">
        <f t="shared" si="56"/>
        <v>Colmar Mendoza Town</v>
      </c>
      <c r="AK151" s="1" t="str">
        <f t="shared" si="57"/>
        <v>w120 x d35 x h35</v>
      </c>
      <c r="AL151" s="1" t="str">
        <f t="shared" si="58"/>
        <v>teak reailway outdoor</v>
      </c>
      <c r="AM151" s="1" t="str">
        <f t="shared" si="59"/>
        <v>teak reailway outdoor</v>
      </c>
      <c r="AN151" s="1" t="str">
        <f t="shared" si="76"/>
        <v xml:space="preserve">teak reailway </v>
      </c>
      <c r="AO151" s="1" t="s">
        <v>59</v>
      </c>
      <c r="AQ151" s="1" t="str">
        <f t="shared" si="61"/>
        <v>A</v>
      </c>
      <c r="AR151" s="1" t="str">
        <f>VLOOKUP(TRIM(AI151),Sheet1!$D$3:$E$36,2,FALSE)</f>
        <v>03</v>
      </c>
      <c r="AS151" s="90" t="str">
        <f t="shared" si="62"/>
        <v>01</v>
      </c>
      <c r="AT151" s="1" t="str">
        <f t="shared" si="63"/>
        <v>01</v>
      </c>
      <c r="AU151" s="90" t="s">
        <v>756</v>
      </c>
      <c r="AV151" s="90"/>
      <c r="AW151" s="90"/>
      <c r="AX151" s="95" t="str">
        <f>AQ151&amp;AR151&amp;AS151&amp;"-"&amp;AT151&amp;AU151&amp;BA151</f>
        <v>A0301-0131OUT</v>
      </c>
      <c r="AY151" s="99" t="str">
        <f>AQ151&amp;AR151&amp;AS151&amp;"-"&amp;AT151&amp;BA151</f>
        <v>A0301-01OUT</v>
      </c>
      <c r="AZ151" s="90"/>
      <c r="BA151" s="1" t="str">
        <f t="shared" si="64"/>
        <v>OUT</v>
      </c>
      <c r="BC151" s="1">
        <f t="shared" si="47"/>
        <v>1</v>
      </c>
      <c r="BD151" s="90">
        <f t="shared" si="48"/>
        <v>1</v>
      </c>
      <c r="BE151" s="1">
        <f t="shared" si="68"/>
        <v>1</v>
      </c>
      <c r="BF151" s="1">
        <f t="shared" si="69"/>
        <v>1</v>
      </c>
      <c r="BJ151" t="s">
        <v>763</v>
      </c>
      <c r="BK151" s="1">
        <v>4</v>
      </c>
      <c r="BL151"/>
      <c r="BM151" t="str">
        <f t="shared" si="66"/>
        <v>Silva-Silva-Silva-Silva-</v>
      </c>
    </row>
    <row r="152" spans="1:65" ht="11.25" customHeight="1">
      <c r="A152" s="26" t="s">
        <v>764</v>
      </c>
      <c r="B152" s="27" t="s">
        <v>750</v>
      </c>
      <c r="C152" s="28">
        <v>1919.99</v>
      </c>
      <c r="D152" s="28">
        <f t="shared" si="53"/>
        <v>959.995</v>
      </c>
      <c r="E152" s="22" t="s">
        <v>705</v>
      </c>
      <c r="F152" s="22" t="s">
        <v>765</v>
      </c>
      <c r="G152" s="22" t="s">
        <v>766</v>
      </c>
      <c r="H152" s="22" t="s">
        <v>767</v>
      </c>
      <c r="I152" s="23" t="s">
        <v>754</v>
      </c>
      <c r="J152" s="22" t="s">
        <v>50</v>
      </c>
      <c r="K152" s="23">
        <v>180</v>
      </c>
      <c r="L152" s="23">
        <v>85</v>
      </c>
      <c r="M152" s="23">
        <v>35</v>
      </c>
      <c r="N152" s="3">
        <f t="shared" si="54"/>
        <v>0.53549999999999998</v>
      </c>
      <c r="O152" s="4" t="e">
        <f>(C152-(C152*#REF!))-((C152-(C152*#REF!))*#REF!)</f>
        <v>#REF!</v>
      </c>
      <c r="P152" s="7">
        <v>4317625.9671567166</v>
      </c>
      <c r="Q152" s="7">
        <v>0</v>
      </c>
      <c r="R152" s="5">
        <f t="shared" si="70"/>
        <v>4317625.9671567166</v>
      </c>
      <c r="S152" s="4">
        <f t="shared" si="71"/>
        <v>287.84173114378109</v>
      </c>
      <c r="T152" s="13">
        <f t="shared" si="55"/>
        <v>1343.9929999999999</v>
      </c>
      <c r="U152" s="13">
        <f t="shared" si="65"/>
        <v>671.99649999999997</v>
      </c>
      <c r="V152" s="14">
        <f>U152/C152</f>
        <v>0.35</v>
      </c>
      <c r="W152" s="14"/>
      <c r="X152" s="19">
        <f t="shared" si="72"/>
        <v>671.99649999999997</v>
      </c>
      <c r="Y152" s="19">
        <f t="shared" si="73"/>
        <v>1343.9929999999999</v>
      </c>
      <c r="Z152" s="15">
        <f t="shared" si="46"/>
        <v>2.3346041497517538</v>
      </c>
      <c r="AA152" s="22" t="s">
        <v>768</v>
      </c>
      <c r="AG152" s="94" t="s">
        <v>52</v>
      </c>
      <c r="AH152" s="89" t="str">
        <f>VLOOKUP(AG152,Sheet1!$B$3:$D$36,2,FALSE)</f>
        <v>Furniture</v>
      </c>
      <c r="AI152" s="89" t="s">
        <v>713</v>
      </c>
      <c r="AJ152" s="1" t="str">
        <f t="shared" si="56"/>
        <v>Sintra Mendoza Hamlet</v>
      </c>
      <c r="AK152" s="1" t="str">
        <f t="shared" si="57"/>
        <v>w180 x d85 x h35</v>
      </c>
      <c r="AL152" s="1" t="str">
        <f t="shared" si="58"/>
        <v>teak reailway outdoor</v>
      </c>
      <c r="AM152" s="1" t="str">
        <f t="shared" si="59"/>
        <v>teak reailway outdoor</v>
      </c>
      <c r="AN152" s="1" t="str">
        <f t="shared" si="76"/>
        <v xml:space="preserve">teak reailway </v>
      </c>
      <c r="AO152" s="1" t="s">
        <v>59</v>
      </c>
      <c r="AQ152" s="1" t="str">
        <f t="shared" si="61"/>
        <v>A</v>
      </c>
      <c r="AR152" s="1" t="str">
        <f>VLOOKUP(TRIM(AI152),Sheet1!$D$3:$E$36,2,FALSE)</f>
        <v>03</v>
      </c>
      <c r="AS152" s="90" t="str">
        <f t="shared" si="62"/>
        <v>01</v>
      </c>
      <c r="AT152" s="1" t="str">
        <f t="shared" si="63"/>
        <v>01</v>
      </c>
      <c r="AU152" s="90" t="s">
        <v>756</v>
      </c>
      <c r="AV152" s="90"/>
      <c r="AW152" s="90"/>
      <c r="AX152" s="95" t="str">
        <f>AQ152&amp;AR152&amp;AS152&amp;"-"&amp;AT152&amp;AU152&amp;BA152</f>
        <v>A0301-0131OUT</v>
      </c>
      <c r="AY152" s="99" t="str">
        <f>AQ152&amp;AR152&amp;AS152&amp;"-"&amp;AT152&amp;BA152</f>
        <v>A0301-01OUT</v>
      </c>
      <c r="AZ152" s="90"/>
      <c r="BA152" s="1" t="str">
        <f t="shared" si="64"/>
        <v>OUT</v>
      </c>
      <c r="BC152" s="1">
        <f t="shared" si="47"/>
        <v>1</v>
      </c>
      <c r="BD152" s="90">
        <f t="shared" si="48"/>
        <v>1</v>
      </c>
      <c r="BE152" s="1">
        <f t="shared" si="68"/>
        <v>1</v>
      </c>
      <c r="BF152" s="1">
        <f t="shared" si="69"/>
        <v>1</v>
      </c>
      <c r="BJ152" t="s">
        <v>769</v>
      </c>
      <c r="BK152" s="1">
        <v>2</v>
      </c>
      <c r="BL152"/>
      <c r="BM152" t="str">
        <f t="shared" si="66"/>
        <v>Sintra rectangular bar-Sintra rectangular bar-</v>
      </c>
    </row>
    <row r="153" spans="1:65" ht="11.25" customHeight="1">
      <c r="A153" s="26" t="s">
        <v>770</v>
      </c>
      <c r="B153" s="27" t="s">
        <v>750</v>
      </c>
      <c r="C153" s="28">
        <v>1849.99</v>
      </c>
      <c r="D153" s="28">
        <f t="shared" si="53"/>
        <v>924.995</v>
      </c>
      <c r="E153" s="22" t="s">
        <v>705</v>
      </c>
      <c r="F153" s="22" t="s">
        <v>771</v>
      </c>
      <c r="G153" s="22" t="s">
        <v>772</v>
      </c>
      <c r="H153" s="22" t="s">
        <v>773</v>
      </c>
      <c r="I153" s="23" t="s">
        <v>754</v>
      </c>
      <c r="J153" s="22" t="s">
        <v>50</v>
      </c>
      <c r="K153" s="23">
        <v>200</v>
      </c>
      <c r="L153" s="23">
        <v>90</v>
      </c>
      <c r="M153" s="23">
        <v>35</v>
      </c>
      <c r="N153" s="3">
        <f t="shared" si="54"/>
        <v>0.63</v>
      </c>
      <c r="O153" s="4" t="e">
        <f>(C153-(C153*#REF!))-((C153-(C153*#REF!))*#REF!)</f>
        <v>#REF!</v>
      </c>
      <c r="P153" s="7"/>
      <c r="Q153" s="7"/>
      <c r="R153" s="5">
        <f t="shared" si="70"/>
        <v>0</v>
      </c>
      <c r="S153" s="4">
        <f t="shared" si="71"/>
        <v>0</v>
      </c>
      <c r="T153" s="13">
        <f t="shared" si="55"/>
        <v>1294.9929999999999</v>
      </c>
      <c r="U153" s="13">
        <f t="shared" si="65"/>
        <v>647.49649999999997</v>
      </c>
      <c r="V153" s="14">
        <f>U153/C153</f>
        <v>0.35</v>
      </c>
      <c r="W153" s="14"/>
      <c r="X153" s="19">
        <f t="shared" si="72"/>
        <v>647.49649999999997</v>
      </c>
      <c r="Y153" s="19">
        <f t="shared" si="73"/>
        <v>1294.9929999999999</v>
      </c>
      <c r="Z153" s="15" t="e">
        <f t="shared" si="46"/>
        <v>#DIV/0!</v>
      </c>
      <c r="AA153" s="22" t="s">
        <v>774</v>
      </c>
      <c r="AG153" s="94" t="s">
        <v>52</v>
      </c>
      <c r="AH153" s="89" t="str">
        <f>VLOOKUP(AG153,Sheet1!$B$3:$D$36,2,FALSE)</f>
        <v>Furniture</v>
      </c>
      <c r="AI153" s="89" t="s">
        <v>713</v>
      </c>
      <c r="AJ153" s="1" t="str">
        <f t="shared" si="56"/>
        <v>Zermatt Mendoza Village</v>
      </c>
      <c r="AK153" s="1" t="str">
        <f t="shared" si="57"/>
        <v>w200 x d90 x h35</v>
      </c>
      <c r="AL153" s="1" t="str">
        <f t="shared" si="58"/>
        <v>teak reailway outdoor</v>
      </c>
      <c r="AM153" s="1" t="str">
        <f t="shared" si="59"/>
        <v>teak reailway outdoor</v>
      </c>
      <c r="AN153" s="1" t="str">
        <f t="shared" si="76"/>
        <v xml:space="preserve">teak reailway </v>
      </c>
      <c r="AO153" s="1" t="s">
        <v>59</v>
      </c>
      <c r="AQ153" s="1" t="str">
        <f t="shared" si="61"/>
        <v>A</v>
      </c>
      <c r="AR153" s="1" t="str">
        <f>VLOOKUP(TRIM(AI153),Sheet1!$D$3:$E$36,2,FALSE)</f>
        <v>03</v>
      </c>
      <c r="AS153" s="90" t="str">
        <f t="shared" si="62"/>
        <v>01</v>
      </c>
      <c r="AT153" s="1" t="str">
        <f t="shared" si="63"/>
        <v>01</v>
      </c>
      <c r="AU153" s="90" t="s">
        <v>756</v>
      </c>
      <c r="AV153" s="90"/>
      <c r="AW153" s="90"/>
      <c r="AX153" s="95" t="str">
        <f>AQ153&amp;AR153&amp;AS153&amp;"-"&amp;AT153&amp;AU153&amp;BA153</f>
        <v>A0301-0131OUT</v>
      </c>
      <c r="AY153" s="99" t="str">
        <f>AQ153&amp;AR153&amp;AS153&amp;"-"&amp;AT153&amp;BA153</f>
        <v>A0301-01OUT</v>
      </c>
      <c r="AZ153" s="90"/>
      <c r="BA153" s="1" t="str">
        <f t="shared" si="64"/>
        <v>OUT</v>
      </c>
      <c r="BC153" s="1">
        <f t="shared" si="47"/>
        <v>1</v>
      </c>
      <c r="BD153" s="90">
        <f t="shared" si="48"/>
        <v>1</v>
      </c>
      <c r="BE153" s="1">
        <f t="shared" si="68"/>
        <v>1</v>
      </c>
      <c r="BF153" s="1">
        <f t="shared" si="69"/>
        <v>1</v>
      </c>
      <c r="BJ153" t="s">
        <v>219</v>
      </c>
      <c r="BK153" s="1">
        <v>4</v>
      </c>
      <c r="BL153"/>
      <c r="BM153" t="str">
        <f t="shared" si="66"/>
        <v>Sliv rectangular-Sliv rectangular-Sliv rectangular-Sliv rectangular-</v>
      </c>
    </row>
    <row r="154" spans="1:65" ht="11.25" customHeight="1">
      <c r="A154" s="26" t="s">
        <v>775</v>
      </c>
      <c r="B154" s="27" t="s">
        <v>750</v>
      </c>
      <c r="C154" s="28">
        <v>2609.9899999999998</v>
      </c>
      <c r="D154" s="28">
        <f t="shared" si="53"/>
        <v>1304.9949999999999</v>
      </c>
      <c r="E154" s="22" t="s">
        <v>705</v>
      </c>
      <c r="F154" s="22" t="s">
        <v>776</v>
      </c>
      <c r="G154" s="22" t="s">
        <v>777</v>
      </c>
      <c r="H154" s="22" t="s">
        <v>778</v>
      </c>
      <c r="I154" s="23" t="s">
        <v>754</v>
      </c>
      <c r="J154" s="22" t="s">
        <v>50</v>
      </c>
      <c r="K154" s="23">
        <v>260</v>
      </c>
      <c r="L154" s="23">
        <v>80</v>
      </c>
      <c r="M154" s="23">
        <v>35</v>
      </c>
      <c r="N154" s="3">
        <f t="shared" si="54"/>
        <v>0.72799999999999998</v>
      </c>
      <c r="O154" s="4" t="e">
        <f>(C154-(C154*#REF!))-((C154-(C154*#REF!))*#REF!)</f>
        <v>#REF!</v>
      </c>
      <c r="P154" s="7"/>
      <c r="Q154" s="7"/>
      <c r="R154" s="5">
        <f t="shared" si="70"/>
        <v>0</v>
      </c>
      <c r="S154" s="4">
        <f t="shared" si="71"/>
        <v>0</v>
      </c>
      <c r="T154" s="13">
        <f t="shared" si="55"/>
        <v>1826.9929999999999</v>
      </c>
      <c r="U154" s="13">
        <f t="shared" si="65"/>
        <v>913.49649999999997</v>
      </c>
      <c r="V154" s="14">
        <f>U154/C154</f>
        <v>0.35000000000000003</v>
      </c>
      <c r="W154" s="14"/>
      <c r="X154" s="19">
        <f t="shared" si="72"/>
        <v>913.49649999999997</v>
      </c>
      <c r="Y154" s="19">
        <f t="shared" si="73"/>
        <v>1826.9929999999999</v>
      </c>
      <c r="Z154" s="15" t="e">
        <f t="shared" si="46"/>
        <v>#DIV/0!</v>
      </c>
      <c r="AA154" s="22" t="s">
        <v>779</v>
      </c>
      <c r="AG154" s="94" t="s">
        <v>52</v>
      </c>
      <c r="AH154" s="89" t="str">
        <f>VLOOKUP(AG154,Sheet1!$B$3:$D$36,2,FALSE)</f>
        <v>Furniture</v>
      </c>
      <c r="AI154" s="89" t="s">
        <v>713</v>
      </c>
      <c r="AJ154" s="1" t="str">
        <f t="shared" si="56"/>
        <v>Gimmelwald Mendoza Town</v>
      </c>
      <c r="AK154" s="1" t="str">
        <f t="shared" si="57"/>
        <v>w260 x d80 x h35</v>
      </c>
      <c r="AL154" s="1" t="str">
        <f t="shared" si="58"/>
        <v>teak reailway outdoor</v>
      </c>
      <c r="AM154" s="1" t="str">
        <f t="shared" si="59"/>
        <v>teak reailway outdoor</v>
      </c>
      <c r="AN154" s="1" t="str">
        <f t="shared" si="76"/>
        <v xml:space="preserve">teak reailway </v>
      </c>
      <c r="AO154" s="1" t="s">
        <v>59</v>
      </c>
      <c r="AQ154" s="1" t="str">
        <f t="shared" si="61"/>
        <v>A</v>
      </c>
      <c r="AR154" s="1" t="str">
        <f>VLOOKUP(TRIM(AI154),Sheet1!$D$3:$E$36,2,FALSE)</f>
        <v>03</v>
      </c>
      <c r="AS154" s="90" t="str">
        <f t="shared" si="62"/>
        <v>01</v>
      </c>
      <c r="AT154" s="1" t="str">
        <f t="shared" si="63"/>
        <v>01</v>
      </c>
      <c r="AU154" s="90" t="s">
        <v>756</v>
      </c>
      <c r="AV154" s="90"/>
      <c r="AW154" s="90"/>
      <c r="AX154" s="95" t="str">
        <f>AQ154&amp;AR154&amp;AS154&amp;"-"&amp;AT154&amp;AU154&amp;BA154</f>
        <v>A0301-0131OUT</v>
      </c>
      <c r="AY154" s="99" t="str">
        <f>AQ154&amp;AR154&amp;AS154&amp;"-"&amp;AT154&amp;BA154</f>
        <v>A0301-01OUT</v>
      </c>
      <c r="AZ154" s="90"/>
      <c r="BA154" s="1" t="str">
        <f t="shared" si="64"/>
        <v>OUT</v>
      </c>
      <c r="BC154" s="1">
        <f t="shared" si="47"/>
        <v>1</v>
      </c>
      <c r="BD154" s="90">
        <f t="shared" si="48"/>
        <v>1</v>
      </c>
      <c r="BE154" s="1">
        <f t="shared" si="68"/>
        <v>1</v>
      </c>
      <c r="BF154" s="1">
        <f t="shared" si="69"/>
        <v>1</v>
      </c>
      <c r="BJ154" t="s">
        <v>176</v>
      </c>
      <c r="BK154" s="1">
        <v>4</v>
      </c>
      <c r="BL154"/>
      <c r="BM154" t="str">
        <f t="shared" si="66"/>
        <v>Sofia round 3-leg-Sofia round 3-leg-Sofia round 3-leg-Sofia round 3-leg-</v>
      </c>
    </row>
    <row r="155" spans="1:65" ht="11.25" customHeight="1">
      <c r="A155" s="26">
        <v>22009</v>
      </c>
      <c r="B155" s="27" t="s">
        <v>780</v>
      </c>
      <c r="C155" s="28">
        <v>74.989999999999995</v>
      </c>
      <c r="D155" s="28">
        <f t="shared" si="53"/>
        <v>37.494999999999997</v>
      </c>
      <c r="E155" s="22" t="s">
        <v>705</v>
      </c>
      <c r="F155" s="22" t="s">
        <v>781</v>
      </c>
      <c r="G155" s="22" t="s">
        <v>782</v>
      </c>
      <c r="H155" s="22" t="s">
        <v>783</v>
      </c>
      <c r="I155" s="23" t="s">
        <v>784</v>
      </c>
      <c r="J155" s="22" t="s">
        <v>646</v>
      </c>
      <c r="L155" s="23">
        <v>38</v>
      </c>
      <c r="M155" s="23">
        <v>38</v>
      </c>
      <c r="N155" s="3">
        <f t="shared" si="54"/>
        <v>5.4871999999999997E-2</v>
      </c>
      <c r="O155" s="4" t="e">
        <f>(C155-(C155*#REF!))-((C155-(C155*#REF!))*#REF!)</f>
        <v>#REF!</v>
      </c>
      <c r="P155" s="7"/>
      <c r="Q155" s="7"/>
      <c r="R155" s="5">
        <f t="shared" si="70"/>
        <v>0</v>
      </c>
      <c r="S155" s="4">
        <f t="shared" si="71"/>
        <v>0</v>
      </c>
      <c r="T155" s="13">
        <f t="shared" si="55"/>
        <v>52.492999999999995</v>
      </c>
      <c r="U155" s="13">
        <f t="shared" si="65"/>
        <v>26.246499999999997</v>
      </c>
      <c r="V155" s="14">
        <f>U155/C155</f>
        <v>0.35</v>
      </c>
      <c r="W155" s="14"/>
      <c r="X155" s="19">
        <f t="shared" si="72"/>
        <v>26.246499999999997</v>
      </c>
      <c r="Y155" s="19">
        <f t="shared" si="73"/>
        <v>52.492999999999995</v>
      </c>
      <c r="Z155" s="15" t="e">
        <f t="shared" si="46"/>
        <v>#DIV/0!</v>
      </c>
      <c r="AA155" s="22" t="s">
        <v>785</v>
      </c>
      <c r="AG155" s="94" t="s">
        <v>52</v>
      </c>
      <c r="AH155" s="89" t="str">
        <f>VLOOKUP(AG155,Sheet1!$B$3:$D$36,2,FALSE)</f>
        <v>Furniture</v>
      </c>
      <c r="AI155" s="89" t="s">
        <v>713</v>
      </c>
      <c r="AJ155" s="1" t="str">
        <f t="shared" si="56"/>
        <v>Rocamadour Abaca Village</v>
      </c>
      <c r="AK155" s="1" t="str">
        <f t="shared" si="57"/>
        <v>d38 x h38</v>
      </c>
      <c r="AL155" s="1" t="str">
        <f t="shared" si="58"/>
        <v>natural teak and banana leaf with iron outdoor</v>
      </c>
      <c r="AM155" s="1" t="str">
        <f t="shared" si="59"/>
        <v>natural teak and banana leaf with iron outdoor</v>
      </c>
      <c r="AN155" s="1" t="str">
        <f t="shared" si="76"/>
        <v xml:space="preserve">natural teak and banana leaf with iron </v>
      </c>
      <c r="AO155" s="1" t="s">
        <v>59</v>
      </c>
      <c r="AQ155" s="1" t="str">
        <f t="shared" si="61"/>
        <v>A</v>
      </c>
      <c r="AR155" s="1" t="str">
        <f>VLOOKUP(TRIM(AI155),Sheet1!$D$3:$E$36,2,FALSE)</f>
        <v>03</v>
      </c>
      <c r="AS155" s="90" t="str">
        <f t="shared" si="62"/>
        <v>01</v>
      </c>
      <c r="AT155" s="1" t="str">
        <f t="shared" si="63"/>
        <v>01</v>
      </c>
      <c r="AU155" s="90" t="s">
        <v>55</v>
      </c>
      <c r="AV155" s="90"/>
      <c r="AW155" s="90"/>
      <c r="AX155" s="95" t="str">
        <f>AQ155&amp;AR155&amp;AS155&amp;"-"&amp;AT155&amp;AU155&amp;BA155</f>
        <v>A0301-0110OUT</v>
      </c>
      <c r="AY155" s="99" t="str">
        <f>AQ155&amp;AR155&amp;AS155&amp;"-"&amp;AT155&amp;BA155</f>
        <v>A0301-01OUT</v>
      </c>
      <c r="AZ155" s="90"/>
      <c r="BA155" s="1" t="str">
        <f t="shared" si="64"/>
        <v>OUT</v>
      </c>
      <c r="BC155" s="1">
        <f t="shared" si="47"/>
        <v>1</v>
      </c>
      <c r="BD155" s="90">
        <f t="shared" si="48"/>
        <v>1</v>
      </c>
      <c r="BE155" s="1">
        <f t="shared" si="68"/>
        <v>1</v>
      </c>
      <c r="BF155" s="1">
        <f t="shared" si="69"/>
        <v>1</v>
      </c>
      <c r="BJ155" t="s">
        <v>194</v>
      </c>
      <c r="BK155" s="1">
        <v>6</v>
      </c>
      <c r="BL155"/>
      <c r="BM155" t="str">
        <f t="shared" si="66"/>
        <v>Sofia round 4-leg-Sofia round 4-leg-Sofia round 4-leg-Sofia round 4-leg-Sofia round 4-leg-Sofia round 4-leg-</v>
      </c>
    </row>
    <row r="156" spans="1:65" ht="11.25" customHeight="1">
      <c r="A156" s="26" t="s">
        <v>786</v>
      </c>
      <c r="B156" s="27" t="s">
        <v>787</v>
      </c>
      <c r="C156" s="28">
        <v>58.99</v>
      </c>
      <c r="D156" s="28">
        <f t="shared" si="53"/>
        <v>29.495000000000001</v>
      </c>
      <c r="E156" s="22" t="s">
        <v>705</v>
      </c>
      <c r="H156" s="22" t="s">
        <v>788</v>
      </c>
      <c r="I156" s="23" t="s">
        <v>784</v>
      </c>
      <c r="J156" s="22" t="s">
        <v>646</v>
      </c>
      <c r="L156" s="23">
        <v>38</v>
      </c>
      <c r="M156" s="23">
        <v>39</v>
      </c>
      <c r="N156" s="3">
        <f t="shared" si="54"/>
        <v>5.6315999999999998E-2</v>
      </c>
      <c r="O156" s="4" t="e">
        <f>(C156-(C156*#REF!))-((C156-(C156*#REF!))*#REF!)</f>
        <v>#REF!</v>
      </c>
      <c r="P156" s="7"/>
      <c r="Q156" s="7"/>
      <c r="R156" s="5">
        <f t="shared" si="70"/>
        <v>0</v>
      </c>
      <c r="S156" s="4">
        <f t="shared" si="71"/>
        <v>0</v>
      </c>
      <c r="T156" s="13">
        <f t="shared" si="55"/>
        <v>41.293000000000006</v>
      </c>
      <c r="U156" s="13">
        <f t="shared" si="65"/>
        <v>20.646500000000003</v>
      </c>
      <c r="V156" s="14">
        <f>U156/C156</f>
        <v>0.35000000000000003</v>
      </c>
      <c r="W156" s="14"/>
      <c r="X156" s="19">
        <f t="shared" si="72"/>
        <v>20.646500000000003</v>
      </c>
      <c r="Y156" s="19">
        <f t="shared" si="73"/>
        <v>41.293000000000006</v>
      </c>
      <c r="Z156" s="15" t="e">
        <f t="shared" ref="Z156:Z167" si="77">U156/S156</f>
        <v>#DIV/0!</v>
      </c>
      <c r="AG156" s="94" t="s">
        <v>52</v>
      </c>
      <c r="AH156" s="89" t="str">
        <f>VLOOKUP(AG156,Sheet1!$B$3:$D$36,2,FALSE)</f>
        <v>Furniture</v>
      </c>
      <c r="AI156" s="89" t="s">
        <v>713</v>
      </c>
      <c r="AK156" s="1" t="str">
        <f t="shared" si="57"/>
        <v>d38 x h39</v>
      </c>
      <c r="AL156" s="1" t="str">
        <f t="shared" si="58"/>
        <v>natural teak and banana leaf with iron outdoor</v>
      </c>
      <c r="AM156" s="1" t="str">
        <f t="shared" si="59"/>
        <v>natural teak and banana leaf with iron outdoor</v>
      </c>
      <c r="AN156" s="1" t="str">
        <f t="shared" si="76"/>
        <v xml:space="preserve">natural teak and banana leaf with iron </v>
      </c>
      <c r="AO156" s="1" t="s">
        <v>59</v>
      </c>
      <c r="AQ156" s="1" t="str">
        <f t="shared" si="61"/>
        <v>A</v>
      </c>
      <c r="AR156" s="1" t="str">
        <f>VLOOKUP(TRIM(AI156),Sheet1!$D$3:$E$36,2,FALSE)</f>
        <v>03</v>
      </c>
      <c r="AS156" s="90" t="str">
        <f t="shared" si="62"/>
        <v>01</v>
      </c>
      <c r="AT156" s="1" t="str">
        <f t="shared" si="63"/>
        <v>01</v>
      </c>
      <c r="AU156" s="90" t="s">
        <v>55</v>
      </c>
      <c r="AV156" s="90"/>
      <c r="AW156" s="90"/>
      <c r="AX156" s="95" t="str">
        <f>AQ156&amp;AR156&amp;AS156&amp;"-"&amp;AT156&amp;AU156&amp;BA156</f>
        <v>A0301-0110OUT</v>
      </c>
      <c r="AY156" s="99" t="str">
        <f>AQ156&amp;AR156&amp;AS156&amp;"-"&amp;AT156&amp;BA156</f>
        <v>A0301-01OUT</v>
      </c>
      <c r="AZ156" s="90"/>
      <c r="BA156" s="1" t="str">
        <f t="shared" si="64"/>
        <v>OUT</v>
      </c>
      <c r="BC156" s="1">
        <f t="shared" si="47"/>
        <v>1</v>
      </c>
      <c r="BD156" s="90">
        <f t="shared" si="48"/>
        <v>1</v>
      </c>
      <c r="BE156" s="1">
        <f t="shared" si="68"/>
        <v>1</v>
      </c>
      <c r="BF156" s="1">
        <f t="shared" si="69"/>
        <v>1</v>
      </c>
      <c r="BJ156" t="s">
        <v>789</v>
      </c>
      <c r="BK156" s="1">
        <v>6</v>
      </c>
      <c r="BL156"/>
      <c r="BM156" t="str">
        <f t="shared" si="66"/>
        <v>Solstice bench-Solstice bench-Solstice bench-Solstice bench-Solstice bench-Solstice bench-</v>
      </c>
    </row>
    <row r="157" spans="1:65" ht="11.25" customHeight="1">
      <c r="A157" s="26">
        <v>22010</v>
      </c>
      <c r="B157" s="27" t="s">
        <v>790</v>
      </c>
      <c r="C157" s="28">
        <v>138.99</v>
      </c>
      <c r="D157" s="28">
        <f t="shared" si="53"/>
        <v>69.495000000000005</v>
      </c>
      <c r="E157" s="22" t="s">
        <v>705</v>
      </c>
      <c r="H157" s="22" t="s">
        <v>791</v>
      </c>
      <c r="I157" s="23" t="s">
        <v>784</v>
      </c>
      <c r="J157" s="22" t="s">
        <v>646</v>
      </c>
      <c r="L157" s="23">
        <v>76</v>
      </c>
      <c r="M157" s="23">
        <v>37</v>
      </c>
      <c r="N157" s="3">
        <f t="shared" si="54"/>
        <v>0.21371200000000001</v>
      </c>
      <c r="O157" s="4" t="e">
        <f>(C157-(C157*#REF!))-((C157-(C157*#REF!))*#REF!)</f>
        <v>#REF!</v>
      </c>
      <c r="P157" s="7"/>
      <c r="Q157" s="7"/>
      <c r="R157" s="5">
        <f t="shared" si="70"/>
        <v>0</v>
      </c>
      <c r="S157" s="4">
        <f t="shared" si="71"/>
        <v>0</v>
      </c>
      <c r="T157" s="13">
        <f t="shared" si="55"/>
        <v>97.293000000000006</v>
      </c>
      <c r="U157" s="13">
        <f t="shared" si="65"/>
        <v>48.646500000000003</v>
      </c>
      <c r="V157" s="14">
        <f>U157/C157</f>
        <v>0.35</v>
      </c>
      <c r="W157" s="14"/>
      <c r="X157" s="19">
        <f t="shared" si="72"/>
        <v>48.646500000000003</v>
      </c>
      <c r="Y157" s="19">
        <f t="shared" si="73"/>
        <v>97.293000000000006</v>
      </c>
      <c r="Z157" s="15" t="e">
        <f t="shared" si="77"/>
        <v>#DIV/0!</v>
      </c>
      <c r="AG157" s="94" t="s">
        <v>52</v>
      </c>
      <c r="AH157" s="89" t="str">
        <f>VLOOKUP(AG157,Sheet1!$B$3:$D$36,2,FALSE)</f>
        <v>Furniture</v>
      </c>
      <c r="AI157" s="89" t="s">
        <v>713</v>
      </c>
      <c r="AK157" s="1" t="str">
        <f t="shared" si="57"/>
        <v>d76 x h37</v>
      </c>
      <c r="AL157" s="1" t="str">
        <f t="shared" si="58"/>
        <v>natural teak and banana leaf with iron outdoor</v>
      </c>
      <c r="AM157" s="1" t="str">
        <f t="shared" si="59"/>
        <v>natural teak and banana leaf with iron outdoor</v>
      </c>
      <c r="AN157" s="1" t="str">
        <f t="shared" si="76"/>
        <v xml:space="preserve">natural teak and banana leaf with iron </v>
      </c>
      <c r="AO157" s="1" t="s">
        <v>59</v>
      </c>
      <c r="AQ157" s="1" t="str">
        <f t="shared" si="61"/>
        <v>A</v>
      </c>
      <c r="AR157" s="1" t="str">
        <f>VLOOKUP(TRIM(AI157),Sheet1!$D$3:$E$36,2,FALSE)</f>
        <v>03</v>
      </c>
      <c r="AS157" s="90" t="str">
        <f t="shared" si="62"/>
        <v>02</v>
      </c>
      <c r="AT157" s="1" t="str">
        <f t="shared" si="63"/>
        <v>01</v>
      </c>
      <c r="AU157" s="90" t="s">
        <v>55</v>
      </c>
      <c r="AV157" s="90"/>
      <c r="AW157" s="90"/>
      <c r="AX157" s="95" t="str">
        <f>AQ157&amp;AR157&amp;AS157&amp;"-"&amp;AT157&amp;AU157&amp;BA157</f>
        <v>A0302-0110OUT</v>
      </c>
      <c r="AY157" s="99" t="str">
        <f>AQ157&amp;AR157&amp;AS157&amp;"-"&amp;AT157&amp;BA157</f>
        <v>A0302-01OUT</v>
      </c>
      <c r="AZ157" s="90"/>
      <c r="BA157" s="1" t="str">
        <f t="shared" si="64"/>
        <v>OUT</v>
      </c>
      <c r="BC157" s="1" t="str">
        <f t="shared" si="47"/>
        <v/>
      </c>
      <c r="BD157" s="90">
        <f t="shared" si="48"/>
        <v>2</v>
      </c>
      <c r="BE157" s="1">
        <f t="shared" si="68"/>
        <v>1</v>
      </c>
      <c r="BF157" s="1">
        <f t="shared" si="69"/>
        <v>1</v>
      </c>
      <c r="BJ157" t="s">
        <v>792</v>
      </c>
      <c r="BK157" s="1">
        <v>3</v>
      </c>
      <c r="BL157"/>
      <c r="BM157" t="str">
        <f t="shared" si="66"/>
        <v>Standing Kubo-Standing Kubo-Standing Kubo-</v>
      </c>
    </row>
    <row r="158" spans="1:65" ht="11.25" customHeight="1">
      <c r="A158" s="26" t="s">
        <v>793</v>
      </c>
      <c r="B158" s="27" t="s">
        <v>794</v>
      </c>
      <c r="C158" s="28">
        <v>408.99</v>
      </c>
      <c r="D158" s="28">
        <f t="shared" si="53"/>
        <v>204.495</v>
      </c>
      <c r="E158" s="22" t="s">
        <v>705</v>
      </c>
      <c r="F158" s="22" t="s">
        <v>795</v>
      </c>
      <c r="G158" s="22" t="s">
        <v>796</v>
      </c>
      <c r="H158" s="22" t="s">
        <v>797</v>
      </c>
      <c r="I158" s="23" t="s">
        <v>784</v>
      </c>
      <c r="J158" s="22" t="s">
        <v>646</v>
      </c>
      <c r="L158" s="23">
        <v>76</v>
      </c>
      <c r="M158" s="23">
        <v>38</v>
      </c>
      <c r="N158" s="3">
        <f t="shared" si="54"/>
        <v>0.21948799999999999</v>
      </c>
      <c r="O158" s="4" t="e">
        <f>(C158-(C158*#REF!))-((C158-(C158*#REF!))*#REF!)</f>
        <v>#REF!</v>
      </c>
      <c r="P158" s="7">
        <f>819639.433830708-Q158</f>
        <v>119639.43383070803</v>
      </c>
      <c r="Q158" s="7">
        <v>700000</v>
      </c>
      <c r="R158" s="5">
        <f t="shared" si="70"/>
        <v>819639.43383070803</v>
      </c>
      <c r="S158" s="4">
        <f t="shared" si="71"/>
        <v>54.642628922047201</v>
      </c>
      <c r="T158" s="13">
        <f t="shared" si="55"/>
        <v>286.29300000000001</v>
      </c>
      <c r="U158" s="13">
        <f t="shared" si="65"/>
        <v>143.1465</v>
      </c>
      <c r="V158" s="14">
        <f>U158/C158</f>
        <v>0.35</v>
      </c>
      <c r="W158" s="14"/>
      <c r="X158" s="19">
        <f t="shared" si="72"/>
        <v>143.1465</v>
      </c>
      <c r="Y158" s="19">
        <f t="shared" si="73"/>
        <v>286.29300000000001</v>
      </c>
      <c r="Z158" s="15">
        <f t="shared" si="77"/>
        <v>2.6196854511559429</v>
      </c>
      <c r="AA158" s="22" t="s">
        <v>798</v>
      </c>
      <c r="AG158" s="94" t="s">
        <v>52</v>
      </c>
      <c r="AH158" s="89" t="str">
        <f>VLOOKUP(AG158,Sheet1!$B$3:$D$36,2,FALSE)</f>
        <v>Furniture</v>
      </c>
      <c r="AI158" s="89" t="s">
        <v>713</v>
      </c>
      <c r="AJ158" s="1" t="str">
        <f t="shared" si="56"/>
        <v>Portofino Abaca Town</v>
      </c>
      <c r="AK158" s="1" t="str">
        <f t="shared" si="57"/>
        <v>d76 x h38</v>
      </c>
      <c r="AL158" s="1" t="str">
        <f t="shared" si="58"/>
        <v>natural teak and banana leaf with iron outdoor</v>
      </c>
      <c r="AM158" s="1" t="str">
        <f t="shared" si="59"/>
        <v>natural teak and banana leaf with iron outdoor</v>
      </c>
      <c r="AN158" s="1" t="str">
        <f t="shared" si="76"/>
        <v xml:space="preserve">natural teak and banana leaf with iron </v>
      </c>
      <c r="AO158" s="1" t="s">
        <v>59</v>
      </c>
      <c r="AQ158" s="1" t="str">
        <f t="shared" si="61"/>
        <v>A</v>
      </c>
      <c r="AR158" s="1" t="str">
        <f>VLOOKUP(TRIM(AI158),Sheet1!$D$3:$E$36,2,FALSE)</f>
        <v>03</v>
      </c>
      <c r="AS158" s="90" t="str">
        <f t="shared" si="62"/>
        <v>01</v>
      </c>
      <c r="AT158" s="1" t="str">
        <f t="shared" si="63"/>
        <v>01</v>
      </c>
      <c r="AU158" s="90" t="s">
        <v>55</v>
      </c>
      <c r="AV158" s="90"/>
      <c r="AW158" s="90"/>
      <c r="AX158" s="95" t="str">
        <f>AQ158&amp;AR158&amp;AS158&amp;"-"&amp;AT158&amp;AU158&amp;BA158</f>
        <v>A0301-0110OUT</v>
      </c>
      <c r="AY158" s="99" t="str">
        <f>AQ158&amp;AR158&amp;AS158&amp;"-"&amp;AT158&amp;BA158</f>
        <v>A0301-01OUT</v>
      </c>
      <c r="AZ158" s="90"/>
      <c r="BA158" s="1" t="str">
        <f t="shared" si="64"/>
        <v>OUT</v>
      </c>
      <c r="BC158" s="1">
        <f t="shared" si="47"/>
        <v>1</v>
      </c>
      <c r="BD158" s="90">
        <f t="shared" si="48"/>
        <v>1</v>
      </c>
      <c r="BE158" s="1">
        <f t="shared" si="68"/>
        <v>1</v>
      </c>
      <c r="BF158" s="1">
        <f t="shared" si="69"/>
        <v>1</v>
      </c>
      <c r="BJ158" t="s">
        <v>799</v>
      </c>
      <c r="BK158" s="1">
        <v>4</v>
      </c>
      <c r="BL158"/>
      <c r="BM158" t="str">
        <f t="shared" si="66"/>
        <v>Sylvester lavastone-Sylvester lavastone-Sylvester lavastone-Sylvester lavastone-</v>
      </c>
    </row>
    <row r="159" spans="1:65" s="63" customFormat="1" ht="15.75">
      <c r="A159" s="65" t="s">
        <v>800</v>
      </c>
      <c r="B159" s="66"/>
      <c r="C159" s="67"/>
      <c r="D159" s="75"/>
      <c r="E159" s="68"/>
      <c r="F159" s="69"/>
      <c r="G159" s="68"/>
      <c r="H159" s="68"/>
      <c r="I159" s="65"/>
      <c r="J159" s="68"/>
      <c r="K159" s="65"/>
      <c r="L159" s="65"/>
      <c r="M159" s="65"/>
      <c r="N159" s="68"/>
      <c r="O159" s="68"/>
      <c r="P159" s="76"/>
      <c r="Q159" s="76"/>
      <c r="R159" s="77"/>
      <c r="S159" s="68"/>
      <c r="T159" s="78"/>
      <c r="U159" s="78"/>
      <c r="V159" s="75"/>
      <c r="W159" s="75"/>
      <c r="X159" s="75"/>
      <c r="Y159" s="75"/>
      <c r="Z159" s="79"/>
      <c r="AA159" s="68"/>
      <c r="AB159" s="66"/>
      <c r="AC159" s="66"/>
      <c r="AD159" s="66"/>
      <c r="AE159" s="66"/>
      <c r="AF159" s="66"/>
      <c r="AG159" s="94"/>
      <c r="AH159" s="89"/>
      <c r="AI159" s="89"/>
      <c r="AJ159" s="1"/>
      <c r="AK159" s="1"/>
      <c r="AL159" s="1"/>
      <c r="AM159" s="1"/>
      <c r="AQ159" s="1"/>
      <c r="AR159" s="1"/>
      <c r="AS159" s="90"/>
      <c r="AT159" s="1"/>
      <c r="AU159" s="90"/>
      <c r="AV159" s="90"/>
      <c r="AW159" s="90"/>
      <c r="AX159" s="95"/>
      <c r="AY159" s="99" t="str">
        <f>AQ159&amp;AR159&amp;AS159&amp;"-"&amp;AT159&amp;BA159</f>
        <v>-</v>
      </c>
      <c r="AZ159" s="90"/>
      <c r="BA159" s="1"/>
      <c r="BC159" s="1"/>
      <c r="BD159" s="90"/>
      <c r="BE159" s="1"/>
      <c r="BF159" s="1"/>
      <c r="BI159" s="1"/>
      <c r="BJ159" t="s">
        <v>801</v>
      </c>
      <c r="BK159" s="1">
        <v>7</v>
      </c>
      <c r="BL159"/>
      <c r="BM159" t="str">
        <f t="shared" si="66"/>
        <v>Teava pipe-Teava pipe-Teava pipe-Teava pipe-Teava pipe-Teava pipe-Teava pipe-</v>
      </c>
    </row>
    <row r="160" spans="1:65" ht="11.25" customHeight="1">
      <c r="A160" s="26" t="s">
        <v>802</v>
      </c>
      <c r="B160" s="27" t="s">
        <v>803</v>
      </c>
      <c r="C160" s="28">
        <v>499.99</v>
      </c>
      <c r="D160" s="28">
        <f t="shared" si="53"/>
        <v>249.995</v>
      </c>
      <c r="E160" s="22" t="s">
        <v>800</v>
      </c>
      <c r="F160" s="22" t="s">
        <v>804</v>
      </c>
      <c r="G160" s="22" t="s">
        <v>805</v>
      </c>
      <c r="H160" s="22" t="s">
        <v>806</v>
      </c>
      <c r="I160" s="23" t="s">
        <v>807</v>
      </c>
      <c r="J160" s="22" t="s">
        <v>646</v>
      </c>
      <c r="L160" s="23">
        <v>35</v>
      </c>
      <c r="M160" s="23">
        <v>45</v>
      </c>
      <c r="N160" s="3">
        <f t="shared" si="54"/>
        <v>5.5125E-2</v>
      </c>
      <c r="O160" s="4" t="e">
        <f>(C160-(C160*#REF!))-((C160-(C160*#REF!))*#REF!)</f>
        <v>#REF!</v>
      </c>
      <c r="P160" s="7">
        <f>977959.658376777-Q160</f>
        <v>77959.658376776963</v>
      </c>
      <c r="Q160" s="7">
        <v>900000</v>
      </c>
      <c r="R160" s="5">
        <f t="shared" ref="R160:R170" si="78">P160+Q160</f>
        <v>977959.65837677696</v>
      </c>
      <c r="S160" s="4">
        <f t="shared" ref="S160:S170" si="79">R160/15000</f>
        <v>65.197310558451804</v>
      </c>
      <c r="T160" s="13">
        <f t="shared" si="55"/>
        <v>349.99300000000005</v>
      </c>
      <c r="U160" s="13">
        <f t="shared" si="65"/>
        <v>174.99650000000003</v>
      </c>
      <c r="V160" s="14">
        <f>U160/C160</f>
        <v>0.35000000000000003</v>
      </c>
      <c r="W160" s="14"/>
      <c r="X160" s="19">
        <f t="shared" ref="X160:X170" si="80">IF(ISBLANK(W160),U160, W160)</f>
        <v>174.99650000000003</v>
      </c>
      <c r="Y160" s="19">
        <f t="shared" ref="Y160:Y170" si="81">X160*2</f>
        <v>349.99300000000005</v>
      </c>
      <c r="Z160" s="15">
        <f t="shared" si="77"/>
        <v>2.6841061157439796</v>
      </c>
      <c r="AA160" s="22" t="s">
        <v>808</v>
      </c>
      <c r="AG160" s="94" t="s">
        <v>52</v>
      </c>
      <c r="AH160" s="89" t="str">
        <f>VLOOKUP(AG160,Sheet1!$B$3:$D$36,2,FALSE)</f>
        <v>Furniture</v>
      </c>
      <c r="AI160" s="89" t="s">
        <v>809</v>
      </c>
      <c r="AJ160" s="1" t="str">
        <f t="shared" si="56"/>
        <v>Carved Circular Perch</v>
      </c>
      <c r="AK160" s="1" t="str">
        <f t="shared" si="57"/>
        <v>d35 x h45</v>
      </c>
      <c r="AL160" s="1" t="str">
        <f t="shared" si="58"/>
        <v>natural teak</v>
      </c>
      <c r="AM160" s="1" t="str">
        <f t="shared" si="59"/>
        <v>natural teak</v>
      </c>
      <c r="AN160" s="1" t="str">
        <f t="shared" ref="AN160:AN165" si="82">SUBSTITUTE(AL160,"indoor","")</f>
        <v>natural teak</v>
      </c>
      <c r="AQ160" s="1" t="str">
        <f t="shared" si="61"/>
        <v>A</v>
      </c>
      <c r="AR160" s="1" t="str">
        <f>VLOOKUP(TRIM(AI160),Sheet1!$D$3:$E$36,2,FALSE)</f>
        <v>05</v>
      </c>
      <c r="AS160" s="90" t="str">
        <f t="shared" si="62"/>
        <v>01</v>
      </c>
      <c r="AT160" s="1" t="str">
        <f t="shared" si="63"/>
        <v>01</v>
      </c>
      <c r="AU160" s="90" t="s">
        <v>55</v>
      </c>
      <c r="AV160" s="90"/>
      <c r="AW160" s="90"/>
      <c r="AX160" s="95" t="str">
        <f>AQ160&amp;AR160&amp;AS160&amp;"-"&amp;AT160&amp;AU160&amp;BA160</f>
        <v>A0501-0110</v>
      </c>
      <c r="AY160" s="99" t="str">
        <f>AQ160&amp;AR160&amp;AS160&amp;"-"&amp;AT160&amp;BA160</f>
        <v>A0501-01</v>
      </c>
      <c r="AZ160" s="90"/>
      <c r="BA160" s="1" t="str">
        <f t="shared" si="64"/>
        <v/>
      </c>
      <c r="BC160" s="1">
        <f t="shared" si="47"/>
        <v>1</v>
      </c>
      <c r="BD160" s="90">
        <f t="shared" si="48"/>
        <v>1</v>
      </c>
      <c r="BE160" s="1">
        <f t="shared" si="68"/>
        <v>1</v>
      </c>
      <c r="BF160" s="1">
        <f t="shared" si="69"/>
        <v>1</v>
      </c>
      <c r="BJ160" t="s">
        <v>810</v>
      </c>
      <c r="BK160" s="1">
        <v>5</v>
      </c>
      <c r="BL160"/>
      <c r="BM160" t="str">
        <f t="shared" si="66"/>
        <v>Tom plate flat black-Tom plate flat black-Tom plate flat black-Tom plate flat black-Tom plate flat black-</v>
      </c>
    </row>
    <row r="161" spans="1:65" ht="11.25" customHeight="1">
      <c r="A161" s="26" t="s">
        <v>811</v>
      </c>
      <c r="B161" s="27" t="s">
        <v>812</v>
      </c>
      <c r="C161" s="28">
        <v>569.99</v>
      </c>
      <c r="D161" s="28">
        <f t="shared" si="53"/>
        <v>284.995</v>
      </c>
      <c r="E161" s="22" t="s">
        <v>800</v>
      </c>
      <c r="F161" s="22" t="s">
        <v>813</v>
      </c>
      <c r="G161" s="22" t="s">
        <v>692</v>
      </c>
      <c r="H161" s="22" t="s">
        <v>814</v>
      </c>
      <c r="I161" s="23" t="s">
        <v>815</v>
      </c>
      <c r="J161" s="22" t="s">
        <v>670</v>
      </c>
      <c r="K161" s="23">
        <v>45</v>
      </c>
      <c r="L161" s="23">
        <v>45</v>
      </c>
      <c r="M161" s="23">
        <v>38</v>
      </c>
      <c r="N161" s="3">
        <f t="shared" si="54"/>
        <v>7.6950000000000005E-2</v>
      </c>
      <c r="O161" s="4" t="e">
        <f>(C161-(C161*#REF!))-((C161-(C161*#REF!))*#REF!)</f>
        <v>#REF!</v>
      </c>
      <c r="P161" s="7"/>
      <c r="Q161" s="7"/>
      <c r="R161" s="5">
        <f t="shared" si="78"/>
        <v>0</v>
      </c>
      <c r="S161" s="4">
        <f t="shared" si="79"/>
        <v>0</v>
      </c>
      <c r="T161" s="13">
        <f t="shared" si="55"/>
        <v>398.99300000000005</v>
      </c>
      <c r="U161" s="13">
        <f t="shared" si="65"/>
        <v>199.49650000000003</v>
      </c>
      <c r="V161" s="14">
        <f>U161/C161</f>
        <v>0.35000000000000003</v>
      </c>
      <c r="W161" s="14"/>
      <c r="X161" s="19">
        <f t="shared" si="80"/>
        <v>199.49650000000003</v>
      </c>
      <c r="Y161" s="19">
        <f t="shared" si="81"/>
        <v>398.99300000000005</v>
      </c>
      <c r="Z161" s="15" t="e">
        <f t="shared" si="77"/>
        <v>#DIV/0!</v>
      </c>
      <c r="AA161" s="22" t="s">
        <v>816</v>
      </c>
      <c r="AG161" s="94" t="s">
        <v>52</v>
      </c>
      <c r="AH161" s="89" t="str">
        <f>VLOOKUP(AG161,Sheet1!$B$3:$D$36,2,FALSE)</f>
        <v>Furniture</v>
      </c>
      <c r="AI161" s="89" t="s">
        <v>809</v>
      </c>
      <c r="AJ161" s="1" t="str">
        <f t="shared" si="56"/>
        <v>Rocky End Stand</v>
      </c>
      <c r="AK161" s="1" t="str">
        <f t="shared" si="57"/>
        <v>w45 x d45 x h38</v>
      </c>
      <c r="AL161" s="1" t="str">
        <f t="shared" si="58"/>
        <v>bare</v>
      </c>
      <c r="AM161" s="1" t="str">
        <f t="shared" si="59"/>
        <v>bare</v>
      </c>
      <c r="AN161" s="1" t="str">
        <f t="shared" si="82"/>
        <v>bare</v>
      </c>
      <c r="AQ161" s="1" t="str">
        <f t="shared" si="61"/>
        <v>A</v>
      </c>
      <c r="AR161" s="1" t="str">
        <f>VLOOKUP(TRIM(AI161),Sheet1!$D$3:$E$36,2,FALSE)</f>
        <v>05</v>
      </c>
      <c r="AS161" s="90" t="str">
        <f t="shared" si="62"/>
        <v>01</v>
      </c>
      <c r="AT161" s="1" t="str">
        <f t="shared" si="63"/>
        <v>01</v>
      </c>
      <c r="AU161" s="90" t="s">
        <v>817</v>
      </c>
      <c r="AV161" s="90"/>
      <c r="AW161" s="90"/>
      <c r="AX161" s="95" t="str">
        <f>AQ161&amp;AR161&amp;AS161&amp;"-"&amp;AT161&amp;AU161&amp;BA161</f>
        <v>A0501-0103</v>
      </c>
      <c r="AY161" s="99" t="str">
        <f>AQ161&amp;AR161&amp;AS161&amp;"-"&amp;AT161&amp;BA161</f>
        <v>A0501-01</v>
      </c>
      <c r="AZ161" s="90"/>
      <c r="BA161" s="1" t="str">
        <f t="shared" si="64"/>
        <v/>
      </c>
      <c r="BC161" s="1">
        <f t="shared" si="47"/>
        <v>1</v>
      </c>
      <c r="BD161" s="90">
        <f t="shared" si="48"/>
        <v>1</v>
      </c>
      <c r="BE161" s="1">
        <f t="shared" si="68"/>
        <v>1</v>
      </c>
      <c r="BF161" s="1">
        <f t="shared" si="69"/>
        <v>1</v>
      </c>
      <c r="BJ161" t="s">
        <v>818</v>
      </c>
      <c r="BK161" s="1">
        <v>5</v>
      </c>
      <c r="BL161"/>
      <c r="BM161" t="str">
        <f t="shared" si="66"/>
        <v>Tom plate flat white-Tom plate flat white-Tom plate flat white-Tom plate flat white-Tom plate flat white-</v>
      </c>
    </row>
    <row r="162" spans="1:65" ht="11.25" customHeight="1">
      <c r="A162" s="26" t="s">
        <v>819</v>
      </c>
      <c r="B162" s="27" t="s">
        <v>820</v>
      </c>
      <c r="C162" s="28">
        <v>131.99</v>
      </c>
      <c r="D162" s="28">
        <f t="shared" si="53"/>
        <v>65.995000000000005</v>
      </c>
      <c r="E162" s="22" t="s">
        <v>800</v>
      </c>
      <c r="H162" s="22" t="s">
        <v>821</v>
      </c>
      <c r="I162" s="23" t="s">
        <v>822</v>
      </c>
      <c r="J162" s="22" t="s">
        <v>670</v>
      </c>
      <c r="K162" s="23">
        <v>45</v>
      </c>
      <c r="L162" s="23">
        <v>45</v>
      </c>
      <c r="M162" s="23">
        <v>5</v>
      </c>
      <c r="N162" s="3">
        <f t="shared" si="54"/>
        <v>1.0125E-2</v>
      </c>
      <c r="O162" s="4" t="e">
        <f>(C162-(C162*#REF!))-((C162-(C162*#REF!))*#REF!)</f>
        <v>#REF!</v>
      </c>
      <c r="P162" s="7"/>
      <c r="Q162" s="7"/>
      <c r="R162" s="5">
        <f t="shared" si="78"/>
        <v>0</v>
      </c>
      <c r="S162" s="4">
        <f t="shared" si="79"/>
        <v>0</v>
      </c>
      <c r="T162" s="13">
        <f t="shared" si="55"/>
        <v>92.393000000000001</v>
      </c>
      <c r="U162" s="13">
        <f t="shared" si="65"/>
        <v>46.1965</v>
      </c>
      <c r="V162" s="14">
        <f>U162/C162</f>
        <v>0.35</v>
      </c>
      <c r="W162" s="14"/>
      <c r="X162" s="19">
        <f t="shared" si="80"/>
        <v>46.1965</v>
      </c>
      <c r="Y162" s="19">
        <f t="shared" si="81"/>
        <v>92.393000000000001</v>
      </c>
      <c r="Z162" s="15" t="e">
        <f t="shared" si="77"/>
        <v>#DIV/0!</v>
      </c>
      <c r="AG162" s="94" t="s">
        <v>52</v>
      </c>
      <c r="AH162" s="89" t="str">
        <f>VLOOKUP(AG162,Sheet1!$B$3:$D$36,2,FALSE)</f>
        <v>Furniture</v>
      </c>
      <c r="AI162" s="89" t="s">
        <v>809</v>
      </c>
      <c r="AK162" s="1" t="str">
        <f t="shared" si="57"/>
        <v>w45 x d45 x h5</v>
      </c>
      <c r="AL162" s="1" t="str">
        <f t="shared" si="58"/>
        <v>lavastone</v>
      </c>
      <c r="AM162" s="1" t="str">
        <f t="shared" si="59"/>
        <v>lavastone</v>
      </c>
      <c r="AN162" s="1" t="str">
        <f t="shared" si="82"/>
        <v>lavastone</v>
      </c>
      <c r="AQ162" s="1" t="str">
        <f t="shared" si="61"/>
        <v>A</v>
      </c>
      <c r="AR162" s="1" t="str">
        <f>VLOOKUP(TRIM(AI162),Sheet1!$D$3:$E$36,2,FALSE)</f>
        <v>05</v>
      </c>
      <c r="AS162" s="90" t="str">
        <f t="shared" si="62"/>
        <v>01</v>
      </c>
      <c r="AT162" s="1" t="str">
        <f t="shared" si="63"/>
        <v>01</v>
      </c>
      <c r="AU162" s="90" t="s">
        <v>823</v>
      </c>
      <c r="AV162" s="90"/>
      <c r="AW162" s="90"/>
      <c r="AX162" s="95" t="str">
        <f>AQ162&amp;AR162&amp;AS162&amp;"-"&amp;AT162&amp;AU162&amp;BA162</f>
        <v>A0501-0108</v>
      </c>
      <c r="AY162" s="99" t="str">
        <f>AQ162&amp;AR162&amp;AS162&amp;"-"&amp;AT162&amp;BA162</f>
        <v>A0501-01</v>
      </c>
      <c r="AZ162" s="90"/>
      <c r="BA162" s="1" t="str">
        <f t="shared" si="64"/>
        <v/>
      </c>
      <c r="BC162" s="1">
        <f t="shared" si="47"/>
        <v>1</v>
      </c>
      <c r="BD162" s="90">
        <f t="shared" si="48"/>
        <v>1</v>
      </c>
      <c r="BE162" s="1">
        <f t="shared" si="68"/>
        <v>1</v>
      </c>
      <c r="BF162" s="1">
        <f t="shared" si="69"/>
        <v>1</v>
      </c>
      <c r="BJ162" t="s">
        <v>824</v>
      </c>
      <c r="BK162" s="1">
        <v>5</v>
      </c>
      <c r="BL162"/>
      <c r="BM162" t="str">
        <f t="shared" si="66"/>
        <v>Tom plate high curved black-Tom plate high curved black-Tom plate high curved black-Tom plate high curved black-Tom plate high curved black-</v>
      </c>
    </row>
    <row r="163" spans="1:65" ht="11.25" customHeight="1">
      <c r="A163" s="26" t="s">
        <v>825</v>
      </c>
      <c r="B163" s="27" t="s">
        <v>826</v>
      </c>
      <c r="C163" s="28">
        <v>739.99</v>
      </c>
      <c r="D163" s="28">
        <f t="shared" si="53"/>
        <v>369.995</v>
      </c>
      <c r="E163" s="22" t="s">
        <v>800</v>
      </c>
      <c r="F163" s="22" t="s">
        <v>827</v>
      </c>
      <c r="G163" s="22" t="s">
        <v>692</v>
      </c>
      <c r="H163" s="22" t="s">
        <v>828</v>
      </c>
      <c r="I163" s="23" t="s">
        <v>815</v>
      </c>
      <c r="J163" s="22" t="s">
        <v>50</v>
      </c>
      <c r="K163" s="23">
        <v>60</v>
      </c>
      <c r="L163" s="23">
        <v>60</v>
      </c>
      <c r="M163" s="23">
        <v>43</v>
      </c>
      <c r="N163" s="3">
        <f t="shared" si="54"/>
        <v>0.15479999999999999</v>
      </c>
      <c r="O163" s="4" t="e">
        <f>(C163-(C163*#REF!))-((C163-(C163*#REF!))*#REF!)</f>
        <v>#REF!</v>
      </c>
      <c r="P163" s="7"/>
      <c r="Q163" s="7"/>
      <c r="R163" s="5">
        <f t="shared" si="78"/>
        <v>0</v>
      </c>
      <c r="S163" s="4">
        <f t="shared" si="79"/>
        <v>0</v>
      </c>
      <c r="T163" s="13">
        <f t="shared" si="55"/>
        <v>517.99300000000005</v>
      </c>
      <c r="U163" s="13">
        <f t="shared" si="65"/>
        <v>258.99650000000003</v>
      </c>
      <c r="V163" s="14">
        <f>U163/C163</f>
        <v>0.35000000000000003</v>
      </c>
      <c r="W163" s="14"/>
      <c r="X163" s="19">
        <f t="shared" si="80"/>
        <v>258.99650000000003</v>
      </c>
      <c r="Y163" s="19">
        <f t="shared" si="81"/>
        <v>517.99300000000005</v>
      </c>
      <c r="Z163" s="15" t="e">
        <f t="shared" si="77"/>
        <v>#DIV/0!</v>
      </c>
      <c r="AA163" s="22" t="s">
        <v>829</v>
      </c>
      <c r="AG163" s="94" t="s">
        <v>52</v>
      </c>
      <c r="AH163" s="89" t="str">
        <f>VLOOKUP(AG163,Sheet1!$B$3:$D$36,2,FALSE)</f>
        <v>Furniture</v>
      </c>
      <c r="AI163" s="89" t="s">
        <v>809</v>
      </c>
      <c r="AJ163" s="1" t="str">
        <f t="shared" si="56"/>
        <v>Rocky End Stand</v>
      </c>
      <c r="AK163" s="1" t="str">
        <f t="shared" si="57"/>
        <v>w60 x d60 x h43</v>
      </c>
      <c r="AL163" s="1" t="str">
        <f t="shared" si="58"/>
        <v>bare</v>
      </c>
      <c r="AM163" s="1" t="str">
        <f t="shared" si="59"/>
        <v>bare</v>
      </c>
      <c r="AN163" s="1" t="str">
        <f t="shared" si="82"/>
        <v>bare</v>
      </c>
      <c r="AQ163" s="1" t="str">
        <f t="shared" si="61"/>
        <v>A</v>
      </c>
      <c r="AR163" s="1" t="str">
        <f>VLOOKUP(TRIM(AI163),Sheet1!$D$3:$E$36,2,FALSE)</f>
        <v>05</v>
      </c>
      <c r="AS163" s="90" t="str">
        <f t="shared" si="62"/>
        <v>01</v>
      </c>
      <c r="AT163" s="1" t="str">
        <f t="shared" si="63"/>
        <v>01</v>
      </c>
      <c r="AU163" s="90" t="s">
        <v>817</v>
      </c>
      <c r="AV163" s="90"/>
      <c r="AW163" s="90"/>
      <c r="AX163" s="95" t="str">
        <f>AQ163&amp;AR163&amp;AS163&amp;"-"&amp;AT163&amp;AU163&amp;BA163</f>
        <v>A0501-0103</v>
      </c>
      <c r="AY163" s="99" t="str">
        <f>AQ163&amp;AR163&amp;AS163&amp;"-"&amp;AT163&amp;BA163</f>
        <v>A0501-01</v>
      </c>
      <c r="AZ163" s="90"/>
      <c r="BA163" s="1" t="str">
        <f t="shared" si="64"/>
        <v/>
      </c>
      <c r="BC163" s="1">
        <f t="shared" si="47"/>
        <v>1</v>
      </c>
      <c r="BD163" s="90">
        <f t="shared" si="48"/>
        <v>1</v>
      </c>
      <c r="BE163" s="1">
        <f t="shared" si="68"/>
        <v>1</v>
      </c>
      <c r="BF163" s="1">
        <f t="shared" si="69"/>
        <v>1</v>
      </c>
      <c r="BJ163" t="s">
        <v>830</v>
      </c>
      <c r="BK163" s="1">
        <v>5</v>
      </c>
      <c r="BL163"/>
      <c r="BM163" t="str">
        <f t="shared" si="66"/>
        <v>Tom plate high curved white-Tom plate high curved white-Tom plate high curved white-Tom plate high curved white-Tom plate high curved white-</v>
      </c>
    </row>
    <row r="164" spans="1:65" ht="11.25" customHeight="1">
      <c r="A164" s="26" t="s">
        <v>831</v>
      </c>
      <c r="B164" s="27" t="s">
        <v>832</v>
      </c>
      <c r="C164" s="28">
        <v>190.99</v>
      </c>
      <c r="D164" s="28">
        <f t="shared" si="53"/>
        <v>95.495000000000005</v>
      </c>
      <c r="E164" s="22" t="s">
        <v>800</v>
      </c>
      <c r="H164" s="22" t="s">
        <v>833</v>
      </c>
      <c r="I164" s="23" t="s">
        <v>822</v>
      </c>
      <c r="J164" s="22" t="s">
        <v>670</v>
      </c>
      <c r="K164" s="23">
        <v>60</v>
      </c>
      <c r="L164" s="23">
        <v>60</v>
      </c>
      <c r="M164" s="23">
        <v>5</v>
      </c>
      <c r="N164" s="3">
        <f t="shared" si="54"/>
        <v>1.7999999999999999E-2</v>
      </c>
      <c r="O164" s="4" t="e">
        <f>(C164-(C164*#REF!))-((C164-(C164*#REF!))*#REF!)</f>
        <v>#REF!</v>
      </c>
      <c r="P164" s="7"/>
      <c r="Q164" s="7"/>
      <c r="R164" s="5">
        <f t="shared" si="78"/>
        <v>0</v>
      </c>
      <c r="S164" s="4">
        <f t="shared" si="79"/>
        <v>0</v>
      </c>
      <c r="T164" s="13">
        <f t="shared" si="55"/>
        <v>133.69300000000001</v>
      </c>
      <c r="U164" s="13">
        <f t="shared" si="65"/>
        <v>66.846500000000006</v>
      </c>
      <c r="V164" s="14">
        <f>U164/C164</f>
        <v>0.35000000000000003</v>
      </c>
      <c r="W164" s="14"/>
      <c r="X164" s="19">
        <f t="shared" si="80"/>
        <v>66.846500000000006</v>
      </c>
      <c r="Y164" s="19">
        <f t="shared" si="81"/>
        <v>133.69300000000001</v>
      </c>
      <c r="Z164" s="15" t="e">
        <f t="shared" si="77"/>
        <v>#DIV/0!</v>
      </c>
      <c r="AG164" s="94" t="s">
        <v>52</v>
      </c>
      <c r="AH164" s="89" t="str">
        <f>VLOOKUP(AG164,Sheet1!$B$3:$D$36,2,FALSE)</f>
        <v>Furniture</v>
      </c>
      <c r="AI164" s="89" t="s">
        <v>809</v>
      </c>
      <c r="AK164" s="1" t="str">
        <f t="shared" si="57"/>
        <v>w60 x d60 x h5</v>
      </c>
      <c r="AL164" s="1" t="str">
        <f t="shared" si="58"/>
        <v>lavastone</v>
      </c>
      <c r="AM164" s="1" t="str">
        <f t="shared" si="59"/>
        <v>lavastone</v>
      </c>
      <c r="AN164" s="1" t="str">
        <f t="shared" si="82"/>
        <v>lavastone</v>
      </c>
      <c r="AQ164" s="1" t="str">
        <f t="shared" si="61"/>
        <v>A</v>
      </c>
      <c r="AR164" s="1" t="str">
        <f>VLOOKUP(TRIM(AI164),Sheet1!$D$3:$E$36,2,FALSE)</f>
        <v>05</v>
      </c>
      <c r="AS164" s="90" t="str">
        <f t="shared" si="62"/>
        <v>01</v>
      </c>
      <c r="AT164" s="1" t="str">
        <f t="shared" si="63"/>
        <v>01</v>
      </c>
      <c r="AU164" s="90" t="s">
        <v>823</v>
      </c>
      <c r="AV164" s="90"/>
      <c r="AW164" s="90"/>
      <c r="AX164" s="95" t="str">
        <f>AQ164&amp;AR164&amp;AS164&amp;"-"&amp;AT164&amp;AU164&amp;BA164</f>
        <v>A0501-0108</v>
      </c>
      <c r="AY164" s="99" t="str">
        <f>AQ164&amp;AR164&amp;AS164&amp;"-"&amp;AT164&amp;BA164</f>
        <v>A0501-01</v>
      </c>
      <c r="AZ164" s="90"/>
      <c r="BA164" s="1" t="str">
        <f t="shared" si="64"/>
        <v/>
      </c>
      <c r="BC164" s="1">
        <f t="shared" si="47"/>
        <v>1</v>
      </c>
      <c r="BD164" s="90">
        <f t="shared" si="48"/>
        <v>1</v>
      </c>
      <c r="BE164" s="1">
        <f t="shared" si="68"/>
        <v>1</v>
      </c>
      <c r="BF164" s="1">
        <f t="shared" si="69"/>
        <v>1</v>
      </c>
      <c r="BJ164" t="s">
        <v>834</v>
      </c>
      <c r="BK164" s="1">
        <v>5</v>
      </c>
      <c r="BL164"/>
      <c r="BM164" t="str">
        <f t="shared" si="66"/>
        <v>Tom plate soft curved black-Tom plate soft curved black-Tom plate soft curved black-Tom plate soft curved black-Tom plate soft curved black-</v>
      </c>
    </row>
    <row r="165" spans="1:65" ht="11.25" customHeight="1">
      <c r="A165" s="26" t="s">
        <v>835</v>
      </c>
      <c r="B165" s="27" t="s">
        <v>836</v>
      </c>
      <c r="D165" s="28">
        <f t="shared" si="53"/>
        <v>0</v>
      </c>
      <c r="E165" s="22" t="s">
        <v>800</v>
      </c>
      <c r="F165" s="22" t="s">
        <v>837</v>
      </c>
      <c r="G165" s="22" t="s">
        <v>692</v>
      </c>
      <c r="H165" s="22" t="s">
        <v>838</v>
      </c>
      <c r="I165" s="23" t="s">
        <v>839</v>
      </c>
      <c r="J165" s="22" t="s">
        <v>646</v>
      </c>
      <c r="K165" s="23">
        <v>68</v>
      </c>
      <c r="L165" s="23">
        <v>68</v>
      </c>
      <c r="M165" s="23">
        <v>43</v>
      </c>
      <c r="N165" s="3">
        <f t="shared" si="54"/>
        <v>0.19883200000000001</v>
      </c>
      <c r="O165" s="4" t="e">
        <f>(C165-(C165*#REF!))-((C165-(C165*#REF!))*#REF!)</f>
        <v>#REF!</v>
      </c>
      <c r="P165" s="7"/>
      <c r="Q165" s="7"/>
      <c r="R165" s="5">
        <f t="shared" si="78"/>
        <v>0</v>
      </c>
      <c r="S165" s="4">
        <f t="shared" si="79"/>
        <v>0</v>
      </c>
      <c r="T165" s="13">
        <f t="shared" si="55"/>
        <v>0</v>
      </c>
      <c r="U165" s="13">
        <f t="shared" si="65"/>
        <v>0</v>
      </c>
      <c r="V165" s="14" t="e">
        <f>U165/C165</f>
        <v>#DIV/0!</v>
      </c>
      <c r="W165" s="14"/>
      <c r="X165" s="19">
        <f t="shared" si="80"/>
        <v>0</v>
      </c>
      <c r="Y165" s="19">
        <f t="shared" si="81"/>
        <v>0</v>
      </c>
      <c r="Z165" s="15" t="e">
        <f t="shared" si="77"/>
        <v>#DIV/0!</v>
      </c>
      <c r="AA165" s="22" t="s">
        <v>840</v>
      </c>
      <c r="AG165" s="94" t="s">
        <v>52</v>
      </c>
      <c r="AH165" s="89" t="str">
        <f>VLOOKUP(AG165,Sheet1!$B$3:$D$36,2,FALSE)</f>
        <v>Furniture</v>
      </c>
      <c r="AI165" s="89" t="s">
        <v>809</v>
      </c>
      <c r="AJ165" s="1" t="str">
        <f t="shared" si="56"/>
        <v>Rocky End Stand</v>
      </c>
      <c r="AK165" s="1" t="str">
        <f t="shared" si="57"/>
        <v>w68 x d68 x h43</v>
      </c>
      <c r="AL165" s="1" t="str">
        <f t="shared" si="58"/>
        <v xml:space="preserve">bare base &amp; riverstone top </v>
      </c>
      <c r="AM165" s="1" t="str">
        <f t="shared" si="59"/>
        <v xml:space="preserve">bare base &amp; riverstone top </v>
      </c>
      <c r="AN165" s="1" t="str">
        <f t="shared" si="82"/>
        <v xml:space="preserve">bare base &amp; riverstone top </v>
      </c>
      <c r="AQ165" s="1" t="str">
        <f t="shared" si="61"/>
        <v>A</v>
      </c>
      <c r="AR165" s="1" t="str">
        <f>VLOOKUP(TRIM(AI165),Sheet1!$D$3:$E$36,2,FALSE)</f>
        <v>05</v>
      </c>
      <c r="AS165" s="90" t="str">
        <f t="shared" si="62"/>
        <v>01</v>
      </c>
      <c r="AT165" s="1" t="str">
        <f t="shared" si="63"/>
        <v>01</v>
      </c>
      <c r="AU165" s="90" t="s">
        <v>817</v>
      </c>
      <c r="AV165" s="90"/>
      <c r="AW165" s="90"/>
      <c r="AX165" s="95" t="str">
        <f>AQ165&amp;AR165&amp;AS165&amp;"-"&amp;AT165&amp;AU165&amp;BA165</f>
        <v>A0501-0103</v>
      </c>
      <c r="AY165" s="99" t="str">
        <f>AQ165&amp;AR165&amp;AS165&amp;"-"&amp;AT165&amp;BA165</f>
        <v>A0501-01</v>
      </c>
      <c r="AZ165" s="90"/>
      <c r="BA165" s="1" t="str">
        <f t="shared" si="64"/>
        <v/>
      </c>
      <c r="BC165" s="1">
        <f t="shared" si="47"/>
        <v>1</v>
      </c>
      <c r="BD165" s="90">
        <f t="shared" si="48"/>
        <v>1</v>
      </c>
      <c r="BE165" s="1">
        <f t="shared" si="68"/>
        <v>1</v>
      </c>
      <c r="BF165" s="1">
        <f t="shared" si="69"/>
        <v>1</v>
      </c>
      <c r="BJ165" t="s">
        <v>841</v>
      </c>
      <c r="BK165" s="1">
        <v>5</v>
      </c>
      <c r="BL165"/>
      <c r="BM165" t="str">
        <f t="shared" si="66"/>
        <v>Tom plate soft curved white-Tom plate soft curved white-Tom plate soft curved white-Tom plate soft curved white-Tom plate soft curved white-</v>
      </c>
    </row>
    <row r="166" spans="1:65" ht="11.25" customHeight="1">
      <c r="A166" s="26" t="s">
        <v>842</v>
      </c>
      <c r="B166" s="27" t="s">
        <v>843</v>
      </c>
      <c r="C166" s="28">
        <v>499.99</v>
      </c>
      <c r="D166" s="28">
        <f t="shared" si="53"/>
        <v>249.995</v>
      </c>
      <c r="E166" s="22" t="s">
        <v>800</v>
      </c>
      <c r="F166" s="22" t="s">
        <v>844</v>
      </c>
      <c r="G166" s="22" t="s">
        <v>598</v>
      </c>
      <c r="H166" s="22" t="s">
        <v>845</v>
      </c>
      <c r="I166" s="23" t="s">
        <v>846</v>
      </c>
      <c r="J166" s="22" t="s">
        <v>847</v>
      </c>
      <c r="L166" s="23">
        <v>50</v>
      </c>
      <c r="M166" s="23">
        <v>60</v>
      </c>
      <c r="N166" s="3">
        <f t="shared" si="54"/>
        <v>0.15</v>
      </c>
      <c r="O166" s="4" t="e">
        <f>(C166-(C166*#REF!))-((C166-(C166*#REF!))*#REF!)</f>
        <v>#REF!</v>
      </c>
      <c r="P166" s="7">
        <v>902038.9529850746</v>
      </c>
      <c r="Q166" s="7">
        <v>0</v>
      </c>
      <c r="R166" s="5">
        <f t="shared" si="78"/>
        <v>902038.9529850746</v>
      </c>
      <c r="S166" s="4">
        <f t="shared" si="79"/>
        <v>60.135930199004974</v>
      </c>
      <c r="T166" s="13">
        <f t="shared" si="55"/>
        <v>349.99300000000005</v>
      </c>
      <c r="U166" s="13">
        <f t="shared" si="65"/>
        <v>174.99650000000003</v>
      </c>
      <c r="V166" s="14">
        <f>U166/C166</f>
        <v>0.35000000000000003</v>
      </c>
      <c r="W166" s="14"/>
      <c r="X166" s="19">
        <f t="shared" si="80"/>
        <v>174.99650000000003</v>
      </c>
      <c r="Y166" s="19">
        <f t="shared" si="81"/>
        <v>349.99300000000005</v>
      </c>
      <c r="Z166" s="15">
        <f t="shared" si="77"/>
        <v>2.9100156831513613</v>
      </c>
      <c r="AA166" s="22" t="s">
        <v>848</v>
      </c>
      <c r="AG166" s="94" t="s">
        <v>52</v>
      </c>
      <c r="AH166" s="89" t="str">
        <f>VLOOKUP(AG166,Sheet1!$B$3:$D$36,2,FALSE)</f>
        <v>Furniture</v>
      </c>
      <c r="AI166" s="89" t="s">
        <v>809</v>
      </c>
      <c r="AJ166" s="1" t="str">
        <f t="shared" si="56"/>
        <v>Ornate Accent Stand</v>
      </c>
      <c r="AK166" s="1" t="str">
        <f t="shared" si="57"/>
        <v>d50 x h60</v>
      </c>
      <c r="AL166" s="1" t="str">
        <f t="shared" si="58"/>
        <v>bare indoor</v>
      </c>
      <c r="AM166" s="1" t="str">
        <f t="shared" si="59"/>
        <v>bare indoor</v>
      </c>
      <c r="AN166" s="1" t="str">
        <f t="shared" ref="AN166:AN170" si="83">SUBSTITUTE(AL166,"indoor","")</f>
        <v xml:space="preserve">bare </v>
      </c>
      <c r="AO166" s="1" t="s">
        <v>54</v>
      </c>
      <c r="AQ166" s="1" t="str">
        <f t="shared" si="61"/>
        <v>A</v>
      </c>
      <c r="AR166" s="1" t="str">
        <f>VLOOKUP(TRIM(AI166),Sheet1!$D$3:$E$36,2,FALSE)</f>
        <v>05</v>
      </c>
      <c r="AS166" s="90" t="str">
        <f t="shared" si="62"/>
        <v>01</v>
      </c>
      <c r="AT166" s="1" t="str">
        <f t="shared" si="63"/>
        <v>01</v>
      </c>
      <c r="AU166" s="90" t="s">
        <v>817</v>
      </c>
      <c r="AV166" s="90"/>
      <c r="AW166" s="90"/>
      <c r="AX166" s="95" t="str">
        <f>AQ166&amp;AR166&amp;AS166&amp;"-"&amp;AT166&amp;AU166&amp;BA166</f>
        <v>A0501-0103IND</v>
      </c>
      <c r="AY166" s="99" t="str">
        <f>AQ166&amp;AR166&amp;AS166&amp;"-"&amp;AT166&amp;BA166</f>
        <v>A0501-01IND</v>
      </c>
      <c r="AZ166" s="90"/>
      <c r="BA166" s="1" t="str">
        <f t="shared" si="64"/>
        <v>IND</v>
      </c>
      <c r="BC166" s="1">
        <f t="shared" si="47"/>
        <v>1</v>
      </c>
      <c r="BD166" s="90">
        <f t="shared" si="48"/>
        <v>1</v>
      </c>
      <c r="BE166" s="1">
        <f t="shared" si="68"/>
        <v>1</v>
      </c>
      <c r="BF166" s="1">
        <f t="shared" si="69"/>
        <v>1</v>
      </c>
      <c r="BJ166" t="s">
        <v>849</v>
      </c>
      <c r="BK166" s="1">
        <v>2</v>
      </c>
      <c r="BL166"/>
      <c r="BM166" t="str">
        <f t="shared" si="66"/>
        <v>Tom with lid-Tom with lid-</v>
      </c>
    </row>
    <row r="167" spans="1:65" ht="11.25" customHeight="1">
      <c r="A167" s="26" t="s">
        <v>850</v>
      </c>
      <c r="B167" s="27" t="s">
        <v>843</v>
      </c>
      <c r="C167" s="28">
        <v>969.99</v>
      </c>
      <c r="D167" s="28">
        <f t="shared" si="53"/>
        <v>484.995</v>
      </c>
      <c r="E167" s="22" t="s">
        <v>800</v>
      </c>
      <c r="F167" s="22" t="s">
        <v>851</v>
      </c>
      <c r="G167" s="22" t="s">
        <v>598</v>
      </c>
      <c r="H167" s="22" t="s">
        <v>852</v>
      </c>
      <c r="I167" s="23" t="s">
        <v>846</v>
      </c>
      <c r="J167" s="22" t="s">
        <v>853</v>
      </c>
      <c r="L167" s="23">
        <v>90</v>
      </c>
      <c r="M167" s="23">
        <v>75</v>
      </c>
      <c r="N167" s="3">
        <f t="shared" si="54"/>
        <v>0.60750000000000004</v>
      </c>
      <c r="O167" s="4" t="e">
        <f>(C167-(C167*#REF!))-((C167-(C167*#REF!))*#REF!)</f>
        <v>#REF!</v>
      </c>
      <c r="P167" s="7">
        <v>2009159.8845895522</v>
      </c>
      <c r="Q167" s="7">
        <v>0</v>
      </c>
      <c r="R167" s="5">
        <f t="shared" si="78"/>
        <v>2009159.8845895522</v>
      </c>
      <c r="S167" s="4">
        <f t="shared" si="79"/>
        <v>133.94399230597014</v>
      </c>
      <c r="T167" s="13">
        <f t="shared" si="55"/>
        <v>678.99299999999994</v>
      </c>
      <c r="U167" s="13">
        <f t="shared" si="65"/>
        <v>339.49649999999997</v>
      </c>
      <c r="V167" s="14">
        <f>U167/C167</f>
        <v>0.35</v>
      </c>
      <c r="W167" s="14"/>
      <c r="X167" s="19">
        <f t="shared" si="80"/>
        <v>339.49649999999997</v>
      </c>
      <c r="Y167" s="19">
        <f t="shared" si="81"/>
        <v>678.99299999999994</v>
      </c>
      <c r="Z167" s="15">
        <f t="shared" si="77"/>
        <v>2.5346153579212674</v>
      </c>
      <c r="AA167" s="22" t="s">
        <v>854</v>
      </c>
      <c r="AG167" s="94" t="s">
        <v>52</v>
      </c>
      <c r="AH167" s="89" t="str">
        <f>VLOOKUP(AG167,Sheet1!$B$3:$D$36,2,FALSE)</f>
        <v>Furniture</v>
      </c>
      <c r="AI167" s="89" t="s">
        <v>809</v>
      </c>
      <c r="AJ167" s="1" t="str">
        <f t="shared" si="56"/>
        <v>Ornate Accent Stand</v>
      </c>
      <c r="AK167" s="1" t="str">
        <f t="shared" si="57"/>
        <v>d90 x h75</v>
      </c>
      <c r="AL167" s="1" t="str">
        <f t="shared" si="58"/>
        <v>bare indoor</v>
      </c>
      <c r="AM167" s="1" t="str">
        <f t="shared" si="59"/>
        <v>bare indoor</v>
      </c>
      <c r="AN167" s="1" t="str">
        <f t="shared" si="83"/>
        <v xml:space="preserve">bare </v>
      </c>
      <c r="AO167" s="1" t="s">
        <v>54</v>
      </c>
      <c r="AQ167" s="1" t="str">
        <f t="shared" si="61"/>
        <v>A</v>
      </c>
      <c r="AR167" s="1" t="str">
        <f>VLOOKUP(TRIM(AI167),Sheet1!$D$3:$E$36,2,FALSE)</f>
        <v>05</v>
      </c>
      <c r="AS167" s="90" t="str">
        <f t="shared" si="62"/>
        <v>02</v>
      </c>
      <c r="AT167" s="1" t="str">
        <f t="shared" si="63"/>
        <v>01</v>
      </c>
      <c r="AU167" s="90" t="s">
        <v>817</v>
      </c>
      <c r="AV167" s="90"/>
      <c r="AW167" s="90"/>
      <c r="AX167" s="95" t="str">
        <f>AQ167&amp;AR167&amp;AS167&amp;"-"&amp;AT167&amp;AU167&amp;BA167</f>
        <v>A0502-0103IND</v>
      </c>
      <c r="AY167" s="99" t="str">
        <f>AQ167&amp;AR167&amp;AS167&amp;"-"&amp;AT167&amp;BA167</f>
        <v>A0502-01IND</v>
      </c>
      <c r="AZ167" s="90"/>
      <c r="BA167" s="1" t="str">
        <f t="shared" si="64"/>
        <v>IND</v>
      </c>
      <c r="BC167" s="1" t="str">
        <f t="shared" si="47"/>
        <v/>
      </c>
      <c r="BD167" s="90">
        <f t="shared" si="48"/>
        <v>2</v>
      </c>
      <c r="BE167" s="1">
        <f t="shared" si="68"/>
        <v>1</v>
      </c>
      <c r="BF167" s="1">
        <f t="shared" si="69"/>
        <v>1</v>
      </c>
      <c r="BJ167" t="s">
        <v>855</v>
      </c>
      <c r="BK167" s="1">
        <v>4</v>
      </c>
      <c r="BL167"/>
      <c r="BM167" t="str">
        <f t="shared" si="66"/>
        <v>Tom with lid high-Tom with lid high-Tom with lid high-Tom with lid high-</v>
      </c>
    </row>
    <row r="168" spans="1:65" ht="11.25" customHeight="1">
      <c r="A168" s="26" t="s">
        <v>856</v>
      </c>
      <c r="B168" s="27" t="s">
        <v>857</v>
      </c>
      <c r="C168" s="28">
        <v>116.99</v>
      </c>
      <c r="D168" s="28">
        <f t="shared" si="53"/>
        <v>58.494999999999997</v>
      </c>
      <c r="E168" s="22" t="s">
        <v>800</v>
      </c>
      <c r="F168" s="22" t="s">
        <v>858</v>
      </c>
      <c r="G168" s="22" t="s">
        <v>636</v>
      </c>
      <c r="H168" s="22" t="s">
        <v>859</v>
      </c>
      <c r="I168" s="23" t="s">
        <v>645</v>
      </c>
      <c r="J168" s="22" t="s">
        <v>646</v>
      </c>
      <c r="L168" s="23">
        <v>50</v>
      </c>
      <c r="M168" s="23">
        <v>23</v>
      </c>
      <c r="N168" s="3">
        <f t="shared" si="54"/>
        <v>5.7500000000000002E-2</v>
      </c>
      <c r="O168" s="4" t="e">
        <f>(C168-(C168*#REF!))-((C168-(C168*#REF!))*#REF!)</f>
        <v>#REF!</v>
      </c>
      <c r="P168" s="7">
        <f>348304.515310945-Q168</f>
        <v>78304.515310944989</v>
      </c>
      <c r="Q168" s="7">
        <v>270000</v>
      </c>
      <c r="R168" s="5">
        <f t="shared" si="78"/>
        <v>348304.51531094499</v>
      </c>
      <c r="S168" s="4">
        <f t="shared" si="79"/>
        <v>23.220301020729664</v>
      </c>
      <c r="T168" s="13">
        <f t="shared" si="55"/>
        <v>81.893000000000001</v>
      </c>
      <c r="U168" s="13">
        <f>T168-(T168*$U$1)</f>
        <v>40.9465</v>
      </c>
      <c r="V168" s="14">
        <f>U168/C168</f>
        <v>0.35000000000000003</v>
      </c>
      <c r="W168" s="18">
        <f>S168*$W$1</f>
        <v>46.440602041459329</v>
      </c>
      <c r="X168" s="19">
        <f t="shared" si="80"/>
        <v>46.440602041459329</v>
      </c>
      <c r="Y168" s="19">
        <f t="shared" si="81"/>
        <v>92.881204082918657</v>
      </c>
      <c r="Z168" s="15">
        <v>2</v>
      </c>
      <c r="AA168" s="22" t="s">
        <v>860</v>
      </c>
      <c r="AG168" s="94" t="s">
        <v>52</v>
      </c>
      <c r="AH168" s="89" t="str">
        <f>VLOOKUP(AG168,Sheet1!$B$3:$D$36,2,FALSE)</f>
        <v>Furniture</v>
      </c>
      <c r="AI168" s="89" t="s">
        <v>809</v>
      </c>
      <c r="AJ168" s="1" t="str">
        <f t="shared" si="56"/>
        <v>Quadrant Footed Platter</v>
      </c>
      <c r="AK168" s="1" t="str">
        <f t="shared" si="57"/>
        <v>d50 x h23</v>
      </c>
      <c r="AL168" s="1" t="str">
        <f t="shared" si="58"/>
        <v>teak root</v>
      </c>
      <c r="AM168" s="1" t="str">
        <f t="shared" si="59"/>
        <v>teak root</v>
      </c>
      <c r="AN168" s="1" t="str">
        <f t="shared" si="83"/>
        <v>teak root</v>
      </c>
      <c r="AQ168" s="1" t="str">
        <f t="shared" si="61"/>
        <v>A</v>
      </c>
      <c r="AR168" s="1" t="str">
        <f>VLOOKUP(TRIM(AI168),Sheet1!$D$3:$E$36,2,FALSE)</f>
        <v>05</v>
      </c>
      <c r="AS168" s="90" t="str">
        <f t="shared" si="62"/>
        <v>01</v>
      </c>
      <c r="AT168" s="1" t="str">
        <f t="shared" si="63"/>
        <v>01</v>
      </c>
      <c r="AU168" s="90" t="s">
        <v>648</v>
      </c>
      <c r="AV168" s="90"/>
      <c r="AW168" s="90"/>
      <c r="AX168" s="95" t="str">
        <f>AQ168&amp;AR168&amp;AS168&amp;"-"&amp;AT168&amp;AU168&amp;BA168</f>
        <v>A0501-0132</v>
      </c>
      <c r="AY168" s="99" t="str">
        <f>AQ168&amp;AR168&amp;AS168&amp;"-"&amp;AT168&amp;BA168</f>
        <v>A0501-01</v>
      </c>
      <c r="AZ168" s="90"/>
      <c r="BA168" s="1" t="str">
        <f t="shared" si="64"/>
        <v/>
      </c>
      <c r="BC168" s="1">
        <f t="shared" si="47"/>
        <v>1</v>
      </c>
      <c r="BD168" s="90">
        <f t="shared" si="48"/>
        <v>1</v>
      </c>
      <c r="BE168" s="1">
        <f t="shared" si="68"/>
        <v>1</v>
      </c>
      <c r="BF168" s="1">
        <f t="shared" si="69"/>
        <v>1</v>
      </c>
      <c r="BJ168" t="s">
        <v>861</v>
      </c>
      <c r="BK168" s="1">
        <v>3</v>
      </c>
      <c r="BL168"/>
      <c r="BM168" t="str">
        <f t="shared" si="66"/>
        <v>Tom with lid low-Tom with lid low-Tom with lid low-</v>
      </c>
    </row>
    <row r="169" spans="1:65" ht="11.25" customHeight="1">
      <c r="A169" s="26" t="s">
        <v>862</v>
      </c>
      <c r="B169" s="27" t="s">
        <v>857</v>
      </c>
      <c r="C169" s="28">
        <v>142.99</v>
      </c>
      <c r="D169" s="28">
        <f t="shared" si="53"/>
        <v>71.495000000000005</v>
      </c>
      <c r="E169" s="22" t="s">
        <v>800</v>
      </c>
      <c r="F169" s="22" t="s">
        <v>863</v>
      </c>
      <c r="G169" s="22" t="s">
        <v>636</v>
      </c>
      <c r="H169" s="22" t="s">
        <v>864</v>
      </c>
      <c r="I169" s="23" t="s">
        <v>645</v>
      </c>
      <c r="J169" s="22" t="s">
        <v>646</v>
      </c>
      <c r="L169" s="23">
        <v>60</v>
      </c>
      <c r="M169" s="23">
        <v>23</v>
      </c>
      <c r="N169" s="3">
        <f t="shared" si="54"/>
        <v>8.2799999999999999E-2</v>
      </c>
      <c r="O169" s="4" t="e">
        <f>(C169-(C169*#REF!))-((C169-(C169*#REF!))*#REF!)</f>
        <v>#REF!</v>
      </c>
      <c r="P169" s="7">
        <f>355480.544455064-Q169</f>
        <v>50480.544455063995</v>
      </c>
      <c r="Q169" s="7">
        <v>305000</v>
      </c>
      <c r="R169" s="5">
        <f t="shared" si="78"/>
        <v>355480.54445506399</v>
      </c>
      <c r="S169" s="4">
        <f t="shared" si="79"/>
        <v>23.698702963670932</v>
      </c>
      <c r="T169" s="13">
        <f t="shared" si="55"/>
        <v>100.09300000000002</v>
      </c>
      <c r="U169" s="13">
        <f t="shared" si="65"/>
        <v>50.046500000000009</v>
      </c>
      <c r="V169" s="14">
        <f>U169/C169</f>
        <v>0.35000000000000003</v>
      </c>
      <c r="W169" s="14"/>
      <c r="X169" s="19">
        <f t="shared" si="80"/>
        <v>50.046500000000009</v>
      </c>
      <c r="Y169" s="19">
        <f t="shared" si="81"/>
        <v>100.09300000000002</v>
      </c>
      <c r="Z169" s="15">
        <f>U169/S169</f>
        <v>2.1117822387461072</v>
      </c>
      <c r="AA169" s="22" t="s">
        <v>865</v>
      </c>
      <c r="AG169" s="94" t="s">
        <v>52</v>
      </c>
      <c r="AH169" s="89" t="str">
        <f>VLOOKUP(AG169,Sheet1!$B$3:$D$36,2,FALSE)</f>
        <v>Furniture</v>
      </c>
      <c r="AI169" s="89" t="s">
        <v>809</v>
      </c>
      <c r="AJ169" s="1" t="str">
        <f t="shared" si="56"/>
        <v>Quadrant Footed Platter</v>
      </c>
      <c r="AK169" s="1" t="str">
        <f t="shared" si="57"/>
        <v>d60 x h23</v>
      </c>
      <c r="AL169" s="1" t="str">
        <f t="shared" si="58"/>
        <v>teak root</v>
      </c>
      <c r="AM169" s="1" t="str">
        <f t="shared" si="59"/>
        <v>teak root</v>
      </c>
      <c r="AN169" s="1" t="str">
        <f t="shared" si="83"/>
        <v>teak root</v>
      </c>
      <c r="AQ169" s="1" t="str">
        <f t="shared" si="61"/>
        <v>A</v>
      </c>
      <c r="AR169" s="1" t="str">
        <f>VLOOKUP(TRIM(AI169),Sheet1!$D$3:$E$36,2,FALSE)</f>
        <v>05</v>
      </c>
      <c r="AS169" s="90" t="str">
        <f t="shared" si="62"/>
        <v>02</v>
      </c>
      <c r="AT169" s="1" t="str">
        <f t="shared" si="63"/>
        <v>01</v>
      </c>
      <c r="AU169" s="90" t="s">
        <v>648</v>
      </c>
      <c r="AV169" s="90"/>
      <c r="AW169" s="90"/>
      <c r="AX169" s="95" t="str">
        <f>AQ169&amp;AR169&amp;AS169&amp;"-"&amp;AT169&amp;AU169&amp;BA169</f>
        <v>A0502-0132</v>
      </c>
      <c r="AY169" s="99" t="str">
        <f>AQ169&amp;AR169&amp;AS169&amp;"-"&amp;AT169&amp;BA169</f>
        <v>A0502-01</v>
      </c>
      <c r="AZ169" s="90"/>
      <c r="BA169" s="1" t="str">
        <f t="shared" si="64"/>
        <v/>
      </c>
      <c r="BC169" s="1" t="str">
        <f t="shared" ref="BC169:BC232" si="84">IF(AJ168&lt;&gt;AJ169,1,"")</f>
        <v/>
      </c>
      <c r="BD169" s="90">
        <f t="shared" ref="BD169:BD232" si="85">IF(BC169=1,1,BD168+1)</f>
        <v>2</v>
      </c>
      <c r="BE169" s="1">
        <f t="shared" si="68"/>
        <v>1</v>
      </c>
      <c r="BF169" s="1">
        <f t="shared" si="69"/>
        <v>1</v>
      </c>
      <c r="BJ169" t="s">
        <v>866</v>
      </c>
      <c r="BK169" s="1">
        <v>2</v>
      </c>
      <c r="BL169"/>
      <c r="BM169" t="str">
        <f t="shared" si="66"/>
        <v>Tre-Tre-</v>
      </c>
    </row>
    <row r="170" spans="1:65" ht="11.25" customHeight="1">
      <c r="A170" s="26" t="s">
        <v>867</v>
      </c>
      <c r="B170" s="27" t="s">
        <v>868</v>
      </c>
      <c r="C170" s="28">
        <v>214.99</v>
      </c>
      <c r="D170" s="28">
        <f t="shared" si="53"/>
        <v>107.495</v>
      </c>
      <c r="E170" s="22" t="s">
        <v>800</v>
      </c>
      <c r="F170" s="22" t="s">
        <v>869</v>
      </c>
      <c r="G170" s="22" t="s">
        <v>870</v>
      </c>
      <c r="H170" s="22" t="s">
        <v>871</v>
      </c>
      <c r="I170" s="23" t="s">
        <v>645</v>
      </c>
      <c r="J170" s="22" t="s">
        <v>646</v>
      </c>
      <c r="L170" s="23">
        <v>35</v>
      </c>
      <c r="M170" s="23">
        <v>39</v>
      </c>
      <c r="N170" s="3">
        <f t="shared" si="54"/>
        <v>4.7774999999999998E-2</v>
      </c>
      <c r="O170" s="4" t="e">
        <f>(C170-(C170*#REF!))-((C170-(C170*#REF!))*#REF!)</f>
        <v>#REF!</v>
      </c>
      <c r="P170" s="7">
        <f>636941.591809199-Q170</f>
        <v>86941.591809198959</v>
      </c>
      <c r="Q170" s="7">
        <v>550000</v>
      </c>
      <c r="R170" s="5">
        <f t="shared" si="78"/>
        <v>636941.59180919896</v>
      </c>
      <c r="S170" s="4">
        <f t="shared" si="79"/>
        <v>42.462772787279931</v>
      </c>
      <c r="T170" s="13">
        <f t="shared" si="55"/>
        <v>150.49299999999999</v>
      </c>
      <c r="U170" s="13">
        <f t="shared" si="65"/>
        <v>75.246499999999997</v>
      </c>
      <c r="V170" s="14">
        <f>U170/C170</f>
        <v>0.35</v>
      </c>
      <c r="W170" s="18">
        <f>S170*$W$1</f>
        <v>84.925545574559862</v>
      </c>
      <c r="X170" s="19">
        <f t="shared" si="80"/>
        <v>84.925545574559862</v>
      </c>
      <c r="Y170" s="19">
        <f t="shared" si="81"/>
        <v>169.85109114911972</v>
      </c>
      <c r="Z170" s="15">
        <v>2</v>
      </c>
      <c r="AA170" s="22" t="s">
        <v>872</v>
      </c>
      <c r="AG170" s="94" t="s">
        <v>52</v>
      </c>
      <c r="AH170" s="89" t="str">
        <f>VLOOKUP(AG170,Sheet1!$B$3:$D$36,2,FALSE)</f>
        <v>Furniture</v>
      </c>
      <c r="AI170" s="89" t="s">
        <v>809</v>
      </c>
      <c r="AJ170" s="1" t="str">
        <f t="shared" si="56"/>
        <v>Circular Rest Pouffe</v>
      </c>
      <c r="AK170" s="1" t="str">
        <f t="shared" si="57"/>
        <v>d35 x I39</v>
      </c>
      <c r="AL170" s="1" t="str">
        <f t="shared" si="58"/>
        <v>teak root</v>
      </c>
      <c r="AM170" s="1" t="str">
        <f t="shared" si="59"/>
        <v>teak root</v>
      </c>
      <c r="AN170" s="1" t="str">
        <f t="shared" si="83"/>
        <v>teak root</v>
      </c>
      <c r="AQ170" s="1" t="str">
        <f t="shared" si="61"/>
        <v>A</v>
      </c>
      <c r="AR170" s="1" t="str">
        <f>VLOOKUP(TRIM(AI170),Sheet1!$D$3:$E$36,2,FALSE)</f>
        <v>05</v>
      </c>
      <c r="AS170" s="90" t="str">
        <f t="shared" si="62"/>
        <v>01</v>
      </c>
      <c r="AT170" s="1" t="str">
        <f t="shared" si="63"/>
        <v>01</v>
      </c>
      <c r="AU170" s="90" t="s">
        <v>648</v>
      </c>
      <c r="AV170" s="90"/>
      <c r="AW170" s="90"/>
      <c r="AX170" s="95" t="str">
        <f>AQ170&amp;AR170&amp;AS170&amp;"-"&amp;AT170&amp;AU170&amp;BA170</f>
        <v>A0501-0132</v>
      </c>
      <c r="AY170" s="99" t="str">
        <f>AQ170&amp;AR170&amp;AS170&amp;"-"&amp;AT170&amp;BA170</f>
        <v>A0501-01</v>
      </c>
      <c r="AZ170" s="90"/>
      <c r="BA170" s="1" t="str">
        <f t="shared" si="64"/>
        <v/>
      </c>
      <c r="BC170" s="1">
        <f t="shared" si="84"/>
        <v>1</v>
      </c>
      <c r="BD170" s="90">
        <f t="shared" si="85"/>
        <v>1</v>
      </c>
      <c r="BE170" s="1">
        <f t="shared" si="68"/>
        <v>1</v>
      </c>
      <c r="BF170" s="1">
        <f t="shared" si="69"/>
        <v>1</v>
      </c>
      <c r="BJ170" t="s">
        <v>873</v>
      </c>
      <c r="BK170" s="1">
        <v>4</v>
      </c>
      <c r="BL170"/>
      <c r="BM170" t="str">
        <f t="shared" si="66"/>
        <v>Vania serving board-Vania serving board-Vania serving board-Vania serving board-</v>
      </c>
    </row>
    <row r="171" spans="1:65" s="63" customFormat="1" ht="15.75">
      <c r="A171" s="65" t="s">
        <v>874</v>
      </c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66"/>
      <c r="AC171" s="66"/>
      <c r="AD171" s="66"/>
      <c r="AE171" s="66"/>
      <c r="AF171" s="66"/>
      <c r="AG171" s="94"/>
      <c r="AH171" s="89"/>
      <c r="AI171" s="89"/>
      <c r="AJ171" s="1"/>
      <c r="AK171" s="1"/>
      <c r="AL171" s="1"/>
      <c r="AM171" s="1"/>
      <c r="AQ171" s="1"/>
      <c r="AR171" s="1"/>
      <c r="AS171" s="90"/>
      <c r="AT171" s="1"/>
      <c r="AU171" s="90"/>
      <c r="AV171" s="90"/>
      <c r="AW171" s="90"/>
      <c r="AX171" s="95"/>
      <c r="AY171" s="99" t="str">
        <f>AQ171&amp;AR171&amp;AS171&amp;"-"&amp;AT171&amp;BA171</f>
        <v>-</v>
      </c>
      <c r="AZ171" s="90"/>
      <c r="BA171" s="1"/>
      <c r="BC171" s="1"/>
      <c r="BD171" s="90"/>
      <c r="BE171" s="1"/>
      <c r="BF171" s="1"/>
      <c r="BI171" s="1"/>
      <c r="BJ171" t="s">
        <v>875</v>
      </c>
      <c r="BK171" s="1">
        <v>3</v>
      </c>
      <c r="BL171"/>
      <c r="BM171" t="str">
        <f t="shared" si="66"/>
        <v>Varane-Varane-Varane-</v>
      </c>
    </row>
    <row r="172" spans="1:65" ht="11.25" customHeight="1">
      <c r="A172" s="26" t="s">
        <v>876</v>
      </c>
      <c r="B172" s="27" t="s">
        <v>877</v>
      </c>
      <c r="C172" s="28">
        <v>1699.99</v>
      </c>
      <c r="D172" s="28">
        <f t="shared" si="53"/>
        <v>849.995</v>
      </c>
      <c r="E172" s="22" t="s">
        <v>874</v>
      </c>
      <c r="F172" s="22" t="s">
        <v>878</v>
      </c>
      <c r="G172" s="22" t="s">
        <v>452</v>
      </c>
      <c r="H172" s="22" t="s">
        <v>879</v>
      </c>
      <c r="I172" s="23" t="s">
        <v>49</v>
      </c>
      <c r="J172" s="22" t="s">
        <v>50</v>
      </c>
      <c r="K172" s="23">
        <v>200</v>
      </c>
      <c r="L172" s="23">
        <v>50</v>
      </c>
      <c r="M172" s="23">
        <v>90</v>
      </c>
      <c r="N172" s="3">
        <f t="shared" si="54"/>
        <v>0.9</v>
      </c>
      <c r="O172" s="4" t="e">
        <f>(C172-(C172*#REF!))-((C172-(C172*#REF!))*#REF!)</f>
        <v>#REF!</v>
      </c>
      <c r="P172" s="7"/>
      <c r="Q172" s="7"/>
      <c r="R172" s="5">
        <f t="shared" ref="R172:R197" si="86">P172+Q172</f>
        <v>0</v>
      </c>
      <c r="S172" s="4">
        <f t="shared" ref="S172:S197" si="87">R172/15000</f>
        <v>0</v>
      </c>
      <c r="T172" s="13">
        <f t="shared" si="55"/>
        <v>1189.9929999999999</v>
      </c>
      <c r="U172" s="13">
        <f t="shared" si="65"/>
        <v>594.99649999999997</v>
      </c>
      <c r="V172" s="14">
        <f>U172/C172</f>
        <v>0.35</v>
      </c>
      <c r="W172" s="14"/>
      <c r="X172" s="19">
        <f t="shared" ref="X172:X197" si="88">IF(ISBLANK(W172),U172, W172)</f>
        <v>594.99649999999997</v>
      </c>
      <c r="Y172" s="19">
        <f t="shared" ref="Y172:Y197" si="89">X172*2</f>
        <v>1189.9929999999999</v>
      </c>
      <c r="Z172" s="15" t="e">
        <f t="shared" ref="Z172:Z188" si="90">U172/S172</f>
        <v>#DIV/0!</v>
      </c>
      <c r="AA172" s="22" t="s">
        <v>880</v>
      </c>
      <c r="AG172" s="94" t="s">
        <v>52</v>
      </c>
      <c r="AH172" s="89" t="str">
        <f>VLOOKUP(AG172,Sheet1!$B$3:$D$36,2,FALSE)</f>
        <v>Furniture</v>
      </c>
      <c r="AI172" s="89" t="s">
        <v>881</v>
      </c>
      <c r="AJ172" s="1" t="str">
        <f t="shared" si="56"/>
        <v>L'Église rectangular console</v>
      </c>
      <c r="AK172" s="1" t="str">
        <f t="shared" si="57"/>
        <v>w200 x d50 x h90 x bh85</v>
      </c>
      <c r="AL172" s="1" t="str">
        <f t="shared" si="58"/>
        <v>Natural teak indoor</v>
      </c>
      <c r="AM172" s="1" t="str">
        <f t="shared" si="59"/>
        <v>Natural teak indoor</v>
      </c>
      <c r="AN172" s="1" t="str">
        <f>SUBSTITUTE(AL172,"indoor","")</f>
        <v xml:space="preserve">Natural teak </v>
      </c>
      <c r="AO172" s="1" t="s">
        <v>54</v>
      </c>
      <c r="AQ172" s="1" t="str">
        <f t="shared" si="61"/>
        <v>A</v>
      </c>
      <c r="AR172" s="1" t="str">
        <f>VLOOKUP(TRIM(AI172),Sheet1!$D$3:$E$36,2,FALSE)</f>
        <v>06</v>
      </c>
      <c r="AS172" s="90" t="str">
        <f t="shared" si="62"/>
        <v>01</v>
      </c>
      <c r="AT172" s="1" t="str">
        <f t="shared" si="63"/>
        <v>01</v>
      </c>
      <c r="AU172" s="90" t="s">
        <v>55</v>
      </c>
      <c r="AV172" s="90"/>
      <c r="AW172" s="90"/>
      <c r="AX172" s="95" t="str">
        <f>AQ172&amp;AR172&amp;AS172&amp;"-"&amp;AT172&amp;AU172&amp;BA172</f>
        <v>A0601-0110IND</v>
      </c>
      <c r="AY172" s="99" t="str">
        <f>AQ172&amp;AR172&amp;AS172&amp;"-"&amp;AT172&amp;BA172</f>
        <v>A0601-01IND</v>
      </c>
      <c r="AZ172" s="90"/>
      <c r="BA172" s="1" t="str">
        <f t="shared" si="64"/>
        <v>IND</v>
      </c>
      <c r="BC172" s="1">
        <f t="shared" si="84"/>
        <v>1</v>
      </c>
      <c r="BD172" s="90">
        <f t="shared" si="85"/>
        <v>1</v>
      </c>
      <c r="BE172" s="1">
        <f t="shared" si="68"/>
        <v>1</v>
      </c>
      <c r="BF172" s="1">
        <f t="shared" si="69"/>
        <v>1</v>
      </c>
      <c r="BJ172" t="s">
        <v>166</v>
      </c>
      <c r="BK172" s="1">
        <v>2</v>
      </c>
      <c r="BL172"/>
      <c r="BM172" t="str">
        <f t="shared" si="66"/>
        <v>Varna rectangular-Varna rectangular-</v>
      </c>
    </row>
    <row r="173" spans="1:65" ht="11.25" customHeight="1">
      <c r="A173" s="26" t="s">
        <v>882</v>
      </c>
      <c r="B173" s="27" t="s">
        <v>877</v>
      </c>
      <c r="C173" s="28">
        <v>1909.99</v>
      </c>
      <c r="D173" s="28">
        <f t="shared" si="53"/>
        <v>954.995</v>
      </c>
      <c r="E173" s="22" t="s">
        <v>874</v>
      </c>
      <c r="F173" s="22" t="s">
        <v>883</v>
      </c>
      <c r="G173" s="22" t="s">
        <v>452</v>
      </c>
      <c r="H173" s="22" t="s">
        <v>879</v>
      </c>
      <c r="I173" s="23" t="s">
        <v>884</v>
      </c>
      <c r="J173" s="22" t="s">
        <v>50</v>
      </c>
      <c r="K173" s="23">
        <v>200</v>
      </c>
      <c r="L173" s="23">
        <v>50</v>
      </c>
      <c r="M173" s="23">
        <v>90</v>
      </c>
      <c r="N173" s="3">
        <f t="shared" si="54"/>
        <v>0.9</v>
      </c>
      <c r="O173" s="4" t="e">
        <f>(C173-(C173*#REF!))-((C173-(C173*#REF!))*#REF!)</f>
        <v>#REF!</v>
      </c>
      <c r="P173" s="7"/>
      <c r="Q173" s="7"/>
      <c r="R173" s="5">
        <f t="shared" si="86"/>
        <v>0</v>
      </c>
      <c r="S173" s="4">
        <f t="shared" si="87"/>
        <v>0</v>
      </c>
      <c r="T173" s="13">
        <f t="shared" si="55"/>
        <v>1336.9929999999999</v>
      </c>
      <c r="U173" s="13">
        <f t="shared" si="65"/>
        <v>668.49649999999997</v>
      </c>
      <c r="V173" s="14">
        <f>U173/C173</f>
        <v>0.35</v>
      </c>
      <c r="W173" s="14"/>
      <c r="X173" s="19">
        <f t="shared" si="88"/>
        <v>668.49649999999997</v>
      </c>
      <c r="Y173" s="19">
        <f t="shared" si="89"/>
        <v>1336.9929999999999</v>
      </c>
      <c r="Z173" s="15" t="e">
        <f t="shared" si="90"/>
        <v>#DIV/0!</v>
      </c>
      <c r="AA173" s="22" t="s">
        <v>885</v>
      </c>
      <c r="AG173" s="94" t="s">
        <v>52</v>
      </c>
      <c r="AH173" s="89" t="str">
        <f>VLOOKUP(AG173,Sheet1!$B$3:$D$36,2,FALSE)</f>
        <v>Furniture</v>
      </c>
      <c r="AI173" s="89" t="s">
        <v>881</v>
      </c>
      <c r="AJ173" s="1" t="str">
        <f t="shared" si="56"/>
        <v>L'Église rectangular console</v>
      </c>
      <c r="AK173" s="1" t="str">
        <f t="shared" si="57"/>
        <v>w200 x d50 x h90 x bh85</v>
      </c>
      <c r="AL173" s="1" t="str">
        <f t="shared" si="58"/>
        <v xml:space="preserve">Natural teak outdoor </v>
      </c>
      <c r="AM173" s="1" t="str">
        <f t="shared" si="59"/>
        <v xml:space="preserve">Natural teak outdoor </v>
      </c>
      <c r="AN173" s="1" t="str">
        <f>SUBSTITUTE(AL173,"outdoor","")</f>
        <v xml:space="preserve">Natural teak  </v>
      </c>
      <c r="AO173" s="1" t="s">
        <v>59</v>
      </c>
      <c r="AQ173" s="1" t="str">
        <f t="shared" si="61"/>
        <v>A</v>
      </c>
      <c r="AR173" s="1" t="str">
        <f>VLOOKUP(TRIM(AI173),Sheet1!$D$3:$E$36,2,FALSE)</f>
        <v>06</v>
      </c>
      <c r="AS173" s="90" t="str">
        <f t="shared" si="62"/>
        <v>02</v>
      </c>
      <c r="AT173" s="1" t="str">
        <f t="shared" si="63"/>
        <v>02</v>
      </c>
      <c r="AU173" s="90" t="s">
        <v>55</v>
      </c>
      <c r="AV173" s="90"/>
      <c r="AW173" s="90"/>
      <c r="AX173" s="95" t="str">
        <f>AQ173&amp;AR173&amp;AS173&amp;"-"&amp;AT173&amp;AU173&amp;BA173</f>
        <v>A0602-0210OUT</v>
      </c>
      <c r="AY173" s="99" t="str">
        <f>AQ173&amp;AR173&amp;AS173&amp;"-"&amp;AT173&amp;BA173</f>
        <v>A0602-02OUT</v>
      </c>
      <c r="AZ173" s="90"/>
      <c r="BA173" s="1" t="str">
        <f t="shared" si="64"/>
        <v>OUT</v>
      </c>
      <c r="BC173" s="1" t="str">
        <f t="shared" si="84"/>
        <v/>
      </c>
      <c r="BD173" s="90">
        <f t="shared" si="85"/>
        <v>2</v>
      </c>
      <c r="BE173" s="1" t="str">
        <f t="shared" si="68"/>
        <v/>
      </c>
      <c r="BF173" s="1">
        <f t="shared" si="69"/>
        <v>2</v>
      </c>
      <c r="BJ173" t="s">
        <v>886</v>
      </c>
      <c r="BK173" s="1">
        <v>2</v>
      </c>
      <c r="BL173"/>
      <c r="BM173" t="str">
        <f t="shared" si="66"/>
        <v>Vasile-Vasile-</v>
      </c>
    </row>
    <row r="174" spans="1:65" ht="11.25" customHeight="1">
      <c r="A174" s="26" t="s">
        <v>887</v>
      </c>
      <c r="B174" s="27" t="s">
        <v>888</v>
      </c>
      <c r="C174" s="28">
        <v>1899.99</v>
      </c>
      <c r="D174" s="28">
        <f t="shared" si="53"/>
        <v>949.995</v>
      </c>
      <c r="E174" s="22" t="s">
        <v>874</v>
      </c>
      <c r="F174" s="22" t="s">
        <v>889</v>
      </c>
      <c r="G174" s="22" t="s">
        <v>482</v>
      </c>
      <c r="H174" s="22" t="s">
        <v>890</v>
      </c>
      <c r="I174" s="23" t="s">
        <v>891</v>
      </c>
      <c r="J174" s="22" t="s">
        <v>50</v>
      </c>
      <c r="K174" s="23">
        <v>250</v>
      </c>
      <c r="L174" s="23">
        <v>60</v>
      </c>
      <c r="M174" s="23">
        <v>75</v>
      </c>
      <c r="N174" s="3">
        <f t="shared" si="54"/>
        <v>1.125</v>
      </c>
      <c r="O174" s="4" t="e">
        <f>(C174-(C174*#REF!))-((C174-(C174*#REF!))*#REF!)</f>
        <v>#REF!</v>
      </c>
      <c r="P174" s="7"/>
      <c r="Q174" s="7"/>
      <c r="R174" s="5">
        <f t="shared" si="86"/>
        <v>0</v>
      </c>
      <c r="S174" s="4">
        <f t="shared" si="87"/>
        <v>0</v>
      </c>
      <c r="T174" s="13">
        <f t="shared" si="55"/>
        <v>1329.9929999999999</v>
      </c>
      <c r="U174" s="13">
        <f t="shared" si="65"/>
        <v>664.99649999999997</v>
      </c>
      <c r="V174" s="14">
        <f>U174/C174</f>
        <v>0.35</v>
      </c>
      <c r="W174" s="14"/>
      <c r="X174" s="19">
        <f t="shared" si="88"/>
        <v>664.99649999999997</v>
      </c>
      <c r="Y174" s="19">
        <f t="shared" si="89"/>
        <v>1329.9929999999999</v>
      </c>
      <c r="Z174" s="15" t="e">
        <f t="shared" si="90"/>
        <v>#DIV/0!</v>
      </c>
      <c r="AA174" s="22" t="s">
        <v>892</v>
      </c>
      <c r="AG174" s="94" t="s">
        <v>52</v>
      </c>
      <c r="AH174" s="89" t="str">
        <f>VLOOKUP(AG174,Sheet1!$B$3:$D$36,2,FALSE)</f>
        <v>Furniture</v>
      </c>
      <c r="AI174" s="89" t="s">
        <v>881</v>
      </c>
      <c r="AJ174" s="1" t="str">
        <f t="shared" si="56"/>
        <v>Martin rectangular console</v>
      </c>
      <c r="AK174" s="1" t="str">
        <f t="shared" si="57"/>
        <v>w250 x d60 x h75</v>
      </c>
      <c r="AL174" s="1" t="str">
        <f t="shared" si="58"/>
        <v>teak original - bare indoor</v>
      </c>
      <c r="AM174" s="1" t="str">
        <f t="shared" si="59"/>
        <v>teak original - bare indoor</v>
      </c>
      <c r="AN174" s="1" t="str">
        <f>SUBSTITUTE(AL174,"indoor","")</f>
        <v xml:space="preserve">teak original - bare </v>
      </c>
      <c r="AO174" s="1" t="s">
        <v>54</v>
      </c>
      <c r="AQ174" s="1" t="str">
        <f t="shared" si="61"/>
        <v>A</v>
      </c>
      <c r="AR174" s="1" t="str">
        <f>VLOOKUP(TRIM(AI174),Sheet1!$D$3:$E$36,2,FALSE)</f>
        <v>06</v>
      </c>
      <c r="AS174" s="90" t="str">
        <f t="shared" si="62"/>
        <v>01</v>
      </c>
      <c r="AT174" s="1" t="str">
        <f t="shared" si="63"/>
        <v>01</v>
      </c>
      <c r="AU174" s="90" t="s">
        <v>119</v>
      </c>
      <c r="AV174" s="90"/>
      <c r="AW174" s="90"/>
      <c r="AX174" s="95" t="str">
        <f>AQ174&amp;AR174&amp;AS174&amp;"-"&amp;AT174&amp;AU174&amp;BA174</f>
        <v>A0601-0130IND</v>
      </c>
      <c r="AY174" s="99" t="str">
        <f>AQ174&amp;AR174&amp;AS174&amp;"-"&amp;AT174&amp;BA174</f>
        <v>A0601-01IND</v>
      </c>
      <c r="AZ174" s="90"/>
      <c r="BA174" s="1" t="str">
        <f t="shared" si="64"/>
        <v>IND</v>
      </c>
      <c r="BC174" s="1">
        <f t="shared" si="84"/>
        <v>1</v>
      </c>
      <c r="BD174" s="90">
        <f t="shared" si="85"/>
        <v>1</v>
      </c>
      <c r="BE174" s="1">
        <f t="shared" si="68"/>
        <v>1</v>
      </c>
      <c r="BF174" s="1">
        <f t="shared" si="69"/>
        <v>1</v>
      </c>
      <c r="BJ174" t="s">
        <v>70</v>
      </c>
      <c r="BK174" s="1">
        <v>6</v>
      </c>
      <c r="BL174"/>
      <c r="BM174" t="str">
        <f t="shared" si="66"/>
        <v>Veliko round-Veliko round-Veliko round-Veliko round-Veliko round-Veliko round-</v>
      </c>
    </row>
    <row r="175" spans="1:65" ht="11.25" customHeight="1">
      <c r="B175" s="27" t="s">
        <v>888</v>
      </c>
      <c r="D175" s="28">
        <f t="shared" si="53"/>
        <v>0</v>
      </c>
      <c r="E175" s="22" t="s">
        <v>874</v>
      </c>
      <c r="F175" s="22" t="s">
        <v>889</v>
      </c>
      <c r="G175" s="22" t="s">
        <v>482</v>
      </c>
      <c r="H175" s="22" t="s">
        <v>890</v>
      </c>
      <c r="I175" s="23" t="s">
        <v>893</v>
      </c>
      <c r="J175" s="22" t="s">
        <v>50</v>
      </c>
      <c r="K175" s="23">
        <v>250</v>
      </c>
      <c r="L175" s="23">
        <v>60</v>
      </c>
      <c r="M175" s="23">
        <v>75</v>
      </c>
      <c r="N175" s="3">
        <f t="shared" si="54"/>
        <v>1.125</v>
      </c>
      <c r="O175" s="4" t="e">
        <f>(C175-(C175*#REF!))-((C175-(C175*#REF!))*#REF!)</f>
        <v>#REF!</v>
      </c>
      <c r="P175" s="7"/>
      <c r="Q175" s="7"/>
      <c r="R175" s="5">
        <f t="shared" si="86"/>
        <v>0</v>
      </c>
      <c r="S175" s="4">
        <f t="shared" si="87"/>
        <v>0</v>
      </c>
      <c r="T175" s="13">
        <f t="shared" si="55"/>
        <v>0</v>
      </c>
      <c r="U175" s="13">
        <f t="shared" si="65"/>
        <v>0</v>
      </c>
      <c r="V175" s="14" t="e">
        <f>U175/C175</f>
        <v>#DIV/0!</v>
      </c>
      <c r="W175" s="14"/>
      <c r="X175" s="19">
        <f t="shared" si="88"/>
        <v>0</v>
      </c>
      <c r="Y175" s="19">
        <f t="shared" si="89"/>
        <v>0</v>
      </c>
      <c r="Z175" s="15" t="e">
        <f t="shared" si="90"/>
        <v>#DIV/0!</v>
      </c>
      <c r="AA175" s="22" t="s">
        <v>894</v>
      </c>
      <c r="AG175" s="94" t="s">
        <v>52</v>
      </c>
      <c r="AH175" s="89" t="str">
        <f>VLOOKUP(AG175,Sheet1!$B$3:$D$36,2,FALSE)</f>
        <v>Furniture</v>
      </c>
      <c r="AI175" s="89" t="s">
        <v>881</v>
      </c>
      <c r="AJ175" s="1" t="str">
        <f t="shared" si="56"/>
        <v>Martin rectangular console</v>
      </c>
      <c r="AK175" s="1" t="str">
        <f t="shared" si="57"/>
        <v>w250 x d60 x h75</v>
      </c>
      <c r="AL175" s="1" t="str">
        <f t="shared" si="58"/>
        <v>teak original - bare outdoor</v>
      </c>
      <c r="AM175" s="1" t="str">
        <f t="shared" si="59"/>
        <v>teak original - bare outdoor</v>
      </c>
      <c r="AN175" s="1" t="str">
        <f>SUBSTITUTE(AL175,"outdoor","")</f>
        <v xml:space="preserve">teak original - bare </v>
      </c>
      <c r="AO175" s="1" t="s">
        <v>59</v>
      </c>
      <c r="AQ175" s="1" t="str">
        <f t="shared" si="61"/>
        <v>A</v>
      </c>
      <c r="AR175" s="1" t="str">
        <f>VLOOKUP(TRIM(AI175),Sheet1!$D$3:$E$36,2,FALSE)</f>
        <v>06</v>
      </c>
      <c r="AS175" s="90" t="str">
        <f t="shared" si="62"/>
        <v>02</v>
      </c>
      <c r="AT175" s="1" t="str">
        <f t="shared" si="63"/>
        <v>02</v>
      </c>
      <c r="AU175" s="90" t="s">
        <v>119</v>
      </c>
      <c r="AV175" s="90"/>
      <c r="AW175" s="90"/>
      <c r="AX175" s="95" t="str">
        <f>AQ175&amp;AR175&amp;AS175&amp;"-"&amp;AT175&amp;AU175&amp;BA175</f>
        <v>A0602-0230OUT</v>
      </c>
      <c r="AY175" s="99" t="str">
        <f>AQ175&amp;AR175&amp;AS175&amp;"-"&amp;AT175&amp;BA175</f>
        <v>A0602-02OUT</v>
      </c>
      <c r="AZ175" s="90"/>
      <c r="BA175" s="1" t="str">
        <f t="shared" si="64"/>
        <v>OUT</v>
      </c>
      <c r="BC175" s="1" t="str">
        <f t="shared" si="84"/>
        <v/>
      </c>
      <c r="BD175" s="90">
        <f t="shared" si="85"/>
        <v>2</v>
      </c>
      <c r="BE175" s="1" t="str">
        <f t="shared" si="68"/>
        <v/>
      </c>
      <c r="BF175" s="1">
        <f t="shared" si="69"/>
        <v>2</v>
      </c>
      <c r="BJ175" t="s">
        <v>360</v>
      </c>
      <c r="BK175" s="1">
        <v>2</v>
      </c>
      <c r="BL175"/>
      <c r="BM175" t="str">
        <f t="shared" si="66"/>
        <v>Vitosha rectangular-Vitosha rectangular-</v>
      </c>
    </row>
    <row r="176" spans="1:65" ht="11.25" customHeight="1">
      <c r="A176" s="26" t="s">
        <v>895</v>
      </c>
      <c r="B176" s="27" t="s">
        <v>896</v>
      </c>
      <c r="C176" s="28">
        <v>2289.9899999999998</v>
      </c>
      <c r="D176" s="28">
        <f t="shared" si="53"/>
        <v>1144.9949999999999</v>
      </c>
      <c r="E176" s="22" t="s">
        <v>874</v>
      </c>
      <c r="F176" s="22" t="s">
        <v>897</v>
      </c>
      <c r="G176" s="22" t="s">
        <v>320</v>
      </c>
      <c r="H176" s="22" t="s">
        <v>898</v>
      </c>
      <c r="I176" s="23" t="s">
        <v>49</v>
      </c>
      <c r="J176" s="22" t="s">
        <v>50</v>
      </c>
      <c r="K176" s="23">
        <v>200</v>
      </c>
      <c r="L176" s="23">
        <v>70</v>
      </c>
      <c r="M176" s="23">
        <v>90</v>
      </c>
      <c r="N176" s="3">
        <f t="shared" si="54"/>
        <v>1.26</v>
      </c>
      <c r="O176" s="4" t="e">
        <f>(C176-(C176*#REF!))-((C176-(C176*#REF!))*#REF!)</f>
        <v>#REF!</v>
      </c>
      <c r="P176" s="7">
        <v>3804010.0004234128</v>
      </c>
      <c r="Q176" s="7">
        <v>0</v>
      </c>
      <c r="R176" s="5">
        <f t="shared" si="86"/>
        <v>3804010.0004234128</v>
      </c>
      <c r="S176" s="4">
        <f t="shared" si="87"/>
        <v>253.60066669489419</v>
      </c>
      <c r="T176" s="13">
        <f t="shared" si="55"/>
        <v>1602.9929999999999</v>
      </c>
      <c r="U176" s="13">
        <f t="shared" si="65"/>
        <v>801.49649999999997</v>
      </c>
      <c r="V176" s="14">
        <f>U176/C176</f>
        <v>0.35000000000000003</v>
      </c>
      <c r="W176" s="14"/>
      <c r="X176" s="19">
        <f t="shared" si="88"/>
        <v>801.49649999999997</v>
      </c>
      <c r="Y176" s="19">
        <f t="shared" si="89"/>
        <v>1602.9929999999999</v>
      </c>
      <c r="Z176" s="15">
        <f t="shared" si="90"/>
        <v>3.1604668491044494</v>
      </c>
      <c r="AA176" s="22" t="s">
        <v>899</v>
      </c>
      <c r="AG176" s="94" t="s">
        <v>52</v>
      </c>
      <c r="AH176" s="89" t="str">
        <f>VLOOKUP(AG176,Sheet1!$B$3:$D$36,2,FALSE)</f>
        <v>Furniture</v>
      </c>
      <c r="AI176" s="89" t="s">
        <v>881</v>
      </c>
      <c r="AJ176" s="1" t="str">
        <f t="shared" si="56"/>
        <v>Gunterdorf rectangular console</v>
      </c>
      <c r="AK176" s="1" t="str">
        <f t="shared" si="57"/>
        <v>w200 x d70 x h90 x bh85</v>
      </c>
      <c r="AL176" s="1" t="str">
        <f t="shared" si="58"/>
        <v>Natural teak indoor</v>
      </c>
      <c r="AM176" s="1" t="str">
        <f t="shared" si="59"/>
        <v>Natural teak indoor</v>
      </c>
      <c r="AN176" s="1" t="str">
        <f>SUBSTITUTE(AL176,"indoor","")</f>
        <v xml:space="preserve">Natural teak </v>
      </c>
      <c r="AO176" s="1" t="s">
        <v>54</v>
      </c>
      <c r="AQ176" s="1" t="str">
        <f t="shared" si="61"/>
        <v>A</v>
      </c>
      <c r="AR176" s="1" t="str">
        <f>VLOOKUP(TRIM(AI176),Sheet1!$D$3:$E$36,2,FALSE)</f>
        <v>06</v>
      </c>
      <c r="AS176" s="90" t="str">
        <f t="shared" si="62"/>
        <v>01</v>
      </c>
      <c r="AT176" s="1" t="str">
        <f t="shared" si="63"/>
        <v>01</v>
      </c>
      <c r="AU176" s="90" t="s">
        <v>55</v>
      </c>
      <c r="AV176" s="90"/>
      <c r="AW176" s="90"/>
      <c r="AX176" s="95" t="str">
        <f>AQ176&amp;AR176&amp;AS176&amp;"-"&amp;AT176&amp;AU176&amp;BA176</f>
        <v>A0601-0110IND</v>
      </c>
      <c r="AY176" s="99" t="str">
        <f>AQ176&amp;AR176&amp;AS176&amp;"-"&amp;AT176&amp;BA176</f>
        <v>A0601-01IND</v>
      </c>
      <c r="AZ176" s="90"/>
      <c r="BA176" s="1" t="str">
        <f t="shared" si="64"/>
        <v>IND</v>
      </c>
      <c r="BC176" s="1">
        <f t="shared" si="84"/>
        <v>1</v>
      </c>
      <c r="BD176" s="90">
        <f t="shared" si="85"/>
        <v>1</v>
      </c>
      <c r="BE176" s="1">
        <f t="shared" si="68"/>
        <v>1</v>
      </c>
      <c r="BF176" s="1">
        <f t="shared" si="69"/>
        <v>1</v>
      </c>
      <c r="BJ176" t="s">
        <v>900</v>
      </c>
      <c r="BK176" s="1">
        <v>3</v>
      </c>
      <c r="BL176"/>
      <c r="BM176" t="str">
        <f t="shared" si="66"/>
        <v>Weenie towel rack-Weenie towel rack-Weenie towel rack-</v>
      </c>
    </row>
    <row r="177" spans="1:65" ht="11.25" customHeight="1">
      <c r="A177" s="26" t="s">
        <v>901</v>
      </c>
      <c r="B177" s="27" t="s">
        <v>896</v>
      </c>
      <c r="C177" s="28">
        <v>2529.9899999999998</v>
      </c>
      <c r="D177" s="28">
        <f t="shared" si="53"/>
        <v>1264.9949999999999</v>
      </c>
      <c r="E177" s="22" t="s">
        <v>874</v>
      </c>
      <c r="F177" s="22" t="s">
        <v>902</v>
      </c>
      <c r="G177" s="22" t="s">
        <v>320</v>
      </c>
      <c r="H177" s="22" t="s">
        <v>898</v>
      </c>
      <c r="I177" s="23" t="s">
        <v>884</v>
      </c>
      <c r="J177" s="22" t="s">
        <v>50</v>
      </c>
      <c r="K177" s="23">
        <v>200</v>
      </c>
      <c r="L177" s="23">
        <v>70</v>
      </c>
      <c r="M177" s="23">
        <v>90</v>
      </c>
      <c r="N177" s="3">
        <f t="shared" si="54"/>
        <v>1.26</v>
      </c>
      <c r="O177" s="4" t="e">
        <f>(C177-(C177*#REF!))-((C177-(C177*#REF!))*#REF!)</f>
        <v>#REF!</v>
      </c>
      <c r="P177" s="7">
        <v>3681777.4999604505</v>
      </c>
      <c r="Q177" s="7">
        <v>0</v>
      </c>
      <c r="R177" s="5">
        <f t="shared" si="86"/>
        <v>3681777.4999604505</v>
      </c>
      <c r="S177" s="4">
        <f t="shared" si="87"/>
        <v>245.4518333306967</v>
      </c>
      <c r="T177" s="13">
        <f t="shared" si="55"/>
        <v>1770.9929999999999</v>
      </c>
      <c r="U177" s="13">
        <f t="shared" si="65"/>
        <v>885.49649999999997</v>
      </c>
      <c r="V177" s="14">
        <f>U177/C177</f>
        <v>0.35000000000000003</v>
      </c>
      <c r="W177" s="14"/>
      <c r="X177" s="19">
        <f t="shared" si="88"/>
        <v>885.49649999999997</v>
      </c>
      <c r="Y177" s="19">
        <f t="shared" si="89"/>
        <v>1770.9929999999999</v>
      </c>
      <c r="Z177" s="15">
        <f t="shared" si="90"/>
        <v>3.6076181953262192</v>
      </c>
      <c r="AA177" s="22" t="s">
        <v>903</v>
      </c>
      <c r="AG177" s="94" t="s">
        <v>52</v>
      </c>
      <c r="AH177" s="89" t="str">
        <f>VLOOKUP(AG177,Sheet1!$B$3:$D$36,2,FALSE)</f>
        <v>Furniture</v>
      </c>
      <c r="AI177" s="89" t="s">
        <v>881</v>
      </c>
      <c r="AJ177" s="1" t="str">
        <f t="shared" si="56"/>
        <v>Gunterdorf rectangular console</v>
      </c>
      <c r="AK177" s="1" t="str">
        <f t="shared" si="57"/>
        <v>w200 x d70 x h90 x bh85</v>
      </c>
      <c r="AL177" s="1" t="str">
        <f t="shared" si="58"/>
        <v xml:space="preserve">Natural teak outdoor </v>
      </c>
      <c r="AM177" s="1" t="str">
        <f t="shared" si="59"/>
        <v xml:space="preserve">Natural teak outdoor </v>
      </c>
      <c r="AN177" s="1" t="str">
        <f>SUBSTITUTE(AL177,"outdoor","")</f>
        <v xml:space="preserve">Natural teak  </v>
      </c>
      <c r="AO177" s="1" t="s">
        <v>59</v>
      </c>
      <c r="AQ177" s="1" t="str">
        <f t="shared" si="61"/>
        <v>A</v>
      </c>
      <c r="AR177" s="1" t="str">
        <f>VLOOKUP(TRIM(AI177),Sheet1!$D$3:$E$36,2,FALSE)</f>
        <v>06</v>
      </c>
      <c r="AS177" s="90" t="str">
        <f t="shared" si="62"/>
        <v>02</v>
      </c>
      <c r="AT177" s="1" t="str">
        <f t="shared" si="63"/>
        <v>02</v>
      </c>
      <c r="AU177" s="90" t="s">
        <v>55</v>
      </c>
      <c r="AV177" s="90"/>
      <c r="AW177" s="90"/>
      <c r="AX177" s="95" t="str">
        <f>AQ177&amp;AR177&amp;AS177&amp;"-"&amp;AT177&amp;AU177&amp;BA177</f>
        <v>A0602-0210OUT</v>
      </c>
      <c r="AY177" s="99" t="str">
        <f>AQ177&amp;AR177&amp;AS177&amp;"-"&amp;AT177&amp;BA177</f>
        <v>A0602-02OUT</v>
      </c>
      <c r="AZ177" s="90"/>
      <c r="BA177" s="1" t="str">
        <f t="shared" si="64"/>
        <v>OUT</v>
      </c>
      <c r="BC177" s="1" t="str">
        <f t="shared" si="84"/>
        <v/>
      </c>
      <c r="BD177" s="90">
        <f t="shared" si="85"/>
        <v>2</v>
      </c>
      <c r="BE177" s="1" t="str">
        <f t="shared" si="68"/>
        <v/>
      </c>
      <c r="BF177" s="1">
        <f t="shared" si="69"/>
        <v>2</v>
      </c>
      <c r="BJ177" t="s">
        <v>904</v>
      </c>
      <c r="BK177" s="1">
        <v>2</v>
      </c>
      <c r="BL177"/>
      <c r="BM177" t="str">
        <f t="shared" si="66"/>
        <v>Weser extension console-Weser extension console-</v>
      </c>
    </row>
    <row r="178" spans="1:65" ht="11.25" customHeight="1">
      <c r="A178" s="26" t="s">
        <v>905</v>
      </c>
      <c r="B178" s="27" t="s">
        <v>906</v>
      </c>
      <c r="C178" s="28">
        <v>1129.99</v>
      </c>
      <c r="D178" s="28">
        <f t="shared" si="53"/>
        <v>564.995</v>
      </c>
      <c r="E178" s="22" t="s">
        <v>874</v>
      </c>
      <c r="F178" s="22" t="s">
        <v>907</v>
      </c>
      <c r="G178" s="22" t="s">
        <v>908</v>
      </c>
      <c r="H178" s="22" t="s">
        <v>909</v>
      </c>
      <c r="I178" s="23" t="s">
        <v>49</v>
      </c>
      <c r="J178" s="22" t="s">
        <v>50</v>
      </c>
      <c r="K178" s="23">
        <v>75</v>
      </c>
      <c r="L178" s="23">
        <v>75</v>
      </c>
      <c r="M178" s="23">
        <v>78</v>
      </c>
      <c r="N178" s="3">
        <f t="shared" si="54"/>
        <v>0.43874999999999997</v>
      </c>
      <c r="O178" s="4" t="e">
        <f>(C178-(C178*#REF!))-((C178-(C178*#REF!))*#REF!)</f>
        <v>#REF!</v>
      </c>
      <c r="P178" s="7"/>
      <c r="Q178" s="7"/>
      <c r="R178" s="5">
        <f t="shared" si="86"/>
        <v>0</v>
      </c>
      <c r="S178" s="4">
        <f t="shared" si="87"/>
        <v>0</v>
      </c>
      <c r="T178" s="13">
        <f t="shared" si="55"/>
        <v>790.99299999999994</v>
      </c>
      <c r="U178" s="13">
        <f t="shared" si="65"/>
        <v>395.49649999999997</v>
      </c>
      <c r="V178" s="14">
        <f>U178/C178</f>
        <v>0.35</v>
      </c>
      <c r="W178" s="14"/>
      <c r="X178" s="19">
        <f t="shared" si="88"/>
        <v>395.49649999999997</v>
      </c>
      <c r="Y178" s="19">
        <f t="shared" si="89"/>
        <v>790.99299999999994</v>
      </c>
      <c r="Z178" s="15" t="e">
        <f t="shared" si="90"/>
        <v>#DIV/0!</v>
      </c>
      <c r="AA178" s="22" t="s">
        <v>910</v>
      </c>
      <c r="AG178" s="94" t="s">
        <v>52</v>
      </c>
      <c r="AH178" s="89" t="str">
        <f>VLOOKUP(AG178,Sheet1!$B$3:$D$36,2,FALSE)</f>
        <v>Furniture</v>
      </c>
      <c r="AI178" s="89" t="s">
        <v>881</v>
      </c>
      <c r="AJ178" s="1" t="str">
        <f t="shared" si="56"/>
        <v>Weser rectangular console</v>
      </c>
      <c r="AK178" s="1" t="str">
        <f t="shared" si="57"/>
        <v>w75 x d75 x h78 x bh74</v>
      </c>
      <c r="AL178" s="1" t="str">
        <f t="shared" si="58"/>
        <v>Natural teak indoor</v>
      </c>
      <c r="AM178" s="1" t="str">
        <f t="shared" si="59"/>
        <v>Natural teak indoor</v>
      </c>
      <c r="AN178" s="1" t="str">
        <f>SUBSTITUTE(AL178,"indoor","")</f>
        <v xml:space="preserve">Natural teak </v>
      </c>
      <c r="AO178" s="1" t="s">
        <v>54</v>
      </c>
      <c r="AQ178" s="1" t="str">
        <f t="shared" si="61"/>
        <v>A</v>
      </c>
      <c r="AR178" s="1" t="str">
        <f>VLOOKUP(TRIM(AI178),Sheet1!$D$3:$E$36,2,FALSE)</f>
        <v>06</v>
      </c>
      <c r="AS178" s="90" t="str">
        <f t="shared" si="62"/>
        <v>01</v>
      </c>
      <c r="AT178" s="1" t="str">
        <f t="shared" si="63"/>
        <v>01</v>
      </c>
      <c r="AU178" s="90" t="s">
        <v>55</v>
      </c>
      <c r="AV178" s="90"/>
      <c r="AW178" s="90"/>
      <c r="AX178" s="95" t="str">
        <f>AQ178&amp;AR178&amp;AS178&amp;"-"&amp;AT178&amp;AU178&amp;BA178</f>
        <v>A0601-0110IND</v>
      </c>
      <c r="AY178" s="99" t="str">
        <f>AQ178&amp;AR178&amp;AS178&amp;"-"&amp;AT178&amp;BA178</f>
        <v>A0601-01IND</v>
      </c>
      <c r="AZ178" s="90"/>
      <c r="BA178" s="1" t="str">
        <f t="shared" si="64"/>
        <v>IND</v>
      </c>
      <c r="BC178" s="1">
        <f t="shared" si="84"/>
        <v>1</v>
      </c>
      <c r="BD178" s="90">
        <f t="shared" si="85"/>
        <v>1</v>
      </c>
      <c r="BE178" s="1">
        <f t="shared" si="68"/>
        <v>1</v>
      </c>
      <c r="BF178" s="1">
        <f t="shared" si="69"/>
        <v>1</v>
      </c>
      <c r="BJ178" t="s">
        <v>908</v>
      </c>
      <c r="BK178" s="1">
        <v>2</v>
      </c>
      <c r="BL178"/>
      <c r="BM178" t="str">
        <f t="shared" si="66"/>
        <v>Weser rectangular console-Weser rectangular console-</v>
      </c>
    </row>
    <row r="179" spans="1:65" ht="11.25" customHeight="1">
      <c r="A179" s="26" t="s">
        <v>911</v>
      </c>
      <c r="B179" s="27" t="s">
        <v>906</v>
      </c>
      <c r="C179" s="28">
        <v>1379.99</v>
      </c>
      <c r="D179" s="28">
        <f t="shared" si="53"/>
        <v>689.995</v>
      </c>
      <c r="E179" s="22" t="s">
        <v>874</v>
      </c>
      <c r="F179" s="22" t="s">
        <v>912</v>
      </c>
      <c r="G179" s="22" t="s">
        <v>908</v>
      </c>
      <c r="H179" s="22" t="s">
        <v>909</v>
      </c>
      <c r="I179" s="23" t="s">
        <v>884</v>
      </c>
      <c r="J179" s="22" t="s">
        <v>50</v>
      </c>
      <c r="K179" s="23">
        <v>75</v>
      </c>
      <c r="L179" s="23">
        <v>75</v>
      </c>
      <c r="M179" s="23">
        <v>78</v>
      </c>
      <c r="N179" s="3">
        <f t="shared" si="54"/>
        <v>0.43874999999999997</v>
      </c>
      <c r="O179" s="4" t="e">
        <f>(C179-(C179*#REF!))-((C179-(C179*#REF!))*#REF!)</f>
        <v>#REF!</v>
      </c>
      <c r="P179" s="7"/>
      <c r="Q179" s="7"/>
      <c r="R179" s="5">
        <f t="shared" si="86"/>
        <v>0</v>
      </c>
      <c r="S179" s="4">
        <f t="shared" si="87"/>
        <v>0</v>
      </c>
      <c r="T179" s="13">
        <f t="shared" si="55"/>
        <v>965.99299999999994</v>
      </c>
      <c r="U179" s="13">
        <f t="shared" si="65"/>
        <v>482.99649999999997</v>
      </c>
      <c r="V179" s="14">
        <f>U179/C179</f>
        <v>0.35</v>
      </c>
      <c r="W179" s="14"/>
      <c r="X179" s="19">
        <f t="shared" si="88"/>
        <v>482.99649999999997</v>
      </c>
      <c r="Y179" s="19">
        <f t="shared" si="89"/>
        <v>965.99299999999994</v>
      </c>
      <c r="Z179" s="15" t="e">
        <f t="shared" si="90"/>
        <v>#DIV/0!</v>
      </c>
      <c r="AA179" s="22" t="s">
        <v>913</v>
      </c>
      <c r="AG179" s="94" t="s">
        <v>52</v>
      </c>
      <c r="AH179" s="89" t="str">
        <f>VLOOKUP(AG179,Sheet1!$B$3:$D$36,2,FALSE)</f>
        <v>Furniture</v>
      </c>
      <c r="AI179" s="89" t="s">
        <v>881</v>
      </c>
      <c r="AJ179" s="1" t="str">
        <f t="shared" si="56"/>
        <v>Weser rectangular console</v>
      </c>
      <c r="AK179" s="1" t="str">
        <f t="shared" si="57"/>
        <v>w75 x d75 x h78 x bh74</v>
      </c>
      <c r="AL179" s="1" t="str">
        <f t="shared" si="58"/>
        <v xml:space="preserve">Natural teak outdoor </v>
      </c>
      <c r="AM179" s="1" t="str">
        <f t="shared" si="59"/>
        <v xml:space="preserve">Natural teak outdoor </v>
      </c>
      <c r="AN179" s="1" t="str">
        <f>SUBSTITUTE(AL179,"outdoor","")</f>
        <v xml:space="preserve">Natural teak  </v>
      </c>
      <c r="AO179" s="1" t="s">
        <v>59</v>
      </c>
      <c r="AQ179" s="1" t="str">
        <f t="shared" si="61"/>
        <v>A</v>
      </c>
      <c r="AR179" s="1" t="str">
        <f>VLOOKUP(TRIM(AI179),Sheet1!$D$3:$E$36,2,FALSE)</f>
        <v>06</v>
      </c>
      <c r="AS179" s="90" t="str">
        <f t="shared" si="62"/>
        <v>02</v>
      </c>
      <c r="AT179" s="1" t="str">
        <f t="shared" si="63"/>
        <v>02</v>
      </c>
      <c r="AU179" s="90" t="s">
        <v>55</v>
      </c>
      <c r="AV179" s="90"/>
      <c r="AW179" s="90"/>
      <c r="AX179" s="95" t="str">
        <f>AQ179&amp;AR179&amp;AS179&amp;"-"&amp;AT179&amp;AU179&amp;BA179</f>
        <v>A0602-0210OUT</v>
      </c>
      <c r="AY179" s="99" t="str">
        <f>AQ179&amp;AR179&amp;AS179&amp;"-"&amp;AT179&amp;BA179</f>
        <v>A0602-02OUT</v>
      </c>
      <c r="AZ179" s="90"/>
      <c r="BA179" s="1" t="str">
        <f t="shared" si="64"/>
        <v>OUT</v>
      </c>
      <c r="BC179" s="1" t="str">
        <f t="shared" si="84"/>
        <v/>
      </c>
      <c r="BD179" s="90">
        <f t="shared" si="85"/>
        <v>2</v>
      </c>
      <c r="BE179" s="1" t="str">
        <f t="shared" si="68"/>
        <v/>
      </c>
      <c r="BF179" s="1">
        <f t="shared" si="69"/>
        <v>2</v>
      </c>
      <c r="BJ179" t="s">
        <v>914</v>
      </c>
      <c r="BK179" s="1">
        <v>4</v>
      </c>
      <c r="BL179"/>
      <c r="BM179" t="str">
        <f t="shared" si="66"/>
        <v>Wiro pillow-Wiro pillow-Wiro pillow-Wiro pillow-</v>
      </c>
    </row>
    <row r="180" spans="1:65" ht="11.25" customHeight="1">
      <c r="A180" s="26" t="s">
        <v>915</v>
      </c>
      <c r="B180" s="27" t="s">
        <v>916</v>
      </c>
      <c r="C180" s="28">
        <v>689.99</v>
      </c>
      <c r="D180" s="28">
        <f t="shared" si="53"/>
        <v>344.995</v>
      </c>
      <c r="E180" s="22" t="s">
        <v>874</v>
      </c>
      <c r="F180" s="22" t="s">
        <v>917</v>
      </c>
      <c r="G180" s="22" t="s">
        <v>904</v>
      </c>
      <c r="H180" s="22" t="s">
        <v>918</v>
      </c>
      <c r="I180" s="23" t="s">
        <v>49</v>
      </c>
      <c r="J180" s="22" t="s">
        <v>50</v>
      </c>
      <c r="K180" s="23">
        <v>75</v>
      </c>
      <c r="L180" s="23">
        <v>40</v>
      </c>
      <c r="M180" s="23">
        <v>78</v>
      </c>
      <c r="N180" s="3">
        <f t="shared" si="54"/>
        <v>0.23400000000000001</v>
      </c>
      <c r="O180" s="4" t="e">
        <f>(C180-(C180*#REF!))-((C180-(C180*#REF!))*#REF!)</f>
        <v>#REF!</v>
      </c>
      <c r="P180" s="7"/>
      <c r="Q180" s="7"/>
      <c r="R180" s="5">
        <f t="shared" si="86"/>
        <v>0</v>
      </c>
      <c r="S180" s="4">
        <f t="shared" si="87"/>
        <v>0</v>
      </c>
      <c r="T180" s="13">
        <f t="shared" si="55"/>
        <v>482.99300000000005</v>
      </c>
      <c r="U180" s="13">
        <f t="shared" si="65"/>
        <v>241.49650000000003</v>
      </c>
      <c r="V180" s="14">
        <f>U180/C180</f>
        <v>0.35000000000000003</v>
      </c>
      <c r="W180" s="14"/>
      <c r="X180" s="19">
        <f t="shared" si="88"/>
        <v>241.49650000000003</v>
      </c>
      <c r="Y180" s="19">
        <f t="shared" si="89"/>
        <v>482.99300000000005</v>
      </c>
      <c r="Z180" s="15" t="e">
        <f t="shared" si="90"/>
        <v>#DIV/0!</v>
      </c>
      <c r="AA180" s="22" t="s">
        <v>919</v>
      </c>
      <c r="AG180" s="94" t="s">
        <v>52</v>
      </c>
      <c r="AH180" s="89" t="str">
        <f>VLOOKUP(AG180,Sheet1!$B$3:$D$36,2,FALSE)</f>
        <v>Furniture</v>
      </c>
      <c r="AI180" s="89" t="s">
        <v>881</v>
      </c>
      <c r="AJ180" s="1" t="str">
        <f t="shared" si="56"/>
        <v>Weser extension console</v>
      </c>
      <c r="AK180" s="1" t="str">
        <f t="shared" si="57"/>
        <v>w75 x d40 x h78 x bh74</v>
      </c>
      <c r="AL180" s="1" t="str">
        <f t="shared" si="58"/>
        <v>Natural teak indoor</v>
      </c>
      <c r="AM180" s="1" t="str">
        <f t="shared" si="59"/>
        <v>Natural teak indoor</v>
      </c>
      <c r="AN180" s="1" t="str">
        <f>SUBSTITUTE(AL180,"indoor","")</f>
        <v xml:space="preserve">Natural teak </v>
      </c>
      <c r="AO180" s="1" t="s">
        <v>54</v>
      </c>
      <c r="AQ180" s="1" t="str">
        <f t="shared" si="61"/>
        <v>A</v>
      </c>
      <c r="AR180" s="1" t="str">
        <f>VLOOKUP(TRIM(AI180),Sheet1!$D$3:$E$36,2,FALSE)</f>
        <v>06</v>
      </c>
      <c r="AS180" s="90" t="str">
        <f t="shared" si="62"/>
        <v>01</v>
      </c>
      <c r="AT180" s="1" t="str">
        <f t="shared" si="63"/>
        <v>01</v>
      </c>
      <c r="AU180" s="90" t="s">
        <v>55</v>
      </c>
      <c r="AV180" s="90"/>
      <c r="AW180" s="90"/>
      <c r="AX180" s="95" t="str">
        <f>AQ180&amp;AR180&amp;AS180&amp;"-"&amp;AT180&amp;AU180&amp;BA180</f>
        <v>A0601-0110IND</v>
      </c>
      <c r="AY180" s="99" t="str">
        <f>AQ180&amp;AR180&amp;AS180&amp;"-"&amp;AT180&amp;BA180</f>
        <v>A0601-01IND</v>
      </c>
      <c r="AZ180" s="90"/>
      <c r="BA180" s="1" t="str">
        <f t="shared" si="64"/>
        <v>IND</v>
      </c>
      <c r="BC180" s="1">
        <f t="shared" si="84"/>
        <v>1</v>
      </c>
      <c r="BD180" s="90">
        <f t="shared" si="85"/>
        <v>1</v>
      </c>
      <c r="BE180" s="1">
        <f t="shared" si="68"/>
        <v>1</v>
      </c>
      <c r="BF180" s="1">
        <f t="shared" si="69"/>
        <v>1</v>
      </c>
      <c r="BJ180" t="s">
        <v>920</v>
      </c>
      <c r="BK180" s="1">
        <v>4</v>
      </c>
      <c r="BL180"/>
      <c r="BM180" t="str">
        <f t="shared" si="66"/>
        <v>Wiro pillow souffle-Wiro pillow souffle-Wiro pillow souffle-Wiro pillow souffle-</v>
      </c>
    </row>
    <row r="181" spans="1:65" ht="11.25" customHeight="1">
      <c r="A181" s="26" t="s">
        <v>921</v>
      </c>
      <c r="B181" s="27" t="s">
        <v>916</v>
      </c>
      <c r="C181" s="28">
        <v>829.99</v>
      </c>
      <c r="D181" s="28">
        <f t="shared" si="53"/>
        <v>414.995</v>
      </c>
      <c r="E181" s="22" t="s">
        <v>874</v>
      </c>
      <c r="F181" s="22" t="s">
        <v>922</v>
      </c>
      <c r="G181" s="22" t="s">
        <v>904</v>
      </c>
      <c r="H181" s="22" t="s">
        <v>918</v>
      </c>
      <c r="I181" s="23" t="s">
        <v>884</v>
      </c>
      <c r="J181" s="22" t="s">
        <v>50</v>
      </c>
      <c r="K181" s="23">
        <v>75</v>
      </c>
      <c r="L181" s="23">
        <v>40</v>
      </c>
      <c r="M181" s="23">
        <v>78</v>
      </c>
      <c r="N181" s="3">
        <f t="shared" si="54"/>
        <v>0.23400000000000001</v>
      </c>
      <c r="O181" s="4" t="e">
        <f>(C181-(C181*#REF!))-((C181-(C181*#REF!))*#REF!)</f>
        <v>#REF!</v>
      </c>
      <c r="P181" s="7"/>
      <c r="Q181" s="7"/>
      <c r="R181" s="5">
        <f t="shared" si="86"/>
        <v>0</v>
      </c>
      <c r="S181" s="4">
        <f t="shared" si="87"/>
        <v>0</v>
      </c>
      <c r="T181" s="13">
        <f t="shared" si="55"/>
        <v>580.99300000000005</v>
      </c>
      <c r="U181" s="13">
        <f t="shared" si="65"/>
        <v>290.49650000000003</v>
      </c>
      <c r="V181" s="14">
        <f>U181/C181</f>
        <v>0.35000000000000003</v>
      </c>
      <c r="W181" s="14"/>
      <c r="X181" s="19">
        <f t="shared" si="88"/>
        <v>290.49650000000003</v>
      </c>
      <c r="Y181" s="19">
        <f t="shared" si="89"/>
        <v>580.99300000000005</v>
      </c>
      <c r="Z181" s="15" t="e">
        <f t="shared" si="90"/>
        <v>#DIV/0!</v>
      </c>
      <c r="AA181" s="22" t="s">
        <v>919</v>
      </c>
      <c r="AG181" s="94" t="s">
        <v>52</v>
      </c>
      <c r="AH181" s="89" t="str">
        <f>VLOOKUP(AG181,Sheet1!$B$3:$D$36,2,FALSE)</f>
        <v>Furniture</v>
      </c>
      <c r="AI181" s="89" t="s">
        <v>881</v>
      </c>
      <c r="AJ181" s="1" t="str">
        <f t="shared" si="56"/>
        <v>Weser extension console</v>
      </c>
      <c r="AK181" s="1" t="str">
        <f t="shared" si="57"/>
        <v>w75 x d40 x h78 x bh74</v>
      </c>
      <c r="AL181" s="1" t="str">
        <f t="shared" si="58"/>
        <v xml:space="preserve">Natural teak outdoor </v>
      </c>
      <c r="AM181" s="1" t="str">
        <f t="shared" si="59"/>
        <v xml:space="preserve">Natural teak outdoor </v>
      </c>
      <c r="AN181" s="1" t="str">
        <f>SUBSTITUTE(AL181,"outdoor","")</f>
        <v xml:space="preserve">Natural teak  </v>
      </c>
      <c r="AO181" s="1" t="s">
        <v>59</v>
      </c>
      <c r="AQ181" s="1" t="str">
        <f t="shared" si="61"/>
        <v>A</v>
      </c>
      <c r="AR181" s="1" t="str">
        <f>VLOOKUP(TRIM(AI181),Sheet1!$D$3:$E$36,2,FALSE)</f>
        <v>06</v>
      </c>
      <c r="AS181" s="90" t="str">
        <f t="shared" si="62"/>
        <v>02</v>
      </c>
      <c r="AT181" s="1" t="str">
        <f t="shared" si="63"/>
        <v>02</v>
      </c>
      <c r="AU181" s="90" t="s">
        <v>55</v>
      </c>
      <c r="AV181" s="90"/>
      <c r="AW181" s="90"/>
      <c r="AX181" s="95" t="str">
        <f>AQ181&amp;AR181&amp;AS181&amp;"-"&amp;AT181&amp;AU181&amp;BA181</f>
        <v>A0602-0210OUT</v>
      </c>
      <c r="AY181" s="99" t="str">
        <f>AQ181&amp;AR181&amp;AS181&amp;"-"&amp;AT181&amp;BA181</f>
        <v>A0602-02OUT</v>
      </c>
      <c r="AZ181" s="90"/>
      <c r="BA181" s="1" t="str">
        <f t="shared" si="64"/>
        <v>OUT</v>
      </c>
      <c r="BC181" s="1" t="str">
        <f t="shared" si="84"/>
        <v/>
      </c>
      <c r="BD181" s="90">
        <f t="shared" si="85"/>
        <v>2</v>
      </c>
      <c r="BE181" s="1" t="str">
        <f t="shared" si="68"/>
        <v/>
      </c>
      <c r="BF181" s="1">
        <f t="shared" si="69"/>
        <v>2</v>
      </c>
      <c r="BJ181" t="s">
        <v>923</v>
      </c>
      <c r="BK181" s="1">
        <v>4</v>
      </c>
      <c r="BL181"/>
      <c r="BM181" t="str">
        <f t="shared" si="66"/>
        <v>Woody tree stump-Woody tree stump-Woody tree stump-Woody tree stump-</v>
      </c>
    </row>
    <row r="182" spans="1:65" ht="11.25" customHeight="1">
      <c r="A182" s="26" t="s">
        <v>924</v>
      </c>
      <c r="B182" s="27" t="s">
        <v>925</v>
      </c>
      <c r="C182" s="28">
        <v>1389.99</v>
      </c>
      <c r="D182" s="28">
        <f t="shared" si="53"/>
        <v>694.995</v>
      </c>
      <c r="E182" s="22" t="s">
        <v>874</v>
      </c>
      <c r="F182" s="22" t="s">
        <v>926</v>
      </c>
      <c r="G182" s="22" t="s">
        <v>90</v>
      </c>
      <c r="H182" s="22" t="s">
        <v>879</v>
      </c>
      <c r="I182" s="23" t="s">
        <v>49</v>
      </c>
      <c r="J182" s="22" t="s">
        <v>50</v>
      </c>
      <c r="K182" s="23">
        <v>200</v>
      </c>
      <c r="L182" s="23">
        <v>50</v>
      </c>
      <c r="M182" s="23">
        <v>90</v>
      </c>
      <c r="N182" s="3">
        <f t="shared" si="54"/>
        <v>0.9</v>
      </c>
      <c r="O182" s="4" t="e">
        <f>(C182-(C182*#REF!))-((C182-(C182*#REF!))*#REF!)</f>
        <v>#REF!</v>
      </c>
      <c r="P182" s="7"/>
      <c r="Q182" s="7"/>
      <c r="R182" s="5">
        <f t="shared" si="86"/>
        <v>0</v>
      </c>
      <c r="S182" s="4">
        <f t="shared" si="87"/>
        <v>0</v>
      </c>
      <c r="T182" s="13">
        <f t="shared" si="55"/>
        <v>972.99299999999994</v>
      </c>
      <c r="U182" s="13">
        <f t="shared" si="65"/>
        <v>486.49649999999997</v>
      </c>
      <c r="V182" s="14">
        <f>U182/C182</f>
        <v>0.35</v>
      </c>
      <c r="W182" s="14"/>
      <c r="X182" s="19">
        <f t="shared" si="88"/>
        <v>486.49649999999997</v>
      </c>
      <c r="Y182" s="19">
        <f t="shared" si="89"/>
        <v>972.99299999999994</v>
      </c>
      <c r="Z182" s="15" t="e">
        <f t="shared" si="90"/>
        <v>#DIV/0!</v>
      </c>
      <c r="AA182" s="22" t="s">
        <v>927</v>
      </c>
      <c r="AG182" s="94" t="s">
        <v>52</v>
      </c>
      <c r="AH182" s="89" t="str">
        <f>VLOOKUP(AG182,Sheet1!$B$3:$D$36,2,FALSE)</f>
        <v>Furniture</v>
      </c>
      <c r="AI182" s="89" t="s">
        <v>881</v>
      </c>
      <c r="AJ182" s="1" t="str">
        <f t="shared" si="56"/>
        <v>Bains rectangular console</v>
      </c>
      <c r="AK182" s="1" t="str">
        <f t="shared" si="57"/>
        <v>w200 x d50 x h90 x bh85</v>
      </c>
      <c r="AL182" s="1" t="str">
        <f t="shared" si="58"/>
        <v>Natural teak indoor</v>
      </c>
      <c r="AM182" s="1" t="str">
        <f t="shared" si="59"/>
        <v>Natural teak indoor</v>
      </c>
      <c r="AN182" s="1" t="str">
        <f>SUBSTITUTE(AL182,"indoor","")</f>
        <v xml:space="preserve">Natural teak </v>
      </c>
      <c r="AO182" s="1" t="s">
        <v>54</v>
      </c>
      <c r="AQ182" s="1" t="str">
        <f t="shared" si="61"/>
        <v>A</v>
      </c>
      <c r="AR182" s="1" t="str">
        <f>VLOOKUP(TRIM(AI182),Sheet1!$D$3:$E$36,2,FALSE)</f>
        <v>06</v>
      </c>
      <c r="AS182" s="90" t="str">
        <f t="shared" si="62"/>
        <v>01</v>
      </c>
      <c r="AT182" s="1" t="str">
        <f t="shared" si="63"/>
        <v>01</v>
      </c>
      <c r="AU182" s="90" t="s">
        <v>55</v>
      </c>
      <c r="AV182" s="90"/>
      <c r="AW182" s="90"/>
      <c r="AX182" s="95" t="str">
        <f>AQ182&amp;AR182&amp;AS182&amp;"-"&amp;AT182&amp;AU182&amp;BA182</f>
        <v>A0601-0110IND</v>
      </c>
      <c r="AY182" s="99" t="str">
        <f>AQ182&amp;AR182&amp;AS182&amp;"-"&amp;AT182&amp;BA182</f>
        <v>A0601-01IND</v>
      </c>
      <c r="AZ182" s="90"/>
      <c r="BA182" s="1" t="str">
        <f t="shared" si="64"/>
        <v>IND</v>
      </c>
      <c r="BC182" s="1">
        <f t="shared" si="84"/>
        <v>1</v>
      </c>
      <c r="BD182" s="90">
        <f t="shared" si="85"/>
        <v>1</v>
      </c>
      <c r="BE182" s="1">
        <f t="shared" si="68"/>
        <v>1</v>
      </c>
      <c r="BF182" s="1">
        <f t="shared" si="69"/>
        <v>1</v>
      </c>
      <c r="BJ182" t="s">
        <v>928</v>
      </c>
      <c r="BK182" s="1">
        <v>2</v>
      </c>
      <c r="BL182"/>
      <c r="BM182" t="str">
        <f t="shared" si="66"/>
        <v>Xlendi Cabinets-Xlendi Cabinets-</v>
      </c>
    </row>
    <row r="183" spans="1:65" ht="11.25" customHeight="1">
      <c r="A183" s="26" t="s">
        <v>929</v>
      </c>
      <c r="B183" s="27" t="s">
        <v>925</v>
      </c>
      <c r="C183" s="28">
        <v>1589.99</v>
      </c>
      <c r="D183" s="28">
        <f t="shared" si="53"/>
        <v>794.995</v>
      </c>
      <c r="E183" s="22" t="s">
        <v>874</v>
      </c>
      <c r="F183" s="22" t="s">
        <v>930</v>
      </c>
      <c r="G183" s="22" t="s">
        <v>90</v>
      </c>
      <c r="H183" s="22" t="s">
        <v>879</v>
      </c>
      <c r="I183" s="23" t="s">
        <v>884</v>
      </c>
      <c r="J183" s="22" t="s">
        <v>50</v>
      </c>
      <c r="K183" s="23">
        <v>200</v>
      </c>
      <c r="L183" s="23">
        <v>50</v>
      </c>
      <c r="M183" s="23">
        <v>90</v>
      </c>
      <c r="N183" s="3">
        <f t="shared" si="54"/>
        <v>0.9</v>
      </c>
      <c r="O183" s="4" t="e">
        <f>(C183-(C183*#REF!))-((C183-(C183*#REF!))*#REF!)</f>
        <v>#REF!</v>
      </c>
      <c r="P183" s="7"/>
      <c r="Q183" s="7"/>
      <c r="R183" s="5">
        <f t="shared" si="86"/>
        <v>0</v>
      </c>
      <c r="S183" s="4">
        <f t="shared" si="87"/>
        <v>0</v>
      </c>
      <c r="T183" s="13">
        <f t="shared" si="55"/>
        <v>1112.9929999999999</v>
      </c>
      <c r="U183" s="13">
        <f t="shared" si="65"/>
        <v>556.49649999999997</v>
      </c>
      <c r="V183" s="14">
        <f>U183/C183</f>
        <v>0.35</v>
      </c>
      <c r="W183" s="14"/>
      <c r="X183" s="19">
        <f t="shared" si="88"/>
        <v>556.49649999999997</v>
      </c>
      <c r="Y183" s="19">
        <f t="shared" si="89"/>
        <v>1112.9929999999999</v>
      </c>
      <c r="Z183" s="15" t="e">
        <f t="shared" si="90"/>
        <v>#DIV/0!</v>
      </c>
      <c r="AA183" s="22" t="s">
        <v>931</v>
      </c>
      <c r="AG183" s="94" t="s">
        <v>52</v>
      </c>
      <c r="AH183" s="89" t="str">
        <f>VLOOKUP(AG183,Sheet1!$B$3:$D$36,2,FALSE)</f>
        <v>Furniture</v>
      </c>
      <c r="AI183" s="89" t="s">
        <v>881</v>
      </c>
      <c r="AJ183" s="1" t="str">
        <f t="shared" si="56"/>
        <v>Bains rectangular console</v>
      </c>
      <c r="AK183" s="1" t="str">
        <f t="shared" si="57"/>
        <v>w200 x d50 x h90 x bh85</v>
      </c>
      <c r="AL183" s="1" t="str">
        <f t="shared" si="58"/>
        <v xml:space="preserve">Natural teak outdoor </v>
      </c>
      <c r="AM183" s="1" t="str">
        <f t="shared" si="59"/>
        <v xml:space="preserve">Natural teak outdoor </v>
      </c>
      <c r="AN183" s="1" t="str">
        <f>SUBSTITUTE(AL183,"outdoor","")</f>
        <v xml:space="preserve">Natural teak  </v>
      </c>
      <c r="AO183" s="1" t="s">
        <v>59</v>
      </c>
      <c r="AQ183" s="1" t="str">
        <f t="shared" si="61"/>
        <v>A</v>
      </c>
      <c r="AR183" s="1" t="str">
        <f>VLOOKUP(TRIM(AI183),Sheet1!$D$3:$E$36,2,FALSE)</f>
        <v>06</v>
      </c>
      <c r="AS183" s="90" t="str">
        <f t="shared" si="62"/>
        <v>02</v>
      </c>
      <c r="AT183" s="1" t="str">
        <f t="shared" si="63"/>
        <v>02</v>
      </c>
      <c r="AU183" s="90" t="s">
        <v>55</v>
      </c>
      <c r="AV183" s="90"/>
      <c r="AW183" s="90"/>
      <c r="AX183" s="95" t="str">
        <f>AQ183&amp;AR183&amp;AS183&amp;"-"&amp;AT183&amp;AU183&amp;BA183</f>
        <v>A0602-0210OUT</v>
      </c>
      <c r="AY183" s="99" t="str">
        <f>AQ183&amp;AR183&amp;AS183&amp;"-"&amp;AT183&amp;BA183</f>
        <v>A0602-02OUT</v>
      </c>
      <c r="AZ183" s="90"/>
      <c r="BA183" s="1" t="str">
        <f t="shared" si="64"/>
        <v>OUT</v>
      </c>
      <c r="BC183" s="1" t="str">
        <f t="shared" si="84"/>
        <v/>
      </c>
      <c r="BD183" s="90">
        <f t="shared" si="85"/>
        <v>2</v>
      </c>
      <c r="BE183" s="1" t="str">
        <f t="shared" si="68"/>
        <v/>
      </c>
      <c r="BF183" s="1">
        <f t="shared" si="69"/>
        <v>2</v>
      </c>
      <c r="BJ183" t="s">
        <v>932</v>
      </c>
      <c r="BK183" s="1">
        <v>8</v>
      </c>
      <c r="BL183"/>
      <c r="BM183" t="str">
        <f t="shared" si="66"/>
        <v>Yelena bowl clear-Yelena bowl clear-Yelena bowl clear-Yelena bowl clear-Yelena bowl clear-Yelena bowl clear-Yelena bowl clear-Yelena bowl clear-</v>
      </c>
    </row>
    <row r="184" spans="1:65" ht="11.25" customHeight="1">
      <c r="A184" s="26" t="s">
        <v>933</v>
      </c>
      <c r="B184" s="27" t="s">
        <v>934</v>
      </c>
      <c r="C184" s="28">
        <v>1709.99</v>
      </c>
      <c r="D184" s="28">
        <f t="shared" si="53"/>
        <v>854.995</v>
      </c>
      <c r="E184" s="22" t="s">
        <v>874</v>
      </c>
      <c r="F184" s="22" t="s">
        <v>935</v>
      </c>
      <c r="G184" s="22" t="s">
        <v>168</v>
      </c>
      <c r="H184" s="22" t="s">
        <v>936</v>
      </c>
      <c r="I184" s="23" t="s">
        <v>49</v>
      </c>
      <c r="J184" s="22" t="s">
        <v>50</v>
      </c>
      <c r="K184" s="23">
        <v>200</v>
      </c>
      <c r="L184" s="23">
        <v>50</v>
      </c>
      <c r="M184" s="23">
        <v>90</v>
      </c>
      <c r="N184" s="3">
        <f t="shared" si="54"/>
        <v>0.9</v>
      </c>
      <c r="O184" s="4" t="e">
        <f>(C184-(C184*#REF!))-((C184-(C184*#REF!))*#REF!)</f>
        <v>#REF!</v>
      </c>
      <c r="P184" s="7"/>
      <c r="Q184" s="7"/>
      <c r="R184" s="5">
        <f t="shared" si="86"/>
        <v>0</v>
      </c>
      <c r="S184" s="4">
        <f t="shared" si="87"/>
        <v>0</v>
      </c>
      <c r="T184" s="13">
        <f t="shared" si="55"/>
        <v>1196.9929999999999</v>
      </c>
      <c r="U184" s="13">
        <f t="shared" si="65"/>
        <v>598.49649999999997</v>
      </c>
      <c r="V184" s="14">
        <f>U184/C184</f>
        <v>0.35</v>
      </c>
      <c r="W184" s="14"/>
      <c r="X184" s="19">
        <f t="shared" si="88"/>
        <v>598.49649999999997</v>
      </c>
      <c r="Y184" s="19">
        <f t="shared" si="89"/>
        <v>1196.9929999999999</v>
      </c>
      <c r="Z184" s="15" t="e">
        <f t="shared" si="90"/>
        <v>#DIV/0!</v>
      </c>
      <c r="AA184" s="22" t="s">
        <v>937</v>
      </c>
      <c r="AG184" s="94" t="s">
        <v>52</v>
      </c>
      <c r="AH184" s="89" t="str">
        <f>VLOOKUP(AG184,Sheet1!$B$3:$D$36,2,FALSE)</f>
        <v>Furniture</v>
      </c>
      <c r="AI184" s="89" t="s">
        <v>881</v>
      </c>
      <c r="AJ184" s="1" t="str">
        <f t="shared" si="56"/>
        <v>Bourg rectangular console</v>
      </c>
      <c r="AK184" s="1" t="str">
        <f t="shared" si="57"/>
        <v>w200 x d50 x h90 x bh79</v>
      </c>
      <c r="AL184" s="1" t="str">
        <f t="shared" si="58"/>
        <v>Natural teak indoor</v>
      </c>
      <c r="AM184" s="1" t="str">
        <f t="shared" si="59"/>
        <v>Natural teak indoor</v>
      </c>
      <c r="AN184" s="1" t="str">
        <f>SUBSTITUTE(AL184,"indoor","")</f>
        <v xml:space="preserve">Natural teak </v>
      </c>
      <c r="AO184" s="1" t="s">
        <v>54</v>
      </c>
      <c r="AQ184" s="1" t="str">
        <f t="shared" si="61"/>
        <v>A</v>
      </c>
      <c r="AR184" s="1" t="str">
        <f>VLOOKUP(TRIM(AI184),Sheet1!$D$3:$E$36,2,FALSE)</f>
        <v>06</v>
      </c>
      <c r="AS184" s="90" t="str">
        <f t="shared" si="62"/>
        <v>01</v>
      </c>
      <c r="AT184" s="1" t="str">
        <f t="shared" si="63"/>
        <v>01</v>
      </c>
      <c r="AU184" s="90" t="s">
        <v>55</v>
      </c>
      <c r="AV184" s="90"/>
      <c r="AW184" s="90"/>
      <c r="AX184" s="95" t="str">
        <f>AQ184&amp;AR184&amp;AS184&amp;"-"&amp;AT184&amp;AU184&amp;BA184</f>
        <v>A0601-0110IND</v>
      </c>
      <c r="AY184" s="99" t="str">
        <f>AQ184&amp;AR184&amp;AS184&amp;"-"&amp;AT184&amp;BA184</f>
        <v>A0601-01IND</v>
      </c>
      <c r="AZ184" s="90"/>
      <c r="BA184" s="1" t="str">
        <f t="shared" si="64"/>
        <v>IND</v>
      </c>
      <c r="BC184" s="1">
        <f t="shared" si="84"/>
        <v>1</v>
      </c>
      <c r="BD184" s="90">
        <f t="shared" si="85"/>
        <v>1</v>
      </c>
      <c r="BE184" s="1">
        <f t="shared" si="68"/>
        <v>1</v>
      </c>
      <c r="BF184" s="1">
        <f t="shared" si="69"/>
        <v>1</v>
      </c>
      <c r="BJ184" t="s">
        <v>938</v>
      </c>
      <c r="BK184" s="1">
        <v>5</v>
      </c>
      <c r="BL184"/>
      <c r="BM184" t="str">
        <f t="shared" si="66"/>
        <v>Yelena bowl clear matte-Yelena bowl clear matte-Yelena bowl clear matte-Yelena bowl clear matte-Yelena bowl clear matte-</v>
      </c>
    </row>
    <row r="185" spans="1:65" ht="11.25" customHeight="1">
      <c r="A185" s="26" t="s">
        <v>939</v>
      </c>
      <c r="B185" s="27" t="s">
        <v>934</v>
      </c>
      <c r="C185" s="28">
        <v>1949.99</v>
      </c>
      <c r="D185" s="28">
        <f t="shared" si="53"/>
        <v>974.995</v>
      </c>
      <c r="E185" s="22" t="s">
        <v>874</v>
      </c>
      <c r="F185" s="22" t="s">
        <v>940</v>
      </c>
      <c r="G185" s="22" t="s">
        <v>168</v>
      </c>
      <c r="H185" s="22" t="s">
        <v>936</v>
      </c>
      <c r="I185" s="23" t="s">
        <v>884</v>
      </c>
      <c r="J185" s="22" t="s">
        <v>50</v>
      </c>
      <c r="K185" s="23">
        <v>200</v>
      </c>
      <c r="L185" s="23">
        <v>50</v>
      </c>
      <c r="M185" s="23">
        <v>90</v>
      </c>
      <c r="N185" s="3">
        <f t="shared" si="54"/>
        <v>0.9</v>
      </c>
      <c r="O185" s="4" t="e">
        <f>(C185-(C185*#REF!))-((C185-(C185*#REF!))*#REF!)</f>
        <v>#REF!</v>
      </c>
      <c r="P185" s="7"/>
      <c r="Q185" s="7"/>
      <c r="R185" s="5">
        <f t="shared" si="86"/>
        <v>0</v>
      </c>
      <c r="S185" s="4">
        <f t="shared" si="87"/>
        <v>0</v>
      </c>
      <c r="T185" s="13">
        <f t="shared" si="55"/>
        <v>1364.9929999999999</v>
      </c>
      <c r="U185" s="13">
        <f t="shared" si="65"/>
        <v>682.49649999999997</v>
      </c>
      <c r="V185" s="14">
        <f>U185/C185</f>
        <v>0.35</v>
      </c>
      <c r="W185" s="14"/>
      <c r="X185" s="19">
        <f t="shared" si="88"/>
        <v>682.49649999999997</v>
      </c>
      <c r="Y185" s="19">
        <f t="shared" si="89"/>
        <v>1364.9929999999999</v>
      </c>
      <c r="Z185" s="15" t="e">
        <f t="shared" si="90"/>
        <v>#DIV/0!</v>
      </c>
      <c r="AA185" s="22" t="s">
        <v>937</v>
      </c>
      <c r="AG185" s="94" t="s">
        <v>52</v>
      </c>
      <c r="AH185" s="89" t="str">
        <f>VLOOKUP(AG185,Sheet1!$B$3:$D$36,2,FALSE)</f>
        <v>Furniture</v>
      </c>
      <c r="AI185" s="89" t="s">
        <v>881</v>
      </c>
      <c r="AJ185" s="1" t="str">
        <f t="shared" si="56"/>
        <v>Bourg rectangular console</v>
      </c>
      <c r="AK185" s="1" t="str">
        <f t="shared" si="57"/>
        <v>w200 x d50 x h90 x bh79</v>
      </c>
      <c r="AL185" s="1" t="str">
        <f t="shared" si="58"/>
        <v xml:space="preserve">Natural teak outdoor </v>
      </c>
      <c r="AM185" s="1" t="str">
        <f t="shared" si="59"/>
        <v xml:space="preserve">Natural teak outdoor </v>
      </c>
      <c r="AN185" s="1" t="str">
        <f>SUBSTITUTE(AL185,"outdoor","")</f>
        <v xml:space="preserve">Natural teak  </v>
      </c>
      <c r="AO185" s="1" t="s">
        <v>59</v>
      </c>
      <c r="AQ185" s="1" t="str">
        <f t="shared" si="61"/>
        <v>A</v>
      </c>
      <c r="AR185" s="1" t="str">
        <f>VLOOKUP(TRIM(AI185),Sheet1!$D$3:$E$36,2,FALSE)</f>
        <v>06</v>
      </c>
      <c r="AS185" s="90" t="str">
        <f t="shared" si="62"/>
        <v>02</v>
      </c>
      <c r="AT185" s="1" t="str">
        <f t="shared" si="63"/>
        <v>02</v>
      </c>
      <c r="AU185" s="90" t="s">
        <v>55</v>
      </c>
      <c r="AV185" s="90"/>
      <c r="AW185" s="90"/>
      <c r="AX185" s="95" t="str">
        <f>AQ185&amp;AR185&amp;AS185&amp;"-"&amp;AT185&amp;AU185&amp;BA185</f>
        <v>A0602-0210OUT</v>
      </c>
      <c r="AY185" s="99" t="str">
        <f>AQ185&amp;AR185&amp;AS185&amp;"-"&amp;AT185&amp;BA185</f>
        <v>A0602-02OUT</v>
      </c>
      <c r="AZ185" s="90"/>
      <c r="BA185" s="1" t="str">
        <f t="shared" si="64"/>
        <v>OUT</v>
      </c>
      <c r="BC185" s="1" t="str">
        <f t="shared" si="84"/>
        <v/>
      </c>
      <c r="BD185" s="90">
        <f t="shared" si="85"/>
        <v>2</v>
      </c>
      <c r="BE185" s="1" t="str">
        <f t="shared" si="68"/>
        <v/>
      </c>
      <c r="BF185" s="1">
        <f t="shared" si="69"/>
        <v>2</v>
      </c>
      <c r="BJ185" t="s">
        <v>941</v>
      </c>
      <c r="BK185" s="1">
        <v>3</v>
      </c>
      <c r="BL185"/>
      <c r="BM185" t="str">
        <f t="shared" si="66"/>
        <v>Yelena bowl grey-Yelena bowl grey-Yelena bowl grey-</v>
      </c>
    </row>
    <row r="186" spans="1:65" ht="11.25" customHeight="1">
      <c r="A186" s="26" t="s">
        <v>942</v>
      </c>
      <c r="B186" s="27" t="s">
        <v>943</v>
      </c>
      <c r="C186" s="28">
        <v>2459.9899999999998</v>
      </c>
      <c r="D186" s="28">
        <f t="shared" si="53"/>
        <v>1229.9949999999999</v>
      </c>
      <c r="E186" s="22" t="s">
        <v>874</v>
      </c>
      <c r="F186" s="22" t="s">
        <v>944</v>
      </c>
      <c r="G186" s="22" t="s">
        <v>608</v>
      </c>
      <c r="H186" s="22" t="s">
        <v>945</v>
      </c>
      <c r="I186" s="23" t="s">
        <v>49</v>
      </c>
      <c r="J186" s="22" t="s">
        <v>50</v>
      </c>
      <c r="K186" s="23">
        <v>200</v>
      </c>
      <c r="L186" s="23">
        <v>50</v>
      </c>
      <c r="M186" s="23">
        <v>90</v>
      </c>
      <c r="N186" s="3">
        <f t="shared" si="54"/>
        <v>0.9</v>
      </c>
      <c r="O186" s="4" t="e">
        <f>(C186-(C186*#REF!))-((C186-(C186*#REF!))*#REF!)</f>
        <v>#REF!</v>
      </c>
      <c r="P186" s="7"/>
      <c r="Q186" s="7"/>
      <c r="R186" s="5">
        <f t="shared" si="86"/>
        <v>0</v>
      </c>
      <c r="S186" s="4">
        <f t="shared" si="87"/>
        <v>0</v>
      </c>
      <c r="T186" s="13">
        <f t="shared" si="55"/>
        <v>1721.9929999999999</v>
      </c>
      <c r="U186" s="13">
        <f t="shared" si="65"/>
        <v>860.99649999999997</v>
      </c>
      <c r="V186" s="14">
        <f>U186/C186</f>
        <v>0.35000000000000003</v>
      </c>
      <c r="W186" s="14"/>
      <c r="X186" s="19">
        <f t="shared" si="88"/>
        <v>860.99649999999997</v>
      </c>
      <c r="Y186" s="19">
        <f t="shared" si="89"/>
        <v>1721.9929999999999</v>
      </c>
      <c r="Z186" s="15" t="e">
        <f t="shared" si="90"/>
        <v>#DIV/0!</v>
      </c>
      <c r="AA186" s="22" t="s">
        <v>946</v>
      </c>
      <c r="AG186" s="94" t="s">
        <v>52</v>
      </c>
      <c r="AH186" s="89" t="str">
        <f>VLOOKUP(AG186,Sheet1!$B$3:$D$36,2,FALSE)</f>
        <v>Furniture</v>
      </c>
      <c r="AI186" s="89" t="s">
        <v>881</v>
      </c>
      <c r="AJ186" s="1" t="str">
        <f t="shared" si="56"/>
        <v>Pierre rectangular console</v>
      </c>
      <c r="AK186" s="1" t="str">
        <f t="shared" si="57"/>
        <v>w200 x d50 x h90 x bh82</v>
      </c>
      <c r="AL186" s="1" t="str">
        <f t="shared" si="58"/>
        <v>Natural teak indoor</v>
      </c>
      <c r="AM186" s="1" t="str">
        <f t="shared" si="59"/>
        <v>Natural teak indoor</v>
      </c>
      <c r="AN186" s="1" t="str">
        <f>SUBSTITUTE(AL186,"indoor","")</f>
        <v xml:space="preserve">Natural teak </v>
      </c>
      <c r="AO186" s="1" t="s">
        <v>54</v>
      </c>
      <c r="AQ186" s="1" t="str">
        <f t="shared" si="61"/>
        <v>A</v>
      </c>
      <c r="AR186" s="1" t="str">
        <f>VLOOKUP(TRIM(AI186),Sheet1!$D$3:$E$36,2,FALSE)</f>
        <v>06</v>
      </c>
      <c r="AS186" s="90" t="str">
        <f t="shared" si="62"/>
        <v>01</v>
      </c>
      <c r="AT186" s="1" t="str">
        <f t="shared" si="63"/>
        <v>01</v>
      </c>
      <c r="AU186" s="90" t="s">
        <v>55</v>
      </c>
      <c r="AV186" s="90"/>
      <c r="AW186" s="90"/>
      <c r="AX186" s="95" t="str">
        <f>AQ186&amp;AR186&amp;AS186&amp;"-"&amp;AT186&amp;AU186&amp;BA186</f>
        <v>A0601-0110IND</v>
      </c>
      <c r="AY186" s="99" t="str">
        <f>AQ186&amp;AR186&amp;AS186&amp;"-"&amp;AT186&amp;BA186</f>
        <v>A0601-01IND</v>
      </c>
      <c r="AZ186" s="90"/>
      <c r="BA186" s="1" t="str">
        <f t="shared" si="64"/>
        <v>IND</v>
      </c>
      <c r="BC186" s="1">
        <f t="shared" si="84"/>
        <v>1</v>
      </c>
      <c r="BD186" s="90">
        <f t="shared" si="85"/>
        <v>1</v>
      </c>
      <c r="BE186" s="1">
        <f t="shared" si="68"/>
        <v>1</v>
      </c>
      <c r="BF186" s="1">
        <f t="shared" si="69"/>
        <v>1</v>
      </c>
      <c r="BJ186" t="s">
        <v>947</v>
      </c>
      <c r="BK186" s="1">
        <v>6</v>
      </c>
      <c r="BL186"/>
      <c r="BM186" t="str">
        <f t="shared" si="66"/>
        <v>Yelena bowl grey matte-Yelena bowl grey matte-Yelena bowl grey matte-Yelena bowl grey matte-Yelena bowl grey matte-Yelena bowl grey matte-</v>
      </c>
    </row>
    <row r="187" spans="1:65" ht="11.25" customHeight="1">
      <c r="A187" s="26" t="s">
        <v>948</v>
      </c>
      <c r="B187" s="27" t="s">
        <v>943</v>
      </c>
      <c r="C187" s="28">
        <v>2609.9899999999998</v>
      </c>
      <c r="D187" s="28">
        <f t="shared" si="53"/>
        <v>1304.9949999999999</v>
      </c>
      <c r="E187" s="22" t="s">
        <v>874</v>
      </c>
      <c r="F187" s="22" t="s">
        <v>949</v>
      </c>
      <c r="G187" s="22" t="s">
        <v>608</v>
      </c>
      <c r="H187" s="22" t="s">
        <v>945</v>
      </c>
      <c r="I187" s="23" t="s">
        <v>884</v>
      </c>
      <c r="J187" s="22" t="s">
        <v>50</v>
      </c>
      <c r="K187" s="23">
        <v>200</v>
      </c>
      <c r="L187" s="23">
        <v>50</v>
      </c>
      <c r="M187" s="23">
        <v>90</v>
      </c>
      <c r="N187" s="3">
        <f t="shared" si="54"/>
        <v>0.9</v>
      </c>
      <c r="O187" s="4" t="e">
        <f>(C187-(C187*#REF!))-((C187-(C187*#REF!))*#REF!)</f>
        <v>#REF!</v>
      </c>
      <c r="P187" s="7"/>
      <c r="Q187" s="7"/>
      <c r="R187" s="5">
        <f t="shared" si="86"/>
        <v>0</v>
      </c>
      <c r="S187" s="4">
        <f t="shared" si="87"/>
        <v>0</v>
      </c>
      <c r="T187" s="13">
        <f t="shared" si="55"/>
        <v>1826.9929999999999</v>
      </c>
      <c r="U187" s="13">
        <f t="shared" si="65"/>
        <v>913.49649999999997</v>
      </c>
      <c r="V187" s="14">
        <f>U187/C187</f>
        <v>0.35000000000000003</v>
      </c>
      <c r="W187" s="14"/>
      <c r="X187" s="19">
        <f t="shared" si="88"/>
        <v>913.49649999999997</v>
      </c>
      <c r="Y187" s="19">
        <f t="shared" si="89"/>
        <v>1826.9929999999999</v>
      </c>
      <c r="Z187" s="15" t="e">
        <f t="shared" si="90"/>
        <v>#DIV/0!</v>
      </c>
      <c r="AA187" s="22" t="s">
        <v>946</v>
      </c>
      <c r="AG187" s="94" t="s">
        <v>52</v>
      </c>
      <c r="AH187" s="89" t="str">
        <f>VLOOKUP(AG187,Sheet1!$B$3:$D$36,2,FALSE)</f>
        <v>Furniture</v>
      </c>
      <c r="AI187" s="89" t="s">
        <v>881</v>
      </c>
      <c r="AJ187" s="1" t="str">
        <f t="shared" si="56"/>
        <v>Pierre rectangular console</v>
      </c>
      <c r="AK187" s="1" t="str">
        <f t="shared" si="57"/>
        <v>w200 x d50 x h90 x bh82</v>
      </c>
      <c r="AL187" s="1" t="str">
        <f t="shared" si="58"/>
        <v xml:space="preserve">Natural teak outdoor </v>
      </c>
      <c r="AM187" s="1" t="str">
        <f t="shared" si="59"/>
        <v xml:space="preserve">Natural teak outdoor </v>
      </c>
      <c r="AN187" s="1" t="str">
        <f>SUBSTITUTE(AL187,"outdoor","")</f>
        <v xml:space="preserve">Natural teak  </v>
      </c>
      <c r="AO187" s="1" t="s">
        <v>59</v>
      </c>
      <c r="AQ187" s="1" t="str">
        <f t="shared" si="61"/>
        <v>A</v>
      </c>
      <c r="AR187" s="1" t="str">
        <f>VLOOKUP(TRIM(AI187),Sheet1!$D$3:$E$36,2,FALSE)</f>
        <v>06</v>
      </c>
      <c r="AS187" s="90" t="str">
        <f t="shared" si="62"/>
        <v>02</v>
      </c>
      <c r="AT187" s="1" t="str">
        <f t="shared" si="63"/>
        <v>02</v>
      </c>
      <c r="AU187" s="90" t="s">
        <v>55</v>
      </c>
      <c r="AV187" s="90"/>
      <c r="AW187" s="90"/>
      <c r="AX187" s="95" t="str">
        <f>AQ187&amp;AR187&amp;AS187&amp;"-"&amp;AT187&amp;AU187&amp;BA187</f>
        <v>A0602-0210OUT</v>
      </c>
      <c r="AY187" s="99" t="str">
        <f>AQ187&amp;AR187&amp;AS187&amp;"-"&amp;AT187&amp;BA187</f>
        <v>A0602-02OUT</v>
      </c>
      <c r="AZ187" s="90"/>
      <c r="BA187" s="1" t="str">
        <f t="shared" si="64"/>
        <v>OUT</v>
      </c>
      <c r="BC187" s="1" t="str">
        <f t="shared" si="84"/>
        <v/>
      </c>
      <c r="BD187" s="90">
        <f t="shared" si="85"/>
        <v>2</v>
      </c>
      <c r="BE187" s="1" t="str">
        <f t="shared" si="68"/>
        <v/>
      </c>
      <c r="BF187" s="1">
        <f t="shared" si="69"/>
        <v>2</v>
      </c>
      <c r="BJ187" t="s">
        <v>950</v>
      </c>
      <c r="BK187" s="1">
        <v>4</v>
      </c>
      <c r="BL187"/>
      <c r="BM187" t="str">
        <f t="shared" si="66"/>
        <v>Yelena carafe-Yelena carafe-Yelena carafe-Yelena carafe-</v>
      </c>
    </row>
    <row r="188" spans="1:65" ht="11.25" customHeight="1">
      <c r="A188" s="26" t="s">
        <v>951</v>
      </c>
      <c r="B188" s="27" t="s">
        <v>952</v>
      </c>
      <c r="C188" s="28">
        <v>2699.99</v>
      </c>
      <c r="D188" s="28">
        <f t="shared" si="53"/>
        <v>1349.9949999999999</v>
      </c>
      <c r="E188" s="22" t="s">
        <v>874</v>
      </c>
      <c r="F188" s="22" t="s">
        <v>953</v>
      </c>
      <c r="G188" s="22" t="s">
        <v>418</v>
      </c>
      <c r="H188" s="22" t="s">
        <v>954</v>
      </c>
      <c r="I188" s="23" t="s">
        <v>49</v>
      </c>
      <c r="J188" s="22" t="s">
        <v>50</v>
      </c>
      <c r="K188" s="23">
        <v>220</v>
      </c>
      <c r="L188" s="23">
        <v>40</v>
      </c>
      <c r="M188" s="23">
        <v>75</v>
      </c>
      <c r="N188" s="3">
        <f t="shared" si="54"/>
        <v>0.66</v>
      </c>
      <c r="O188" s="4" t="e">
        <f>(C188-(C188*#REF!))-((C188-(C188*#REF!))*#REF!)</f>
        <v>#REF!</v>
      </c>
      <c r="P188" s="7">
        <v>5611428.8467014441</v>
      </c>
      <c r="Q188" s="7">
        <v>0</v>
      </c>
      <c r="R188" s="5">
        <f t="shared" si="86"/>
        <v>5611428.8467014441</v>
      </c>
      <c r="S188" s="4">
        <f t="shared" si="87"/>
        <v>374.09525644676296</v>
      </c>
      <c r="T188" s="13">
        <f t="shared" si="55"/>
        <v>1889.9929999999999</v>
      </c>
      <c r="U188" s="13">
        <f t="shared" si="65"/>
        <v>944.99649999999997</v>
      </c>
      <c r="V188" s="14">
        <f>U188/C188</f>
        <v>0.35000000000000003</v>
      </c>
      <c r="W188" s="14"/>
      <c r="X188" s="19">
        <f t="shared" si="88"/>
        <v>944.99649999999997</v>
      </c>
      <c r="Y188" s="19">
        <f t="shared" si="89"/>
        <v>1889.9929999999999</v>
      </c>
      <c r="Z188" s="15">
        <f t="shared" si="90"/>
        <v>2.5260852248589827</v>
      </c>
      <c r="AA188" s="22" t="s">
        <v>955</v>
      </c>
      <c r="AG188" s="94" t="s">
        <v>52</v>
      </c>
      <c r="AH188" s="89" t="str">
        <f>VLOOKUP(AG188,Sheet1!$B$3:$D$36,2,FALSE)</f>
        <v>Furniture</v>
      </c>
      <c r="AI188" s="89" t="s">
        <v>881</v>
      </c>
      <c r="AJ188" s="1" t="str">
        <f t="shared" si="56"/>
        <v>Hof rectangular console</v>
      </c>
      <c r="AK188" s="1" t="str">
        <f t="shared" si="57"/>
        <v>w220 x d40 x h75</v>
      </c>
      <c r="AL188" s="1" t="str">
        <f t="shared" si="58"/>
        <v>Natural teak indoor</v>
      </c>
      <c r="AM188" s="1" t="str">
        <f t="shared" si="59"/>
        <v>Natural teak indoor</v>
      </c>
      <c r="AN188" s="1" t="str">
        <f>SUBSTITUTE(AL188,"indoor","")</f>
        <v xml:space="preserve">Natural teak </v>
      </c>
      <c r="AO188" s="1" t="s">
        <v>54</v>
      </c>
      <c r="AQ188" s="1" t="str">
        <f t="shared" si="61"/>
        <v>A</v>
      </c>
      <c r="AR188" s="1" t="str">
        <f>VLOOKUP(TRIM(AI188),Sheet1!$D$3:$E$36,2,FALSE)</f>
        <v>06</v>
      </c>
      <c r="AS188" s="90" t="str">
        <f t="shared" si="62"/>
        <v>01</v>
      </c>
      <c r="AT188" s="1" t="str">
        <f t="shared" si="63"/>
        <v>01</v>
      </c>
      <c r="AU188" s="90" t="s">
        <v>55</v>
      </c>
      <c r="AV188" s="90"/>
      <c r="AW188" s="90"/>
      <c r="AX188" s="95" t="str">
        <f>AQ188&amp;AR188&amp;AS188&amp;"-"&amp;AT188&amp;AU188&amp;BA188</f>
        <v>A0601-0110IND</v>
      </c>
      <c r="AY188" s="99" t="str">
        <f>AQ188&amp;AR188&amp;AS188&amp;"-"&amp;AT188&amp;BA188</f>
        <v>A0601-01IND</v>
      </c>
      <c r="AZ188" s="90"/>
      <c r="BA188" s="1" t="str">
        <f t="shared" si="64"/>
        <v>IND</v>
      </c>
      <c r="BC188" s="1">
        <f t="shared" si="84"/>
        <v>1</v>
      </c>
      <c r="BD188" s="90">
        <f t="shared" si="85"/>
        <v>1</v>
      </c>
      <c r="BE188" s="1">
        <f t="shared" si="68"/>
        <v>1</v>
      </c>
      <c r="BF188" s="1">
        <f t="shared" si="69"/>
        <v>1</v>
      </c>
      <c r="BJ188" t="s">
        <v>956</v>
      </c>
      <c r="BK188" s="1">
        <v>3</v>
      </c>
      <c r="BL188"/>
      <c r="BM188" t="str">
        <f t="shared" si="66"/>
        <v>Yelena cup clear-Yelena cup clear-Yelena cup clear-</v>
      </c>
    </row>
    <row r="189" spans="1:65" ht="11.25" customHeight="1">
      <c r="B189" s="27" t="s">
        <v>952</v>
      </c>
      <c r="D189" s="28">
        <f t="shared" si="53"/>
        <v>0</v>
      </c>
      <c r="E189" s="22" t="s">
        <v>874</v>
      </c>
      <c r="F189" s="22" t="s">
        <v>957</v>
      </c>
      <c r="G189" s="22" t="s">
        <v>418</v>
      </c>
      <c r="H189" s="22" t="s">
        <v>954</v>
      </c>
      <c r="I189" s="23" t="s">
        <v>884</v>
      </c>
      <c r="J189" s="22" t="s">
        <v>50</v>
      </c>
      <c r="K189" s="23">
        <v>220</v>
      </c>
      <c r="L189" s="23">
        <v>40</v>
      </c>
      <c r="M189" s="23">
        <v>75</v>
      </c>
      <c r="N189" s="3">
        <f t="shared" si="54"/>
        <v>0.66</v>
      </c>
      <c r="O189" s="4" t="e">
        <f>(C189-(C189*#REF!))-((C189-(C189*#REF!))*#REF!)</f>
        <v>#REF!</v>
      </c>
      <c r="P189" s="7">
        <v>5624667.4462384805</v>
      </c>
      <c r="Q189" s="7">
        <v>0</v>
      </c>
      <c r="R189" s="5">
        <f t="shared" si="86"/>
        <v>5624667.4462384805</v>
      </c>
      <c r="S189" s="4">
        <f t="shared" si="87"/>
        <v>374.97782974923206</v>
      </c>
      <c r="T189" s="13">
        <f t="shared" si="55"/>
        <v>0</v>
      </c>
      <c r="U189" s="13">
        <f t="shared" si="65"/>
        <v>0</v>
      </c>
      <c r="V189" s="14" t="e">
        <f>U189/C189</f>
        <v>#DIV/0!</v>
      </c>
      <c r="W189" s="18">
        <f>S189*3</f>
        <v>1124.9334892476961</v>
      </c>
      <c r="X189" s="19">
        <f t="shared" si="88"/>
        <v>1124.9334892476961</v>
      </c>
      <c r="Y189" s="19">
        <f t="shared" si="89"/>
        <v>2249.8669784953922</v>
      </c>
      <c r="Z189" s="15">
        <v>3</v>
      </c>
      <c r="AA189" s="22" t="s">
        <v>958</v>
      </c>
      <c r="AG189" s="94" t="s">
        <v>52</v>
      </c>
      <c r="AH189" s="89" t="str">
        <f>VLOOKUP(AG189,Sheet1!$B$3:$D$36,2,FALSE)</f>
        <v>Furniture</v>
      </c>
      <c r="AI189" s="89" t="s">
        <v>881</v>
      </c>
      <c r="AJ189" s="1" t="str">
        <f t="shared" si="56"/>
        <v>Hof rectangular console</v>
      </c>
      <c r="AK189" s="1" t="str">
        <f t="shared" si="57"/>
        <v>w220 x d40 x h75</v>
      </c>
      <c r="AL189" s="1" t="str">
        <f t="shared" si="58"/>
        <v xml:space="preserve">Natural teak outdoor </v>
      </c>
      <c r="AM189" s="1" t="str">
        <f t="shared" si="59"/>
        <v xml:space="preserve">Natural teak outdoor </v>
      </c>
      <c r="AN189" s="1" t="str">
        <f>SUBSTITUTE(AL189,"outdoor","")</f>
        <v xml:space="preserve">Natural teak  </v>
      </c>
      <c r="AO189" s="1" t="s">
        <v>59</v>
      </c>
      <c r="AQ189" s="1" t="str">
        <f t="shared" si="61"/>
        <v>A</v>
      </c>
      <c r="AR189" s="1" t="str">
        <f>VLOOKUP(TRIM(AI189),Sheet1!$D$3:$E$36,2,FALSE)</f>
        <v>06</v>
      </c>
      <c r="AS189" s="90" t="str">
        <f t="shared" si="62"/>
        <v>02</v>
      </c>
      <c r="AT189" s="1" t="str">
        <f t="shared" si="63"/>
        <v>02</v>
      </c>
      <c r="AU189" s="90" t="s">
        <v>55</v>
      </c>
      <c r="AV189" s="90"/>
      <c r="AW189" s="90"/>
      <c r="AX189" s="95" t="str">
        <f>AQ189&amp;AR189&amp;AS189&amp;"-"&amp;AT189&amp;AU189&amp;BA189</f>
        <v>A0602-0210OUT</v>
      </c>
      <c r="AY189" s="99" t="str">
        <f>AQ189&amp;AR189&amp;AS189&amp;"-"&amp;AT189&amp;BA189</f>
        <v>A0602-02OUT</v>
      </c>
      <c r="AZ189" s="90"/>
      <c r="BA189" s="1" t="str">
        <f t="shared" si="64"/>
        <v>OUT</v>
      </c>
      <c r="BC189" s="1" t="str">
        <f t="shared" si="84"/>
        <v/>
      </c>
      <c r="BD189" s="90">
        <f t="shared" si="85"/>
        <v>2</v>
      </c>
      <c r="BE189" s="1" t="str">
        <f t="shared" si="68"/>
        <v/>
      </c>
      <c r="BF189" s="1">
        <f t="shared" si="69"/>
        <v>2</v>
      </c>
      <c r="BJ189" t="s">
        <v>959</v>
      </c>
      <c r="BK189" s="1">
        <v>3</v>
      </c>
      <c r="BL189"/>
      <c r="BM189" t="str">
        <f t="shared" si="66"/>
        <v>Yelena cup clear snow-Yelena cup clear snow-Yelena cup clear snow-</v>
      </c>
    </row>
    <row r="190" spans="1:65" ht="11.25" customHeight="1">
      <c r="A190" s="26" t="s">
        <v>960</v>
      </c>
      <c r="B190" s="27" t="s">
        <v>961</v>
      </c>
      <c r="C190" s="28">
        <v>2249.9899999999998</v>
      </c>
      <c r="D190" s="28">
        <f t="shared" si="53"/>
        <v>1124.9949999999999</v>
      </c>
      <c r="E190" s="22" t="s">
        <v>874</v>
      </c>
      <c r="F190" s="22" t="s">
        <v>962</v>
      </c>
      <c r="G190" s="22" t="s">
        <v>963</v>
      </c>
      <c r="H190" s="22" t="s">
        <v>964</v>
      </c>
      <c r="I190" s="23" t="s">
        <v>965</v>
      </c>
      <c r="J190" s="22" t="s">
        <v>50</v>
      </c>
      <c r="K190" s="23">
        <v>80</v>
      </c>
      <c r="L190" s="23">
        <v>80</v>
      </c>
      <c r="M190" s="23">
        <v>60</v>
      </c>
      <c r="N190" s="3">
        <f t="shared" si="54"/>
        <v>0.38400000000000001</v>
      </c>
      <c r="O190" s="4" t="e">
        <f>(C190-(C190*#REF!))-((C190-(C190*#REF!))*#REF!)</f>
        <v>#REF!</v>
      </c>
      <c r="P190" s="7"/>
      <c r="Q190" s="7"/>
      <c r="R190" s="5">
        <f t="shared" si="86"/>
        <v>0</v>
      </c>
      <c r="S190" s="4">
        <f t="shared" si="87"/>
        <v>0</v>
      </c>
      <c r="T190" s="13">
        <f t="shared" si="55"/>
        <v>1574.9929999999999</v>
      </c>
      <c r="U190" s="13">
        <f t="shared" si="65"/>
        <v>787.49649999999997</v>
      </c>
      <c r="V190" s="14">
        <f>U190/C190</f>
        <v>0.35000000000000003</v>
      </c>
      <c r="W190" s="14"/>
      <c r="X190" s="19">
        <f t="shared" si="88"/>
        <v>787.49649999999997</v>
      </c>
      <c r="Y190" s="19">
        <f t="shared" si="89"/>
        <v>1574.9929999999999</v>
      </c>
      <c r="Z190" s="15" t="e">
        <f>U190/S190</f>
        <v>#DIV/0!</v>
      </c>
      <c r="AA190" s="22" t="s">
        <v>966</v>
      </c>
      <c r="AG190" s="94" t="s">
        <v>52</v>
      </c>
      <c r="AH190" s="89" t="str">
        <f>VLOOKUP(AG190,Sheet1!$B$3:$D$36,2,FALSE)</f>
        <v>Furniture</v>
      </c>
      <c r="AI190" s="89" t="s">
        <v>881</v>
      </c>
      <c r="AJ190" s="1" t="str">
        <f t="shared" si="56"/>
        <v>Hof square console</v>
      </c>
      <c r="AK190" s="1" t="str">
        <f t="shared" si="57"/>
        <v>w80 x d80 x h60</v>
      </c>
      <c r="AL190" s="1" t="str">
        <f t="shared" si="58"/>
        <v>teak fume indoor</v>
      </c>
      <c r="AM190" s="1" t="str">
        <f t="shared" si="59"/>
        <v>teak fume indoor</v>
      </c>
      <c r="AN190" s="1" t="str">
        <f>SUBSTITUTE(AL190,"indoor","")</f>
        <v xml:space="preserve">teak fume </v>
      </c>
      <c r="AO190" s="1" t="s">
        <v>54</v>
      </c>
      <c r="AQ190" s="1" t="str">
        <f t="shared" si="61"/>
        <v>A</v>
      </c>
      <c r="AR190" s="1" t="str">
        <f>VLOOKUP(TRIM(AI190),Sheet1!$D$3:$E$36,2,FALSE)</f>
        <v>06</v>
      </c>
      <c r="AS190" s="90" t="str">
        <f t="shared" si="62"/>
        <v>01</v>
      </c>
      <c r="AT190" s="1" t="str">
        <f t="shared" si="63"/>
        <v>01</v>
      </c>
      <c r="AU190" s="90" t="s">
        <v>967</v>
      </c>
      <c r="AV190" s="90"/>
      <c r="AW190" s="90"/>
      <c r="AX190" s="95" t="str">
        <f>AQ190&amp;AR190&amp;AS190&amp;"-"&amp;AT190&amp;AU190&amp;BA190</f>
        <v>A0601-0129IND</v>
      </c>
      <c r="AY190" s="99" t="str">
        <f>AQ190&amp;AR190&amp;AS190&amp;"-"&amp;AT190&amp;BA190</f>
        <v>A0601-01IND</v>
      </c>
      <c r="AZ190" s="90"/>
      <c r="BA190" s="1" t="str">
        <f t="shared" si="64"/>
        <v>IND</v>
      </c>
      <c r="BC190" s="1">
        <f t="shared" si="84"/>
        <v>1</v>
      </c>
      <c r="BD190" s="90">
        <f t="shared" si="85"/>
        <v>1</v>
      </c>
      <c r="BE190" s="1">
        <f t="shared" si="68"/>
        <v>1</v>
      </c>
      <c r="BF190" s="1">
        <f t="shared" si="69"/>
        <v>1</v>
      </c>
      <c r="BJ190" t="s">
        <v>968</v>
      </c>
      <c r="BK190" s="1">
        <v>3</v>
      </c>
      <c r="BL190"/>
      <c r="BM190" t="str">
        <f t="shared" si="66"/>
        <v>Yelena cup crackle-Yelena cup crackle-Yelena cup crackle-</v>
      </c>
    </row>
    <row r="191" spans="1:65" ht="11.25" customHeight="1">
      <c r="A191" s="26" t="s">
        <v>969</v>
      </c>
      <c r="B191" s="27" t="s">
        <v>970</v>
      </c>
      <c r="C191" s="28">
        <v>328.99</v>
      </c>
      <c r="D191" s="28">
        <f t="shared" si="53"/>
        <v>164.495</v>
      </c>
      <c r="E191" s="22" t="s">
        <v>874</v>
      </c>
      <c r="F191" s="22" t="s">
        <v>971</v>
      </c>
      <c r="G191" s="22" t="s">
        <v>672</v>
      </c>
      <c r="H191" s="22" t="s">
        <v>972</v>
      </c>
      <c r="I191" s="23" t="s">
        <v>973</v>
      </c>
      <c r="J191" s="22" t="s">
        <v>670</v>
      </c>
      <c r="K191" s="23">
        <v>45</v>
      </c>
      <c r="L191" s="23">
        <v>36</v>
      </c>
      <c r="M191" s="23">
        <v>15</v>
      </c>
      <c r="N191" s="3">
        <f t="shared" si="54"/>
        <v>2.4299999999999999E-2</v>
      </c>
      <c r="O191" s="4" t="e">
        <f>(C191-(C191*#REF!))-((C191-(C191*#REF!))*#REF!)</f>
        <v>#REF!</v>
      </c>
      <c r="P191" s="7">
        <v>1105866.2553835821</v>
      </c>
      <c r="Q191" s="7"/>
      <c r="R191" s="5">
        <f t="shared" si="86"/>
        <v>1105866.2553835821</v>
      </c>
      <c r="S191" s="4">
        <f t="shared" si="87"/>
        <v>73.724417025572137</v>
      </c>
      <c r="T191" s="13">
        <f t="shared" si="55"/>
        <v>230.29300000000001</v>
      </c>
      <c r="U191" s="13">
        <f t="shared" si="65"/>
        <v>115.1465</v>
      </c>
      <c r="V191" s="14">
        <f>U191/C191</f>
        <v>0.35</v>
      </c>
      <c r="W191" s="18">
        <f>S191*$W$1</f>
        <v>147.44883405114427</v>
      </c>
      <c r="X191" s="19">
        <f t="shared" si="88"/>
        <v>147.44883405114427</v>
      </c>
      <c r="Y191" s="19">
        <f t="shared" si="89"/>
        <v>294.89766810228855</v>
      </c>
      <c r="Z191" s="15">
        <v>2</v>
      </c>
      <c r="AA191" s="22" t="s">
        <v>974</v>
      </c>
      <c r="AG191" s="94" t="s">
        <v>52</v>
      </c>
      <c r="AH191" s="89" t="str">
        <f>VLOOKUP(AG191,Sheet1!$B$3:$D$36,2,FALSE)</f>
        <v>Furniture</v>
      </c>
      <c r="AI191" s="89" t="s">
        <v>881</v>
      </c>
      <c r="AJ191" s="1" t="str">
        <f t="shared" si="56"/>
        <v>Rhein riverstone Axel</v>
      </c>
      <c r="AK191" s="1" t="str">
        <f t="shared" si="57"/>
        <v>w45 x d36 x h15</v>
      </c>
      <c r="AL191" s="1" t="str">
        <f t="shared" si="58"/>
        <v>Riverstone</v>
      </c>
      <c r="AM191" s="1" t="str">
        <f t="shared" si="59"/>
        <v>Riverstone</v>
      </c>
      <c r="AN191" s="1" t="str">
        <f t="shared" ref="AN191:AN192" si="91">SUBSTITUTE(AL191,"indoor","")</f>
        <v>Riverstone</v>
      </c>
      <c r="AQ191" s="1" t="str">
        <f t="shared" si="61"/>
        <v>A</v>
      </c>
      <c r="AR191" s="1" t="str">
        <f>VLOOKUP(TRIM(AI191),Sheet1!$D$3:$E$36,2,FALSE)</f>
        <v>06</v>
      </c>
      <c r="AS191" s="90" t="str">
        <f t="shared" si="62"/>
        <v>01</v>
      </c>
      <c r="AT191" s="1" t="str">
        <f t="shared" si="63"/>
        <v>01</v>
      </c>
      <c r="AU191" s="90" t="s">
        <v>975</v>
      </c>
      <c r="AV191" s="90"/>
      <c r="AW191" s="90"/>
      <c r="AX191" s="95" t="str">
        <f>AQ191&amp;AR191&amp;AS191&amp;"-"&amp;AT191&amp;AU191&amp;BA191</f>
        <v>A0601-0118</v>
      </c>
      <c r="AY191" s="99" t="str">
        <f>AQ191&amp;AR191&amp;AS191&amp;"-"&amp;AT191&amp;BA191</f>
        <v>A0601-01</v>
      </c>
      <c r="AZ191" s="90"/>
      <c r="BA191" s="1" t="str">
        <f t="shared" si="64"/>
        <v/>
      </c>
      <c r="BC191" s="1">
        <f t="shared" si="84"/>
        <v>1</v>
      </c>
      <c r="BD191" s="90">
        <f t="shared" si="85"/>
        <v>1</v>
      </c>
      <c r="BE191" s="1">
        <f t="shared" si="68"/>
        <v>1</v>
      </c>
      <c r="BF191" s="1">
        <f t="shared" si="69"/>
        <v>1</v>
      </c>
      <c r="BJ191" t="s">
        <v>976</v>
      </c>
      <c r="BK191" s="1">
        <v>5</v>
      </c>
      <c r="BL191"/>
      <c r="BM191" t="str">
        <f t="shared" si="66"/>
        <v>Yelena plate black-Yelena plate black-Yelena plate black-Yelena plate black-Yelena plate black-</v>
      </c>
    </row>
    <row r="192" spans="1:65" ht="11.25" customHeight="1">
      <c r="A192" s="26" t="s">
        <v>977</v>
      </c>
      <c r="B192" s="27" t="s">
        <v>978</v>
      </c>
      <c r="C192" s="28">
        <v>424.99</v>
      </c>
      <c r="D192" s="28">
        <f t="shared" si="53"/>
        <v>212.495</v>
      </c>
      <c r="E192" s="22" t="s">
        <v>874</v>
      </c>
      <c r="F192" s="22" t="s">
        <v>979</v>
      </c>
      <c r="G192" s="22" t="s">
        <v>672</v>
      </c>
      <c r="H192" s="22" t="s">
        <v>980</v>
      </c>
      <c r="I192" s="23" t="s">
        <v>973</v>
      </c>
      <c r="J192" s="22" t="s">
        <v>670</v>
      </c>
      <c r="K192" s="23">
        <v>71</v>
      </c>
      <c r="L192" s="23">
        <v>51</v>
      </c>
      <c r="M192" s="23">
        <v>25</v>
      </c>
      <c r="N192" s="3">
        <f t="shared" si="54"/>
        <v>9.0524999999999994E-2</v>
      </c>
      <c r="O192" s="4" t="e">
        <f>(C192-(C192*#REF!))-((C192-(C192*#REF!))*#REF!)</f>
        <v>#REF!</v>
      </c>
      <c r="P192" s="7"/>
      <c r="Q192" s="7"/>
      <c r="R192" s="5">
        <f t="shared" si="86"/>
        <v>0</v>
      </c>
      <c r="S192" s="4">
        <f t="shared" si="87"/>
        <v>0</v>
      </c>
      <c r="T192" s="13">
        <f t="shared" si="55"/>
        <v>297.49299999999999</v>
      </c>
      <c r="U192" s="13">
        <f t="shared" si="65"/>
        <v>148.7465</v>
      </c>
      <c r="V192" s="14">
        <f>U192/C192</f>
        <v>0.35</v>
      </c>
      <c r="W192" s="14"/>
      <c r="X192" s="19">
        <f t="shared" si="88"/>
        <v>148.7465</v>
      </c>
      <c r="Y192" s="19">
        <f t="shared" si="89"/>
        <v>297.49299999999999</v>
      </c>
      <c r="Z192" s="15" t="e">
        <f t="shared" ref="Z192:Z206" si="92">U192/S192</f>
        <v>#DIV/0!</v>
      </c>
      <c r="AA192" s="22" t="s">
        <v>981</v>
      </c>
      <c r="AG192" s="94" t="s">
        <v>52</v>
      </c>
      <c r="AH192" s="89" t="str">
        <f>VLOOKUP(AG192,Sheet1!$B$3:$D$36,2,FALSE)</f>
        <v>Furniture</v>
      </c>
      <c r="AI192" s="89" t="s">
        <v>881</v>
      </c>
      <c r="AJ192" s="1" t="str">
        <f t="shared" si="56"/>
        <v>Rhein riverstone Axel</v>
      </c>
      <c r="AK192" s="1" t="str">
        <f t="shared" si="57"/>
        <v>w71 x d51 x h25</v>
      </c>
      <c r="AL192" s="1" t="str">
        <f t="shared" si="58"/>
        <v>Riverstone</v>
      </c>
      <c r="AM192" s="1" t="str">
        <f t="shared" si="59"/>
        <v>Riverstone</v>
      </c>
      <c r="AN192" s="1" t="str">
        <f t="shared" si="91"/>
        <v>Riverstone</v>
      </c>
      <c r="AQ192" s="1" t="str">
        <f t="shared" si="61"/>
        <v>A</v>
      </c>
      <c r="AR192" s="1" t="str">
        <f>VLOOKUP(TRIM(AI192),Sheet1!$D$3:$E$36,2,FALSE)</f>
        <v>06</v>
      </c>
      <c r="AS192" s="90" t="str">
        <f t="shared" si="62"/>
        <v>02</v>
      </c>
      <c r="AT192" s="1" t="str">
        <f t="shared" si="63"/>
        <v>01</v>
      </c>
      <c r="AU192" s="90" t="s">
        <v>975</v>
      </c>
      <c r="AV192" s="90"/>
      <c r="AW192" s="90"/>
      <c r="AX192" s="95" t="str">
        <f>AQ192&amp;AR192&amp;AS192&amp;"-"&amp;AT192&amp;AU192&amp;BA192</f>
        <v>A0602-0118</v>
      </c>
      <c r="AY192" s="99" t="str">
        <f>AQ192&amp;AR192&amp;AS192&amp;"-"&amp;AT192&amp;BA192</f>
        <v>A0602-01</v>
      </c>
      <c r="AZ192" s="90"/>
      <c r="BA192" s="1" t="str">
        <f t="shared" si="64"/>
        <v/>
      </c>
      <c r="BC192" s="1" t="str">
        <f t="shared" si="84"/>
        <v/>
      </c>
      <c r="BD192" s="90">
        <f t="shared" si="85"/>
        <v>2</v>
      </c>
      <c r="BE192" s="1">
        <f t="shared" si="68"/>
        <v>1</v>
      </c>
      <c r="BF192" s="1">
        <f t="shared" si="69"/>
        <v>1</v>
      </c>
      <c r="BJ192" t="s">
        <v>982</v>
      </c>
      <c r="BK192" s="1">
        <v>5</v>
      </c>
      <c r="BL192"/>
      <c r="BM192" t="str">
        <f t="shared" si="66"/>
        <v>Yelena plate riverstone-Yelena plate riverstone-Yelena plate riverstone-Yelena plate riverstone-Yelena plate riverstone-</v>
      </c>
    </row>
    <row r="193" spans="1:65" ht="11.25" customHeight="1">
      <c r="A193" s="26" t="s">
        <v>983</v>
      </c>
      <c r="B193" s="27" t="s">
        <v>984</v>
      </c>
      <c r="C193" s="28">
        <v>1279.99</v>
      </c>
      <c r="D193" s="28">
        <f t="shared" si="53"/>
        <v>639.995</v>
      </c>
      <c r="E193" s="22" t="s">
        <v>874</v>
      </c>
      <c r="F193" s="22" t="s">
        <v>985</v>
      </c>
      <c r="G193" s="22" t="s">
        <v>986</v>
      </c>
      <c r="H193" s="22" t="s">
        <v>987</v>
      </c>
      <c r="I193" s="23" t="s">
        <v>988</v>
      </c>
      <c r="J193" s="22" t="s">
        <v>50</v>
      </c>
      <c r="K193" s="23">
        <v>30</v>
      </c>
      <c r="L193" s="23">
        <v>70</v>
      </c>
      <c r="M193" s="23">
        <v>90</v>
      </c>
      <c r="N193" s="3">
        <f t="shared" si="54"/>
        <v>0.189</v>
      </c>
      <c r="O193" s="4" t="e">
        <f>(C193-(C193*#REF!))-((C193-(C193*#REF!))*#REF!)</f>
        <v>#REF!</v>
      </c>
      <c r="P193" s="7"/>
      <c r="Q193" s="7"/>
      <c r="R193" s="5">
        <f t="shared" si="86"/>
        <v>0</v>
      </c>
      <c r="S193" s="4">
        <f t="shared" si="87"/>
        <v>0</v>
      </c>
      <c r="T193" s="13">
        <f t="shared" si="55"/>
        <v>895.99299999999994</v>
      </c>
      <c r="U193" s="13">
        <f t="shared" si="65"/>
        <v>447.99649999999997</v>
      </c>
      <c r="V193" s="14">
        <f>U193/C193</f>
        <v>0.35</v>
      </c>
      <c r="W193" s="14"/>
      <c r="X193" s="19">
        <f t="shared" si="88"/>
        <v>447.99649999999997</v>
      </c>
      <c r="Y193" s="19">
        <f t="shared" si="89"/>
        <v>895.99299999999994</v>
      </c>
      <c r="Z193" s="15" t="e">
        <f t="shared" si="92"/>
        <v>#DIV/0!</v>
      </c>
      <c r="AA193" s="22" t="s">
        <v>989</v>
      </c>
      <c r="AG193" s="94" t="s">
        <v>52</v>
      </c>
      <c r="AH193" s="89" t="str">
        <f>VLOOKUP(AG193,Sheet1!$B$3:$D$36,2,FALSE)</f>
        <v>Furniture</v>
      </c>
      <c r="AI193" s="89" t="s">
        <v>881</v>
      </c>
      <c r="AJ193" s="1" t="str">
        <f t="shared" si="56"/>
        <v>Mer rectangular aged</v>
      </c>
      <c r="AK193" s="1" t="str">
        <f t="shared" si="57"/>
        <v>w30 x d70 x h90</v>
      </c>
      <c r="AL193" s="1" t="str">
        <f t="shared" si="58"/>
        <v>oak indoor</v>
      </c>
      <c r="AM193" s="1" t="str">
        <f t="shared" si="59"/>
        <v>oak indoor</v>
      </c>
      <c r="AN193" s="1" t="str">
        <f>SUBSTITUTE(AL193,"indoor","")</f>
        <v xml:space="preserve">oak </v>
      </c>
      <c r="AO193" s="1" t="s">
        <v>54</v>
      </c>
      <c r="AQ193" s="1" t="str">
        <f t="shared" si="61"/>
        <v>A</v>
      </c>
      <c r="AR193" s="1" t="str">
        <f>VLOOKUP(TRIM(AI193),Sheet1!$D$3:$E$36,2,FALSE)</f>
        <v>06</v>
      </c>
      <c r="AS193" s="90" t="str">
        <f t="shared" si="62"/>
        <v>01</v>
      </c>
      <c r="AT193" s="1" t="str">
        <f t="shared" si="63"/>
        <v>01</v>
      </c>
      <c r="AU193" s="90" t="s">
        <v>990</v>
      </c>
      <c r="AV193" s="90"/>
      <c r="AW193" s="90"/>
      <c r="AX193" s="95" t="str">
        <f>AQ193&amp;AR193&amp;AS193&amp;"-"&amp;AT193&amp;AU193&amp;BA193</f>
        <v>A0601-0111IND</v>
      </c>
      <c r="AY193" s="99" t="str">
        <f>AQ193&amp;AR193&amp;AS193&amp;"-"&amp;AT193&amp;BA193</f>
        <v>A0601-01IND</v>
      </c>
      <c r="AZ193" s="90"/>
      <c r="BA193" s="1" t="str">
        <f t="shared" si="64"/>
        <v>IND</v>
      </c>
      <c r="BC193" s="1">
        <f t="shared" si="84"/>
        <v>1</v>
      </c>
      <c r="BD193" s="90">
        <f t="shared" si="85"/>
        <v>1</v>
      </c>
      <c r="BE193" s="1">
        <f t="shared" si="68"/>
        <v>1</v>
      </c>
      <c r="BF193" s="1">
        <f t="shared" si="69"/>
        <v>1</v>
      </c>
      <c r="BJ193" t="s">
        <v>991</v>
      </c>
      <c r="BK193" s="1">
        <v>5</v>
      </c>
      <c r="BL193"/>
      <c r="BM193" t="str">
        <f t="shared" si="66"/>
        <v>Yelena plate white-Yelena plate white-Yelena plate white-Yelena plate white-Yelena plate white-</v>
      </c>
    </row>
    <row r="194" spans="1:65" ht="11.25" customHeight="1">
      <c r="A194" s="26" t="s">
        <v>992</v>
      </c>
      <c r="B194" s="27" t="s">
        <v>993</v>
      </c>
      <c r="C194" s="28">
        <v>79.989999999999995</v>
      </c>
      <c r="D194" s="28">
        <f t="shared" si="53"/>
        <v>39.994999999999997</v>
      </c>
      <c r="E194" s="22" t="s">
        <v>874</v>
      </c>
      <c r="F194" s="22" t="s">
        <v>994</v>
      </c>
      <c r="G194" s="22" t="s">
        <v>995</v>
      </c>
      <c r="H194" s="22" t="s">
        <v>996</v>
      </c>
      <c r="I194" s="23" t="s">
        <v>973</v>
      </c>
      <c r="J194" s="22" t="s">
        <v>670</v>
      </c>
      <c r="K194" s="23">
        <v>30</v>
      </c>
      <c r="L194" s="23">
        <v>70</v>
      </c>
      <c r="M194" s="23">
        <v>2</v>
      </c>
      <c r="N194" s="3">
        <f t="shared" si="54"/>
        <v>4.1999999999999997E-3</v>
      </c>
      <c r="O194" s="4" t="e">
        <f>(C194-(C194*#REF!))-((C194-(C194*#REF!))*#REF!)</f>
        <v>#REF!</v>
      </c>
      <c r="P194" s="7"/>
      <c r="Q194" s="7"/>
      <c r="R194" s="5">
        <f t="shared" si="86"/>
        <v>0</v>
      </c>
      <c r="S194" s="4">
        <f t="shared" si="87"/>
        <v>0</v>
      </c>
      <c r="T194" s="13">
        <f t="shared" si="55"/>
        <v>55.992999999999995</v>
      </c>
      <c r="U194" s="13">
        <f t="shared" si="65"/>
        <v>27.996499999999997</v>
      </c>
      <c r="V194" s="14">
        <f>U194/C194</f>
        <v>0.35</v>
      </c>
      <c r="W194" s="14"/>
      <c r="X194" s="19">
        <f t="shared" si="88"/>
        <v>27.996499999999997</v>
      </c>
      <c r="Y194" s="19">
        <f t="shared" si="89"/>
        <v>55.992999999999995</v>
      </c>
      <c r="Z194" s="15" t="e">
        <f t="shared" si="92"/>
        <v>#DIV/0!</v>
      </c>
      <c r="AA194" s="22" t="s">
        <v>997</v>
      </c>
      <c r="AG194" s="94" t="s">
        <v>52</v>
      </c>
      <c r="AH194" s="89" t="str">
        <f>VLOOKUP(AG194,Sheet1!$B$3:$D$36,2,FALSE)</f>
        <v>Furniture</v>
      </c>
      <c r="AI194" s="89" t="s">
        <v>881</v>
      </c>
      <c r="AJ194" s="1" t="str">
        <f t="shared" si="56"/>
        <v xml:space="preserve">Aube bluestone </v>
      </c>
      <c r="AK194" s="1" t="str">
        <f t="shared" si="57"/>
        <v>w30 x d70 x h2</v>
      </c>
      <c r="AL194" s="1" t="str">
        <f t="shared" si="58"/>
        <v>Riverstone</v>
      </c>
      <c r="AM194" s="1" t="str">
        <f t="shared" si="59"/>
        <v>Riverstone</v>
      </c>
      <c r="AN194" s="1" t="str">
        <f t="shared" ref="AN194" si="93">SUBSTITUTE(AL194,"indoor","")</f>
        <v>Riverstone</v>
      </c>
      <c r="AQ194" s="1" t="str">
        <f t="shared" si="61"/>
        <v>A</v>
      </c>
      <c r="AR194" s="1" t="str">
        <f>VLOOKUP(TRIM(AI194),Sheet1!$D$3:$E$36,2,FALSE)</f>
        <v>06</v>
      </c>
      <c r="AS194" s="90" t="str">
        <f t="shared" si="62"/>
        <v>01</v>
      </c>
      <c r="AT194" s="1" t="str">
        <f t="shared" si="63"/>
        <v>01</v>
      </c>
      <c r="AU194" s="90" t="s">
        <v>975</v>
      </c>
      <c r="AV194" s="90"/>
      <c r="AW194" s="90"/>
      <c r="AX194" s="95" t="str">
        <f>AQ194&amp;AR194&amp;AS194&amp;"-"&amp;AT194&amp;AU194&amp;BA194</f>
        <v>A0601-0118</v>
      </c>
      <c r="AY194" s="99" t="str">
        <f>AQ194&amp;AR194&amp;AS194&amp;"-"&amp;AT194&amp;BA194</f>
        <v>A0601-01</v>
      </c>
      <c r="AZ194" s="90"/>
      <c r="BA194" s="1" t="str">
        <f t="shared" si="64"/>
        <v/>
      </c>
      <c r="BC194" s="1">
        <f t="shared" si="84"/>
        <v>1</v>
      </c>
      <c r="BD194" s="90">
        <f t="shared" si="85"/>
        <v>1</v>
      </c>
      <c r="BE194" s="1">
        <f t="shared" si="68"/>
        <v>1</v>
      </c>
      <c r="BF194" s="1">
        <f t="shared" si="69"/>
        <v>1</v>
      </c>
      <c r="BJ194" t="s">
        <v>998</v>
      </c>
      <c r="BK194" s="1">
        <v>2</v>
      </c>
      <c r="BL194"/>
      <c r="BM194" t="str">
        <f t="shared" si="66"/>
        <v>Yelena shot clear-Yelena shot clear-</v>
      </c>
    </row>
    <row r="195" spans="1:65" ht="11.25" customHeight="1">
      <c r="A195" s="26" t="s">
        <v>999</v>
      </c>
      <c r="B195" s="27" t="s">
        <v>1000</v>
      </c>
      <c r="C195" s="28">
        <v>624.99</v>
      </c>
      <c r="D195" s="28">
        <f t="shared" si="53"/>
        <v>312.495</v>
      </c>
      <c r="E195" s="22" t="s">
        <v>874</v>
      </c>
      <c r="F195" s="22" t="s">
        <v>1001</v>
      </c>
      <c r="G195" s="22" t="s">
        <v>499</v>
      </c>
      <c r="H195" s="22" t="s">
        <v>1002</v>
      </c>
      <c r="I195" s="23" t="s">
        <v>988</v>
      </c>
      <c r="J195" s="22" t="s">
        <v>50</v>
      </c>
      <c r="K195" s="23">
        <v>40</v>
      </c>
      <c r="L195" s="23">
        <v>40</v>
      </c>
      <c r="M195" s="23">
        <v>50</v>
      </c>
      <c r="N195" s="3">
        <f t="shared" si="54"/>
        <v>0.08</v>
      </c>
      <c r="O195" s="4" t="e">
        <f>(C195-(C195*#REF!))-((C195-(C195*#REF!))*#REF!)</f>
        <v>#REF!</v>
      </c>
      <c r="P195" s="7"/>
      <c r="Q195" s="7"/>
      <c r="R195" s="5">
        <f t="shared" si="86"/>
        <v>0</v>
      </c>
      <c r="S195" s="4">
        <f t="shared" si="87"/>
        <v>0</v>
      </c>
      <c r="T195" s="13">
        <f t="shared" si="55"/>
        <v>437.49300000000005</v>
      </c>
      <c r="U195" s="13">
        <f t="shared" si="65"/>
        <v>218.74650000000003</v>
      </c>
      <c r="V195" s="14">
        <f>U195/C195</f>
        <v>0.35000000000000003</v>
      </c>
      <c r="W195" s="14"/>
      <c r="X195" s="19">
        <f t="shared" si="88"/>
        <v>218.74650000000003</v>
      </c>
      <c r="Y195" s="19">
        <f t="shared" si="89"/>
        <v>437.49300000000005</v>
      </c>
      <c r="Z195" s="15" t="e">
        <f t="shared" si="92"/>
        <v>#DIV/0!</v>
      </c>
      <c r="AA195" s="22" t="s">
        <v>1003</v>
      </c>
      <c r="AG195" s="94" t="s">
        <v>52</v>
      </c>
      <c r="AH195" s="89" t="str">
        <f>VLOOKUP(AG195,Sheet1!$B$3:$D$36,2,FALSE)</f>
        <v>Furniture</v>
      </c>
      <c r="AI195" s="89" t="s">
        <v>881</v>
      </c>
      <c r="AJ195" s="1" t="str">
        <f t="shared" si="56"/>
        <v>Mer square aged</v>
      </c>
      <c r="AK195" s="1" t="str">
        <f t="shared" si="57"/>
        <v>w40 x d40 x h50</v>
      </c>
      <c r="AL195" s="1" t="str">
        <f t="shared" si="58"/>
        <v>oak indoor</v>
      </c>
      <c r="AM195" s="1" t="str">
        <f t="shared" si="59"/>
        <v>oak indoor</v>
      </c>
      <c r="AN195" s="1" t="str">
        <f t="shared" ref="AN195:AN197" si="94">SUBSTITUTE(AL195,"indoor","")</f>
        <v xml:space="preserve">oak </v>
      </c>
      <c r="AO195" s="1" t="s">
        <v>54</v>
      </c>
      <c r="AQ195" s="1" t="str">
        <f t="shared" si="61"/>
        <v>A</v>
      </c>
      <c r="AR195" s="1" t="str">
        <f>VLOOKUP(TRIM(AI195),Sheet1!$D$3:$E$36,2,FALSE)</f>
        <v>06</v>
      </c>
      <c r="AS195" s="90" t="str">
        <f t="shared" si="62"/>
        <v>01</v>
      </c>
      <c r="AT195" s="1" t="str">
        <f t="shared" si="63"/>
        <v>01</v>
      </c>
      <c r="AU195" s="90" t="s">
        <v>990</v>
      </c>
      <c r="AV195" s="90"/>
      <c r="AW195" s="90"/>
      <c r="AX195" s="95" t="str">
        <f>AQ195&amp;AR195&amp;AS195&amp;"-"&amp;AT195&amp;AU195&amp;BA195</f>
        <v>A0601-0111IND</v>
      </c>
      <c r="AY195" s="99" t="str">
        <f>AQ195&amp;AR195&amp;AS195&amp;"-"&amp;AT195&amp;BA195</f>
        <v>A0601-01IND</v>
      </c>
      <c r="AZ195" s="90"/>
      <c r="BA195" s="1" t="str">
        <f t="shared" si="64"/>
        <v>IND</v>
      </c>
      <c r="BC195" s="1">
        <f t="shared" si="84"/>
        <v>1</v>
      </c>
      <c r="BD195" s="90">
        <f t="shared" si="85"/>
        <v>1</v>
      </c>
      <c r="BE195" s="1">
        <f t="shared" si="68"/>
        <v>1</v>
      </c>
      <c r="BF195" s="1">
        <f t="shared" si="69"/>
        <v>1</v>
      </c>
      <c r="BJ195" t="s">
        <v>1004</v>
      </c>
      <c r="BK195" s="1">
        <v>2</v>
      </c>
      <c r="BL195"/>
      <c r="BM195" t="str">
        <f t="shared" si="66"/>
        <v>Yelena shot clear matte-Yelena shot clear matte-</v>
      </c>
    </row>
    <row r="196" spans="1:65" ht="11.25" customHeight="1">
      <c r="A196" s="26" t="s">
        <v>1005</v>
      </c>
      <c r="B196" s="27" t="s">
        <v>1000</v>
      </c>
      <c r="C196" s="28">
        <v>1024.99</v>
      </c>
      <c r="D196" s="28">
        <f t="shared" si="53"/>
        <v>512.495</v>
      </c>
      <c r="E196" s="22" t="s">
        <v>874</v>
      </c>
      <c r="F196" s="22" t="s">
        <v>1006</v>
      </c>
      <c r="G196" s="22" t="s">
        <v>499</v>
      </c>
      <c r="H196" s="22" t="s">
        <v>1007</v>
      </c>
      <c r="I196" s="23" t="s">
        <v>988</v>
      </c>
      <c r="J196" s="22" t="s">
        <v>50</v>
      </c>
      <c r="K196" s="23">
        <v>40</v>
      </c>
      <c r="L196" s="23">
        <v>40</v>
      </c>
      <c r="M196" s="23">
        <v>90</v>
      </c>
      <c r="N196" s="3">
        <f t="shared" si="54"/>
        <v>0.14399999999999999</v>
      </c>
      <c r="O196" s="4" t="e">
        <f>(C196-(C196*#REF!))-((C196-(C196*#REF!))*#REF!)</f>
        <v>#REF!</v>
      </c>
      <c r="P196" s="7"/>
      <c r="Q196" s="7"/>
      <c r="R196" s="5">
        <f t="shared" si="86"/>
        <v>0</v>
      </c>
      <c r="S196" s="4">
        <f t="shared" si="87"/>
        <v>0</v>
      </c>
      <c r="T196" s="13">
        <f t="shared" si="55"/>
        <v>717.49299999999994</v>
      </c>
      <c r="U196" s="13">
        <f t="shared" si="65"/>
        <v>358.74649999999997</v>
      </c>
      <c r="V196" s="14">
        <f>U196/C196</f>
        <v>0.35</v>
      </c>
      <c r="W196" s="14"/>
      <c r="X196" s="19">
        <f t="shared" si="88"/>
        <v>358.74649999999997</v>
      </c>
      <c r="Y196" s="19">
        <f t="shared" si="89"/>
        <v>717.49299999999994</v>
      </c>
      <c r="Z196" s="15" t="e">
        <f t="shared" si="92"/>
        <v>#DIV/0!</v>
      </c>
      <c r="AA196" s="22" t="s">
        <v>1008</v>
      </c>
      <c r="AG196" s="94" t="s">
        <v>52</v>
      </c>
      <c r="AH196" s="89" t="str">
        <f>VLOOKUP(AG196,Sheet1!$B$3:$D$36,2,FALSE)</f>
        <v>Furniture</v>
      </c>
      <c r="AI196" s="89" t="s">
        <v>881</v>
      </c>
      <c r="AJ196" s="1" t="str">
        <f t="shared" si="56"/>
        <v>Mer square aged</v>
      </c>
      <c r="AK196" s="1" t="str">
        <f t="shared" si="57"/>
        <v>w40 x d40 x h90</v>
      </c>
      <c r="AL196" s="1" t="str">
        <f t="shared" si="58"/>
        <v>oak indoor</v>
      </c>
      <c r="AM196" s="1" t="str">
        <f t="shared" si="59"/>
        <v>oak indoor</v>
      </c>
      <c r="AN196" s="1" t="str">
        <f t="shared" si="94"/>
        <v xml:space="preserve">oak </v>
      </c>
      <c r="AO196" s="1" t="s">
        <v>54</v>
      </c>
      <c r="AQ196" s="1" t="str">
        <f t="shared" si="61"/>
        <v>A</v>
      </c>
      <c r="AR196" s="1" t="str">
        <f>VLOOKUP(TRIM(AI196),Sheet1!$D$3:$E$36,2,FALSE)</f>
        <v>06</v>
      </c>
      <c r="AS196" s="90" t="str">
        <f t="shared" si="62"/>
        <v>02</v>
      </c>
      <c r="AT196" s="1" t="str">
        <f t="shared" si="63"/>
        <v>01</v>
      </c>
      <c r="AU196" s="90" t="s">
        <v>990</v>
      </c>
      <c r="AV196" s="90"/>
      <c r="AW196" s="90"/>
      <c r="AX196" s="95" t="str">
        <f>AQ196&amp;AR196&amp;AS196&amp;"-"&amp;AT196&amp;AU196&amp;BA196</f>
        <v>A0602-0111IND</v>
      </c>
      <c r="AY196" s="99" t="str">
        <f>AQ196&amp;AR196&amp;AS196&amp;"-"&amp;AT196&amp;BA196</f>
        <v>A0602-01IND</v>
      </c>
      <c r="AZ196" s="90"/>
      <c r="BA196" s="1" t="str">
        <f t="shared" si="64"/>
        <v>IND</v>
      </c>
      <c r="BC196" s="1" t="str">
        <f t="shared" si="84"/>
        <v/>
      </c>
      <c r="BD196" s="90">
        <f t="shared" si="85"/>
        <v>2</v>
      </c>
      <c r="BE196" s="1">
        <f t="shared" si="68"/>
        <v>1</v>
      </c>
      <c r="BF196" s="1">
        <f t="shared" si="69"/>
        <v>1</v>
      </c>
      <c r="BJ196" t="s">
        <v>1009</v>
      </c>
      <c r="BK196" s="1">
        <v>2</v>
      </c>
      <c r="BL196"/>
      <c r="BM196" t="str">
        <f t="shared" si="66"/>
        <v>Yelena shot clear snow-Yelena shot clear snow-</v>
      </c>
    </row>
    <row r="197" spans="1:65" ht="11.25" customHeight="1">
      <c r="A197" s="26" t="s">
        <v>1010</v>
      </c>
      <c r="B197" s="27" t="s">
        <v>1011</v>
      </c>
      <c r="C197" s="28">
        <v>589.99</v>
      </c>
      <c r="D197" s="28">
        <f t="shared" ref="D197:D260" si="95">C197*$D$1</f>
        <v>294.995</v>
      </c>
      <c r="E197" s="22" t="s">
        <v>874</v>
      </c>
      <c r="F197" s="22" t="s">
        <v>1012</v>
      </c>
      <c r="G197" s="22" t="s">
        <v>1013</v>
      </c>
      <c r="H197" s="22" t="s">
        <v>1014</v>
      </c>
      <c r="I197" s="23" t="s">
        <v>1015</v>
      </c>
      <c r="J197" s="22" t="s">
        <v>50</v>
      </c>
      <c r="K197" s="23">
        <v>65</v>
      </c>
      <c r="L197" s="23">
        <v>65</v>
      </c>
      <c r="M197" s="23">
        <v>110</v>
      </c>
      <c r="N197" s="3">
        <f t="shared" ref="N197" si="96">(IF(ISBLANK(K197),(L197*L197*M197),(K197*L197*M197)))/1000000</f>
        <v>0.46475</v>
      </c>
      <c r="O197" s="4" t="e">
        <f>(C197-(C197*#REF!))-((C197-(C197*#REF!))*#REF!)</f>
        <v>#REF!</v>
      </c>
      <c r="P197" s="7"/>
      <c r="Q197" s="7"/>
      <c r="R197" s="5">
        <f t="shared" si="86"/>
        <v>0</v>
      </c>
      <c r="S197" s="4">
        <f t="shared" si="87"/>
        <v>0</v>
      </c>
      <c r="T197" s="13">
        <f t="shared" ref="T197:T260" si="97">C197-(C197*$T$1)</f>
        <v>412.99300000000005</v>
      </c>
      <c r="U197" s="13">
        <f t="shared" si="65"/>
        <v>206.49650000000003</v>
      </c>
      <c r="V197" s="14">
        <f>U197/C197</f>
        <v>0.35000000000000003</v>
      </c>
      <c r="W197" s="14"/>
      <c r="X197" s="19">
        <f t="shared" si="88"/>
        <v>206.49650000000003</v>
      </c>
      <c r="Y197" s="19">
        <f t="shared" si="89"/>
        <v>412.99300000000005</v>
      </c>
      <c r="Z197" s="15" t="e">
        <f t="shared" si="92"/>
        <v>#DIV/0!</v>
      </c>
      <c r="AA197" s="22" t="s">
        <v>1016</v>
      </c>
      <c r="AG197" s="94" t="s">
        <v>52</v>
      </c>
      <c r="AH197" s="89" t="str">
        <f>VLOOKUP(AG197,Sheet1!$B$3:$D$36,2,FALSE)</f>
        <v>Furniture</v>
      </c>
      <c r="AI197" s="89" t="s">
        <v>881</v>
      </c>
      <c r="AJ197" s="1" t="str">
        <f t="shared" ref="AJ197:AJ260" si="98">G197</f>
        <v>Metallbourg vitrine stretched</v>
      </c>
      <c r="AK197" s="1" t="str">
        <f t="shared" ref="AK197:AK260" si="99">TRIM(H197)</f>
        <v>w65 x d65 x h110</v>
      </c>
      <c r="AL197" s="1" t="str">
        <f t="shared" ref="AL197:AL260" si="100">I197</f>
        <v>rustic rust with stretched metal</v>
      </c>
      <c r="AM197" s="1" t="str">
        <f t="shared" ref="AM197:AM260" si="101">I197</f>
        <v>rustic rust with stretched metal</v>
      </c>
      <c r="AN197" s="1" t="str">
        <f t="shared" si="94"/>
        <v>rustic rust with stretched metal</v>
      </c>
      <c r="AQ197" s="1" t="str">
        <f t="shared" ref="AQ197:AQ260" si="102">IF(TRIM(AG197)="01","A",IF(TRIM(AG197)="02","B",IF(TRIM(AG197)="03","C",IF(TRIM(AG197)="04","D",IF(TRIM(AG197)="05","E","F")))))</f>
        <v>A</v>
      </c>
      <c r="AR197" s="1" t="str">
        <f>VLOOKUP(TRIM(AI197),Sheet1!$D$3:$E$36,2,FALSE)</f>
        <v>06</v>
      </c>
      <c r="AS197" s="90" t="str">
        <f t="shared" ref="AS197:AS260" si="103">IF(LEN(BD197)=1,"0"&amp;BD197,BD197)</f>
        <v>01</v>
      </c>
      <c r="AT197" s="1" t="str">
        <f t="shared" ref="AT197:AT260" si="104">IF(LEN(BF197)=1,"0"&amp;BF197,BF197)</f>
        <v>01</v>
      </c>
      <c r="AU197" s="90"/>
      <c r="AV197" s="90"/>
      <c r="AW197" s="90"/>
      <c r="AX197" s="95" t="str">
        <f>AQ197&amp;AR197&amp;AS197&amp;"-"&amp;AT197&amp;AU197&amp;BA197</f>
        <v>A0601-01</v>
      </c>
      <c r="AY197" s="99" t="str">
        <f>AQ197&amp;AR197&amp;AS197&amp;"-"&amp;AT197&amp;BA197</f>
        <v>A0601-01</v>
      </c>
      <c r="AZ197" s="90"/>
      <c r="BA197" s="1" t="str">
        <f t="shared" ref="BA197:BA260" si="105">IF(AO197="","",UPPER(LEFT(AO197,3)))</f>
        <v/>
      </c>
      <c r="BC197" s="1">
        <f t="shared" si="84"/>
        <v>1</v>
      </c>
      <c r="BD197" s="90">
        <f t="shared" si="85"/>
        <v>1</v>
      </c>
      <c r="BE197" s="1">
        <f t="shared" si="68"/>
        <v>1</v>
      </c>
      <c r="BF197" s="1">
        <f t="shared" si="69"/>
        <v>1</v>
      </c>
      <c r="BJ197" t="s">
        <v>1017</v>
      </c>
      <c r="BK197" s="1">
        <v>2</v>
      </c>
      <c r="BL197"/>
      <c r="BM197" t="str">
        <f t="shared" si="66"/>
        <v>Yelena shot crackle-Yelena shot crackle-</v>
      </c>
    </row>
    <row r="198" spans="1:65" s="63" customFormat="1" ht="15.75">
      <c r="A198" s="65" t="s">
        <v>1018</v>
      </c>
      <c r="B198" s="66"/>
      <c r="C198" s="67"/>
      <c r="D198" s="75"/>
      <c r="E198" s="68"/>
      <c r="F198" s="69"/>
      <c r="G198" s="68"/>
      <c r="H198" s="68"/>
      <c r="I198" s="65"/>
      <c r="J198" s="68"/>
      <c r="K198" s="65"/>
      <c r="L198" s="65"/>
      <c r="M198" s="65"/>
      <c r="N198" s="68"/>
      <c r="O198" s="68"/>
      <c r="P198" s="76"/>
      <c r="Q198" s="76"/>
      <c r="R198" s="77"/>
      <c r="S198" s="68"/>
      <c r="T198" s="78"/>
      <c r="U198" s="78"/>
      <c r="V198" s="75"/>
      <c r="W198" s="75"/>
      <c r="X198" s="75"/>
      <c r="Y198" s="75"/>
      <c r="Z198" s="79"/>
      <c r="AA198" s="68"/>
      <c r="AB198" s="66"/>
      <c r="AC198" s="66"/>
      <c r="AD198" s="66"/>
      <c r="AE198" s="66"/>
      <c r="AF198" s="66"/>
      <c r="AG198" s="93"/>
      <c r="AH198" s="89"/>
      <c r="AI198" s="89"/>
      <c r="AJ198" s="1"/>
      <c r="AK198" s="1"/>
      <c r="AL198" s="1"/>
      <c r="AM198" s="1"/>
      <c r="AQ198" s="1"/>
      <c r="AR198" s="1"/>
      <c r="AS198" s="90"/>
      <c r="AT198" s="1"/>
      <c r="AU198" s="90"/>
      <c r="AV198" s="90"/>
      <c r="AW198" s="90"/>
      <c r="AX198" s="95"/>
      <c r="AY198" s="99" t="str">
        <f>AQ198&amp;AR198&amp;AS198&amp;"-"&amp;AT198&amp;BA198</f>
        <v>-</v>
      </c>
      <c r="AZ198" s="90"/>
      <c r="BA198" s="1"/>
      <c r="BC198" s="1"/>
      <c r="BD198" s="90"/>
      <c r="BE198" s="1"/>
      <c r="BF198" s="1"/>
      <c r="BI198" s="1"/>
      <c r="BJ198" t="s">
        <v>1019</v>
      </c>
      <c r="BK198" s="1">
        <v>2</v>
      </c>
      <c r="BL198"/>
      <c r="BM198" t="str">
        <f t="shared" si="66"/>
        <v>Zenith bench-Zenith bench-</v>
      </c>
    </row>
    <row r="199" spans="1:65" ht="11.25" customHeight="1">
      <c r="A199" s="26" t="s">
        <v>1020</v>
      </c>
      <c r="B199" s="27" t="s">
        <v>1021</v>
      </c>
      <c r="C199" s="28">
        <v>2759.99</v>
      </c>
      <c r="D199" s="28">
        <f t="shared" si="95"/>
        <v>1379.9949999999999</v>
      </c>
      <c r="E199" s="22" t="s">
        <v>1018</v>
      </c>
      <c r="F199" s="22" t="s">
        <v>1022</v>
      </c>
      <c r="G199" s="22" t="s">
        <v>1023</v>
      </c>
      <c r="H199" s="22" t="s">
        <v>1024</v>
      </c>
      <c r="I199" s="23" t="s">
        <v>1025</v>
      </c>
      <c r="J199" s="22" t="s">
        <v>50</v>
      </c>
      <c r="K199" s="23">
        <v>80</v>
      </c>
      <c r="L199" s="23">
        <v>50</v>
      </c>
      <c r="M199" s="23">
        <v>210</v>
      </c>
      <c r="N199" s="3">
        <f t="shared" ref="N199:N262" si="106">(IF(ISBLANK(K199),(L199*L199*M199),(K199*L199*M199)))/1000000</f>
        <v>0.84</v>
      </c>
      <c r="O199" s="4" t="e">
        <f>(C199-(C199*#REF!))-((C199-(C199*#REF!))*#REF!)</f>
        <v>#REF!</v>
      </c>
      <c r="P199" s="7"/>
      <c r="Q199" s="7"/>
      <c r="R199" s="5">
        <f t="shared" ref="R199:R224" si="107">P199+Q199</f>
        <v>0</v>
      </c>
      <c r="S199" s="4">
        <f t="shared" ref="S199:S224" si="108">R199/15000</f>
        <v>0</v>
      </c>
      <c r="T199" s="13">
        <f t="shared" si="97"/>
        <v>1931.9929999999999</v>
      </c>
      <c r="U199" s="13">
        <f t="shared" ref="U198:U261" si="109">T199-(T199*$U$1)</f>
        <v>965.99649999999997</v>
      </c>
      <c r="V199" s="14">
        <f>U199/C199</f>
        <v>0.35000000000000003</v>
      </c>
      <c r="W199" s="14"/>
      <c r="X199" s="19">
        <f t="shared" ref="X199:X224" si="110">IF(ISBLANK(W199),U199, W199)</f>
        <v>965.99649999999997</v>
      </c>
      <c r="Y199" s="19">
        <f t="shared" ref="Y199:Y224" si="111">X199*2</f>
        <v>1931.9929999999999</v>
      </c>
      <c r="Z199" s="15" t="e">
        <f t="shared" si="92"/>
        <v>#DIV/0!</v>
      </c>
      <c r="AA199" s="22" t="s">
        <v>1026</v>
      </c>
      <c r="AG199" s="94" t="s">
        <v>52</v>
      </c>
      <c r="AH199" s="89" t="str">
        <f>VLOOKUP(AG199,Sheet1!$B$3:$D$36,2,FALSE)</f>
        <v>Furniture</v>
      </c>
      <c r="AI199" s="89" t="s">
        <v>1027</v>
      </c>
      <c r="AJ199" s="1" t="str">
        <f t="shared" si="98"/>
        <v>Arvika Cabinets1</v>
      </c>
      <c r="AK199" s="1" t="str">
        <f t="shared" si="99"/>
        <v>w80 x d50 x h210</v>
      </c>
      <c r="AL199" s="1" t="str">
        <f t="shared" si="100"/>
        <v>teak original indoor</v>
      </c>
      <c r="AM199" s="1" t="str">
        <f t="shared" si="101"/>
        <v>teak original indoor</v>
      </c>
      <c r="AN199" s="1" t="str">
        <f t="shared" ref="AN199:AN224" si="112">SUBSTITUTE(AL199,"indoor","")</f>
        <v xml:space="preserve">teak original </v>
      </c>
      <c r="AO199" s="1" t="s">
        <v>54</v>
      </c>
      <c r="AQ199" s="1" t="str">
        <f t="shared" si="102"/>
        <v>A</v>
      </c>
      <c r="AR199" s="1" t="str">
        <f>VLOOKUP(TRIM(AI199),Sheet1!$D$3:$E$36,2,FALSE)</f>
        <v>07</v>
      </c>
      <c r="AS199" s="90" t="str">
        <f t="shared" si="103"/>
        <v>01</v>
      </c>
      <c r="AT199" s="1" t="str">
        <f t="shared" si="104"/>
        <v>01</v>
      </c>
      <c r="AU199" s="90" t="s">
        <v>119</v>
      </c>
      <c r="AV199" s="90"/>
      <c r="AW199" s="90"/>
      <c r="AX199" s="95" t="str">
        <f>AQ199&amp;AR199&amp;AS199&amp;"-"&amp;AT199&amp;AU199&amp;BA199</f>
        <v>A0701-0130IND</v>
      </c>
      <c r="AY199" s="99" t="str">
        <f>AQ199&amp;AR199&amp;AS199&amp;"-"&amp;AT199&amp;BA199</f>
        <v>A0701-01IND</v>
      </c>
      <c r="AZ199" s="90"/>
      <c r="BA199" s="1" t="str">
        <f t="shared" si="105"/>
        <v>IND</v>
      </c>
      <c r="BC199" s="1">
        <f t="shared" si="84"/>
        <v>1</v>
      </c>
      <c r="BD199" s="90">
        <f t="shared" si="85"/>
        <v>1</v>
      </c>
      <c r="BE199" s="1">
        <f t="shared" si="68"/>
        <v>1</v>
      </c>
      <c r="BF199" s="1">
        <f t="shared" si="69"/>
        <v>1</v>
      </c>
      <c r="BJ199" t="s">
        <v>696</v>
      </c>
      <c r="BK199" s="1">
        <v>2</v>
      </c>
      <c r="BL199"/>
      <c r="BM199" t="str">
        <f t="shared" si="66"/>
        <v>Zenith table Branch-Zenith table Branch-</v>
      </c>
    </row>
    <row r="200" spans="1:65" ht="11.25" customHeight="1">
      <c r="A200" s="26" t="s">
        <v>1028</v>
      </c>
      <c r="B200" s="27" t="s">
        <v>1029</v>
      </c>
      <c r="C200" s="28">
        <v>2799.99</v>
      </c>
      <c r="D200" s="28">
        <f t="shared" si="95"/>
        <v>1399.9949999999999</v>
      </c>
      <c r="E200" s="22" t="s">
        <v>1018</v>
      </c>
      <c r="F200" s="22" t="s">
        <v>1022</v>
      </c>
      <c r="G200" s="22" t="s">
        <v>1030</v>
      </c>
      <c r="H200" s="22" t="s">
        <v>1024</v>
      </c>
      <c r="I200" s="23" t="s">
        <v>1031</v>
      </c>
      <c r="J200" s="22" t="s">
        <v>50</v>
      </c>
      <c r="K200" s="23">
        <v>80</v>
      </c>
      <c r="L200" s="23">
        <v>50</v>
      </c>
      <c r="M200" s="23">
        <v>210</v>
      </c>
      <c r="N200" s="3">
        <f t="shared" si="106"/>
        <v>0.84</v>
      </c>
      <c r="O200" s="4" t="e">
        <f>(C200-(C200*#REF!))-((C200-(C200*#REF!))*#REF!)</f>
        <v>#REF!</v>
      </c>
      <c r="P200" s="7"/>
      <c r="Q200" s="7"/>
      <c r="R200" s="5">
        <f t="shared" si="107"/>
        <v>0</v>
      </c>
      <c r="S200" s="4">
        <f t="shared" si="108"/>
        <v>0</v>
      </c>
      <c r="T200" s="13">
        <f t="shared" si="97"/>
        <v>1959.9929999999999</v>
      </c>
      <c r="U200" s="13">
        <f t="shared" si="109"/>
        <v>979.99649999999997</v>
      </c>
      <c r="V200" s="14">
        <f>U200/C200</f>
        <v>0.35000000000000003</v>
      </c>
      <c r="W200" s="14"/>
      <c r="X200" s="19">
        <f t="shared" si="110"/>
        <v>979.99649999999997</v>
      </c>
      <c r="Y200" s="19">
        <f t="shared" si="111"/>
        <v>1959.9929999999999</v>
      </c>
      <c r="Z200" s="15" t="e">
        <f t="shared" si="92"/>
        <v>#DIV/0!</v>
      </c>
      <c r="AA200" s="22" t="s">
        <v>1032</v>
      </c>
      <c r="AG200" s="94" t="s">
        <v>52</v>
      </c>
      <c r="AH200" s="89" t="str">
        <f>VLOOKUP(AG200,Sheet1!$B$3:$D$36,2,FALSE)</f>
        <v>Furniture</v>
      </c>
      <c r="AI200" s="89" t="s">
        <v>1027</v>
      </c>
      <c r="AJ200" s="1" t="str">
        <f t="shared" si="98"/>
        <v>Arvika Cabinets2</v>
      </c>
      <c r="AK200" s="1" t="str">
        <f t="shared" si="99"/>
        <v>w80 x d50 x h210</v>
      </c>
      <c r="AL200" s="1" t="str">
        <f t="shared" si="100"/>
        <v>reclaimed teak indoor</v>
      </c>
      <c r="AM200" s="1" t="str">
        <f t="shared" si="101"/>
        <v>reclaimed teak indoor</v>
      </c>
      <c r="AN200" s="1" t="str">
        <f t="shared" si="112"/>
        <v xml:space="preserve">reclaimed teak </v>
      </c>
      <c r="AO200" s="1" t="s">
        <v>54</v>
      </c>
      <c r="AQ200" s="1" t="str">
        <f t="shared" si="102"/>
        <v>A</v>
      </c>
      <c r="AR200" s="1" t="str">
        <f>VLOOKUP(TRIM(AI200),Sheet1!$D$3:$E$36,2,FALSE)</f>
        <v>07</v>
      </c>
      <c r="AS200" s="90" t="str">
        <f t="shared" si="103"/>
        <v>01</v>
      </c>
      <c r="AT200" s="1" t="str">
        <f t="shared" si="104"/>
        <v>02</v>
      </c>
      <c r="AU200" s="90" t="s">
        <v>1033</v>
      </c>
      <c r="AV200" s="90"/>
      <c r="AW200" s="90"/>
      <c r="AX200" s="95" t="str">
        <f>AQ200&amp;AR200&amp;AS200&amp;"-"&amp;AT200&amp;AU200&amp;BA200</f>
        <v>A0701-0217IND</v>
      </c>
      <c r="AY200" s="99" t="str">
        <f>AQ200&amp;AR200&amp;AS200&amp;"-"&amp;AT200&amp;BA200</f>
        <v>A0701-02IND</v>
      </c>
      <c r="AZ200" s="90"/>
      <c r="BA200" s="1" t="str">
        <f t="shared" si="105"/>
        <v>IND</v>
      </c>
      <c r="BC200" s="1">
        <f t="shared" si="84"/>
        <v>1</v>
      </c>
      <c r="BD200" s="90">
        <f t="shared" si="85"/>
        <v>1</v>
      </c>
      <c r="BE200" s="1" t="str">
        <f t="shared" si="68"/>
        <v/>
      </c>
      <c r="BF200" s="1">
        <f t="shared" si="69"/>
        <v>2</v>
      </c>
      <c r="BJ200" t="s">
        <v>1034</v>
      </c>
      <c r="BK200" s="1">
        <v>4</v>
      </c>
      <c r="BL200"/>
      <c r="BM200" t="str">
        <f t="shared" si="66"/>
        <v>Zephyr bench-Zephyr bench-Zephyr bench-Zephyr bench-</v>
      </c>
    </row>
    <row r="201" spans="1:65" ht="11.25" customHeight="1">
      <c r="A201" s="26" t="s">
        <v>1035</v>
      </c>
      <c r="B201" s="27" t="s">
        <v>1036</v>
      </c>
      <c r="C201" s="28">
        <v>2839.99</v>
      </c>
      <c r="D201" s="28">
        <f t="shared" si="95"/>
        <v>1419.9949999999999</v>
      </c>
      <c r="E201" s="22" t="s">
        <v>1018</v>
      </c>
      <c r="F201" s="22" t="s">
        <v>1037</v>
      </c>
      <c r="G201" s="22" t="s">
        <v>1038</v>
      </c>
      <c r="H201" s="22" t="s">
        <v>1024</v>
      </c>
      <c r="I201" s="23" t="s">
        <v>846</v>
      </c>
      <c r="J201" s="22" t="s">
        <v>50</v>
      </c>
      <c r="K201" s="23">
        <v>80</v>
      </c>
      <c r="L201" s="23">
        <v>50</v>
      </c>
      <c r="M201" s="23">
        <v>210</v>
      </c>
      <c r="N201" s="3">
        <f t="shared" si="106"/>
        <v>0.84</v>
      </c>
      <c r="O201" s="4" t="e">
        <f>(C201-(C201*#REF!))-((C201-(C201*#REF!))*#REF!)</f>
        <v>#REF!</v>
      </c>
      <c r="P201" s="7"/>
      <c r="Q201" s="7"/>
      <c r="R201" s="5">
        <f t="shared" si="107"/>
        <v>0</v>
      </c>
      <c r="S201" s="4">
        <f t="shared" si="108"/>
        <v>0</v>
      </c>
      <c r="T201" s="13">
        <f t="shared" si="97"/>
        <v>1987.9929999999999</v>
      </c>
      <c r="U201" s="13">
        <f t="shared" si="109"/>
        <v>993.99649999999997</v>
      </c>
      <c r="V201" s="14">
        <f>U201/C201</f>
        <v>0.35000000000000003</v>
      </c>
      <c r="W201" s="14"/>
      <c r="X201" s="19">
        <f t="shared" si="110"/>
        <v>993.99649999999997</v>
      </c>
      <c r="Y201" s="19">
        <f t="shared" si="111"/>
        <v>1987.9929999999999</v>
      </c>
      <c r="Z201" s="15" t="e">
        <f t="shared" si="92"/>
        <v>#DIV/0!</v>
      </c>
      <c r="AA201" s="22" t="s">
        <v>1039</v>
      </c>
      <c r="AG201" s="94" t="s">
        <v>52</v>
      </c>
      <c r="AH201" s="89" t="str">
        <f>VLOOKUP(AG201,Sheet1!$B$3:$D$36,2,FALSE)</f>
        <v>Furniture</v>
      </c>
      <c r="AI201" s="89" t="s">
        <v>1027</v>
      </c>
      <c r="AJ201" s="1" t="str">
        <f t="shared" si="98"/>
        <v>Arvika Cabinets3</v>
      </c>
      <c r="AK201" s="1" t="str">
        <f t="shared" si="99"/>
        <v>w80 x d50 x h210</v>
      </c>
      <c r="AL201" s="1" t="str">
        <f t="shared" si="100"/>
        <v>bare indoor</v>
      </c>
      <c r="AM201" s="1" t="str">
        <f t="shared" si="101"/>
        <v>bare indoor</v>
      </c>
      <c r="AN201" s="1" t="str">
        <f t="shared" si="112"/>
        <v xml:space="preserve">bare </v>
      </c>
      <c r="AO201" s="1" t="s">
        <v>54</v>
      </c>
      <c r="AQ201" s="1" t="str">
        <f t="shared" si="102"/>
        <v>A</v>
      </c>
      <c r="AR201" s="1" t="str">
        <f>VLOOKUP(TRIM(AI201),Sheet1!$D$3:$E$36,2,FALSE)</f>
        <v>07</v>
      </c>
      <c r="AS201" s="90" t="str">
        <f t="shared" si="103"/>
        <v>01</v>
      </c>
      <c r="AT201" s="1" t="str">
        <f t="shared" si="104"/>
        <v>03</v>
      </c>
      <c r="AU201" s="90" t="s">
        <v>817</v>
      </c>
      <c r="AV201" s="90"/>
      <c r="AW201" s="90"/>
      <c r="AX201" s="95" t="str">
        <f>AQ201&amp;AR201&amp;AS201&amp;"-"&amp;AT201&amp;AU201&amp;BA201</f>
        <v>A0701-0303IND</v>
      </c>
      <c r="AY201" s="99" t="str">
        <f>AQ201&amp;AR201&amp;AS201&amp;"-"&amp;AT201&amp;BA201</f>
        <v>A0701-03IND</v>
      </c>
      <c r="AZ201" s="90"/>
      <c r="BA201" s="1" t="str">
        <f t="shared" si="105"/>
        <v>IND</v>
      </c>
      <c r="BC201" s="1">
        <f t="shared" si="84"/>
        <v>1</v>
      </c>
      <c r="BD201" s="90">
        <f t="shared" si="85"/>
        <v>1</v>
      </c>
      <c r="BE201" s="1" t="str">
        <f t="shared" si="68"/>
        <v/>
      </c>
      <c r="BF201" s="1">
        <f t="shared" si="69"/>
        <v>3</v>
      </c>
      <c r="BJ201" t="s">
        <v>1040</v>
      </c>
      <c r="BK201" s="1">
        <v>2</v>
      </c>
      <c r="BL201"/>
      <c r="BM201" t="str">
        <f t="shared" ref="BM201:BM202" si="113">REPT(BJ201&amp;"-",BK201)</f>
        <v>Zermatt round bar 3L-Zermatt round bar 3L-</v>
      </c>
    </row>
    <row r="202" spans="1:65" ht="11.25" customHeight="1">
      <c r="A202" s="26" t="s">
        <v>1041</v>
      </c>
      <c r="B202" s="27" t="s">
        <v>1042</v>
      </c>
      <c r="D202" s="28">
        <f t="shared" si="95"/>
        <v>0</v>
      </c>
      <c r="E202" s="22" t="s">
        <v>1018</v>
      </c>
      <c r="F202" s="22" t="s">
        <v>1043</v>
      </c>
      <c r="G202" s="22" t="s">
        <v>1044</v>
      </c>
      <c r="H202" s="22" t="s">
        <v>1045</v>
      </c>
      <c r="I202" s="23" t="s">
        <v>1046</v>
      </c>
      <c r="J202" s="22" t="s">
        <v>50</v>
      </c>
      <c r="K202" s="23">
        <v>90</v>
      </c>
      <c r="L202" s="23">
        <v>50</v>
      </c>
      <c r="M202" s="23">
        <v>210</v>
      </c>
      <c r="N202" s="3">
        <f t="shared" si="106"/>
        <v>0.94499999999999995</v>
      </c>
      <c r="O202" s="4" t="e">
        <f>(C202-(C202*#REF!))-((C202-(C202*#REF!))*#REF!)</f>
        <v>#REF!</v>
      </c>
      <c r="P202" s="7"/>
      <c r="Q202" s="7"/>
      <c r="R202" s="5">
        <f t="shared" si="107"/>
        <v>0</v>
      </c>
      <c r="S202" s="4">
        <f t="shared" si="108"/>
        <v>0</v>
      </c>
      <c r="T202" s="13">
        <f t="shared" si="97"/>
        <v>0</v>
      </c>
      <c r="U202" s="13">
        <f t="shared" si="109"/>
        <v>0</v>
      </c>
      <c r="V202" s="14" t="e">
        <f>U202/C202</f>
        <v>#DIV/0!</v>
      </c>
      <c r="W202" s="14"/>
      <c r="X202" s="19">
        <f t="shared" si="110"/>
        <v>0</v>
      </c>
      <c r="Y202" s="19">
        <f t="shared" si="111"/>
        <v>0</v>
      </c>
      <c r="Z202" s="15" t="e">
        <f t="shared" si="92"/>
        <v>#DIV/0!</v>
      </c>
      <c r="AA202" s="22" t="s">
        <v>1047</v>
      </c>
      <c r="AG202" s="94" t="s">
        <v>52</v>
      </c>
      <c r="AH202" s="89" t="str">
        <f>VLOOKUP(AG202,Sheet1!$B$3:$D$36,2,FALSE)</f>
        <v>Furniture</v>
      </c>
      <c r="AI202" s="89" t="s">
        <v>1027</v>
      </c>
      <c r="AJ202" s="1" t="str">
        <f t="shared" si="98"/>
        <v>Paharpur Cabinets1</v>
      </c>
      <c r="AK202" s="1" t="str">
        <f t="shared" si="99"/>
        <v>w90 x d50 x h210</v>
      </c>
      <c r="AL202" s="1" t="str">
        <f t="shared" si="100"/>
        <v>teak chainsaw cut indoor</v>
      </c>
      <c r="AM202" s="1" t="str">
        <f t="shared" si="101"/>
        <v>teak chainsaw cut indoor</v>
      </c>
      <c r="AN202" s="1" t="str">
        <f t="shared" si="112"/>
        <v xml:space="preserve">teak chainsaw cut </v>
      </c>
      <c r="AO202" s="1" t="s">
        <v>54</v>
      </c>
      <c r="AQ202" s="1" t="str">
        <f t="shared" si="102"/>
        <v>A</v>
      </c>
      <c r="AR202" s="1" t="str">
        <f>VLOOKUP(TRIM(AI202),Sheet1!$D$3:$E$36,2,FALSE)</f>
        <v>07</v>
      </c>
      <c r="AS202" s="90" t="str">
        <f t="shared" si="103"/>
        <v>01</v>
      </c>
      <c r="AT202" s="1" t="str">
        <f t="shared" si="104"/>
        <v>01</v>
      </c>
      <c r="AU202" s="90" t="s">
        <v>1048</v>
      </c>
      <c r="AV202" s="90"/>
      <c r="AW202" s="90"/>
      <c r="AX202" s="95" t="str">
        <f>AQ202&amp;AR202&amp;AS202&amp;"-"&amp;AT202&amp;AU202&amp;BA202</f>
        <v>A0701-0128IND</v>
      </c>
      <c r="AY202" s="99" t="str">
        <f>AQ202&amp;AR202&amp;AS202&amp;"-"&amp;AT202&amp;BA202</f>
        <v>A0701-01IND</v>
      </c>
      <c r="AZ202" s="90"/>
      <c r="BA202" s="1" t="str">
        <f t="shared" si="105"/>
        <v>IND</v>
      </c>
      <c r="BC202" s="1">
        <f t="shared" si="84"/>
        <v>1</v>
      </c>
      <c r="BD202" s="90">
        <f t="shared" si="85"/>
        <v>1</v>
      </c>
      <c r="BE202" s="1">
        <f t="shared" si="68"/>
        <v>1</v>
      </c>
      <c r="BF202" s="1">
        <f t="shared" si="69"/>
        <v>1</v>
      </c>
      <c r="BJ202" t="s">
        <v>1049</v>
      </c>
      <c r="BK202" s="1">
        <v>2</v>
      </c>
      <c r="BL202"/>
      <c r="BM202" t="str">
        <f t="shared" si="113"/>
        <v>Zuko fire basket-Zuko fire basket-</v>
      </c>
    </row>
    <row r="203" spans="1:65" ht="11.25" customHeight="1">
      <c r="A203" s="26" t="s">
        <v>1050</v>
      </c>
      <c r="B203" s="27" t="s">
        <v>1042</v>
      </c>
      <c r="D203" s="28">
        <f t="shared" si="95"/>
        <v>0</v>
      </c>
      <c r="E203" s="22" t="s">
        <v>1018</v>
      </c>
      <c r="F203" s="22" t="s">
        <v>1051</v>
      </c>
      <c r="G203" s="22" t="s">
        <v>1052</v>
      </c>
      <c r="H203" s="22" t="s">
        <v>1053</v>
      </c>
      <c r="I203" s="23" t="s">
        <v>1046</v>
      </c>
      <c r="J203" s="22" t="s">
        <v>50</v>
      </c>
      <c r="K203" s="23">
        <v>100</v>
      </c>
      <c r="L203" s="23">
        <v>40</v>
      </c>
      <c r="M203" s="23">
        <v>210</v>
      </c>
      <c r="N203" s="3">
        <f t="shared" si="106"/>
        <v>0.84</v>
      </c>
      <c r="O203" s="4" t="e">
        <f>(C203-(C203*#REF!))-((C203-(C203*#REF!))*#REF!)</f>
        <v>#REF!</v>
      </c>
      <c r="P203" s="7"/>
      <c r="Q203" s="7"/>
      <c r="R203" s="5">
        <f t="shared" si="107"/>
        <v>0</v>
      </c>
      <c r="S203" s="4">
        <f t="shared" si="108"/>
        <v>0</v>
      </c>
      <c r="T203" s="13">
        <f t="shared" si="97"/>
        <v>0</v>
      </c>
      <c r="U203" s="13">
        <f t="shared" si="109"/>
        <v>0</v>
      </c>
      <c r="V203" s="14" t="e">
        <f>U203/C203</f>
        <v>#DIV/0!</v>
      </c>
      <c r="W203" s="14"/>
      <c r="X203" s="19">
        <f t="shared" si="110"/>
        <v>0</v>
      </c>
      <c r="Y203" s="19">
        <f t="shared" si="111"/>
        <v>0</v>
      </c>
      <c r="Z203" s="15" t="e">
        <f t="shared" si="92"/>
        <v>#DIV/0!</v>
      </c>
      <c r="AA203" s="22" t="s">
        <v>1054</v>
      </c>
      <c r="AG203" s="94" t="s">
        <v>52</v>
      </c>
      <c r="AH203" s="89" t="str">
        <f>VLOOKUP(AG203,Sheet1!$B$3:$D$36,2,FALSE)</f>
        <v>Furniture</v>
      </c>
      <c r="AI203" s="89" t="s">
        <v>1027</v>
      </c>
      <c r="AJ203" s="1" t="str">
        <f t="shared" si="98"/>
        <v>Paharpur Cabinets2</v>
      </c>
      <c r="AK203" s="1" t="str">
        <f t="shared" si="99"/>
        <v>w100 x d40 x h210</v>
      </c>
      <c r="AL203" s="1" t="str">
        <f t="shared" si="100"/>
        <v>teak chainsaw cut indoor</v>
      </c>
      <c r="AM203" s="1" t="str">
        <f t="shared" si="101"/>
        <v>teak chainsaw cut indoor</v>
      </c>
      <c r="AN203" s="1" t="str">
        <f t="shared" si="112"/>
        <v xml:space="preserve">teak chainsaw cut </v>
      </c>
      <c r="AO203" s="1" t="s">
        <v>54</v>
      </c>
      <c r="AQ203" s="1" t="str">
        <f t="shared" si="102"/>
        <v>A</v>
      </c>
      <c r="AR203" s="1" t="str">
        <f>VLOOKUP(TRIM(AI203),Sheet1!$D$3:$E$36,2,FALSE)</f>
        <v>07</v>
      </c>
      <c r="AS203" s="90" t="str">
        <f t="shared" si="103"/>
        <v>01</v>
      </c>
      <c r="AT203" s="1" t="str">
        <f t="shared" si="104"/>
        <v>01</v>
      </c>
      <c r="AU203" s="90" t="s">
        <v>1048</v>
      </c>
      <c r="AV203" s="90"/>
      <c r="AW203" s="90"/>
      <c r="AX203" s="95" t="str">
        <f>AQ203&amp;AR203&amp;AS203&amp;"-"&amp;AT203&amp;AU203&amp;BA203</f>
        <v>A0701-0128IND</v>
      </c>
      <c r="AY203" s="99" t="str">
        <f>AQ203&amp;AR203&amp;AS203&amp;"-"&amp;AT203&amp;BA203</f>
        <v>A0701-01IND</v>
      </c>
      <c r="AZ203" s="90"/>
      <c r="BA203" s="1" t="str">
        <f t="shared" si="105"/>
        <v>IND</v>
      </c>
      <c r="BC203" s="1">
        <f t="shared" si="84"/>
        <v>1</v>
      </c>
      <c r="BD203" s="90">
        <f t="shared" si="85"/>
        <v>1</v>
      </c>
      <c r="BE203" s="1">
        <f t="shared" si="68"/>
        <v>1</v>
      </c>
      <c r="BF203" s="1">
        <f t="shared" si="69"/>
        <v>1</v>
      </c>
      <c r="BI203"/>
      <c r="BJ203"/>
      <c r="BL203"/>
    </row>
    <row r="204" spans="1:65" ht="11.25" customHeight="1">
      <c r="A204" s="26" t="s">
        <v>1055</v>
      </c>
      <c r="B204" s="27" t="s">
        <v>1042</v>
      </c>
      <c r="D204" s="28">
        <f t="shared" si="95"/>
        <v>0</v>
      </c>
      <c r="E204" s="22" t="s">
        <v>1018</v>
      </c>
      <c r="F204" s="22" t="s">
        <v>1056</v>
      </c>
      <c r="G204" s="22" t="s">
        <v>1057</v>
      </c>
      <c r="H204" s="22" t="s">
        <v>1058</v>
      </c>
      <c r="I204" s="23" t="s">
        <v>1046</v>
      </c>
      <c r="J204" s="22" t="s">
        <v>50</v>
      </c>
      <c r="K204" s="23">
        <v>210</v>
      </c>
      <c r="L204" s="23">
        <v>40</v>
      </c>
      <c r="M204" s="23">
        <v>93</v>
      </c>
      <c r="N204" s="3">
        <f t="shared" si="106"/>
        <v>0.78120000000000001</v>
      </c>
      <c r="O204" s="4" t="e">
        <f>(C204-(C204*#REF!))-((C204-(C204*#REF!))*#REF!)</f>
        <v>#REF!</v>
      </c>
      <c r="P204" s="7"/>
      <c r="Q204" s="7"/>
      <c r="R204" s="5">
        <f t="shared" si="107"/>
        <v>0</v>
      </c>
      <c r="S204" s="4">
        <f t="shared" si="108"/>
        <v>0</v>
      </c>
      <c r="T204" s="13">
        <f t="shared" si="97"/>
        <v>0</v>
      </c>
      <c r="U204" s="13">
        <f t="shared" si="109"/>
        <v>0</v>
      </c>
      <c r="V204" s="14" t="e">
        <f>U204/C204</f>
        <v>#DIV/0!</v>
      </c>
      <c r="W204" s="14"/>
      <c r="X204" s="19">
        <f t="shared" si="110"/>
        <v>0</v>
      </c>
      <c r="Y204" s="19">
        <f t="shared" si="111"/>
        <v>0</v>
      </c>
      <c r="Z204" s="15" t="e">
        <f t="shared" si="92"/>
        <v>#DIV/0!</v>
      </c>
      <c r="AA204" s="22" t="s">
        <v>1059</v>
      </c>
      <c r="AG204" s="94" t="s">
        <v>52</v>
      </c>
      <c r="AH204" s="89" t="str">
        <f>VLOOKUP(AG204,Sheet1!$B$3:$D$36,2,FALSE)</f>
        <v>Furniture</v>
      </c>
      <c r="AI204" s="89" t="s">
        <v>1027</v>
      </c>
      <c r="AJ204" s="1" t="str">
        <f t="shared" si="98"/>
        <v>Paharpur Cabinets3</v>
      </c>
      <c r="AK204" s="1" t="str">
        <f t="shared" si="99"/>
        <v>w210 x d40 x h93</v>
      </c>
      <c r="AL204" s="1" t="str">
        <f t="shared" si="100"/>
        <v>teak chainsaw cut indoor</v>
      </c>
      <c r="AM204" s="1" t="str">
        <f t="shared" si="101"/>
        <v>teak chainsaw cut indoor</v>
      </c>
      <c r="AN204" s="1" t="str">
        <f t="shared" si="112"/>
        <v xml:space="preserve">teak chainsaw cut </v>
      </c>
      <c r="AO204" s="1" t="s">
        <v>54</v>
      </c>
      <c r="AQ204" s="1" t="str">
        <f t="shared" si="102"/>
        <v>A</v>
      </c>
      <c r="AR204" s="1" t="str">
        <f>VLOOKUP(TRIM(AI204),Sheet1!$D$3:$E$36,2,FALSE)</f>
        <v>07</v>
      </c>
      <c r="AS204" s="90" t="str">
        <f t="shared" si="103"/>
        <v>01</v>
      </c>
      <c r="AT204" s="1" t="str">
        <f t="shared" si="104"/>
        <v>01</v>
      </c>
      <c r="AU204" s="90" t="s">
        <v>1048</v>
      </c>
      <c r="AV204" s="90"/>
      <c r="AW204" s="90"/>
      <c r="AX204" s="95" t="str">
        <f>AQ204&amp;AR204&amp;AS204&amp;"-"&amp;AT204&amp;AU204&amp;BA204</f>
        <v>A0701-0128IND</v>
      </c>
      <c r="AY204" s="99" t="str">
        <f>AQ204&amp;AR204&amp;AS204&amp;"-"&amp;AT204&amp;BA204</f>
        <v>A0701-01IND</v>
      </c>
      <c r="AZ204" s="90"/>
      <c r="BA204" s="1" t="str">
        <f t="shared" si="105"/>
        <v>IND</v>
      </c>
      <c r="BC204" s="1">
        <f t="shared" si="84"/>
        <v>1</v>
      </c>
      <c r="BD204" s="90">
        <f t="shared" si="85"/>
        <v>1</v>
      </c>
      <c r="BE204" s="1">
        <f t="shared" si="68"/>
        <v>1</v>
      </c>
      <c r="BF204" s="1">
        <f t="shared" si="69"/>
        <v>1</v>
      </c>
      <c r="BI204"/>
      <c r="BJ204"/>
      <c r="BL204"/>
    </row>
    <row r="205" spans="1:65" ht="11.25" customHeight="1">
      <c r="A205" s="26" t="s">
        <v>1060</v>
      </c>
      <c r="B205" s="27" t="s">
        <v>1061</v>
      </c>
      <c r="D205" s="28">
        <f t="shared" si="95"/>
        <v>0</v>
      </c>
      <c r="E205" s="22" t="s">
        <v>1018</v>
      </c>
      <c r="F205" s="22" t="s">
        <v>1062</v>
      </c>
      <c r="G205" s="22" t="s">
        <v>1063</v>
      </c>
      <c r="H205" s="22" t="s">
        <v>1064</v>
      </c>
      <c r="I205" s="23" t="s">
        <v>1065</v>
      </c>
      <c r="J205" s="22" t="s">
        <v>50</v>
      </c>
      <c r="K205" s="23">
        <v>186</v>
      </c>
      <c r="L205" s="23">
        <v>60</v>
      </c>
      <c r="M205" s="23">
        <v>100</v>
      </c>
      <c r="N205" s="3">
        <f t="shared" si="106"/>
        <v>1.1160000000000001</v>
      </c>
      <c r="O205" s="4" t="e">
        <f>(C205-(C205*#REF!))-((C205-(C205*#REF!))*#REF!)</f>
        <v>#REF!</v>
      </c>
      <c r="P205" s="7"/>
      <c r="Q205" s="7"/>
      <c r="R205" s="5">
        <f t="shared" si="107"/>
        <v>0</v>
      </c>
      <c r="S205" s="4">
        <f t="shared" si="108"/>
        <v>0</v>
      </c>
      <c r="T205" s="13">
        <f t="shared" si="97"/>
        <v>0</v>
      </c>
      <c r="U205" s="13">
        <f t="shared" si="109"/>
        <v>0</v>
      </c>
      <c r="V205" s="14" t="e">
        <f>U205/C205</f>
        <v>#DIV/0!</v>
      </c>
      <c r="W205" s="14"/>
      <c r="X205" s="19">
        <f t="shared" si="110"/>
        <v>0</v>
      </c>
      <c r="Y205" s="19">
        <f t="shared" si="111"/>
        <v>0</v>
      </c>
      <c r="Z205" s="15" t="e">
        <f t="shared" si="92"/>
        <v>#DIV/0!</v>
      </c>
      <c r="AA205" s="22" t="s">
        <v>1066</v>
      </c>
      <c r="AG205" s="94" t="s">
        <v>52</v>
      </c>
      <c r="AH205" s="89" t="str">
        <f>VLOOKUP(AG205,Sheet1!$B$3:$D$36,2,FALSE)</f>
        <v>Furniture</v>
      </c>
      <c r="AI205" s="89" t="s">
        <v>1027</v>
      </c>
      <c r="AJ205" s="1" t="str">
        <f t="shared" si="98"/>
        <v>Conara Cabinets1</v>
      </c>
      <c r="AK205" s="1" t="str">
        <f t="shared" si="99"/>
        <v>w186 x d60 x h100</v>
      </c>
      <c r="AL205" s="1" t="str">
        <f t="shared" si="100"/>
        <v>oak tiré indoor</v>
      </c>
      <c r="AM205" s="1" t="str">
        <f t="shared" si="101"/>
        <v>oak tiré indoor</v>
      </c>
      <c r="AN205" s="1" t="str">
        <f t="shared" si="112"/>
        <v xml:space="preserve">oak tiré </v>
      </c>
      <c r="AO205" s="1" t="s">
        <v>54</v>
      </c>
      <c r="AQ205" s="1" t="str">
        <f t="shared" si="102"/>
        <v>A</v>
      </c>
      <c r="AR205" s="1" t="str">
        <f>VLOOKUP(TRIM(AI205),Sheet1!$D$3:$E$36,2,FALSE)</f>
        <v>07</v>
      </c>
      <c r="AS205" s="90" t="str">
        <f t="shared" si="103"/>
        <v>01</v>
      </c>
      <c r="AT205" s="1" t="str">
        <f t="shared" si="104"/>
        <v>01</v>
      </c>
      <c r="AU205" s="90" t="s">
        <v>990</v>
      </c>
      <c r="AV205" s="90"/>
      <c r="AW205" s="90"/>
      <c r="AX205" s="95" t="str">
        <f>AQ205&amp;AR205&amp;AS205&amp;"-"&amp;AT205&amp;AU205&amp;BA205</f>
        <v>A0701-0111IND</v>
      </c>
      <c r="AY205" s="99" t="str">
        <f>AQ205&amp;AR205&amp;AS205&amp;"-"&amp;AT205&amp;BA205</f>
        <v>A0701-01IND</v>
      </c>
      <c r="AZ205" s="90"/>
      <c r="BA205" s="1" t="str">
        <f t="shared" si="105"/>
        <v>IND</v>
      </c>
      <c r="BC205" s="1">
        <f t="shared" si="84"/>
        <v>1</v>
      </c>
      <c r="BD205" s="90">
        <f t="shared" si="85"/>
        <v>1</v>
      </c>
      <c r="BE205" s="1">
        <f t="shared" ref="BE205:BE268" si="114">IF(AK204&lt;&gt;AK205,1,"")</f>
        <v>1</v>
      </c>
      <c r="BF205" s="1">
        <f t="shared" ref="BF205:BF268" si="115">IF(BE205=1,1,BF204+1)</f>
        <v>1</v>
      </c>
      <c r="BI205"/>
      <c r="BJ205"/>
      <c r="BL205"/>
    </row>
    <row r="206" spans="1:65" ht="11.25" customHeight="1">
      <c r="A206" s="26" t="s">
        <v>1067</v>
      </c>
      <c r="B206" s="27" t="s">
        <v>1068</v>
      </c>
      <c r="D206" s="28">
        <f t="shared" si="95"/>
        <v>0</v>
      </c>
      <c r="E206" s="22" t="s">
        <v>1018</v>
      </c>
      <c r="F206" s="22" t="s">
        <v>1062</v>
      </c>
      <c r="G206" s="22" t="s">
        <v>1069</v>
      </c>
      <c r="H206" s="22" t="s">
        <v>1064</v>
      </c>
      <c r="I206" s="23" t="s">
        <v>1070</v>
      </c>
      <c r="J206" s="22" t="s">
        <v>50</v>
      </c>
      <c r="K206" s="23">
        <v>186</v>
      </c>
      <c r="L206" s="23">
        <v>60</v>
      </c>
      <c r="M206" s="23">
        <v>100</v>
      </c>
      <c r="N206" s="3">
        <f t="shared" si="106"/>
        <v>1.1160000000000001</v>
      </c>
      <c r="O206" s="4" t="e">
        <f>(C206-(C206*#REF!))-((C206-(C206*#REF!))*#REF!)</f>
        <v>#REF!</v>
      </c>
      <c r="P206" s="7"/>
      <c r="Q206" s="7"/>
      <c r="R206" s="5">
        <f t="shared" si="107"/>
        <v>0</v>
      </c>
      <c r="S206" s="4">
        <f t="shared" si="108"/>
        <v>0</v>
      </c>
      <c r="T206" s="13">
        <f t="shared" si="97"/>
        <v>0</v>
      </c>
      <c r="U206" s="13">
        <f t="shared" si="109"/>
        <v>0</v>
      </c>
      <c r="V206" s="14" t="e">
        <f>U206/C206</f>
        <v>#DIV/0!</v>
      </c>
      <c r="W206" s="14"/>
      <c r="X206" s="19">
        <f t="shared" si="110"/>
        <v>0</v>
      </c>
      <c r="Y206" s="19">
        <f t="shared" si="111"/>
        <v>0</v>
      </c>
      <c r="Z206" s="15" t="e">
        <f t="shared" si="92"/>
        <v>#DIV/0!</v>
      </c>
      <c r="AA206" s="22" t="s">
        <v>1071</v>
      </c>
      <c r="AG206" s="94" t="s">
        <v>52</v>
      </c>
      <c r="AH206" s="89" t="str">
        <f>VLOOKUP(AG206,Sheet1!$B$3:$D$36,2,FALSE)</f>
        <v>Furniture</v>
      </c>
      <c r="AI206" s="89" t="s">
        <v>1027</v>
      </c>
      <c r="AJ206" s="1" t="str">
        <f t="shared" si="98"/>
        <v>Conara Cabinets2</v>
      </c>
      <c r="AK206" s="1" t="str">
        <f t="shared" si="99"/>
        <v>w186 x d60 x h100</v>
      </c>
      <c r="AL206" s="1" t="str">
        <f t="shared" si="100"/>
        <v>oak cadré indoor</v>
      </c>
      <c r="AM206" s="1" t="str">
        <f t="shared" si="101"/>
        <v>oak cadré indoor</v>
      </c>
      <c r="AN206" s="1" t="str">
        <f t="shared" si="112"/>
        <v xml:space="preserve">oak cadré </v>
      </c>
      <c r="AO206" s="1" t="s">
        <v>54</v>
      </c>
      <c r="AQ206" s="1" t="str">
        <f t="shared" si="102"/>
        <v>A</v>
      </c>
      <c r="AR206" s="1" t="str">
        <f>VLOOKUP(TRIM(AI206),Sheet1!$D$3:$E$36,2,FALSE)</f>
        <v>07</v>
      </c>
      <c r="AS206" s="90" t="str">
        <f t="shared" si="103"/>
        <v>01</v>
      </c>
      <c r="AT206" s="1" t="str">
        <f t="shared" si="104"/>
        <v>02</v>
      </c>
      <c r="AU206" s="90" t="s">
        <v>990</v>
      </c>
      <c r="AV206" s="90"/>
      <c r="AW206" s="90"/>
      <c r="AX206" s="95" t="str">
        <f>AQ206&amp;AR206&amp;AS206&amp;"-"&amp;AT206&amp;AU206&amp;BA206</f>
        <v>A0701-0211IND</v>
      </c>
      <c r="AY206" s="99" t="str">
        <f>AQ206&amp;AR206&amp;AS206&amp;"-"&amp;AT206&amp;BA206</f>
        <v>A0701-02IND</v>
      </c>
      <c r="AZ206" s="90"/>
      <c r="BA206" s="1" t="str">
        <f t="shared" si="105"/>
        <v>IND</v>
      </c>
      <c r="BC206" s="1">
        <f t="shared" si="84"/>
        <v>1</v>
      </c>
      <c r="BD206" s="90">
        <f t="shared" si="85"/>
        <v>1</v>
      </c>
      <c r="BE206" s="1" t="str">
        <f t="shared" si="114"/>
        <v/>
      </c>
      <c r="BF206" s="1">
        <f t="shared" si="115"/>
        <v>2</v>
      </c>
      <c r="BI206"/>
      <c r="BJ206"/>
      <c r="BL206"/>
    </row>
    <row r="207" spans="1:65" ht="11.25" customHeight="1">
      <c r="A207" s="26" t="s">
        <v>1072</v>
      </c>
      <c r="B207" s="27" t="s">
        <v>1073</v>
      </c>
      <c r="D207" s="28">
        <f t="shared" si="95"/>
        <v>0</v>
      </c>
      <c r="E207" s="22" t="s">
        <v>1018</v>
      </c>
      <c r="F207" s="22" t="s">
        <v>1074</v>
      </c>
      <c r="G207" s="22" t="s">
        <v>1075</v>
      </c>
      <c r="H207" s="22" t="s">
        <v>1076</v>
      </c>
      <c r="I207" s="23" t="s">
        <v>1077</v>
      </c>
      <c r="J207" s="22" t="s">
        <v>50</v>
      </c>
      <c r="K207" s="23">
        <v>90</v>
      </c>
      <c r="L207" s="23">
        <v>60</v>
      </c>
      <c r="M207" s="23">
        <v>210</v>
      </c>
      <c r="N207" s="3">
        <f t="shared" si="106"/>
        <v>1.1339999999999999</v>
      </c>
      <c r="O207" s="4" t="e">
        <f>(C207-(C207*#REF!))-((C207-(C207*#REF!))*#REF!)</f>
        <v>#REF!</v>
      </c>
      <c r="P207" s="7">
        <v>8541969.4378902335</v>
      </c>
      <c r="Q207" s="7">
        <v>0</v>
      </c>
      <c r="R207" s="5">
        <f t="shared" si="107"/>
        <v>8541969.4378902335</v>
      </c>
      <c r="S207" s="4">
        <f t="shared" si="108"/>
        <v>569.4646291926822</v>
      </c>
      <c r="T207" s="13">
        <f t="shared" si="97"/>
        <v>0</v>
      </c>
      <c r="U207" s="13">
        <f t="shared" si="109"/>
        <v>0</v>
      </c>
      <c r="V207" s="14" t="e">
        <f>U207/C207</f>
        <v>#DIV/0!</v>
      </c>
      <c r="W207" s="18">
        <f>S207*3</f>
        <v>1708.3938875780466</v>
      </c>
      <c r="X207" s="19">
        <f t="shared" si="110"/>
        <v>1708.3938875780466</v>
      </c>
      <c r="Y207" s="19">
        <f t="shared" si="111"/>
        <v>3416.7877751560932</v>
      </c>
      <c r="Z207" s="15">
        <v>3</v>
      </c>
      <c r="AA207" s="22" t="s">
        <v>1078</v>
      </c>
      <c r="AG207" s="94" t="s">
        <v>52</v>
      </c>
      <c r="AH207" s="89" t="str">
        <f>VLOOKUP(AG207,Sheet1!$B$3:$D$36,2,FALSE)</f>
        <v>Furniture</v>
      </c>
      <c r="AI207" s="89" t="s">
        <v>1027</v>
      </c>
      <c r="AJ207" s="1" t="str">
        <f t="shared" si="98"/>
        <v>Conara Cabinets3</v>
      </c>
      <c r="AK207" s="1" t="str">
        <f t="shared" si="99"/>
        <v>w90 x d60 x h210</v>
      </c>
      <c r="AL207" s="1" t="str">
        <f t="shared" si="100"/>
        <v>oak chainsawcut fumé indoor</v>
      </c>
      <c r="AM207" s="1" t="str">
        <f t="shared" si="101"/>
        <v>oak chainsawcut fumé indoor</v>
      </c>
      <c r="AN207" s="1" t="str">
        <f t="shared" si="112"/>
        <v xml:space="preserve">oak chainsawcut fumé </v>
      </c>
      <c r="AO207" s="1" t="s">
        <v>54</v>
      </c>
      <c r="AQ207" s="1" t="str">
        <f t="shared" si="102"/>
        <v>A</v>
      </c>
      <c r="AR207" s="1" t="str">
        <f>VLOOKUP(TRIM(AI207),Sheet1!$D$3:$E$36,2,FALSE)</f>
        <v>07</v>
      </c>
      <c r="AS207" s="90" t="str">
        <f t="shared" si="103"/>
        <v>01</v>
      </c>
      <c r="AT207" s="1" t="str">
        <f t="shared" si="104"/>
        <v>01</v>
      </c>
      <c r="AU207" s="90" t="s">
        <v>990</v>
      </c>
      <c r="AV207" s="90"/>
      <c r="AW207" s="90"/>
      <c r="AX207" s="95" t="str">
        <f>AQ207&amp;AR207&amp;AS207&amp;"-"&amp;AT207&amp;AU207&amp;BA207</f>
        <v>A0701-0111IND</v>
      </c>
      <c r="AY207" s="99" t="str">
        <f>AQ207&amp;AR207&amp;AS207&amp;"-"&amp;AT207&amp;BA207</f>
        <v>A0701-01IND</v>
      </c>
      <c r="AZ207" s="90"/>
      <c r="BA207" s="1" t="str">
        <f t="shared" si="105"/>
        <v>IND</v>
      </c>
      <c r="BC207" s="1">
        <f t="shared" si="84"/>
        <v>1</v>
      </c>
      <c r="BD207" s="90">
        <f t="shared" si="85"/>
        <v>1</v>
      </c>
      <c r="BE207" s="1">
        <f t="shared" si="114"/>
        <v>1</v>
      </c>
      <c r="BF207" s="1">
        <f t="shared" si="115"/>
        <v>1</v>
      </c>
      <c r="BI207"/>
      <c r="BJ207"/>
      <c r="BL207"/>
    </row>
    <row r="208" spans="1:65" ht="11.25" customHeight="1">
      <c r="A208" s="26" t="s">
        <v>1079</v>
      </c>
      <c r="B208" s="27" t="s">
        <v>1080</v>
      </c>
      <c r="C208" s="28">
        <v>3199.99</v>
      </c>
      <c r="D208" s="28">
        <f t="shared" si="95"/>
        <v>1599.9949999999999</v>
      </c>
      <c r="E208" s="22" t="s">
        <v>1018</v>
      </c>
      <c r="F208" s="22" t="s">
        <v>1074</v>
      </c>
      <c r="G208" s="22" t="s">
        <v>1081</v>
      </c>
      <c r="H208" s="22" t="s">
        <v>1082</v>
      </c>
      <c r="I208" s="23" t="s">
        <v>1083</v>
      </c>
      <c r="J208" s="22" t="s">
        <v>50</v>
      </c>
      <c r="K208" s="23">
        <v>100</v>
      </c>
      <c r="L208" s="23">
        <v>50</v>
      </c>
      <c r="M208" s="23">
        <v>210</v>
      </c>
      <c r="N208" s="3">
        <f t="shared" si="106"/>
        <v>1.05</v>
      </c>
      <c r="O208" s="4" t="e">
        <f>(C208-(C208*#REF!))-((C208-(C208*#REF!))*#REF!)</f>
        <v>#REF!</v>
      </c>
      <c r="P208" s="7"/>
      <c r="Q208" s="7"/>
      <c r="R208" s="5">
        <f t="shared" si="107"/>
        <v>0</v>
      </c>
      <c r="S208" s="4">
        <f t="shared" si="108"/>
        <v>0</v>
      </c>
      <c r="T208" s="13">
        <f t="shared" si="97"/>
        <v>2239.9929999999999</v>
      </c>
      <c r="U208" s="13">
        <f t="shared" si="109"/>
        <v>1119.9965</v>
      </c>
      <c r="V208" s="14">
        <f>U208/C208</f>
        <v>0.35000000000000003</v>
      </c>
      <c r="W208" s="14"/>
      <c r="X208" s="19">
        <f t="shared" si="110"/>
        <v>1119.9965</v>
      </c>
      <c r="Y208" s="19">
        <f t="shared" si="111"/>
        <v>2239.9929999999999</v>
      </c>
      <c r="Z208" s="15" t="e">
        <f t="shared" ref="Z208:Z216" si="116">U208/S208</f>
        <v>#DIV/0!</v>
      </c>
      <c r="AA208" s="22" t="s">
        <v>1084</v>
      </c>
      <c r="AG208" s="94" t="s">
        <v>52</v>
      </c>
      <c r="AH208" s="89" t="str">
        <f>VLOOKUP(AG208,Sheet1!$B$3:$D$36,2,FALSE)</f>
        <v>Furniture</v>
      </c>
      <c r="AI208" s="89" t="s">
        <v>1027</v>
      </c>
      <c r="AJ208" s="1" t="str">
        <f t="shared" si="98"/>
        <v>Conara Cabinets4</v>
      </c>
      <c r="AK208" s="1" t="str">
        <f t="shared" si="99"/>
        <v>w100 x d50 x h210</v>
      </c>
      <c r="AL208" s="1" t="str">
        <f t="shared" si="100"/>
        <v>oak patroné fumé indoor</v>
      </c>
      <c r="AM208" s="1" t="str">
        <f t="shared" si="101"/>
        <v>oak patroné fumé indoor</v>
      </c>
      <c r="AN208" s="1" t="str">
        <f t="shared" si="112"/>
        <v xml:space="preserve">oak patroné fumé </v>
      </c>
      <c r="AO208" s="1" t="s">
        <v>54</v>
      </c>
      <c r="AQ208" s="1" t="str">
        <f t="shared" si="102"/>
        <v>A</v>
      </c>
      <c r="AR208" s="1" t="str">
        <f>VLOOKUP(TRIM(AI208),Sheet1!$D$3:$E$36,2,FALSE)</f>
        <v>07</v>
      </c>
      <c r="AS208" s="90" t="str">
        <f t="shared" si="103"/>
        <v>01</v>
      </c>
      <c r="AT208" s="1" t="str">
        <f t="shared" si="104"/>
        <v>01</v>
      </c>
      <c r="AU208" s="90" t="s">
        <v>990</v>
      </c>
      <c r="AV208" s="90"/>
      <c r="AW208" s="90"/>
      <c r="AX208" s="95" t="str">
        <f>AQ208&amp;AR208&amp;AS208&amp;"-"&amp;AT208&amp;AU208&amp;BA208</f>
        <v>A0701-0111IND</v>
      </c>
      <c r="AY208" s="99" t="str">
        <f>AQ208&amp;AR208&amp;AS208&amp;"-"&amp;AT208&amp;BA208</f>
        <v>A0701-01IND</v>
      </c>
      <c r="AZ208" s="90"/>
      <c r="BA208" s="1" t="str">
        <f t="shared" si="105"/>
        <v>IND</v>
      </c>
      <c r="BC208" s="1">
        <f t="shared" si="84"/>
        <v>1</v>
      </c>
      <c r="BD208" s="90">
        <f t="shared" si="85"/>
        <v>1</v>
      </c>
      <c r="BE208" s="1">
        <f t="shared" si="114"/>
        <v>1</v>
      </c>
      <c r="BF208" s="1">
        <f t="shared" si="115"/>
        <v>1</v>
      </c>
      <c r="BI208"/>
      <c r="BJ208"/>
      <c r="BL208"/>
    </row>
    <row r="209" spans="1:64" ht="11.25" customHeight="1">
      <c r="A209" s="26" t="s">
        <v>1085</v>
      </c>
      <c r="B209" s="27" t="s">
        <v>1086</v>
      </c>
      <c r="D209" s="28">
        <f t="shared" si="95"/>
        <v>0</v>
      </c>
      <c r="E209" s="22" t="s">
        <v>1018</v>
      </c>
      <c r="F209" s="22" t="s">
        <v>1087</v>
      </c>
      <c r="G209" s="22" t="s">
        <v>1088</v>
      </c>
      <c r="H209" s="22" t="s">
        <v>1058</v>
      </c>
      <c r="I209" s="23" t="s">
        <v>1089</v>
      </c>
      <c r="J209" s="22" t="s">
        <v>50</v>
      </c>
      <c r="K209" s="23">
        <v>210</v>
      </c>
      <c r="L209" s="23">
        <v>40</v>
      </c>
      <c r="M209" s="23">
        <v>93</v>
      </c>
      <c r="N209" s="3">
        <f t="shared" si="106"/>
        <v>0.78120000000000001</v>
      </c>
      <c r="O209" s="4" t="e">
        <f>(C209-(C209*#REF!))-((C209-(C209*#REF!))*#REF!)</f>
        <v>#REF!</v>
      </c>
      <c r="P209" s="7"/>
      <c r="Q209" s="7"/>
      <c r="R209" s="5">
        <f t="shared" si="107"/>
        <v>0</v>
      </c>
      <c r="S209" s="4">
        <f t="shared" si="108"/>
        <v>0</v>
      </c>
      <c r="T209" s="13">
        <f t="shared" si="97"/>
        <v>0</v>
      </c>
      <c r="U209" s="13">
        <f t="shared" si="109"/>
        <v>0</v>
      </c>
      <c r="V209" s="14" t="e">
        <f>U209/C209</f>
        <v>#DIV/0!</v>
      </c>
      <c r="W209" s="14"/>
      <c r="X209" s="19">
        <f t="shared" si="110"/>
        <v>0</v>
      </c>
      <c r="Y209" s="19">
        <f t="shared" si="111"/>
        <v>0</v>
      </c>
      <c r="Z209" s="15" t="e">
        <f t="shared" si="116"/>
        <v>#DIV/0!</v>
      </c>
      <c r="AA209" s="22" t="s">
        <v>1090</v>
      </c>
      <c r="AG209" s="94" t="s">
        <v>52</v>
      </c>
      <c r="AH209" s="89" t="str">
        <f>VLOOKUP(AG209,Sheet1!$B$3:$D$36,2,FALSE)</f>
        <v>Furniture</v>
      </c>
      <c r="AI209" s="89" t="s">
        <v>1027</v>
      </c>
      <c r="AJ209" s="1" t="str">
        <f t="shared" si="98"/>
        <v>Conara Cabinets5</v>
      </c>
      <c r="AK209" s="1" t="str">
        <f t="shared" si="99"/>
        <v>w210 x d40 x h93</v>
      </c>
      <c r="AL209" s="1" t="str">
        <f t="shared" si="100"/>
        <v>oak sculpted indoor</v>
      </c>
      <c r="AM209" s="1" t="str">
        <f t="shared" si="101"/>
        <v>oak sculpted indoor</v>
      </c>
      <c r="AN209" s="1" t="str">
        <f t="shared" si="112"/>
        <v xml:space="preserve">oak sculpted </v>
      </c>
      <c r="AO209" s="1" t="s">
        <v>54</v>
      </c>
      <c r="AQ209" s="1" t="str">
        <f t="shared" si="102"/>
        <v>A</v>
      </c>
      <c r="AR209" s="1" t="str">
        <f>VLOOKUP(TRIM(AI209),Sheet1!$D$3:$E$36,2,FALSE)</f>
        <v>07</v>
      </c>
      <c r="AS209" s="90" t="str">
        <f t="shared" si="103"/>
        <v>01</v>
      </c>
      <c r="AT209" s="1" t="str">
        <f t="shared" si="104"/>
        <v>01</v>
      </c>
      <c r="AU209" s="90" t="s">
        <v>990</v>
      </c>
      <c r="AV209" s="90"/>
      <c r="AW209" s="90"/>
      <c r="AX209" s="95" t="str">
        <f>AQ209&amp;AR209&amp;AS209&amp;"-"&amp;AT209&amp;AU209&amp;BA209</f>
        <v>A0701-0111IND</v>
      </c>
      <c r="AY209" s="99" t="str">
        <f>AQ209&amp;AR209&amp;AS209&amp;"-"&amp;AT209&amp;BA209</f>
        <v>A0701-01IND</v>
      </c>
      <c r="AZ209" s="90"/>
      <c r="BA209" s="1" t="str">
        <f t="shared" si="105"/>
        <v>IND</v>
      </c>
      <c r="BC209" s="1">
        <f t="shared" si="84"/>
        <v>1</v>
      </c>
      <c r="BD209" s="90">
        <f t="shared" si="85"/>
        <v>1</v>
      </c>
      <c r="BE209" s="1">
        <f t="shared" si="114"/>
        <v>1</v>
      </c>
      <c r="BF209" s="1">
        <f t="shared" si="115"/>
        <v>1</v>
      </c>
      <c r="BI209"/>
      <c r="BJ209"/>
      <c r="BL209"/>
    </row>
    <row r="210" spans="1:64" ht="11.25" customHeight="1">
      <c r="A210" s="26" t="s">
        <v>1091</v>
      </c>
      <c r="B210" s="27" t="s">
        <v>1092</v>
      </c>
      <c r="D210" s="28">
        <f t="shared" si="95"/>
        <v>0</v>
      </c>
      <c r="E210" s="22" t="s">
        <v>1018</v>
      </c>
      <c r="F210" s="22" t="s">
        <v>1093</v>
      </c>
      <c r="G210" s="22" t="s">
        <v>1094</v>
      </c>
      <c r="H210" s="22" t="s">
        <v>1095</v>
      </c>
      <c r="I210" s="23" t="s">
        <v>1089</v>
      </c>
      <c r="J210" s="22" t="s">
        <v>50</v>
      </c>
      <c r="K210" s="23">
        <v>210</v>
      </c>
      <c r="L210" s="23">
        <v>40</v>
      </c>
      <c r="M210" s="23">
        <v>210</v>
      </c>
      <c r="N210" s="3">
        <f t="shared" si="106"/>
        <v>1.764</v>
      </c>
      <c r="O210" s="4" t="e">
        <f>(C210-(C210*#REF!))-((C210-(C210*#REF!))*#REF!)</f>
        <v>#REF!</v>
      </c>
      <c r="P210" s="7"/>
      <c r="Q210" s="7"/>
      <c r="R210" s="5">
        <f t="shared" si="107"/>
        <v>0</v>
      </c>
      <c r="S210" s="4">
        <f t="shared" si="108"/>
        <v>0</v>
      </c>
      <c r="T210" s="13">
        <f t="shared" si="97"/>
        <v>0</v>
      </c>
      <c r="U210" s="13">
        <f t="shared" si="109"/>
        <v>0</v>
      </c>
      <c r="V210" s="14" t="e">
        <f>U210/C210</f>
        <v>#DIV/0!</v>
      </c>
      <c r="W210" s="14"/>
      <c r="X210" s="19">
        <f t="shared" si="110"/>
        <v>0</v>
      </c>
      <c r="Y210" s="19">
        <f t="shared" si="111"/>
        <v>0</v>
      </c>
      <c r="Z210" s="15" t="e">
        <f t="shared" si="116"/>
        <v>#DIV/0!</v>
      </c>
      <c r="AA210" s="22" t="s">
        <v>1096</v>
      </c>
      <c r="AG210" s="94" t="s">
        <v>52</v>
      </c>
      <c r="AH210" s="89" t="str">
        <f>VLOOKUP(AG210,Sheet1!$B$3:$D$36,2,FALSE)</f>
        <v>Furniture</v>
      </c>
      <c r="AI210" s="89" t="s">
        <v>1027</v>
      </c>
      <c r="AJ210" s="1" t="str">
        <f t="shared" si="98"/>
        <v>Conara Cabinets6</v>
      </c>
      <c r="AK210" s="1" t="str">
        <f t="shared" si="99"/>
        <v>w210 x d40 x h210</v>
      </c>
      <c r="AL210" s="1" t="str">
        <f t="shared" si="100"/>
        <v>oak sculpted indoor</v>
      </c>
      <c r="AM210" s="1" t="str">
        <f t="shared" si="101"/>
        <v>oak sculpted indoor</v>
      </c>
      <c r="AN210" s="1" t="str">
        <f t="shared" si="112"/>
        <v xml:space="preserve">oak sculpted </v>
      </c>
      <c r="AO210" s="1" t="s">
        <v>54</v>
      </c>
      <c r="AQ210" s="1" t="str">
        <f t="shared" si="102"/>
        <v>A</v>
      </c>
      <c r="AR210" s="1" t="str">
        <f>VLOOKUP(TRIM(AI210),Sheet1!$D$3:$E$36,2,FALSE)</f>
        <v>07</v>
      </c>
      <c r="AS210" s="90" t="str">
        <f t="shared" si="103"/>
        <v>01</v>
      </c>
      <c r="AT210" s="1" t="str">
        <f t="shared" si="104"/>
        <v>01</v>
      </c>
      <c r="AU210" s="90" t="s">
        <v>990</v>
      </c>
      <c r="AV210" s="90"/>
      <c r="AW210" s="90"/>
      <c r="AX210" s="95" t="str">
        <f>AQ210&amp;AR210&amp;AS210&amp;"-"&amp;AT210&amp;AU210&amp;BA210</f>
        <v>A0701-0111IND</v>
      </c>
      <c r="AY210" s="99" t="str">
        <f>AQ210&amp;AR210&amp;AS210&amp;"-"&amp;AT210&amp;BA210</f>
        <v>A0701-01IND</v>
      </c>
      <c r="AZ210" s="90"/>
      <c r="BA210" s="1" t="str">
        <f t="shared" si="105"/>
        <v>IND</v>
      </c>
      <c r="BC210" s="1">
        <f t="shared" si="84"/>
        <v>1</v>
      </c>
      <c r="BD210" s="90">
        <f t="shared" si="85"/>
        <v>1</v>
      </c>
      <c r="BE210" s="1">
        <f t="shared" si="114"/>
        <v>1</v>
      </c>
      <c r="BF210" s="1">
        <f t="shared" si="115"/>
        <v>1</v>
      </c>
      <c r="BI210"/>
      <c r="BJ210"/>
      <c r="BL210"/>
    </row>
    <row r="211" spans="1:64" ht="11.25" customHeight="1">
      <c r="A211" s="26" t="s">
        <v>1097</v>
      </c>
      <c r="B211" s="27" t="s">
        <v>1098</v>
      </c>
      <c r="C211" s="28">
        <v>2099.9899999999998</v>
      </c>
      <c r="D211" s="28">
        <f t="shared" si="95"/>
        <v>1049.9949999999999</v>
      </c>
      <c r="E211" s="22" t="s">
        <v>1018</v>
      </c>
      <c r="F211" s="22" t="s">
        <v>1099</v>
      </c>
      <c r="G211" s="22" t="s">
        <v>434</v>
      </c>
      <c r="H211" s="22" t="s">
        <v>1100</v>
      </c>
      <c r="I211" s="23" t="s">
        <v>1101</v>
      </c>
      <c r="J211" s="22" t="s">
        <v>50</v>
      </c>
      <c r="K211" s="23">
        <v>60</v>
      </c>
      <c r="L211" s="23">
        <v>50</v>
      </c>
      <c r="M211" s="23">
        <v>220</v>
      </c>
      <c r="N211" s="3">
        <f t="shared" si="106"/>
        <v>0.66</v>
      </c>
      <c r="O211" s="4" t="e">
        <f>(C211-(C211*#REF!))-((C211-(C211*#REF!))*#REF!)</f>
        <v>#REF!</v>
      </c>
      <c r="P211" s="7"/>
      <c r="Q211" s="7"/>
      <c r="R211" s="5">
        <f t="shared" si="107"/>
        <v>0</v>
      </c>
      <c r="S211" s="4">
        <f t="shared" si="108"/>
        <v>0</v>
      </c>
      <c r="T211" s="13">
        <f t="shared" si="97"/>
        <v>1469.9929999999999</v>
      </c>
      <c r="U211" s="13">
        <f t="shared" si="109"/>
        <v>734.99649999999997</v>
      </c>
      <c r="V211" s="14">
        <f>U211/C211</f>
        <v>0.35000000000000003</v>
      </c>
      <c r="W211" s="14"/>
      <c r="X211" s="19">
        <f t="shared" si="110"/>
        <v>734.99649999999997</v>
      </c>
      <c r="Y211" s="19">
        <f t="shared" si="111"/>
        <v>1469.9929999999999</v>
      </c>
      <c r="Z211" s="15" t="e">
        <f t="shared" si="116"/>
        <v>#DIV/0!</v>
      </c>
      <c r="AA211" s="22" t="s">
        <v>1102</v>
      </c>
      <c r="AG211" s="94" t="s">
        <v>52</v>
      </c>
      <c r="AH211" s="89" t="str">
        <f>VLOOKUP(AG211,Sheet1!$B$3:$D$36,2,FALSE)</f>
        <v>Furniture</v>
      </c>
      <c r="AI211" s="89" t="s">
        <v>1027</v>
      </c>
      <c r="AJ211" s="1" t="str">
        <f t="shared" si="98"/>
        <v>Kidagil Cabinets</v>
      </c>
      <c r="AK211" s="1" t="str">
        <f t="shared" si="99"/>
        <v>w60 x d50 x h220</v>
      </c>
      <c r="AL211" s="1" t="str">
        <f t="shared" si="100"/>
        <v>natural teak indoor</v>
      </c>
      <c r="AM211" s="1" t="str">
        <f t="shared" si="101"/>
        <v>natural teak indoor</v>
      </c>
      <c r="AN211" s="1" t="str">
        <f t="shared" si="112"/>
        <v xml:space="preserve">natural teak </v>
      </c>
      <c r="AO211" s="1" t="s">
        <v>54</v>
      </c>
      <c r="AQ211" s="1" t="str">
        <f t="shared" si="102"/>
        <v>A</v>
      </c>
      <c r="AR211" s="1" t="str">
        <f>VLOOKUP(TRIM(AI211),Sheet1!$D$3:$E$36,2,FALSE)</f>
        <v>07</v>
      </c>
      <c r="AS211" s="90" t="str">
        <f t="shared" si="103"/>
        <v>01</v>
      </c>
      <c r="AT211" s="1" t="str">
        <f t="shared" si="104"/>
        <v>01</v>
      </c>
      <c r="AU211" s="90" t="s">
        <v>55</v>
      </c>
      <c r="AV211" s="90"/>
      <c r="AW211" s="90"/>
      <c r="AX211" s="95" t="str">
        <f>AQ211&amp;AR211&amp;AS211&amp;"-"&amp;AT211&amp;AU211&amp;BA211</f>
        <v>A0701-0110IND</v>
      </c>
      <c r="AY211" s="99" t="str">
        <f>AQ211&amp;AR211&amp;AS211&amp;"-"&amp;AT211&amp;BA211</f>
        <v>A0701-01IND</v>
      </c>
      <c r="AZ211" s="90"/>
      <c r="BA211" s="1" t="str">
        <f t="shared" si="105"/>
        <v>IND</v>
      </c>
      <c r="BC211" s="1">
        <f t="shared" si="84"/>
        <v>1</v>
      </c>
      <c r="BD211" s="90">
        <f t="shared" si="85"/>
        <v>1</v>
      </c>
      <c r="BE211" s="1">
        <f t="shared" si="114"/>
        <v>1</v>
      </c>
      <c r="BF211" s="1">
        <f t="shared" si="115"/>
        <v>1</v>
      </c>
      <c r="BI211"/>
      <c r="BJ211"/>
      <c r="BL211"/>
    </row>
    <row r="212" spans="1:64" ht="11.25" customHeight="1">
      <c r="A212" s="26" t="s">
        <v>1103</v>
      </c>
      <c r="B212" s="27" t="s">
        <v>1098</v>
      </c>
      <c r="C212" s="28">
        <v>3479.99</v>
      </c>
      <c r="D212" s="28">
        <f t="shared" si="95"/>
        <v>1739.9949999999999</v>
      </c>
      <c r="E212" s="22" t="s">
        <v>1018</v>
      </c>
      <c r="F212" s="22" t="s">
        <v>1104</v>
      </c>
      <c r="G212" s="22" t="s">
        <v>434</v>
      </c>
      <c r="H212" s="22" t="s">
        <v>1105</v>
      </c>
      <c r="I212" s="23" t="s">
        <v>1101</v>
      </c>
      <c r="J212" s="22" t="s">
        <v>50</v>
      </c>
      <c r="K212" s="23">
        <v>240</v>
      </c>
      <c r="L212" s="23">
        <v>50</v>
      </c>
      <c r="M212" s="23">
        <v>160</v>
      </c>
      <c r="N212" s="3">
        <f t="shared" si="106"/>
        <v>1.92</v>
      </c>
      <c r="O212" s="4" t="e">
        <f>(C212-(C212*#REF!))-((C212-(C212*#REF!))*#REF!)</f>
        <v>#REF!</v>
      </c>
      <c r="P212" s="7"/>
      <c r="Q212" s="7"/>
      <c r="R212" s="5">
        <f t="shared" si="107"/>
        <v>0</v>
      </c>
      <c r="S212" s="4">
        <f t="shared" si="108"/>
        <v>0</v>
      </c>
      <c r="T212" s="13">
        <f t="shared" si="97"/>
        <v>2435.9929999999999</v>
      </c>
      <c r="U212" s="13">
        <f t="shared" si="109"/>
        <v>1217.9965</v>
      </c>
      <c r="V212" s="14">
        <f>U212/C212</f>
        <v>0.35000000000000003</v>
      </c>
      <c r="W212" s="14"/>
      <c r="X212" s="19">
        <f t="shared" si="110"/>
        <v>1217.9965</v>
      </c>
      <c r="Y212" s="19">
        <f t="shared" si="111"/>
        <v>2435.9929999999999</v>
      </c>
      <c r="Z212" s="15" t="e">
        <f t="shared" si="116"/>
        <v>#DIV/0!</v>
      </c>
      <c r="AA212" s="22" t="s">
        <v>1106</v>
      </c>
      <c r="AG212" s="94" t="s">
        <v>52</v>
      </c>
      <c r="AH212" s="89" t="str">
        <f>VLOOKUP(AG212,Sheet1!$B$3:$D$36,2,FALSE)</f>
        <v>Furniture</v>
      </c>
      <c r="AI212" s="89" t="s">
        <v>1027</v>
      </c>
      <c r="AJ212" s="1" t="str">
        <f t="shared" si="98"/>
        <v>Kidagil Cabinets</v>
      </c>
      <c r="AK212" s="1" t="str">
        <f t="shared" si="99"/>
        <v>w240 x d50 x h160</v>
      </c>
      <c r="AL212" s="1" t="str">
        <f t="shared" si="100"/>
        <v>natural teak indoor</v>
      </c>
      <c r="AM212" s="1" t="str">
        <f t="shared" si="101"/>
        <v>natural teak indoor</v>
      </c>
      <c r="AN212" s="1" t="str">
        <f t="shared" si="112"/>
        <v xml:space="preserve">natural teak </v>
      </c>
      <c r="AO212" s="1" t="s">
        <v>54</v>
      </c>
      <c r="AQ212" s="1" t="str">
        <f t="shared" si="102"/>
        <v>A</v>
      </c>
      <c r="AR212" s="1" t="str">
        <f>VLOOKUP(TRIM(AI212),Sheet1!$D$3:$E$36,2,FALSE)</f>
        <v>07</v>
      </c>
      <c r="AS212" s="90" t="str">
        <f t="shared" si="103"/>
        <v>02</v>
      </c>
      <c r="AT212" s="1" t="str">
        <f t="shared" si="104"/>
        <v>01</v>
      </c>
      <c r="AU212" s="90" t="s">
        <v>55</v>
      </c>
      <c r="AV212" s="90"/>
      <c r="AW212" s="90"/>
      <c r="AX212" s="95" t="str">
        <f>AQ212&amp;AR212&amp;AS212&amp;"-"&amp;AT212&amp;AU212&amp;BA212</f>
        <v>A0702-0110IND</v>
      </c>
      <c r="AY212" s="99" t="str">
        <f>AQ212&amp;AR212&amp;AS212&amp;"-"&amp;AT212&amp;BA212</f>
        <v>A0702-01IND</v>
      </c>
      <c r="AZ212" s="90"/>
      <c r="BA212" s="1" t="str">
        <f t="shared" si="105"/>
        <v>IND</v>
      </c>
      <c r="BC212" s="1" t="str">
        <f t="shared" si="84"/>
        <v/>
      </c>
      <c r="BD212" s="90">
        <f t="shared" si="85"/>
        <v>2</v>
      </c>
      <c r="BE212" s="1">
        <f t="shared" si="114"/>
        <v>1</v>
      </c>
      <c r="BF212" s="1">
        <f t="shared" si="115"/>
        <v>1</v>
      </c>
      <c r="BI212"/>
      <c r="BJ212"/>
      <c r="BL212"/>
    </row>
    <row r="213" spans="1:64" ht="11.25" customHeight="1">
      <c r="A213" s="26" t="s">
        <v>1107</v>
      </c>
      <c r="B213" s="27" t="s">
        <v>1108</v>
      </c>
      <c r="C213" s="28">
        <v>2519.9899999999998</v>
      </c>
      <c r="D213" s="28">
        <f t="shared" si="95"/>
        <v>1259.9949999999999</v>
      </c>
      <c r="E213" s="22" t="s">
        <v>1018</v>
      </c>
      <c r="F213" s="22" t="s">
        <v>1109</v>
      </c>
      <c r="G213" s="22" t="s">
        <v>928</v>
      </c>
      <c r="H213" s="22" t="s">
        <v>1100</v>
      </c>
      <c r="I213" s="23" t="s">
        <v>1101</v>
      </c>
      <c r="J213" s="22" t="s">
        <v>50</v>
      </c>
      <c r="K213" s="23">
        <v>60</v>
      </c>
      <c r="L213" s="23">
        <v>50</v>
      </c>
      <c r="M213" s="23">
        <v>220</v>
      </c>
      <c r="N213" s="3">
        <f t="shared" si="106"/>
        <v>0.66</v>
      </c>
      <c r="O213" s="4" t="e">
        <f>(C213-(C213*#REF!))-((C213-(C213*#REF!))*#REF!)</f>
        <v>#REF!</v>
      </c>
      <c r="P213" s="7"/>
      <c r="Q213" s="7"/>
      <c r="R213" s="5">
        <f t="shared" si="107"/>
        <v>0</v>
      </c>
      <c r="S213" s="4">
        <f t="shared" si="108"/>
        <v>0</v>
      </c>
      <c r="T213" s="13">
        <f t="shared" si="97"/>
        <v>1763.9929999999999</v>
      </c>
      <c r="U213" s="13">
        <f t="shared" si="109"/>
        <v>881.99649999999997</v>
      </c>
      <c r="V213" s="14">
        <f>U213/C213</f>
        <v>0.35000000000000003</v>
      </c>
      <c r="W213" s="14"/>
      <c r="X213" s="19">
        <f t="shared" si="110"/>
        <v>881.99649999999997</v>
      </c>
      <c r="Y213" s="19">
        <f t="shared" si="111"/>
        <v>1763.9929999999999</v>
      </c>
      <c r="Z213" s="15" t="e">
        <f t="shared" si="116"/>
        <v>#DIV/0!</v>
      </c>
      <c r="AA213" s="22" t="s">
        <v>1110</v>
      </c>
      <c r="AG213" s="94" t="s">
        <v>52</v>
      </c>
      <c r="AH213" s="89" t="str">
        <f>VLOOKUP(AG213,Sheet1!$B$3:$D$36,2,FALSE)</f>
        <v>Furniture</v>
      </c>
      <c r="AI213" s="89" t="s">
        <v>1027</v>
      </c>
      <c r="AJ213" s="1" t="str">
        <f t="shared" si="98"/>
        <v>Xlendi Cabinets</v>
      </c>
      <c r="AK213" s="1" t="str">
        <f t="shared" si="99"/>
        <v>w60 x d50 x h220</v>
      </c>
      <c r="AL213" s="1" t="str">
        <f t="shared" si="100"/>
        <v>natural teak indoor</v>
      </c>
      <c r="AM213" s="1" t="str">
        <f t="shared" si="101"/>
        <v>natural teak indoor</v>
      </c>
      <c r="AN213" s="1" t="str">
        <f t="shared" si="112"/>
        <v xml:space="preserve">natural teak </v>
      </c>
      <c r="AO213" s="1" t="s">
        <v>54</v>
      </c>
      <c r="AQ213" s="1" t="str">
        <f t="shared" si="102"/>
        <v>A</v>
      </c>
      <c r="AR213" s="1" t="str">
        <f>VLOOKUP(TRIM(AI213),Sheet1!$D$3:$E$36,2,FALSE)</f>
        <v>07</v>
      </c>
      <c r="AS213" s="90" t="str">
        <f t="shared" si="103"/>
        <v>01</v>
      </c>
      <c r="AT213" s="1" t="str">
        <f t="shared" si="104"/>
        <v>01</v>
      </c>
      <c r="AU213" s="90" t="s">
        <v>55</v>
      </c>
      <c r="AV213" s="90"/>
      <c r="AW213" s="90"/>
      <c r="AX213" s="95" t="str">
        <f>AQ213&amp;AR213&amp;AS213&amp;"-"&amp;AT213&amp;AU213&amp;BA213</f>
        <v>A0701-0110IND</v>
      </c>
      <c r="AY213" s="99" t="str">
        <f>AQ213&amp;AR213&amp;AS213&amp;"-"&amp;AT213&amp;BA213</f>
        <v>A0701-01IND</v>
      </c>
      <c r="AZ213" s="90"/>
      <c r="BA213" s="1" t="str">
        <f t="shared" si="105"/>
        <v>IND</v>
      </c>
      <c r="BC213" s="1">
        <f t="shared" si="84"/>
        <v>1</v>
      </c>
      <c r="BD213" s="90">
        <f t="shared" si="85"/>
        <v>1</v>
      </c>
      <c r="BE213" s="1">
        <f t="shared" si="114"/>
        <v>1</v>
      </c>
      <c r="BF213" s="1">
        <f t="shared" si="115"/>
        <v>1</v>
      </c>
      <c r="BI213"/>
      <c r="BJ213"/>
      <c r="BL213"/>
    </row>
    <row r="214" spans="1:64" ht="11.25" customHeight="1">
      <c r="A214" s="26" t="s">
        <v>1111</v>
      </c>
      <c r="B214" s="27" t="s">
        <v>1108</v>
      </c>
      <c r="C214" s="28">
        <v>3479.99</v>
      </c>
      <c r="D214" s="28">
        <f t="shared" si="95"/>
        <v>1739.9949999999999</v>
      </c>
      <c r="E214" s="22" t="s">
        <v>1018</v>
      </c>
      <c r="F214" s="22" t="s">
        <v>1112</v>
      </c>
      <c r="G214" s="22" t="s">
        <v>928</v>
      </c>
      <c r="H214" s="22" t="s">
        <v>1113</v>
      </c>
      <c r="I214" s="23" t="s">
        <v>1101</v>
      </c>
      <c r="J214" s="22" t="s">
        <v>50</v>
      </c>
      <c r="K214" s="23">
        <v>240</v>
      </c>
      <c r="L214" s="23">
        <v>50</v>
      </c>
      <c r="M214" s="23">
        <v>160</v>
      </c>
      <c r="N214" s="3">
        <f t="shared" si="106"/>
        <v>1.92</v>
      </c>
      <c r="O214" s="4" t="e">
        <f>(C214-(C214*#REF!))-((C214-(C214*#REF!))*#REF!)</f>
        <v>#REF!</v>
      </c>
      <c r="P214" s="7"/>
      <c r="Q214" s="7"/>
      <c r="R214" s="5">
        <f t="shared" si="107"/>
        <v>0</v>
      </c>
      <c r="S214" s="4">
        <f t="shared" si="108"/>
        <v>0</v>
      </c>
      <c r="T214" s="13">
        <f t="shared" si="97"/>
        <v>2435.9929999999999</v>
      </c>
      <c r="U214" s="13">
        <f t="shared" si="109"/>
        <v>1217.9965</v>
      </c>
      <c r="V214" s="14">
        <f>U214/C214</f>
        <v>0.35000000000000003</v>
      </c>
      <c r="W214" s="14"/>
      <c r="X214" s="19">
        <f t="shared" si="110"/>
        <v>1217.9965</v>
      </c>
      <c r="Y214" s="19">
        <f t="shared" si="111"/>
        <v>2435.9929999999999</v>
      </c>
      <c r="Z214" s="15" t="e">
        <f t="shared" si="116"/>
        <v>#DIV/0!</v>
      </c>
      <c r="AA214" s="22" t="s">
        <v>1114</v>
      </c>
      <c r="AG214" s="94" t="s">
        <v>52</v>
      </c>
      <c r="AH214" s="89" t="str">
        <f>VLOOKUP(AG214,Sheet1!$B$3:$D$36,2,FALSE)</f>
        <v>Furniture</v>
      </c>
      <c r="AI214" s="89" t="s">
        <v>1027</v>
      </c>
      <c r="AJ214" s="1" t="str">
        <f t="shared" si="98"/>
        <v>Xlendi Cabinets</v>
      </c>
      <c r="AK214" s="1" t="str">
        <f t="shared" si="99"/>
        <v>w240 x d50 x h160</v>
      </c>
      <c r="AL214" s="1" t="str">
        <f t="shared" si="100"/>
        <v>natural teak indoor</v>
      </c>
      <c r="AM214" s="1" t="str">
        <f t="shared" si="101"/>
        <v>natural teak indoor</v>
      </c>
      <c r="AN214" s="1" t="str">
        <f t="shared" si="112"/>
        <v xml:space="preserve">natural teak </v>
      </c>
      <c r="AO214" s="1" t="s">
        <v>54</v>
      </c>
      <c r="AQ214" s="1" t="str">
        <f t="shared" si="102"/>
        <v>A</v>
      </c>
      <c r="AR214" s="1" t="str">
        <f>VLOOKUP(TRIM(AI214),Sheet1!$D$3:$E$36,2,FALSE)</f>
        <v>07</v>
      </c>
      <c r="AS214" s="90" t="str">
        <f t="shared" si="103"/>
        <v>02</v>
      </c>
      <c r="AT214" s="1" t="str">
        <f t="shared" si="104"/>
        <v>01</v>
      </c>
      <c r="AU214" s="90" t="s">
        <v>55</v>
      </c>
      <c r="AV214" s="90"/>
      <c r="AW214" s="90"/>
      <c r="AX214" s="95" t="str">
        <f>AQ214&amp;AR214&amp;AS214&amp;"-"&amp;AT214&amp;AU214&amp;BA214</f>
        <v>A0702-0110IND</v>
      </c>
      <c r="AY214" s="99" t="str">
        <f>AQ214&amp;AR214&amp;AS214&amp;"-"&amp;AT214&amp;BA214</f>
        <v>A0702-01IND</v>
      </c>
      <c r="AZ214" s="90"/>
      <c r="BA214" s="1" t="str">
        <f t="shared" si="105"/>
        <v>IND</v>
      </c>
      <c r="BC214" s="1" t="str">
        <f t="shared" si="84"/>
        <v/>
      </c>
      <c r="BD214" s="90">
        <f t="shared" si="85"/>
        <v>2</v>
      </c>
      <c r="BE214" s="1">
        <f t="shared" si="114"/>
        <v>1</v>
      </c>
      <c r="BF214" s="1">
        <f t="shared" si="115"/>
        <v>1</v>
      </c>
      <c r="BI214"/>
      <c r="BJ214"/>
      <c r="BL214"/>
    </row>
    <row r="215" spans="1:64" ht="11.25" customHeight="1">
      <c r="A215" s="26" t="s">
        <v>1115</v>
      </c>
      <c r="B215" s="27" t="s">
        <v>1116</v>
      </c>
      <c r="C215" s="28">
        <v>1824.99</v>
      </c>
      <c r="D215" s="28">
        <f t="shared" si="95"/>
        <v>912.495</v>
      </c>
      <c r="E215" s="22" t="s">
        <v>1018</v>
      </c>
      <c r="F215" s="22" t="s">
        <v>1117</v>
      </c>
      <c r="G215" s="22" t="s">
        <v>649</v>
      </c>
      <c r="H215" s="22" t="s">
        <v>1118</v>
      </c>
      <c r="I215" s="23" t="s">
        <v>1119</v>
      </c>
      <c r="J215" s="22" t="s">
        <v>50</v>
      </c>
      <c r="K215" s="23">
        <v>140</v>
      </c>
      <c r="L215" s="23">
        <v>35</v>
      </c>
      <c r="M215" s="23">
        <v>190</v>
      </c>
      <c r="N215" s="3">
        <f t="shared" si="106"/>
        <v>0.93100000000000005</v>
      </c>
      <c r="O215" s="4" t="e">
        <f>(C215-(C215*#REF!))-((C215-(C215*#REF!))*#REF!)</f>
        <v>#REF!</v>
      </c>
      <c r="P215" s="7"/>
      <c r="Q215" s="7"/>
      <c r="R215" s="5">
        <f t="shared" si="107"/>
        <v>0</v>
      </c>
      <c r="S215" s="4">
        <f t="shared" si="108"/>
        <v>0</v>
      </c>
      <c r="T215" s="13">
        <f t="shared" si="97"/>
        <v>1277.4929999999999</v>
      </c>
      <c r="U215" s="13">
        <f t="shared" si="109"/>
        <v>638.74649999999997</v>
      </c>
      <c r="V215" s="14">
        <f>U215/C215</f>
        <v>0.35</v>
      </c>
      <c r="W215" s="14"/>
      <c r="X215" s="19">
        <f t="shared" si="110"/>
        <v>638.74649999999997</v>
      </c>
      <c r="Y215" s="19">
        <f t="shared" si="111"/>
        <v>1277.4929999999999</v>
      </c>
      <c r="Z215" s="15" t="e">
        <f t="shared" si="116"/>
        <v>#DIV/0!</v>
      </c>
      <c r="AA215" s="22" t="s">
        <v>1120</v>
      </c>
      <c r="AG215" s="94" t="s">
        <v>52</v>
      </c>
      <c r="AH215" s="89" t="str">
        <f>VLOOKUP(AG215,Sheet1!$B$3:$D$36,2,FALSE)</f>
        <v>Furniture</v>
      </c>
      <c r="AI215" s="89" t="s">
        <v>1027</v>
      </c>
      <c r="AJ215" s="1" t="str">
        <f t="shared" si="98"/>
        <v>Ratchaburi Cabinets</v>
      </c>
      <c r="AK215" s="1" t="str">
        <f t="shared" si="99"/>
        <v>w140 x d35 x h190</v>
      </c>
      <c r="AL215" s="1" t="str">
        <f t="shared" si="100"/>
        <v>teak rusic indoor</v>
      </c>
      <c r="AM215" s="1" t="str">
        <f t="shared" si="101"/>
        <v>teak rusic indoor</v>
      </c>
      <c r="AN215" s="1" t="str">
        <f t="shared" si="112"/>
        <v xml:space="preserve">teak rusic </v>
      </c>
      <c r="AO215" s="1" t="s">
        <v>54</v>
      </c>
      <c r="AQ215" s="1" t="str">
        <f t="shared" si="102"/>
        <v>A</v>
      </c>
      <c r="AR215" s="1" t="str">
        <f>VLOOKUP(TRIM(AI215),Sheet1!$D$3:$E$36,2,FALSE)</f>
        <v>07</v>
      </c>
      <c r="AS215" s="90" t="str">
        <f t="shared" si="103"/>
        <v>01</v>
      </c>
      <c r="AT215" s="1" t="str">
        <f t="shared" si="104"/>
        <v>01</v>
      </c>
      <c r="AU215" s="90" t="s">
        <v>714</v>
      </c>
      <c r="AV215" s="90"/>
      <c r="AW215" s="90"/>
      <c r="AX215" s="95" t="str">
        <f>AQ215&amp;AR215&amp;AS215&amp;"-"&amp;AT215&amp;AU215&amp;BA215</f>
        <v>A0701-0133IND</v>
      </c>
      <c r="AY215" s="99" t="str">
        <f>AQ215&amp;AR215&amp;AS215&amp;"-"&amp;AT215&amp;BA215</f>
        <v>A0701-01IND</v>
      </c>
      <c r="AZ215" s="90"/>
      <c r="BA215" s="1" t="str">
        <f t="shared" si="105"/>
        <v>IND</v>
      </c>
      <c r="BC215" s="1">
        <f t="shared" si="84"/>
        <v>1</v>
      </c>
      <c r="BD215" s="90">
        <f t="shared" si="85"/>
        <v>1</v>
      </c>
      <c r="BE215" s="1">
        <f t="shared" si="114"/>
        <v>1</v>
      </c>
      <c r="BF215" s="1">
        <f t="shared" si="115"/>
        <v>1</v>
      </c>
      <c r="BI215"/>
      <c r="BJ215"/>
      <c r="BL215"/>
    </row>
    <row r="216" spans="1:64" ht="11.25" customHeight="1">
      <c r="A216" s="26" t="s">
        <v>1121</v>
      </c>
      <c r="B216" s="27" t="s">
        <v>1122</v>
      </c>
      <c r="D216" s="28">
        <f t="shared" si="95"/>
        <v>0</v>
      </c>
      <c r="E216" s="22" t="s">
        <v>1018</v>
      </c>
      <c r="F216" s="22" t="s">
        <v>1123</v>
      </c>
      <c r="G216" s="22" t="s">
        <v>649</v>
      </c>
      <c r="H216" s="22" t="s">
        <v>1124</v>
      </c>
      <c r="I216" s="23" t="s">
        <v>1125</v>
      </c>
      <c r="J216" s="22" t="s">
        <v>50</v>
      </c>
      <c r="K216" s="23">
        <v>70</v>
      </c>
      <c r="L216" s="23">
        <v>25</v>
      </c>
      <c r="M216" s="23">
        <v>150</v>
      </c>
      <c r="N216" s="3">
        <f t="shared" si="106"/>
        <v>0.26250000000000001</v>
      </c>
      <c r="O216" s="4" t="e">
        <f>(C216-(C216*#REF!))-((C216-(C216*#REF!))*#REF!)</f>
        <v>#REF!</v>
      </c>
      <c r="P216" s="7"/>
      <c r="Q216" s="7"/>
      <c r="R216" s="5">
        <f t="shared" si="107"/>
        <v>0</v>
      </c>
      <c r="S216" s="4">
        <f t="shared" si="108"/>
        <v>0</v>
      </c>
      <c r="T216" s="13">
        <f t="shared" si="97"/>
        <v>0</v>
      </c>
      <c r="U216" s="13">
        <f t="shared" si="109"/>
        <v>0</v>
      </c>
      <c r="V216" s="14" t="e">
        <f>U216/C216</f>
        <v>#DIV/0!</v>
      </c>
      <c r="W216" s="14"/>
      <c r="X216" s="19">
        <f t="shared" si="110"/>
        <v>0</v>
      </c>
      <c r="Y216" s="19">
        <f t="shared" si="111"/>
        <v>0</v>
      </c>
      <c r="Z216" s="15" t="e">
        <f t="shared" si="116"/>
        <v>#DIV/0!</v>
      </c>
      <c r="AA216" s="22" t="s">
        <v>1120</v>
      </c>
      <c r="AG216" s="94" t="s">
        <v>52</v>
      </c>
      <c r="AH216" s="89" t="str">
        <f>VLOOKUP(AG216,Sheet1!$B$3:$D$36,2,FALSE)</f>
        <v>Furniture</v>
      </c>
      <c r="AI216" s="89" t="s">
        <v>1027</v>
      </c>
      <c r="AJ216" s="1" t="str">
        <f t="shared" si="98"/>
        <v>Ratchaburi Cabinets</v>
      </c>
      <c r="AK216" s="1" t="str">
        <f t="shared" si="99"/>
        <v>w70 x d25 x h150</v>
      </c>
      <c r="AL216" s="1" t="str">
        <f t="shared" si="100"/>
        <v>rustic rust indoor</v>
      </c>
      <c r="AM216" s="1" t="str">
        <f t="shared" si="101"/>
        <v>rustic rust indoor</v>
      </c>
      <c r="AN216" s="1" t="str">
        <f t="shared" si="112"/>
        <v xml:space="preserve">rustic rust </v>
      </c>
      <c r="AO216" s="1" t="s">
        <v>54</v>
      </c>
      <c r="AQ216" s="1" t="str">
        <f t="shared" si="102"/>
        <v>A</v>
      </c>
      <c r="AR216" s="1" t="str">
        <f>VLOOKUP(TRIM(AI216),Sheet1!$D$3:$E$36,2,FALSE)</f>
        <v>07</v>
      </c>
      <c r="AS216" s="90" t="str">
        <f t="shared" si="103"/>
        <v>02</v>
      </c>
      <c r="AT216" s="1" t="str">
        <f t="shared" si="104"/>
        <v>01</v>
      </c>
      <c r="AU216" s="90" t="s">
        <v>1126</v>
      </c>
      <c r="AV216" s="90"/>
      <c r="AW216" s="90"/>
      <c r="AX216" s="95" t="str">
        <f>AQ216&amp;AR216&amp;AS216&amp;"-"&amp;AT216&amp;AU216&amp;BA216</f>
        <v>A0702-0119IND</v>
      </c>
      <c r="AY216" s="99" t="str">
        <f>AQ216&amp;AR216&amp;AS216&amp;"-"&amp;AT216&amp;BA216</f>
        <v>A0702-01IND</v>
      </c>
      <c r="AZ216" s="90"/>
      <c r="BA216" s="1" t="str">
        <f t="shared" si="105"/>
        <v>IND</v>
      </c>
      <c r="BC216" s="1" t="str">
        <f t="shared" si="84"/>
        <v/>
      </c>
      <c r="BD216" s="90">
        <f t="shared" si="85"/>
        <v>2</v>
      </c>
      <c r="BE216" s="1">
        <f t="shared" si="114"/>
        <v>1</v>
      </c>
      <c r="BF216" s="1">
        <f t="shared" si="115"/>
        <v>1</v>
      </c>
      <c r="BI216"/>
      <c r="BJ216"/>
      <c r="BL216"/>
    </row>
    <row r="217" spans="1:64" ht="11.25" customHeight="1">
      <c r="A217" s="26" t="s">
        <v>1127</v>
      </c>
      <c r="B217" s="27" t="s">
        <v>1122</v>
      </c>
      <c r="C217" s="28">
        <v>1315.99</v>
      </c>
      <c r="D217" s="28">
        <f t="shared" si="95"/>
        <v>657.995</v>
      </c>
      <c r="E217" s="22" t="s">
        <v>1018</v>
      </c>
      <c r="F217" s="22" t="s">
        <v>1128</v>
      </c>
      <c r="G217" s="22" t="s">
        <v>649</v>
      </c>
      <c r="H217" s="22" t="s">
        <v>1129</v>
      </c>
      <c r="I217" s="23" t="s">
        <v>1125</v>
      </c>
      <c r="J217" s="22" t="s">
        <v>50</v>
      </c>
      <c r="K217" s="23">
        <v>130</v>
      </c>
      <c r="L217" s="23">
        <v>3</v>
      </c>
      <c r="M217" s="23">
        <v>240</v>
      </c>
      <c r="N217" s="3">
        <f t="shared" si="106"/>
        <v>9.3600000000000003E-2</v>
      </c>
      <c r="O217" s="4" t="e">
        <f>(C217-(C217*#REF!))-((C217-(C217*#REF!))*#REF!)</f>
        <v>#REF!</v>
      </c>
      <c r="P217" s="7">
        <v>5874567.6659996379</v>
      </c>
      <c r="Q217" s="7">
        <v>0</v>
      </c>
      <c r="R217" s="5">
        <f t="shared" si="107"/>
        <v>5874567.6659996379</v>
      </c>
      <c r="S217" s="4">
        <f t="shared" si="108"/>
        <v>391.63784439997585</v>
      </c>
      <c r="T217" s="13">
        <f t="shared" si="97"/>
        <v>921.19299999999998</v>
      </c>
      <c r="U217" s="13">
        <f t="shared" si="109"/>
        <v>460.59649999999999</v>
      </c>
      <c r="V217" s="14">
        <f>U217/C217</f>
        <v>0.35</v>
      </c>
      <c r="W217" s="18">
        <v>692.75</v>
      </c>
      <c r="X217" s="19">
        <f t="shared" si="110"/>
        <v>692.75</v>
      </c>
      <c r="Y217" s="19">
        <f t="shared" si="111"/>
        <v>1385.5</v>
      </c>
      <c r="Z217" s="15">
        <v>2.5</v>
      </c>
      <c r="AA217" s="22" t="s">
        <v>1130</v>
      </c>
      <c r="AG217" s="94" t="s">
        <v>52</v>
      </c>
      <c r="AH217" s="89" t="str">
        <f>VLOOKUP(AG217,Sheet1!$B$3:$D$36,2,FALSE)</f>
        <v>Furniture</v>
      </c>
      <c r="AI217" s="89" t="s">
        <v>1027</v>
      </c>
      <c r="AJ217" s="1" t="str">
        <f t="shared" si="98"/>
        <v>Ratchaburi Cabinets</v>
      </c>
      <c r="AK217" s="1" t="str">
        <f t="shared" si="99"/>
        <v>w130 x d03 x h240</v>
      </c>
      <c r="AL217" s="1" t="str">
        <f t="shared" si="100"/>
        <v>rustic rust indoor</v>
      </c>
      <c r="AM217" s="1" t="str">
        <f t="shared" si="101"/>
        <v>rustic rust indoor</v>
      </c>
      <c r="AN217" s="1" t="str">
        <f t="shared" si="112"/>
        <v xml:space="preserve">rustic rust </v>
      </c>
      <c r="AO217" s="1" t="s">
        <v>54</v>
      </c>
      <c r="AQ217" s="1" t="str">
        <f t="shared" si="102"/>
        <v>A</v>
      </c>
      <c r="AR217" s="1" t="str">
        <f>VLOOKUP(TRIM(AI217),Sheet1!$D$3:$E$36,2,FALSE)</f>
        <v>07</v>
      </c>
      <c r="AS217" s="90" t="str">
        <f t="shared" si="103"/>
        <v>03</v>
      </c>
      <c r="AT217" s="1" t="str">
        <f t="shared" si="104"/>
        <v>01</v>
      </c>
      <c r="AU217" s="90" t="s">
        <v>1126</v>
      </c>
      <c r="AV217" s="90"/>
      <c r="AW217" s="90"/>
      <c r="AX217" s="95" t="str">
        <f>AQ217&amp;AR217&amp;AS217&amp;"-"&amp;AT217&amp;AU217&amp;BA217</f>
        <v>A0703-0119IND</v>
      </c>
      <c r="AY217" s="99" t="str">
        <f>AQ217&amp;AR217&amp;AS217&amp;"-"&amp;AT217&amp;BA217</f>
        <v>A0703-01IND</v>
      </c>
      <c r="AZ217" s="90"/>
      <c r="BA217" s="1" t="str">
        <f t="shared" si="105"/>
        <v>IND</v>
      </c>
      <c r="BC217" s="1" t="str">
        <f t="shared" si="84"/>
        <v/>
      </c>
      <c r="BD217" s="90">
        <f t="shared" si="85"/>
        <v>3</v>
      </c>
      <c r="BE217" s="1">
        <f t="shared" si="114"/>
        <v>1</v>
      </c>
      <c r="BF217" s="1">
        <f t="shared" si="115"/>
        <v>1</v>
      </c>
      <c r="BI217"/>
      <c r="BJ217"/>
      <c r="BL217"/>
    </row>
    <row r="218" spans="1:64" ht="11.25" customHeight="1">
      <c r="A218" s="26" t="s">
        <v>1131</v>
      </c>
      <c r="B218" s="27" t="s">
        <v>1132</v>
      </c>
      <c r="C218" s="28">
        <v>4359.99</v>
      </c>
      <c r="D218" s="28">
        <f t="shared" si="95"/>
        <v>2179.9949999999999</v>
      </c>
      <c r="E218" s="22" t="s">
        <v>1018</v>
      </c>
      <c r="F218" s="22" t="s">
        <v>1133</v>
      </c>
      <c r="G218" s="22" t="s">
        <v>421</v>
      </c>
      <c r="H218" s="22" t="s">
        <v>1134</v>
      </c>
      <c r="I218" s="23" t="s">
        <v>1101</v>
      </c>
      <c r="J218" s="22" t="s">
        <v>50</v>
      </c>
      <c r="K218" s="23">
        <v>200</v>
      </c>
      <c r="L218" s="23">
        <v>50</v>
      </c>
      <c r="M218" s="23">
        <v>193</v>
      </c>
      <c r="N218" s="3">
        <f t="shared" si="106"/>
        <v>1.93</v>
      </c>
      <c r="O218" s="4" t="e">
        <f>(C218-(C218*#REF!))-((C218-(C218*#REF!))*#REF!)</f>
        <v>#REF!</v>
      </c>
      <c r="P218" s="7">
        <v>12097924.043765992</v>
      </c>
      <c r="Q218" s="7">
        <v>0</v>
      </c>
      <c r="R218" s="5">
        <f t="shared" si="107"/>
        <v>12097924.043765992</v>
      </c>
      <c r="S218" s="4">
        <f t="shared" si="108"/>
        <v>806.52826958439948</v>
      </c>
      <c r="T218" s="13">
        <f t="shared" si="97"/>
        <v>3051.9929999999999</v>
      </c>
      <c r="U218" s="13">
        <f t="shared" si="109"/>
        <v>1525.9965</v>
      </c>
      <c r="V218" s="14">
        <f>U218/C218</f>
        <v>0.35000000000000003</v>
      </c>
      <c r="W218" s="18">
        <f>S218*2.5</f>
        <v>2016.3206739609986</v>
      </c>
      <c r="X218" s="19">
        <f t="shared" si="110"/>
        <v>2016.3206739609986</v>
      </c>
      <c r="Y218" s="19">
        <f t="shared" si="111"/>
        <v>4032.6413479219973</v>
      </c>
      <c r="Z218" s="15">
        <v>2.5</v>
      </c>
      <c r="AA218" s="22" t="s">
        <v>1135</v>
      </c>
      <c r="AG218" s="94" t="s">
        <v>52</v>
      </c>
      <c r="AH218" s="89" t="str">
        <f>VLOOKUP(AG218,Sheet1!$B$3:$D$36,2,FALSE)</f>
        <v>Furniture</v>
      </c>
      <c r="AI218" s="89" t="s">
        <v>1027</v>
      </c>
      <c r="AJ218" s="1" t="str">
        <f t="shared" si="98"/>
        <v>Jatinga Cabinets</v>
      </c>
      <c r="AK218" s="1" t="str">
        <f t="shared" si="99"/>
        <v>w200 x d50 x h193</v>
      </c>
      <c r="AL218" s="1" t="str">
        <f t="shared" si="100"/>
        <v>natural teak indoor</v>
      </c>
      <c r="AM218" s="1" t="str">
        <f t="shared" si="101"/>
        <v>natural teak indoor</v>
      </c>
      <c r="AN218" s="1" t="str">
        <f t="shared" si="112"/>
        <v xml:space="preserve">natural teak </v>
      </c>
      <c r="AO218" s="1" t="s">
        <v>54</v>
      </c>
      <c r="AQ218" s="1" t="str">
        <f t="shared" si="102"/>
        <v>A</v>
      </c>
      <c r="AR218" s="1" t="str">
        <f>VLOOKUP(TRIM(AI218),Sheet1!$D$3:$E$36,2,FALSE)</f>
        <v>07</v>
      </c>
      <c r="AS218" s="90" t="str">
        <f t="shared" si="103"/>
        <v>01</v>
      </c>
      <c r="AT218" s="1" t="str">
        <f t="shared" si="104"/>
        <v>01</v>
      </c>
      <c r="AU218" s="90" t="s">
        <v>55</v>
      </c>
      <c r="AV218" s="90"/>
      <c r="AW218" s="90"/>
      <c r="AX218" s="95" t="str">
        <f>AQ218&amp;AR218&amp;AS218&amp;"-"&amp;AT218&amp;AU218&amp;BA218</f>
        <v>A0701-0110IND</v>
      </c>
      <c r="AY218" s="99" t="str">
        <f>AQ218&amp;AR218&amp;AS218&amp;"-"&amp;AT218&amp;BA218</f>
        <v>A0701-01IND</v>
      </c>
      <c r="AZ218" s="90"/>
      <c r="BA218" s="1" t="str">
        <f t="shared" si="105"/>
        <v>IND</v>
      </c>
      <c r="BC218" s="1">
        <f t="shared" si="84"/>
        <v>1</v>
      </c>
      <c r="BD218" s="90">
        <f t="shared" si="85"/>
        <v>1</v>
      </c>
      <c r="BE218" s="1">
        <f t="shared" si="114"/>
        <v>1</v>
      </c>
      <c r="BF218" s="1">
        <f t="shared" si="115"/>
        <v>1</v>
      </c>
      <c r="BI218"/>
      <c r="BJ218"/>
      <c r="BL218"/>
    </row>
    <row r="219" spans="1:64" ht="11.25" customHeight="1">
      <c r="A219" s="26" t="s">
        <v>1136</v>
      </c>
      <c r="B219" s="27" t="s">
        <v>1132</v>
      </c>
      <c r="D219" s="28">
        <f t="shared" si="95"/>
        <v>0</v>
      </c>
      <c r="E219" s="22" t="s">
        <v>1018</v>
      </c>
      <c r="F219" s="22" t="s">
        <v>1137</v>
      </c>
      <c r="G219" s="22" t="s">
        <v>421</v>
      </c>
      <c r="H219" s="22" t="s">
        <v>1138</v>
      </c>
      <c r="I219" s="23" t="s">
        <v>1101</v>
      </c>
      <c r="J219" s="22" t="s">
        <v>50</v>
      </c>
      <c r="K219" s="23">
        <v>200</v>
      </c>
      <c r="L219" s="23">
        <v>50</v>
      </c>
      <c r="M219" s="23">
        <v>248</v>
      </c>
      <c r="N219" s="3">
        <f t="shared" si="106"/>
        <v>2.48</v>
      </c>
      <c r="O219" s="4" t="e">
        <f>(C219-(C219*#REF!))-((C219-(C219*#REF!))*#REF!)</f>
        <v>#REF!</v>
      </c>
      <c r="P219" s="7"/>
      <c r="Q219" s="7"/>
      <c r="R219" s="5">
        <f t="shared" si="107"/>
        <v>0</v>
      </c>
      <c r="S219" s="4">
        <f t="shared" si="108"/>
        <v>0</v>
      </c>
      <c r="T219" s="13">
        <f t="shared" si="97"/>
        <v>0</v>
      </c>
      <c r="U219" s="13">
        <f t="shared" si="109"/>
        <v>0</v>
      </c>
      <c r="V219" s="14" t="e">
        <f>U219/C219</f>
        <v>#DIV/0!</v>
      </c>
      <c r="W219" s="14"/>
      <c r="X219" s="19">
        <f t="shared" si="110"/>
        <v>0</v>
      </c>
      <c r="Y219" s="19">
        <f t="shared" si="111"/>
        <v>0</v>
      </c>
      <c r="Z219" s="15" t="e">
        <f t="shared" ref="Z219:Z233" si="117">U219/S219</f>
        <v>#DIV/0!</v>
      </c>
      <c r="AA219" s="22" t="s">
        <v>1139</v>
      </c>
      <c r="AG219" s="94" t="s">
        <v>52</v>
      </c>
      <c r="AH219" s="89" t="str">
        <f>VLOOKUP(AG219,Sheet1!$B$3:$D$36,2,FALSE)</f>
        <v>Furniture</v>
      </c>
      <c r="AI219" s="89" t="s">
        <v>1027</v>
      </c>
      <c r="AJ219" s="1" t="str">
        <f t="shared" si="98"/>
        <v>Jatinga Cabinets</v>
      </c>
      <c r="AK219" s="1" t="str">
        <f t="shared" si="99"/>
        <v>w200 x d50 x h248</v>
      </c>
      <c r="AL219" s="1" t="str">
        <f t="shared" si="100"/>
        <v>natural teak indoor</v>
      </c>
      <c r="AM219" s="1" t="str">
        <f t="shared" si="101"/>
        <v>natural teak indoor</v>
      </c>
      <c r="AN219" s="1" t="str">
        <f t="shared" si="112"/>
        <v xml:space="preserve">natural teak </v>
      </c>
      <c r="AO219" s="1" t="s">
        <v>54</v>
      </c>
      <c r="AQ219" s="1" t="str">
        <f t="shared" si="102"/>
        <v>A</v>
      </c>
      <c r="AR219" s="1" t="str">
        <f>VLOOKUP(TRIM(AI219),Sheet1!$D$3:$E$36,2,FALSE)</f>
        <v>07</v>
      </c>
      <c r="AS219" s="90" t="str">
        <f t="shared" si="103"/>
        <v>02</v>
      </c>
      <c r="AT219" s="1" t="str">
        <f t="shared" si="104"/>
        <v>01</v>
      </c>
      <c r="AU219" s="90" t="s">
        <v>55</v>
      </c>
      <c r="AV219" s="90"/>
      <c r="AW219" s="90"/>
      <c r="AX219" s="95" t="str">
        <f>AQ219&amp;AR219&amp;AS219&amp;"-"&amp;AT219&amp;AU219&amp;BA219</f>
        <v>A0702-0110IND</v>
      </c>
      <c r="AY219" s="99" t="str">
        <f>AQ219&amp;AR219&amp;AS219&amp;"-"&amp;AT219&amp;BA219</f>
        <v>A0702-01IND</v>
      </c>
      <c r="AZ219" s="90"/>
      <c r="BA219" s="1" t="str">
        <f t="shared" si="105"/>
        <v>IND</v>
      </c>
      <c r="BC219" s="1" t="str">
        <f t="shared" si="84"/>
        <v/>
      </c>
      <c r="BD219" s="90">
        <f t="shared" si="85"/>
        <v>2</v>
      </c>
      <c r="BE219" s="1">
        <f t="shared" si="114"/>
        <v>1</v>
      </c>
      <c r="BF219" s="1">
        <f t="shared" si="115"/>
        <v>1</v>
      </c>
      <c r="BI219"/>
      <c r="BJ219"/>
      <c r="BL219"/>
    </row>
    <row r="220" spans="1:64" ht="11.25" customHeight="1">
      <c r="A220" s="26" t="s">
        <v>1140</v>
      </c>
      <c r="B220" s="27" t="s">
        <v>1141</v>
      </c>
      <c r="C220" s="28">
        <v>579.99</v>
      </c>
      <c r="D220" s="28">
        <f t="shared" si="95"/>
        <v>289.995</v>
      </c>
      <c r="E220" s="22" t="s">
        <v>1018</v>
      </c>
      <c r="F220" s="22" t="s">
        <v>1142</v>
      </c>
      <c r="G220" s="22" t="s">
        <v>421</v>
      </c>
      <c r="I220" s="23" t="s">
        <v>1101</v>
      </c>
      <c r="J220" s="22" t="s">
        <v>50</v>
      </c>
      <c r="N220" s="3">
        <f t="shared" si="106"/>
        <v>0</v>
      </c>
      <c r="O220" s="4" t="e">
        <f>(C220-(C220*#REF!))-((C220-(C220*#REF!))*#REF!)</f>
        <v>#REF!</v>
      </c>
      <c r="P220" s="7"/>
      <c r="Q220" s="7"/>
      <c r="R220" s="5">
        <f t="shared" si="107"/>
        <v>0</v>
      </c>
      <c r="S220" s="4">
        <f t="shared" si="108"/>
        <v>0</v>
      </c>
      <c r="T220" s="13">
        <f t="shared" si="97"/>
        <v>405.99300000000005</v>
      </c>
      <c r="U220" s="13">
        <f t="shared" si="109"/>
        <v>202.99650000000003</v>
      </c>
      <c r="V220" s="14">
        <f>U220/C220</f>
        <v>0.35000000000000003</v>
      </c>
      <c r="W220" s="14"/>
      <c r="X220" s="19">
        <f t="shared" si="110"/>
        <v>202.99650000000003</v>
      </c>
      <c r="Y220" s="19">
        <f t="shared" si="111"/>
        <v>405.99300000000005</v>
      </c>
      <c r="Z220" s="15" t="e">
        <f t="shared" si="117"/>
        <v>#DIV/0!</v>
      </c>
      <c r="AA220" s="22" t="s">
        <v>1143</v>
      </c>
      <c r="AG220" s="94" t="s">
        <v>52</v>
      </c>
      <c r="AH220" s="89" t="str">
        <f>VLOOKUP(AG220,Sheet1!$B$3:$D$36,2,FALSE)</f>
        <v>Furniture</v>
      </c>
      <c r="AI220" s="89" t="s">
        <v>1027</v>
      </c>
      <c r="AJ220" s="1" t="str">
        <f t="shared" si="98"/>
        <v>Jatinga Cabinets</v>
      </c>
      <c r="AK220" s="1" t="str">
        <f t="shared" si="99"/>
        <v/>
      </c>
      <c r="AL220" s="1" t="str">
        <f t="shared" si="100"/>
        <v>natural teak indoor</v>
      </c>
      <c r="AM220" s="1" t="str">
        <f t="shared" si="101"/>
        <v>natural teak indoor</v>
      </c>
      <c r="AN220" s="1" t="str">
        <f t="shared" si="112"/>
        <v xml:space="preserve">natural teak </v>
      </c>
      <c r="AO220" s="1" t="s">
        <v>54</v>
      </c>
      <c r="AQ220" s="1" t="str">
        <f t="shared" si="102"/>
        <v>A</v>
      </c>
      <c r="AR220" s="1" t="str">
        <f>VLOOKUP(TRIM(AI220),Sheet1!$D$3:$E$36,2,FALSE)</f>
        <v>07</v>
      </c>
      <c r="AS220" s="90" t="str">
        <f t="shared" si="103"/>
        <v>03</v>
      </c>
      <c r="AT220" s="1" t="str">
        <f t="shared" si="104"/>
        <v>01</v>
      </c>
      <c r="AU220" s="90" t="s">
        <v>55</v>
      </c>
      <c r="AV220" s="90"/>
      <c r="AW220" s="90"/>
      <c r="AX220" s="95" t="str">
        <f>AQ220&amp;AR220&amp;AS220&amp;"-"&amp;AT220&amp;AU220&amp;BA220</f>
        <v>A0703-0110IND</v>
      </c>
      <c r="AY220" s="99" t="str">
        <f>AQ220&amp;AR220&amp;AS220&amp;"-"&amp;AT220&amp;BA220</f>
        <v>A0703-01IND</v>
      </c>
      <c r="AZ220" s="90"/>
      <c r="BA220" s="1" t="str">
        <f t="shared" si="105"/>
        <v>IND</v>
      </c>
      <c r="BC220" s="1" t="str">
        <f t="shared" si="84"/>
        <v/>
      </c>
      <c r="BD220" s="90">
        <f t="shared" si="85"/>
        <v>3</v>
      </c>
      <c r="BE220" s="1">
        <f t="shared" si="114"/>
        <v>1</v>
      </c>
      <c r="BF220" s="1">
        <f t="shared" si="115"/>
        <v>1</v>
      </c>
      <c r="BI220"/>
      <c r="BJ220"/>
      <c r="BL220"/>
    </row>
    <row r="221" spans="1:64" ht="11.25" customHeight="1">
      <c r="A221" s="26" t="s">
        <v>1144</v>
      </c>
      <c r="B221" s="27" t="s">
        <v>1145</v>
      </c>
      <c r="D221" s="28">
        <f t="shared" si="95"/>
        <v>0</v>
      </c>
      <c r="E221" s="22" t="s">
        <v>1018</v>
      </c>
      <c r="F221" s="22" t="s">
        <v>1146</v>
      </c>
      <c r="G221" s="22" t="s">
        <v>1147</v>
      </c>
      <c r="H221" s="22" t="s">
        <v>1148</v>
      </c>
      <c r="I221" s="23" t="s">
        <v>1101</v>
      </c>
      <c r="J221" s="22" t="s">
        <v>50</v>
      </c>
      <c r="K221" s="23">
        <v>185</v>
      </c>
      <c r="L221" s="23">
        <v>57</v>
      </c>
      <c r="M221" s="23">
        <v>200</v>
      </c>
      <c r="N221" s="3">
        <f t="shared" si="106"/>
        <v>2.109</v>
      </c>
      <c r="O221" s="4" t="e">
        <f>(C221-(C221*#REF!))-((C221-(C221*#REF!))*#REF!)</f>
        <v>#REF!</v>
      </c>
      <c r="P221" s="7"/>
      <c r="Q221" s="7"/>
      <c r="R221" s="5">
        <f t="shared" si="107"/>
        <v>0</v>
      </c>
      <c r="S221" s="4">
        <f t="shared" si="108"/>
        <v>0</v>
      </c>
      <c r="T221" s="13">
        <f t="shared" si="97"/>
        <v>0</v>
      </c>
      <c r="U221" s="13">
        <f t="shared" si="109"/>
        <v>0</v>
      </c>
      <c r="V221" s="14" t="e">
        <f>U221/C221</f>
        <v>#DIV/0!</v>
      </c>
      <c r="W221" s="14"/>
      <c r="X221" s="19">
        <f t="shared" si="110"/>
        <v>0</v>
      </c>
      <c r="Y221" s="19">
        <f t="shared" si="111"/>
        <v>0</v>
      </c>
      <c r="Z221" s="15" t="e">
        <f t="shared" si="117"/>
        <v>#DIV/0!</v>
      </c>
      <c r="AA221" s="22" t="s">
        <v>1149</v>
      </c>
      <c r="AG221" s="94" t="s">
        <v>52</v>
      </c>
      <c r="AH221" s="89" t="str">
        <f>VLOOKUP(AG221,Sheet1!$B$3:$D$36,2,FALSE)</f>
        <v>Furniture</v>
      </c>
      <c r="AI221" s="89" t="s">
        <v>1027</v>
      </c>
      <c r="AJ221" s="1" t="str">
        <f t="shared" si="98"/>
        <v>Conara Cabinets</v>
      </c>
      <c r="AK221" s="1" t="str">
        <f t="shared" si="99"/>
        <v>w185 x d57 x h200</v>
      </c>
      <c r="AL221" s="1" t="str">
        <f t="shared" si="100"/>
        <v>natural teak indoor</v>
      </c>
      <c r="AM221" s="1" t="str">
        <f t="shared" si="101"/>
        <v>natural teak indoor</v>
      </c>
      <c r="AN221" s="1" t="str">
        <f t="shared" si="112"/>
        <v xml:space="preserve">natural teak </v>
      </c>
      <c r="AO221" s="1" t="s">
        <v>54</v>
      </c>
      <c r="AQ221" s="1" t="str">
        <f t="shared" si="102"/>
        <v>A</v>
      </c>
      <c r="AR221" s="1" t="str">
        <f>VLOOKUP(TRIM(AI221),Sheet1!$D$3:$E$36,2,FALSE)</f>
        <v>07</v>
      </c>
      <c r="AS221" s="90" t="str">
        <f t="shared" si="103"/>
        <v>01</v>
      </c>
      <c r="AT221" s="1" t="str">
        <f t="shared" si="104"/>
        <v>01</v>
      </c>
      <c r="AU221" s="90" t="s">
        <v>55</v>
      </c>
      <c r="AV221" s="90"/>
      <c r="AW221" s="90"/>
      <c r="AX221" s="95" t="str">
        <f>AQ221&amp;AR221&amp;AS221&amp;"-"&amp;AT221&amp;AU221&amp;BA221</f>
        <v>A0701-0110IND</v>
      </c>
      <c r="AY221" s="99" t="str">
        <f>AQ221&amp;AR221&amp;AS221&amp;"-"&amp;AT221&amp;BA221</f>
        <v>A0701-01IND</v>
      </c>
      <c r="AZ221" s="90"/>
      <c r="BA221" s="1" t="str">
        <f t="shared" si="105"/>
        <v>IND</v>
      </c>
      <c r="BC221" s="1">
        <f t="shared" si="84"/>
        <v>1</v>
      </c>
      <c r="BD221" s="90">
        <f t="shared" si="85"/>
        <v>1</v>
      </c>
      <c r="BE221" s="1">
        <f t="shared" si="114"/>
        <v>1</v>
      </c>
      <c r="BF221" s="1">
        <f t="shared" si="115"/>
        <v>1</v>
      </c>
      <c r="BI221"/>
      <c r="BJ221"/>
      <c r="BL221"/>
    </row>
    <row r="222" spans="1:64" ht="11.25" customHeight="1">
      <c r="A222" s="26" t="s">
        <v>1150</v>
      </c>
      <c r="B222" s="27" t="s">
        <v>1151</v>
      </c>
      <c r="C222" s="28">
        <v>5519.99</v>
      </c>
      <c r="D222" s="28">
        <f t="shared" si="95"/>
        <v>2759.9949999999999</v>
      </c>
      <c r="E222" s="22" t="s">
        <v>1018</v>
      </c>
      <c r="F222" s="22" t="s">
        <v>1152</v>
      </c>
      <c r="G222" s="22" t="s">
        <v>1153</v>
      </c>
      <c r="H222" s="22" t="s">
        <v>1154</v>
      </c>
      <c r="I222" s="23" t="s">
        <v>846</v>
      </c>
      <c r="J222" s="22" t="s">
        <v>50</v>
      </c>
      <c r="K222" s="23">
        <v>190</v>
      </c>
      <c r="L222" s="23">
        <v>50</v>
      </c>
      <c r="M222" s="23">
        <v>260</v>
      </c>
      <c r="N222" s="3">
        <f t="shared" si="106"/>
        <v>2.4700000000000002</v>
      </c>
      <c r="O222" s="4" t="e">
        <f>(C222-(C222*#REF!))-((C222-(C222*#REF!))*#REF!)</f>
        <v>#REF!</v>
      </c>
      <c r="P222" s="7"/>
      <c r="Q222" s="7"/>
      <c r="R222" s="5">
        <f t="shared" si="107"/>
        <v>0</v>
      </c>
      <c r="S222" s="4">
        <f t="shared" si="108"/>
        <v>0</v>
      </c>
      <c r="T222" s="13">
        <f t="shared" si="97"/>
        <v>3863.9929999999999</v>
      </c>
      <c r="U222" s="13">
        <f t="shared" si="109"/>
        <v>1931.9965</v>
      </c>
      <c r="V222" s="14">
        <f>U222/C222</f>
        <v>0.35000000000000003</v>
      </c>
      <c r="W222" s="14"/>
      <c r="X222" s="19">
        <f t="shared" si="110"/>
        <v>1931.9965</v>
      </c>
      <c r="Y222" s="19">
        <f t="shared" si="111"/>
        <v>3863.9929999999999</v>
      </c>
      <c r="Z222" s="15" t="e">
        <f t="shared" si="117"/>
        <v>#DIV/0!</v>
      </c>
      <c r="AA222" s="22" t="s">
        <v>1155</v>
      </c>
      <c r="AG222" s="94" t="s">
        <v>52</v>
      </c>
      <c r="AH222" s="89" t="str">
        <f>VLOOKUP(AG222,Sheet1!$B$3:$D$36,2,FALSE)</f>
        <v>Furniture</v>
      </c>
      <c r="AI222" s="89" t="s">
        <v>1027</v>
      </c>
      <c r="AJ222" s="1" t="str">
        <f t="shared" si="98"/>
        <v>pingeyri Cabinets</v>
      </c>
      <c r="AK222" s="1" t="str">
        <f t="shared" si="99"/>
        <v>w190 x d50 x h260</v>
      </c>
      <c r="AL222" s="1" t="str">
        <f t="shared" si="100"/>
        <v>bare indoor</v>
      </c>
      <c r="AM222" s="1" t="str">
        <f t="shared" si="101"/>
        <v>bare indoor</v>
      </c>
      <c r="AN222" s="1" t="str">
        <f t="shared" si="112"/>
        <v xml:space="preserve">bare </v>
      </c>
      <c r="AO222" s="1" t="s">
        <v>54</v>
      </c>
      <c r="AQ222" s="1" t="str">
        <f t="shared" si="102"/>
        <v>A</v>
      </c>
      <c r="AR222" s="1" t="str">
        <f>VLOOKUP(TRIM(AI222),Sheet1!$D$3:$E$36,2,FALSE)</f>
        <v>07</v>
      </c>
      <c r="AS222" s="90" t="str">
        <f t="shared" si="103"/>
        <v>01</v>
      </c>
      <c r="AT222" s="1" t="str">
        <f t="shared" si="104"/>
        <v>01</v>
      </c>
      <c r="AU222" s="90" t="s">
        <v>817</v>
      </c>
      <c r="AV222" s="90"/>
      <c r="AW222" s="90"/>
      <c r="AX222" s="95" t="str">
        <f>AQ222&amp;AR222&amp;AS222&amp;"-"&amp;AT222&amp;AU222&amp;BA222</f>
        <v>A0701-0103IND</v>
      </c>
      <c r="AY222" s="99" t="str">
        <f>AQ222&amp;AR222&amp;AS222&amp;"-"&amp;AT222&amp;BA222</f>
        <v>A0701-01IND</v>
      </c>
      <c r="AZ222" s="90"/>
      <c r="BA222" s="1" t="str">
        <f t="shared" si="105"/>
        <v>IND</v>
      </c>
      <c r="BC222" s="1">
        <f t="shared" si="84"/>
        <v>1</v>
      </c>
      <c r="BD222" s="90">
        <f t="shared" si="85"/>
        <v>1</v>
      </c>
      <c r="BE222" s="1">
        <f t="shared" si="114"/>
        <v>1</v>
      </c>
      <c r="BF222" s="1">
        <f t="shared" si="115"/>
        <v>1</v>
      </c>
      <c r="BI222"/>
      <c r="BJ222"/>
      <c r="BL222"/>
    </row>
    <row r="223" spans="1:64" ht="11.25" customHeight="1">
      <c r="A223" s="26" t="s">
        <v>1156</v>
      </c>
      <c r="B223" s="27" t="s">
        <v>1157</v>
      </c>
      <c r="C223" s="28">
        <v>3269.99</v>
      </c>
      <c r="D223" s="28">
        <f t="shared" si="95"/>
        <v>1634.9949999999999</v>
      </c>
      <c r="E223" s="22" t="s">
        <v>1018</v>
      </c>
      <c r="F223" s="22" t="s">
        <v>1158</v>
      </c>
      <c r="G223" s="22" t="s">
        <v>1159</v>
      </c>
      <c r="H223" s="22" t="s">
        <v>1160</v>
      </c>
      <c r="I223" s="23" t="s">
        <v>846</v>
      </c>
      <c r="J223" s="22" t="s">
        <v>50</v>
      </c>
      <c r="K223" s="23">
        <v>110</v>
      </c>
      <c r="L223" s="23">
        <v>45</v>
      </c>
      <c r="M223" s="23">
        <v>200</v>
      </c>
      <c r="N223" s="3">
        <f t="shared" si="106"/>
        <v>0.99</v>
      </c>
      <c r="O223" s="4" t="e">
        <f>(C223-(C223*#REF!))-((C223-(C223*#REF!))*#REF!)</f>
        <v>#REF!</v>
      </c>
      <c r="P223" s="7"/>
      <c r="Q223" s="7"/>
      <c r="R223" s="5">
        <f t="shared" si="107"/>
        <v>0</v>
      </c>
      <c r="S223" s="4">
        <f t="shared" si="108"/>
        <v>0</v>
      </c>
      <c r="T223" s="13">
        <f t="shared" si="97"/>
        <v>2288.9929999999999</v>
      </c>
      <c r="U223" s="13">
        <f t="shared" si="109"/>
        <v>1144.4965</v>
      </c>
      <c r="V223" s="14">
        <f>U223/C223</f>
        <v>0.35000000000000003</v>
      </c>
      <c r="W223" s="14"/>
      <c r="X223" s="19">
        <f t="shared" si="110"/>
        <v>1144.4965</v>
      </c>
      <c r="Y223" s="19">
        <f t="shared" si="111"/>
        <v>2288.9929999999999</v>
      </c>
      <c r="Z223" s="15" t="e">
        <f t="shared" si="117"/>
        <v>#DIV/0!</v>
      </c>
      <c r="AA223" s="22" t="s">
        <v>1161</v>
      </c>
      <c r="AG223" s="94" t="s">
        <v>52</v>
      </c>
      <c r="AH223" s="89" t="str">
        <f>VLOOKUP(AG223,Sheet1!$B$3:$D$36,2,FALSE)</f>
        <v>Furniture</v>
      </c>
      <c r="AI223" s="89" t="s">
        <v>1027</v>
      </c>
      <c r="AJ223" s="1" t="str">
        <f t="shared" si="98"/>
        <v>Narsarsuaq Cabinets</v>
      </c>
      <c r="AK223" s="1" t="str">
        <f t="shared" si="99"/>
        <v>w110 x d45 x h200</v>
      </c>
      <c r="AL223" s="1" t="str">
        <f t="shared" si="100"/>
        <v>bare indoor</v>
      </c>
      <c r="AM223" s="1" t="str">
        <f t="shared" si="101"/>
        <v>bare indoor</v>
      </c>
      <c r="AN223" s="1" t="str">
        <f t="shared" si="112"/>
        <v xml:space="preserve">bare </v>
      </c>
      <c r="AO223" s="1" t="s">
        <v>54</v>
      </c>
      <c r="AQ223" s="1" t="str">
        <f t="shared" si="102"/>
        <v>A</v>
      </c>
      <c r="AR223" s="1" t="str">
        <f>VLOOKUP(TRIM(AI223),Sheet1!$D$3:$E$36,2,FALSE)</f>
        <v>07</v>
      </c>
      <c r="AS223" s="90" t="str">
        <f t="shared" si="103"/>
        <v>01</v>
      </c>
      <c r="AT223" s="1" t="str">
        <f t="shared" si="104"/>
        <v>01</v>
      </c>
      <c r="AU223" s="90" t="s">
        <v>817</v>
      </c>
      <c r="AV223" s="90"/>
      <c r="AW223" s="90"/>
      <c r="AX223" s="95" t="str">
        <f>AQ223&amp;AR223&amp;AS223&amp;"-"&amp;AT223&amp;AU223&amp;BA223</f>
        <v>A0701-0103IND</v>
      </c>
      <c r="AY223" s="99" t="str">
        <f>AQ223&amp;AR223&amp;AS223&amp;"-"&amp;AT223&amp;BA223</f>
        <v>A0701-01IND</v>
      </c>
      <c r="AZ223" s="90"/>
      <c r="BA223" s="1" t="str">
        <f t="shared" si="105"/>
        <v>IND</v>
      </c>
      <c r="BC223" s="1">
        <f t="shared" si="84"/>
        <v>1</v>
      </c>
      <c r="BD223" s="90">
        <f t="shared" si="85"/>
        <v>1</v>
      </c>
      <c r="BE223" s="1">
        <f t="shared" si="114"/>
        <v>1</v>
      </c>
      <c r="BF223" s="1">
        <f t="shared" si="115"/>
        <v>1</v>
      </c>
      <c r="BI223"/>
      <c r="BJ223"/>
      <c r="BL223"/>
    </row>
    <row r="224" spans="1:64" ht="11.25" customHeight="1">
      <c r="A224" s="26" t="s">
        <v>1162</v>
      </c>
      <c r="B224" s="27" t="s">
        <v>1163</v>
      </c>
      <c r="D224" s="28">
        <f t="shared" si="95"/>
        <v>0</v>
      </c>
      <c r="E224" s="22" t="s">
        <v>1018</v>
      </c>
      <c r="F224" s="22" t="s">
        <v>1164</v>
      </c>
      <c r="G224" s="22" t="s">
        <v>1165</v>
      </c>
      <c r="H224" s="22" t="s">
        <v>1166</v>
      </c>
      <c r="I224" s="23" t="s">
        <v>1167</v>
      </c>
      <c r="J224" s="22" t="s">
        <v>50</v>
      </c>
      <c r="K224" s="23">
        <v>260</v>
      </c>
      <c r="L224" s="23">
        <v>45</v>
      </c>
      <c r="M224" s="23">
        <v>100</v>
      </c>
      <c r="N224" s="3">
        <f t="shared" si="106"/>
        <v>1.17</v>
      </c>
      <c r="O224" s="4" t="e">
        <f>(C224-(C224*#REF!))-((C224-(C224*#REF!))*#REF!)</f>
        <v>#REF!</v>
      </c>
      <c r="P224" s="7"/>
      <c r="Q224" s="7"/>
      <c r="R224" s="5">
        <f t="shared" si="107"/>
        <v>0</v>
      </c>
      <c r="S224" s="4">
        <f t="shared" si="108"/>
        <v>0</v>
      </c>
      <c r="T224" s="13">
        <f t="shared" si="97"/>
        <v>0</v>
      </c>
      <c r="U224" s="13">
        <f t="shared" si="109"/>
        <v>0</v>
      </c>
      <c r="V224" s="14" t="e">
        <f>U224/C224</f>
        <v>#DIV/0!</v>
      </c>
      <c r="W224" s="14"/>
      <c r="X224" s="19">
        <f t="shared" si="110"/>
        <v>0</v>
      </c>
      <c r="Y224" s="19">
        <f t="shared" si="111"/>
        <v>0</v>
      </c>
      <c r="Z224" s="15" t="e">
        <f t="shared" si="117"/>
        <v>#DIV/0!</v>
      </c>
      <c r="AA224" s="22" t="s">
        <v>1168</v>
      </c>
      <c r="AG224" s="94" t="s">
        <v>52</v>
      </c>
      <c r="AH224" s="89" t="str">
        <f>VLOOKUP(AG224,Sheet1!$B$3:$D$36,2,FALSE)</f>
        <v>Furniture</v>
      </c>
      <c r="AI224" s="89" t="s">
        <v>1027</v>
      </c>
      <c r="AJ224" s="1" t="str">
        <f t="shared" si="98"/>
        <v>Ubombo Cabinets</v>
      </c>
      <c r="AK224" s="1" t="str">
        <f t="shared" si="99"/>
        <v>w260 x d45 x h100</v>
      </c>
      <c r="AL224" s="1" t="str">
        <f t="shared" si="100"/>
        <v>aged oak indoor</v>
      </c>
      <c r="AM224" s="1" t="str">
        <f t="shared" si="101"/>
        <v>aged oak indoor</v>
      </c>
      <c r="AN224" s="1" t="str">
        <f t="shared" si="112"/>
        <v xml:space="preserve">aged oak </v>
      </c>
      <c r="AO224" s="1" t="s">
        <v>54</v>
      </c>
      <c r="AQ224" s="1" t="str">
        <f t="shared" si="102"/>
        <v>A</v>
      </c>
      <c r="AR224" s="1" t="str">
        <f>VLOOKUP(TRIM(AI224),Sheet1!$D$3:$E$36,2,FALSE)</f>
        <v>07</v>
      </c>
      <c r="AS224" s="90" t="str">
        <f t="shared" si="103"/>
        <v>01</v>
      </c>
      <c r="AT224" s="1" t="str">
        <f t="shared" si="104"/>
        <v>01</v>
      </c>
      <c r="AU224" s="90" t="s">
        <v>1169</v>
      </c>
      <c r="AV224" s="90"/>
      <c r="AW224" s="90"/>
      <c r="AX224" s="95" t="str">
        <f>AQ224&amp;AR224&amp;AS224&amp;"-"&amp;AT224&amp;AU224&amp;BA224</f>
        <v>A0701-0102IND</v>
      </c>
      <c r="AY224" s="99" t="str">
        <f>AQ224&amp;AR224&amp;AS224&amp;"-"&amp;AT224&amp;BA224</f>
        <v>A0701-01IND</v>
      </c>
      <c r="AZ224" s="90"/>
      <c r="BA224" s="1" t="str">
        <f t="shared" si="105"/>
        <v>IND</v>
      </c>
      <c r="BC224" s="1">
        <f t="shared" si="84"/>
        <v>1</v>
      </c>
      <c r="BD224" s="90">
        <f t="shared" si="85"/>
        <v>1</v>
      </c>
      <c r="BE224" s="1">
        <f t="shared" si="114"/>
        <v>1</v>
      </c>
      <c r="BF224" s="1">
        <f t="shared" si="115"/>
        <v>1</v>
      </c>
      <c r="BI224"/>
      <c r="BJ224"/>
      <c r="BL224"/>
    </row>
    <row r="225" spans="1:64" s="63" customFormat="1" ht="15.75">
      <c r="A225" s="65" t="s">
        <v>1170</v>
      </c>
      <c r="B225" s="66"/>
      <c r="C225" s="67"/>
      <c r="D225" s="75"/>
      <c r="E225" s="68"/>
      <c r="F225" s="69"/>
      <c r="G225" s="68"/>
      <c r="H225" s="68"/>
      <c r="I225" s="65"/>
      <c r="J225" s="68"/>
      <c r="K225" s="65"/>
      <c r="L225" s="65"/>
      <c r="M225" s="65"/>
      <c r="N225" s="68"/>
      <c r="O225" s="68"/>
      <c r="P225" s="76"/>
      <c r="Q225" s="76"/>
      <c r="R225" s="77"/>
      <c r="S225" s="68"/>
      <c r="T225" s="78"/>
      <c r="U225" s="78"/>
      <c r="V225" s="75"/>
      <c r="W225" s="75"/>
      <c r="X225" s="75"/>
      <c r="Y225" s="75"/>
      <c r="Z225" s="79"/>
      <c r="AA225" s="68"/>
      <c r="AB225" s="66"/>
      <c r="AC225" s="66"/>
      <c r="AD225" s="66"/>
      <c r="AE225" s="66"/>
      <c r="AF225" s="66"/>
      <c r="AG225" s="93"/>
      <c r="AH225" s="89"/>
      <c r="AI225" s="89"/>
      <c r="AJ225" s="1"/>
      <c r="AK225" s="1"/>
      <c r="AL225" s="1"/>
      <c r="AM225" s="1"/>
      <c r="AQ225" s="1"/>
      <c r="AR225" s="1"/>
      <c r="AS225" s="90"/>
      <c r="AT225" s="1"/>
      <c r="AU225" s="90"/>
      <c r="AV225" s="90"/>
      <c r="AW225" s="90"/>
      <c r="AX225" s="95"/>
      <c r="AY225" s="99" t="str">
        <f>AQ225&amp;AR225&amp;AS225&amp;"-"&amp;AT225&amp;BA225</f>
        <v>-</v>
      </c>
      <c r="AZ225" s="90"/>
      <c r="BA225" s="1"/>
      <c r="BC225" s="1"/>
      <c r="BD225" s="90"/>
      <c r="BE225" s="1"/>
      <c r="BF225" s="1"/>
      <c r="BI225"/>
      <c r="BJ225"/>
      <c r="BK225" s="1"/>
      <c r="BL225"/>
    </row>
    <row r="226" spans="1:64" ht="11.25" customHeight="1">
      <c r="A226" s="26" t="s">
        <v>1171</v>
      </c>
      <c r="B226" s="27" t="s">
        <v>1172</v>
      </c>
      <c r="C226" s="28">
        <v>1021.98</v>
      </c>
      <c r="D226" s="28">
        <f t="shared" si="95"/>
        <v>510.99</v>
      </c>
      <c r="E226" s="22" t="s">
        <v>1170</v>
      </c>
      <c r="F226" s="22" t="s">
        <v>1173</v>
      </c>
      <c r="G226" s="22" t="s">
        <v>1174</v>
      </c>
      <c r="H226" s="22" t="s">
        <v>1175</v>
      </c>
      <c r="I226" s="23" t="s">
        <v>49</v>
      </c>
      <c r="J226" s="22" t="s">
        <v>1176</v>
      </c>
      <c r="K226" s="23">
        <v>40</v>
      </c>
      <c r="L226" s="23">
        <v>57</v>
      </c>
      <c r="M226" s="23">
        <v>83</v>
      </c>
      <c r="N226" s="3">
        <f t="shared" si="106"/>
        <v>0.18923999999999999</v>
      </c>
      <c r="O226" s="4" t="e">
        <f>(C226-(C226*#REF!))-((C226-(C226*#REF!))*#REF!)</f>
        <v>#REF!</v>
      </c>
      <c r="P226" s="7">
        <f>1889684.36908597-Q226</f>
        <v>869684.3690859701</v>
      </c>
      <c r="Q226" s="7">
        <v>1020000</v>
      </c>
      <c r="R226" s="5">
        <f t="shared" ref="R226:R251" si="118">P226+Q226</f>
        <v>1889684.3690859701</v>
      </c>
      <c r="S226" s="4">
        <f t="shared" ref="S226:S251" si="119">R226/15000</f>
        <v>125.97895793906467</v>
      </c>
      <c r="T226" s="13">
        <f t="shared" si="97"/>
        <v>715.38599999999997</v>
      </c>
      <c r="U226" s="13">
        <f t="shared" si="109"/>
        <v>357.69299999999998</v>
      </c>
      <c r="V226" s="14">
        <f>U226/C226</f>
        <v>0.35</v>
      </c>
      <c r="W226" s="14"/>
      <c r="X226" s="19">
        <f t="shared" ref="X226:X251" si="120">IF(ISBLANK(W226),U226, W226)</f>
        <v>357.69299999999998</v>
      </c>
      <c r="Y226" s="19">
        <f t="shared" ref="Y226:Y251" si="121">X226*2</f>
        <v>715.38599999999997</v>
      </c>
      <c r="Z226" s="15">
        <f t="shared" si="117"/>
        <v>2.8393074990588043</v>
      </c>
      <c r="AA226" s="22" t="s">
        <v>1177</v>
      </c>
      <c r="AG226" s="94" t="s">
        <v>52</v>
      </c>
      <c r="AH226" s="89" t="str">
        <f>VLOOKUP(AG226,Sheet1!$B$3:$D$36,2,FALSE)</f>
        <v>Furniture</v>
      </c>
      <c r="AI226" s="89" t="s">
        <v>1178</v>
      </c>
      <c r="AJ226" s="1" t="str">
        <f t="shared" si="98"/>
        <v>Bexley Chair</v>
      </c>
      <c r="AK226" s="1" t="str">
        <f t="shared" si="99"/>
        <v>w40 x d57 x h83 x sh50</v>
      </c>
      <c r="AL226" s="1" t="str">
        <f t="shared" si="100"/>
        <v>Natural teak indoor</v>
      </c>
      <c r="AM226" s="1" t="str">
        <f t="shared" si="101"/>
        <v>Natural teak indoor</v>
      </c>
      <c r="AN226" s="1" t="str">
        <f>SUBSTITUTE(AL226,"indoor","")</f>
        <v xml:space="preserve">Natural teak </v>
      </c>
      <c r="AO226" s="1" t="s">
        <v>54</v>
      </c>
      <c r="AQ226" s="1" t="str">
        <f t="shared" si="102"/>
        <v>A</v>
      </c>
      <c r="AR226" s="1" t="str">
        <f>VLOOKUP(TRIM(AI226),Sheet1!$D$3:$E$36,2,FALSE)</f>
        <v>08</v>
      </c>
      <c r="AS226" s="90" t="str">
        <f t="shared" si="103"/>
        <v>01</v>
      </c>
      <c r="AT226" s="1" t="str">
        <f t="shared" si="104"/>
        <v>01</v>
      </c>
      <c r="AU226" s="90" t="s">
        <v>55</v>
      </c>
      <c r="AV226" s="90"/>
      <c r="AW226" s="90"/>
      <c r="AX226" s="95" t="str">
        <f>AQ226&amp;AR226&amp;AS226&amp;"-"&amp;AT226&amp;AU226&amp;BA226</f>
        <v>A0801-0110IND</v>
      </c>
      <c r="AY226" s="99" t="str">
        <f>AQ226&amp;AR226&amp;AS226&amp;"-"&amp;AT226&amp;BA226</f>
        <v>A0801-01IND</v>
      </c>
      <c r="AZ226" s="90"/>
      <c r="BA226" s="1" t="str">
        <f t="shared" si="105"/>
        <v>IND</v>
      </c>
      <c r="BC226" s="1">
        <f t="shared" si="84"/>
        <v>1</v>
      </c>
      <c r="BD226" s="90">
        <f t="shared" si="85"/>
        <v>1</v>
      </c>
      <c r="BE226" s="1">
        <f t="shared" si="114"/>
        <v>1</v>
      </c>
      <c r="BF226" s="1">
        <f t="shared" si="115"/>
        <v>1</v>
      </c>
      <c r="BI226"/>
      <c r="BJ226"/>
      <c r="BL226"/>
    </row>
    <row r="227" spans="1:64" ht="11.25" customHeight="1">
      <c r="A227" s="26">
        <v>21912</v>
      </c>
      <c r="B227" s="27" t="s">
        <v>1179</v>
      </c>
      <c r="C227" s="28">
        <v>219.99</v>
      </c>
      <c r="D227" s="28">
        <f t="shared" si="95"/>
        <v>109.995</v>
      </c>
      <c r="E227" s="22" t="s">
        <v>1170</v>
      </c>
      <c r="F227" s="22" t="s">
        <v>1180</v>
      </c>
      <c r="G227" s="22" t="s">
        <v>1181</v>
      </c>
      <c r="H227" s="22" t="s">
        <v>1182</v>
      </c>
      <c r="I227" s="23" t="s">
        <v>1183</v>
      </c>
      <c r="J227" s="22" t="s">
        <v>1176</v>
      </c>
      <c r="K227" s="23">
        <v>40</v>
      </c>
      <c r="L227" s="23">
        <v>54</v>
      </c>
      <c r="M227" s="23">
        <v>84</v>
      </c>
      <c r="N227" s="3">
        <f t="shared" si="106"/>
        <v>0.18143999999999999</v>
      </c>
      <c r="O227" s="4" t="e">
        <f>(C227-(C227*#REF!))-((C227-(C227*#REF!))*#REF!)</f>
        <v>#REF!</v>
      </c>
      <c r="P227" s="7"/>
      <c r="Q227" s="7"/>
      <c r="R227" s="5">
        <f t="shared" si="118"/>
        <v>0</v>
      </c>
      <c r="S227" s="4">
        <f t="shared" si="119"/>
        <v>0</v>
      </c>
      <c r="T227" s="13">
        <f t="shared" si="97"/>
        <v>153.99299999999999</v>
      </c>
      <c r="U227" s="13">
        <f t="shared" si="109"/>
        <v>76.996499999999997</v>
      </c>
      <c r="V227" s="14">
        <f>U227/C227</f>
        <v>0.35</v>
      </c>
      <c r="W227" s="14"/>
      <c r="X227" s="19">
        <f t="shared" si="120"/>
        <v>76.996499999999997</v>
      </c>
      <c r="Y227" s="19">
        <f t="shared" si="121"/>
        <v>153.99299999999999</v>
      </c>
      <c r="Z227" s="15" t="e">
        <f t="shared" si="117"/>
        <v>#DIV/0!</v>
      </c>
      <c r="AA227" s="22" t="s">
        <v>1184</v>
      </c>
      <c r="AG227" s="94" t="s">
        <v>52</v>
      </c>
      <c r="AH227" s="89" t="str">
        <f>VLOOKUP(AG227,Sheet1!$B$3:$D$36,2,FALSE)</f>
        <v>Furniture</v>
      </c>
      <c r="AI227" s="89" t="s">
        <v>1178</v>
      </c>
      <c r="AJ227" s="1" t="str">
        <f t="shared" si="98"/>
        <v>Evedon Chair</v>
      </c>
      <c r="AK227" s="1" t="str">
        <f t="shared" si="99"/>
        <v>w40 x d54 x h84 x sh50</v>
      </c>
      <c r="AL227" s="1" t="str">
        <f t="shared" si="100"/>
        <v>pulut</v>
      </c>
      <c r="AM227" s="1" t="str">
        <f t="shared" si="101"/>
        <v>pulut</v>
      </c>
      <c r="AN227" s="1" t="str">
        <f t="shared" ref="AN227:AN251" si="122">SUBSTITUTE(AL227,"indoor","")</f>
        <v>pulut</v>
      </c>
      <c r="AQ227" s="1" t="str">
        <f t="shared" si="102"/>
        <v>A</v>
      </c>
      <c r="AR227" s="1" t="str">
        <f>VLOOKUP(TRIM(AI227),Sheet1!$D$3:$E$36,2,FALSE)</f>
        <v>08</v>
      </c>
      <c r="AS227" s="90" t="str">
        <f t="shared" si="103"/>
        <v>01</v>
      </c>
      <c r="AT227" s="1" t="str">
        <f t="shared" si="104"/>
        <v>01</v>
      </c>
      <c r="AU227" s="90" t="s">
        <v>1185</v>
      </c>
      <c r="AV227" s="90"/>
      <c r="AW227" s="90"/>
      <c r="AX227" s="95" t="str">
        <f>AQ227&amp;AR227&amp;AS227&amp;"-"&amp;AT227&amp;AU227&amp;BA227</f>
        <v>A0801-0114</v>
      </c>
      <c r="AY227" s="99" t="str">
        <f>AQ227&amp;AR227&amp;AS227&amp;"-"&amp;AT227&amp;BA227</f>
        <v>A0801-01</v>
      </c>
      <c r="AZ227" s="90"/>
      <c r="BA227" s="1" t="str">
        <f t="shared" si="105"/>
        <v/>
      </c>
      <c r="BC227" s="1">
        <f t="shared" si="84"/>
        <v>1</v>
      </c>
      <c r="BD227" s="90">
        <f t="shared" si="85"/>
        <v>1</v>
      </c>
      <c r="BE227" s="1">
        <f t="shared" si="114"/>
        <v>1</v>
      </c>
      <c r="BF227" s="1">
        <f t="shared" si="115"/>
        <v>1</v>
      </c>
      <c r="BI227"/>
      <c r="BJ227"/>
      <c r="BL227"/>
    </row>
    <row r="228" spans="1:64" ht="11.25" customHeight="1">
      <c r="A228" s="26">
        <v>21910</v>
      </c>
      <c r="B228" s="27" t="s">
        <v>1186</v>
      </c>
      <c r="C228" s="28">
        <v>283.99</v>
      </c>
      <c r="D228" s="28">
        <f t="shared" si="95"/>
        <v>141.995</v>
      </c>
      <c r="E228" s="22" t="s">
        <v>1170</v>
      </c>
      <c r="F228" s="22" t="s">
        <v>1187</v>
      </c>
      <c r="G228" s="22" t="s">
        <v>1188</v>
      </c>
      <c r="H228" s="22" t="s">
        <v>1189</v>
      </c>
      <c r="I228" s="23" t="s">
        <v>1183</v>
      </c>
      <c r="J228" s="22" t="s">
        <v>1176</v>
      </c>
      <c r="K228" s="23">
        <v>55</v>
      </c>
      <c r="L228" s="23">
        <v>55</v>
      </c>
      <c r="M228" s="23">
        <v>80</v>
      </c>
      <c r="N228" s="3">
        <f t="shared" si="106"/>
        <v>0.24199999999999999</v>
      </c>
      <c r="O228" s="4" t="e">
        <f>(C228-(C228*#REF!))-((C228-(C228*#REF!))*#REF!)</f>
        <v>#REF!</v>
      </c>
      <c r="P228" s="7"/>
      <c r="Q228" s="7"/>
      <c r="R228" s="5">
        <f t="shared" si="118"/>
        <v>0</v>
      </c>
      <c r="S228" s="4">
        <f t="shared" si="119"/>
        <v>0</v>
      </c>
      <c r="T228" s="13">
        <f t="shared" si="97"/>
        <v>198.79300000000001</v>
      </c>
      <c r="U228" s="13">
        <f t="shared" si="109"/>
        <v>99.396500000000003</v>
      </c>
      <c r="V228" s="14">
        <f>U228/C228</f>
        <v>0.35</v>
      </c>
      <c r="W228" s="14"/>
      <c r="X228" s="19">
        <f t="shared" si="120"/>
        <v>99.396500000000003</v>
      </c>
      <c r="Y228" s="19">
        <f t="shared" si="121"/>
        <v>198.79300000000001</v>
      </c>
      <c r="Z228" s="15" t="e">
        <f t="shared" si="117"/>
        <v>#DIV/0!</v>
      </c>
      <c r="AA228" s="22" t="s">
        <v>1190</v>
      </c>
      <c r="AG228" s="94" t="s">
        <v>52</v>
      </c>
      <c r="AH228" s="89" t="str">
        <f>VLOOKUP(AG228,Sheet1!$B$3:$D$36,2,FALSE)</f>
        <v>Furniture</v>
      </c>
      <c r="AI228" s="89" t="s">
        <v>1178</v>
      </c>
      <c r="AJ228" s="1" t="str">
        <f t="shared" si="98"/>
        <v>Edington Chair</v>
      </c>
      <c r="AK228" s="1" t="str">
        <f t="shared" si="99"/>
        <v>w55 x d55 x h80 x sh50 x ah62</v>
      </c>
      <c r="AL228" s="1" t="str">
        <f t="shared" si="100"/>
        <v>pulut</v>
      </c>
      <c r="AM228" s="1" t="str">
        <f t="shared" si="101"/>
        <v>pulut</v>
      </c>
      <c r="AN228" s="1" t="str">
        <f t="shared" si="122"/>
        <v>pulut</v>
      </c>
      <c r="AQ228" s="1" t="str">
        <f t="shared" si="102"/>
        <v>A</v>
      </c>
      <c r="AR228" s="1" t="str">
        <f>VLOOKUP(TRIM(AI228),Sheet1!$D$3:$E$36,2,FALSE)</f>
        <v>08</v>
      </c>
      <c r="AS228" s="90" t="str">
        <f t="shared" si="103"/>
        <v>01</v>
      </c>
      <c r="AT228" s="1" t="str">
        <f t="shared" si="104"/>
        <v>01</v>
      </c>
      <c r="AU228" s="90" t="s">
        <v>1185</v>
      </c>
      <c r="AV228" s="90"/>
      <c r="AW228" s="90"/>
      <c r="AX228" s="95" t="str">
        <f>AQ228&amp;AR228&amp;AS228&amp;"-"&amp;AT228&amp;AU228&amp;BA228</f>
        <v>A0801-0114</v>
      </c>
      <c r="AY228" s="99" t="str">
        <f>AQ228&amp;AR228&amp;AS228&amp;"-"&amp;AT228&amp;BA228</f>
        <v>A0801-01</v>
      </c>
      <c r="AZ228" s="90"/>
      <c r="BA228" s="1" t="str">
        <f t="shared" si="105"/>
        <v/>
      </c>
      <c r="BC228" s="1">
        <f t="shared" si="84"/>
        <v>1</v>
      </c>
      <c r="BD228" s="90">
        <f t="shared" si="85"/>
        <v>1</v>
      </c>
      <c r="BE228" s="1">
        <f t="shared" si="114"/>
        <v>1</v>
      </c>
      <c r="BF228" s="1">
        <f t="shared" si="115"/>
        <v>1</v>
      </c>
      <c r="BI228"/>
      <c r="BJ228"/>
      <c r="BL228"/>
    </row>
    <row r="229" spans="1:64" ht="11.25" customHeight="1">
      <c r="A229" s="26" t="s">
        <v>1191</v>
      </c>
      <c r="B229" s="27" t="s">
        <v>1192</v>
      </c>
      <c r="C229" s="28">
        <v>110.99</v>
      </c>
      <c r="D229" s="28">
        <f t="shared" si="95"/>
        <v>55.494999999999997</v>
      </c>
      <c r="E229" s="22" t="s">
        <v>1170</v>
      </c>
      <c r="F229" s="22" t="s">
        <v>1193</v>
      </c>
      <c r="G229" s="22" t="s">
        <v>1194</v>
      </c>
      <c r="H229" s="22" t="s">
        <v>1195</v>
      </c>
      <c r="I229" s="23" t="s">
        <v>1196</v>
      </c>
      <c r="J229" s="22" t="s">
        <v>1176</v>
      </c>
      <c r="K229" s="23">
        <v>46</v>
      </c>
      <c r="L229" s="23">
        <v>53</v>
      </c>
      <c r="M229" s="23">
        <v>78</v>
      </c>
      <c r="N229" s="3">
        <f t="shared" si="106"/>
        <v>0.190164</v>
      </c>
      <c r="O229" s="4" t="e">
        <f>(C229-(C229*#REF!))-((C229-(C229*#REF!))*#REF!)</f>
        <v>#REF!</v>
      </c>
      <c r="P229" s="7"/>
      <c r="Q229" s="7"/>
      <c r="R229" s="5">
        <f t="shared" si="118"/>
        <v>0</v>
      </c>
      <c r="S229" s="4">
        <f t="shared" si="119"/>
        <v>0</v>
      </c>
      <c r="T229" s="13">
        <f t="shared" si="97"/>
        <v>77.692999999999998</v>
      </c>
      <c r="U229" s="13">
        <f t="shared" si="109"/>
        <v>38.846499999999999</v>
      </c>
      <c r="V229" s="14">
        <f>U229/C229</f>
        <v>0.35000000000000003</v>
      </c>
      <c r="W229" s="14"/>
      <c r="X229" s="19">
        <f t="shared" si="120"/>
        <v>38.846499999999999</v>
      </c>
      <c r="Y229" s="19">
        <f t="shared" si="121"/>
        <v>77.692999999999998</v>
      </c>
      <c r="Z229" s="15" t="e">
        <f t="shared" si="117"/>
        <v>#DIV/0!</v>
      </c>
      <c r="AA229" s="22" t="s">
        <v>1197</v>
      </c>
      <c r="AG229" s="94" t="s">
        <v>52</v>
      </c>
      <c r="AH229" s="89" t="str">
        <f>VLOOKUP(AG229,Sheet1!$B$3:$D$36,2,FALSE)</f>
        <v>Furniture</v>
      </c>
      <c r="AI229" s="89" t="s">
        <v>1178</v>
      </c>
      <c r="AJ229" s="1" t="str">
        <f t="shared" si="98"/>
        <v>Lavenham Chair</v>
      </c>
      <c r="AK229" s="1" t="str">
        <f t="shared" si="99"/>
        <v>w46 x d53 x h78 x sh47</v>
      </c>
      <c r="AL229" s="1" t="str">
        <f t="shared" si="100"/>
        <v>kubu grey</v>
      </c>
      <c r="AM229" s="1" t="str">
        <f t="shared" si="101"/>
        <v>kubu grey</v>
      </c>
      <c r="AN229" s="1" t="str">
        <f t="shared" si="122"/>
        <v>kubu grey</v>
      </c>
      <c r="AQ229" s="1" t="str">
        <f t="shared" si="102"/>
        <v>A</v>
      </c>
      <c r="AR229" s="1" t="str">
        <f>VLOOKUP(TRIM(AI229),Sheet1!$D$3:$E$36,2,FALSE)</f>
        <v>08</v>
      </c>
      <c r="AS229" s="90" t="str">
        <f t="shared" si="103"/>
        <v>01</v>
      </c>
      <c r="AT229" s="1" t="str">
        <f t="shared" si="104"/>
        <v>01</v>
      </c>
      <c r="AU229" s="90" t="s">
        <v>1198</v>
      </c>
      <c r="AV229" s="90"/>
      <c r="AW229" s="90"/>
      <c r="AX229" s="95" t="str">
        <f>AQ229&amp;AR229&amp;AS229&amp;"-"&amp;AT229&amp;AU229&amp;BA229</f>
        <v>A0801-0107</v>
      </c>
      <c r="AY229" s="99" t="str">
        <f>AQ229&amp;AR229&amp;AS229&amp;"-"&amp;AT229&amp;BA229</f>
        <v>A0801-01</v>
      </c>
      <c r="AZ229" s="90"/>
      <c r="BA229" s="1" t="str">
        <f t="shared" si="105"/>
        <v/>
      </c>
      <c r="BC229" s="1">
        <f t="shared" si="84"/>
        <v>1</v>
      </c>
      <c r="BD229" s="90">
        <f t="shared" si="85"/>
        <v>1</v>
      </c>
      <c r="BE229" s="1">
        <f t="shared" si="114"/>
        <v>1</v>
      </c>
      <c r="BF229" s="1">
        <f t="shared" si="115"/>
        <v>1</v>
      </c>
      <c r="BI229"/>
      <c r="BJ229"/>
      <c r="BL229"/>
    </row>
    <row r="230" spans="1:64" ht="11.25" customHeight="1">
      <c r="A230" s="26" t="s">
        <v>1199</v>
      </c>
      <c r="B230" s="27" t="s">
        <v>1200</v>
      </c>
      <c r="C230" s="28">
        <v>124.99</v>
      </c>
      <c r="D230" s="28">
        <f t="shared" si="95"/>
        <v>62.494999999999997</v>
      </c>
      <c r="E230" s="22" t="s">
        <v>1170</v>
      </c>
      <c r="F230" s="22" t="s">
        <v>1201</v>
      </c>
      <c r="G230" s="22" t="s">
        <v>1202</v>
      </c>
      <c r="H230" s="22" t="s">
        <v>1203</v>
      </c>
      <c r="I230" s="23" t="s">
        <v>1196</v>
      </c>
      <c r="J230" s="22" t="s">
        <v>1176</v>
      </c>
      <c r="K230" s="23">
        <v>48</v>
      </c>
      <c r="L230" s="23">
        <v>53</v>
      </c>
      <c r="M230" s="23">
        <v>97</v>
      </c>
      <c r="N230" s="3">
        <f t="shared" si="106"/>
        <v>0.24676799999999999</v>
      </c>
      <c r="O230" s="4" t="e">
        <f>(C230-(C230*#REF!))-((C230-(C230*#REF!))*#REF!)</f>
        <v>#REF!</v>
      </c>
      <c r="P230" s="7"/>
      <c r="Q230" s="7"/>
      <c r="R230" s="5">
        <f t="shared" si="118"/>
        <v>0</v>
      </c>
      <c r="S230" s="4">
        <f t="shared" si="119"/>
        <v>0</v>
      </c>
      <c r="T230" s="13">
        <f t="shared" si="97"/>
        <v>87.492999999999995</v>
      </c>
      <c r="U230" s="13">
        <f t="shared" si="109"/>
        <v>43.746499999999997</v>
      </c>
      <c r="V230" s="14">
        <f>U230/C230</f>
        <v>0.35</v>
      </c>
      <c r="W230" s="14"/>
      <c r="X230" s="19">
        <f t="shared" si="120"/>
        <v>43.746499999999997</v>
      </c>
      <c r="Y230" s="19">
        <f t="shared" si="121"/>
        <v>87.492999999999995</v>
      </c>
      <c r="Z230" s="15" t="e">
        <f t="shared" si="117"/>
        <v>#DIV/0!</v>
      </c>
      <c r="AA230" s="22" t="s">
        <v>1204</v>
      </c>
      <c r="AG230" s="94" t="s">
        <v>52</v>
      </c>
      <c r="AH230" s="89" t="str">
        <f>VLOOKUP(AG230,Sheet1!$B$3:$D$36,2,FALSE)</f>
        <v>Furniture</v>
      </c>
      <c r="AI230" s="89" t="s">
        <v>1178</v>
      </c>
      <c r="AJ230" s="1" t="str">
        <f t="shared" si="98"/>
        <v>Orford Chair</v>
      </c>
      <c r="AK230" s="1" t="str">
        <f t="shared" si="99"/>
        <v>w48 x d53 x h97 x sh47</v>
      </c>
      <c r="AL230" s="1" t="str">
        <f t="shared" si="100"/>
        <v>kubu grey</v>
      </c>
      <c r="AM230" s="1" t="str">
        <f t="shared" si="101"/>
        <v>kubu grey</v>
      </c>
      <c r="AN230" s="1" t="str">
        <f t="shared" si="122"/>
        <v>kubu grey</v>
      </c>
      <c r="AQ230" s="1" t="str">
        <f t="shared" si="102"/>
        <v>A</v>
      </c>
      <c r="AR230" s="1" t="str">
        <f>VLOOKUP(TRIM(AI230),Sheet1!$D$3:$E$36,2,FALSE)</f>
        <v>08</v>
      </c>
      <c r="AS230" s="90" t="str">
        <f t="shared" si="103"/>
        <v>01</v>
      </c>
      <c r="AT230" s="1" t="str">
        <f t="shared" si="104"/>
        <v>01</v>
      </c>
      <c r="AU230" s="90" t="s">
        <v>1198</v>
      </c>
      <c r="AV230" s="90"/>
      <c r="AW230" s="90"/>
      <c r="AX230" s="95" t="str">
        <f>AQ230&amp;AR230&amp;AS230&amp;"-"&amp;AT230&amp;AU230&amp;BA230</f>
        <v>A0801-0107</v>
      </c>
      <c r="AY230" s="99" t="str">
        <f>AQ230&amp;AR230&amp;AS230&amp;"-"&amp;AT230&amp;BA230</f>
        <v>A0801-01</v>
      </c>
      <c r="AZ230" s="90"/>
      <c r="BA230" s="1" t="str">
        <f t="shared" si="105"/>
        <v/>
      </c>
      <c r="BC230" s="1">
        <f t="shared" si="84"/>
        <v>1</v>
      </c>
      <c r="BD230" s="90">
        <f t="shared" si="85"/>
        <v>1</v>
      </c>
      <c r="BE230" s="1">
        <f t="shared" si="114"/>
        <v>1</v>
      </c>
      <c r="BF230" s="1">
        <f t="shared" si="115"/>
        <v>1</v>
      </c>
      <c r="BI230"/>
      <c r="BJ230"/>
      <c r="BL230"/>
    </row>
    <row r="231" spans="1:64" ht="11.25" customHeight="1">
      <c r="A231" s="26" t="s">
        <v>1205</v>
      </c>
      <c r="B231" s="27" t="s">
        <v>1206</v>
      </c>
      <c r="C231" s="28">
        <v>249.99</v>
      </c>
      <c r="D231" s="28">
        <f t="shared" si="95"/>
        <v>124.995</v>
      </c>
      <c r="E231" s="22" t="s">
        <v>1170</v>
      </c>
      <c r="F231" s="22" t="s">
        <v>1207</v>
      </c>
      <c r="G231" s="22" t="s">
        <v>1208</v>
      </c>
      <c r="H231" s="22" t="s">
        <v>1209</v>
      </c>
      <c r="I231" s="23" t="s">
        <v>1196</v>
      </c>
      <c r="J231" s="22" t="s">
        <v>1176</v>
      </c>
      <c r="K231" s="23">
        <v>55</v>
      </c>
      <c r="L231" s="23">
        <v>61</v>
      </c>
      <c r="M231" s="23">
        <v>83</v>
      </c>
      <c r="N231" s="3">
        <f t="shared" si="106"/>
        <v>0.27846500000000002</v>
      </c>
      <c r="O231" s="4" t="e">
        <f>(C231-(C231*#REF!))-((C231-(C231*#REF!))*#REF!)</f>
        <v>#REF!</v>
      </c>
      <c r="P231" s="7"/>
      <c r="Q231" s="7"/>
      <c r="R231" s="5">
        <f t="shared" si="118"/>
        <v>0</v>
      </c>
      <c r="S231" s="4">
        <f t="shared" si="119"/>
        <v>0</v>
      </c>
      <c r="T231" s="13">
        <f t="shared" si="97"/>
        <v>174.99299999999999</v>
      </c>
      <c r="U231" s="13">
        <f t="shared" si="109"/>
        <v>87.496499999999997</v>
      </c>
      <c r="V231" s="14">
        <f>U231/C231</f>
        <v>0.35</v>
      </c>
      <c r="W231" s="14"/>
      <c r="X231" s="19">
        <f t="shared" si="120"/>
        <v>87.496499999999997</v>
      </c>
      <c r="Y231" s="19">
        <f t="shared" si="121"/>
        <v>174.99299999999999</v>
      </c>
      <c r="Z231" s="15" t="e">
        <f t="shared" si="117"/>
        <v>#DIV/0!</v>
      </c>
      <c r="AA231" s="22" t="s">
        <v>1210</v>
      </c>
      <c r="AG231" s="94" t="s">
        <v>52</v>
      </c>
      <c r="AH231" s="89" t="str">
        <f>VLOOKUP(AG231,Sheet1!$B$3:$D$36,2,FALSE)</f>
        <v>Furniture</v>
      </c>
      <c r="AI231" s="89" t="s">
        <v>1178</v>
      </c>
      <c r="AJ231" s="1" t="str">
        <f t="shared" si="98"/>
        <v>Leiston Chair</v>
      </c>
      <c r="AK231" s="1" t="str">
        <f t="shared" si="99"/>
        <v>w55 x d61 x h83 x sh45 x ah60</v>
      </c>
      <c r="AL231" s="1" t="str">
        <f t="shared" si="100"/>
        <v>kubu grey</v>
      </c>
      <c r="AM231" s="1" t="str">
        <f t="shared" si="101"/>
        <v>kubu grey</v>
      </c>
      <c r="AN231" s="1" t="str">
        <f t="shared" si="122"/>
        <v>kubu grey</v>
      </c>
      <c r="AQ231" s="1" t="str">
        <f t="shared" si="102"/>
        <v>A</v>
      </c>
      <c r="AR231" s="1" t="str">
        <f>VLOOKUP(TRIM(AI231),Sheet1!$D$3:$E$36,2,FALSE)</f>
        <v>08</v>
      </c>
      <c r="AS231" s="90" t="str">
        <f t="shared" si="103"/>
        <v>01</v>
      </c>
      <c r="AT231" s="1" t="str">
        <f t="shared" si="104"/>
        <v>01</v>
      </c>
      <c r="AU231" s="90" t="s">
        <v>1198</v>
      </c>
      <c r="AV231" s="90"/>
      <c r="AW231" s="90"/>
      <c r="AX231" s="95" t="str">
        <f>AQ231&amp;AR231&amp;AS231&amp;"-"&amp;AT231&amp;AU231&amp;BA231</f>
        <v>A0801-0107</v>
      </c>
      <c r="AY231" s="99" t="str">
        <f>AQ231&amp;AR231&amp;AS231&amp;"-"&amp;AT231&amp;BA231</f>
        <v>A0801-01</v>
      </c>
      <c r="AZ231" s="90"/>
      <c r="BA231" s="1" t="str">
        <f t="shared" si="105"/>
        <v/>
      </c>
      <c r="BC231" s="1">
        <f t="shared" si="84"/>
        <v>1</v>
      </c>
      <c r="BD231" s="90">
        <f t="shared" si="85"/>
        <v>1</v>
      </c>
      <c r="BE231" s="1">
        <f t="shared" si="114"/>
        <v>1</v>
      </c>
      <c r="BF231" s="1">
        <f t="shared" si="115"/>
        <v>1</v>
      </c>
      <c r="BI231"/>
      <c r="BJ231"/>
      <c r="BL231"/>
    </row>
    <row r="232" spans="1:64" ht="11.25" customHeight="1">
      <c r="A232" s="26" t="s">
        <v>1211</v>
      </c>
      <c r="B232" s="27" t="s">
        <v>1212</v>
      </c>
      <c r="C232" s="28">
        <v>322.99</v>
      </c>
      <c r="D232" s="28">
        <f t="shared" si="95"/>
        <v>161.495</v>
      </c>
      <c r="E232" s="22" t="s">
        <v>1170</v>
      </c>
      <c r="F232" s="22" t="s">
        <v>1213</v>
      </c>
      <c r="G232" s="22" t="s">
        <v>1214</v>
      </c>
      <c r="H232" s="22" t="s">
        <v>1215</v>
      </c>
      <c r="I232" s="23" t="s">
        <v>1216</v>
      </c>
      <c r="J232" s="22" t="s">
        <v>1176</v>
      </c>
      <c r="K232" s="23">
        <v>53</v>
      </c>
      <c r="L232" s="23">
        <v>65</v>
      </c>
      <c r="M232" s="23">
        <v>81</v>
      </c>
      <c r="N232" s="3">
        <f t="shared" si="106"/>
        <v>0.27904499999999999</v>
      </c>
      <c r="O232" s="4" t="e">
        <f>(C232-(C232*#REF!))-((C232-(C232*#REF!))*#REF!)</f>
        <v>#REF!</v>
      </c>
      <c r="P232" s="7"/>
      <c r="Q232" s="7"/>
      <c r="R232" s="5">
        <f t="shared" si="118"/>
        <v>0</v>
      </c>
      <c r="S232" s="4">
        <f t="shared" si="119"/>
        <v>0</v>
      </c>
      <c r="T232" s="13">
        <f t="shared" si="97"/>
        <v>226.09300000000002</v>
      </c>
      <c r="U232" s="13">
        <f t="shared" si="109"/>
        <v>113.04650000000001</v>
      </c>
      <c r="V232" s="14">
        <f>U232/C232</f>
        <v>0.35000000000000003</v>
      </c>
      <c r="W232" s="14"/>
      <c r="X232" s="19">
        <f t="shared" si="120"/>
        <v>113.04650000000001</v>
      </c>
      <c r="Y232" s="19">
        <f t="shared" si="121"/>
        <v>226.09300000000002</v>
      </c>
      <c r="Z232" s="15" t="e">
        <f t="shared" si="117"/>
        <v>#DIV/0!</v>
      </c>
      <c r="AA232" s="22" t="s">
        <v>1217</v>
      </c>
      <c r="AG232" s="94" t="s">
        <v>52</v>
      </c>
      <c r="AH232" s="89" t="str">
        <f>VLOOKUP(AG232,Sheet1!$B$3:$D$36,2,FALSE)</f>
        <v>Furniture</v>
      </c>
      <c r="AI232" s="89" t="s">
        <v>1178</v>
      </c>
      <c r="AJ232" s="1" t="str">
        <f t="shared" si="98"/>
        <v>Sandringham Chair</v>
      </c>
      <c r="AK232" s="1" t="str">
        <f t="shared" si="99"/>
        <v>w53 x d65 x h81 x sh45 x ah60</v>
      </c>
      <c r="AL232" s="1" t="str">
        <f t="shared" si="100"/>
        <v>rope</v>
      </c>
      <c r="AM232" s="1" t="str">
        <f t="shared" si="101"/>
        <v>rope</v>
      </c>
      <c r="AN232" s="1" t="str">
        <f t="shared" si="122"/>
        <v>rope</v>
      </c>
      <c r="AQ232" s="1" t="str">
        <f t="shared" si="102"/>
        <v>A</v>
      </c>
      <c r="AR232" s="1" t="str">
        <f>VLOOKUP(TRIM(AI232),Sheet1!$D$3:$E$36,2,FALSE)</f>
        <v>08</v>
      </c>
      <c r="AS232" s="90" t="str">
        <f t="shared" si="103"/>
        <v>01</v>
      </c>
      <c r="AT232" s="1" t="str">
        <f t="shared" si="104"/>
        <v>01</v>
      </c>
      <c r="AU232" s="90" t="s">
        <v>1218</v>
      </c>
      <c r="AV232" s="90"/>
      <c r="AW232" s="90"/>
      <c r="AX232" s="95" t="str">
        <f>AQ232&amp;AR232&amp;AS232&amp;"-"&amp;AT232&amp;AU232&amp;BA232</f>
        <v>A0801-0143</v>
      </c>
      <c r="AY232" s="99" t="str">
        <f>AQ232&amp;AR232&amp;AS232&amp;"-"&amp;AT232&amp;BA232</f>
        <v>A0801-01</v>
      </c>
      <c r="AZ232" s="90"/>
      <c r="BA232" s="1" t="str">
        <f t="shared" si="105"/>
        <v/>
      </c>
      <c r="BC232" s="1">
        <f t="shared" si="84"/>
        <v>1</v>
      </c>
      <c r="BD232" s="90">
        <f t="shared" si="85"/>
        <v>1</v>
      </c>
      <c r="BE232" s="1">
        <f t="shared" si="114"/>
        <v>1</v>
      </c>
      <c r="BF232" s="1">
        <f t="shared" si="115"/>
        <v>1</v>
      </c>
      <c r="BI232"/>
      <c r="BJ232"/>
      <c r="BL232"/>
    </row>
    <row r="233" spans="1:64" ht="11.25" customHeight="1">
      <c r="A233" s="26">
        <v>21997</v>
      </c>
      <c r="B233" s="27" t="s">
        <v>1219</v>
      </c>
      <c r="D233" s="28">
        <f t="shared" si="95"/>
        <v>0</v>
      </c>
      <c r="E233" s="22" t="s">
        <v>1170</v>
      </c>
      <c r="F233" s="22" t="s">
        <v>1220</v>
      </c>
      <c r="G233" s="22" t="s">
        <v>1221</v>
      </c>
      <c r="H233" s="22" t="s">
        <v>1222</v>
      </c>
      <c r="I233" s="23" t="s">
        <v>1223</v>
      </c>
      <c r="J233" s="22" t="s">
        <v>1176</v>
      </c>
      <c r="K233" s="23">
        <v>55</v>
      </c>
      <c r="L233" s="23">
        <v>63</v>
      </c>
      <c r="M233" s="23">
        <v>78</v>
      </c>
      <c r="N233" s="3">
        <f t="shared" si="106"/>
        <v>0.27027000000000001</v>
      </c>
      <c r="O233" s="4" t="e">
        <f>(C233-(C233*#REF!))-((C233-(C233*#REF!))*#REF!)</f>
        <v>#REF!</v>
      </c>
      <c r="P233" s="7"/>
      <c r="Q233" s="7"/>
      <c r="R233" s="5">
        <f t="shared" si="118"/>
        <v>0</v>
      </c>
      <c r="S233" s="4">
        <f t="shared" si="119"/>
        <v>0</v>
      </c>
      <c r="T233" s="13">
        <f t="shared" si="97"/>
        <v>0</v>
      </c>
      <c r="U233" s="13">
        <f t="shared" si="109"/>
        <v>0</v>
      </c>
      <c r="V233" s="14" t="e">
        <f>U233/C233</f>
        <v>#DIV/0!</v>
      </c>
      <c r="W233" s="14"/>
      <c r="X233" s="19">
        <f t="shared" si="120"/>
        <v>0</v>
      </c>
      <c r="Y233" s="19">
        <f t="shared" si="121"/>
        <v>0</v>
      </c>
      <c r="Z233" s="15" t="e">
        <f t="shared" si="117"/>
        <v>#DIV/0!</v>
      </c>
      <c r="AA233" s="22" t="s">
        <v>1224</v>
      </c>
      <c r="AG233" s="94" t="s">
        <v>52</v>
      </c>
      <c r="AH233" s="89" t="str">
        <f>VLOOKUP(AG233,Sheet1!$B$3:$D$36,2,FALSE)</f>
        <v>Furniture</v>
      </c>
      <c r="AI233" s="89" t="s">
        <v>1178</v>
      </c>
      <c r="AJ233" s="1" t="str">
        <f t="shared" si="98"/>
        <v>Tuddenham Chair</v>
      </c>
      <c r="AK233" s="1" t="str">
        <f t="shared" si="99"/>
        <v>w55 x d63 x h78 x sh37 x ah59</v>
      </c>
      <c r="AL233" s="1" t="str">
        <f t="shared" si="100"/>
        <v>fabric</v>
      </c>
      <c r="AM233" s="1" t="str">
        <f t="shared" si="101"/>
        <v>fabric</v>
      </c>
      <c r="AN233" s="1" t="str">
        <f t="shared" si="122"/>
        <v>fabric</v>
      </c>
      <c r="AQ233" s="1" t="str">
        <f t="shared" si="102"/>
        <v>A</v>
      </c>
      <c r="AR233" s="1" t="str">
        <f>VLOOKUP(TRIM(AI233),Sheet1!$D$3:$E$36,2,FALSE)</f>
        <v>08</v>
      </c>
      <c r="AS233" s="90" t="str">
        <f t="shared" si="103"/>
        <v>01</v>
      </c>
      <c r="AT233" s="1" t="str">
        <f t="shared" si="104"/>
        <v>01</v>
      </c>
      <c r="AU233" s="90" t="s">
        <v>1225</v>
      </c>
      <c r="AV233" s="90"/>
      <c r="AW233" s="90"/>
      <c r="AX233" s="95" t="str">
        <f>AQ233&amp;AR233&amp;AS233&amp;"-"&amp;AT233&amp;AU233&amp;BA233</f>
        <v>A0801-0139</v>
      </c>
      <c r="AY233" s="99" t="str">
        <f>AQ233&amp;AR233&amp;AS233&amp;"-"&amp;AT233&amp;BA233</f>
        <v>A0801-01</v>
      </c>
      <c r="AZ233" s="90"/>
      <c r="BA233" s="1" t="str">
        <f t="shared" si="105"/>
        <v/>
      </c>
      <c r="BC233" s="1">
        <f t="shared" ref="BC233:BC296" si="123">IF(AJ232&lt;&gt;AJ233,1,"")</f>
        <v>1</v>
      </c>
      <c r="BD233" s="90">
        <f t="shared" ref="BD233:BD296" si="124">IF(BC233=1,1,BD232+1)</f>
        <v>1</v>
      </c>
      <c r="BE233" s="1">
        <f t="shared" si="114"/>
        <v>1</v>
      </c>
      <c r="BF233" s="1">
        <f t="shared" si="115"/>
        <v>1</v>
      </c>
      <c r="BI233"/>
      <c r="BJ233"/>
      <c r="BL233"/>
    </row>
    <row r="234" spans="1:64" ht="11.25" customHeight="1">
      <c r="A234" s="26">
        <v>22003</v>
      </c>
      <c r="B234" s="27" t="s">
        <v>1226</v>
      </c>
      <c r="C234" s="28">
        <v>193.99</v>
      </c>
      <c r="D234" s="28">
        <f t="shared" si="95"/>
        <v>96.995000000000005</v>
      </c>
      <c r="E234" s="22" t="s">
        <v>1170</v>
      </c>
      <c r="F234" s="22" t="s">
        <v>1227</v>
      </c>
      <c r="G234" s="22" t="s">
        <v>1228</v>
      </c>
      <c r="H234" s="22" t="s">
        <v>1229</v>
      </c>
      <c r="I234" s="23" t="s">
        <v>1230</v>
      </c>
      <c r="J234" s="22" t="s">
        <v>1176</v>
      </c>
      <c r="K234" s="23">
        <v>53</v>
      </c>
      <c r="L234" s="23">
        <v>53</v>
      </c>
      <c r="M234" s="23">
        <v>76</v>
      </c>
      <c r="N234" s="3">
        <f t="shared" si="106"/>
        <v>0.21348400000000001</v>
      </c>
      <c r="O234" s="4" t="e">
        <f>(C234-(C234*#REF!))-((C234-(C234*#REF!))*#REF!)</f>
        <v>#REF!</v>
      </c>
      <c r="P234" s="7">
        <f>Q234*0.1</f>
        <v>55000</v>
      </c>
      <c r="Q234" s="7">
        <v>550000</v>
      </c>
      <c r="R234" s="5">
        <f>P234+Q234</f>
        <v>605000</v>
      </c>
      <c r="S234" s="4">
        <f t="shared" si="119"/>
        <v>40.333333333333336</v>
      </c>
      <c r="T234" s="13">
        <f t="shared" si="97"/>
        <v>135.79300000000001</v>
      </c>
      <c r="U234" s="13">
        <f t="shared" si="109"/>
        <v>67.896500000000003</v>
      </c>
      <c r="V234" s="14">
        <f>U234/C234</f>
        <v>0.35</v>
      </c>
      <c r="W234" s="18">
        <f>S234*$W$1</f>
        <v>80.666666666666671</v>
      </c>
      <c r="X234" s="19">
        <f t="shared" si="120"/>
        <v>80.666666666666671</v>
      </c>
      <c r="Y234" s="19">
        <f t="shared" si="121"/>
        <v>161.33333333333334</v>
      </c>
      <c r="Z234" s="15">
        <v>2</v>
      </c>
      <c r="AA234" s="22" t="s">
        <v>1231</v>
      </c>
      <c r="AG234" s="94" t="s">
        <v>52</v>
      </c>
      <c r="AH234" s="89" t="str">
        <f>VLOOKUP(AG234,Sheet1!$B$3:$D$36,2,FALSE)</f>
        <v>Furniture</v>
      </c>
      <c r="AI234" s="89" t="s">
        <v>1178</v>
      </c>
      <c r="AJ234" s="1" t="str">
        <f t="shared" si="98"/>
        <v>Dunwich Chair</v>
      </c>
      <c r="AK234" s="1" t="str">
        <f t="shared" si="99"/>
        <v>w53 x d53 x h76 x sh43</v>
      </c>
      <c r="AL234" s="1" t="str">
        <f t="shared" si="100"/>
        <v>bamboo</v>
      </c>
      <c r="AM234" s="1" t="str">
        <f t="shared" si="101"/>
        <v>bamboo</v>
      </c>
      <c r="AN234" s="1" t="str">
        <f t="shared" si="122"/>
        <v>bamboo</v>
      </c>
      <c r="AQ234" s="1" t="str">
        <f t="shared" si="102"/>
        <v>A</v>
      </c>
      <c r="AR234" s="1" t="str">
        <f>VLOOKUP(TRIM(AI234),Sheet1!$D$3:$E$36,2,FALSE)</f>
        <v>08</v>
      </c>
      <c r="AS234" s="90" t="str">
        <f t="shared" si="103"/>
        <v>01</v>
      </c>
      <c r="AT234" s="1" t="str">
        <f t="shared" si="104"/>
        <v>01</v>
      </c>
      <c r="AU234" s="90" t="s">
        <v>1232</v>
      </c>
      <c r="AV234" s="90"/>
      <c r="AW234" s="90"/>
      <c r="AX234" s="95" t="str">
        <f>AQ234&amp;AR234&amp;AS234&amp;"-"&amp;AT234&amp;AU234&amp;BA234</f>
        <v>A0801-0135</v>
      </c>
      <c r="AY234" s="99" t="str">
        <f>AQ234&amp;AR234&amp;AS234&amp;"-"&amp;AT234&amp;BA234</f>
        <v>A0801-01</v>
      </c>
      <c r="AZ234" s="90"/>
      <c r="BA234" s="1" t="str">
        <f t="shared" si="105"/>
        <v/>
      </c>
      <c r="BC234" s="1">
        <f t="shared" si="123"/>
        <v>1</v>
      </c>
      <c r="BD234" s="90">
        <f t="shared" si="124"/>
        <v>1</v>
      </c>
      <c r="BE234" s="1">
        <f t="shared" si="114"/>
        <v>1</v>
      </c>
      <c r="BF234" s="1">
        <f t="shared" si="115"/>
        <v>1</v>
      </c>
      <c r="BI234"/>
      <c r="BJ234"/>
      <c r="BL234"/>
    </row>
    <row r="235" spans="1:64" ht="11.25" customHeight="1">
      <c r="A235" s="26" t="s">
        <v>1233</v>
      </c>
      <c r="B235" s="27" t="s">
        <v>1234</v>
      </c>
      <c r="C235" s="28">
        <v>165.99</v>
      </c>
      <c r="D235" s="28">
        <f t="shared" si="95"/>
        <v>82.995000000000005</v>
      </c>
      <c r="E235" s="22" t="s">
        <v>1170</v>
      </c>
      <c r="F235" s="22" t="s">
        <v>1235</v>
      </c>
      <c r="G235" s="22" t="s">
        <v>1236</v>
      </c>
      <c r="H235" s="22" t="s">
        <v>1237</v>
      </c>
      <c r="I235" s="23" t="s">
        <v>645</v>
      </c>
      <c r="J235" s="22" t="s">
        <v>646</v>
      </c>
      <c r="K235" s="23">
        <v>42</v>
      </c>
      <c r="L235" s="23">
        <v>42</v>
      </c>
      <c r="M235" s="23">
        <v>91</v>
      </c>
      <c r="N235" s="3">
        <f t="shared" si="106"/>
        <v>0.160524</v>
      </c>
      <c r="O235" s="4" t="e">
        <f>(C235-(C235*#REF!))-((C235-(C235*#REF!))*#REF!)</f>
        <v>#REF!</v>
      </c>
      <c r="P235" s="7">
        <f>311096.423526507-Q235</f>
        <v>91096.423526506987</v>
      </c>
      <c r="Q235" s="7">
        <v>220000</v>
      </c>
      <c r="R235" s="5">
        <f t="shared" si="118"/>
        <v>311096.42352650699</v>
      </c>
      <c r="S235" s="4">
        <f t="shared" si="119"/>
        <v>20.739761568433799</v>
      </c>
      <c r="T235" s="13">
        <f t="shared" si="97"/>
        <v>116.19300000000001</v>
      </c>
      <c r="U235" s="13">
        <f t="shared" si="109"/>
        <v>58.096500000000006</v>
      </c>
      <c r="V235" s="14">
        <f>U235/C235</f>
        <v>0.35000000000000003</v>
      </c>
      <c r="W235" s="14"/>
      <c r="X235" s="19">
        <f t="shared" si="120"/>
        <v>58.096500000000006</v>
      </c>
      <c r="Y235" s="19">
        <f t="shared" si="121"/>
        <v>116.19300000000001</v>
      </c>
      <c r="Z235" s="15">
        <f>U235/S235</f>
        <v>2.8012134955506758</v>
      </c>
      <c r="AA235" s="22" t="s">
        <v>1238</v>
      </c>
      <c r="AG235" s="94" t="s">
        <v>52</v>
      </c>
      <c r="AH235" s="89" t="str">
        <f>VLOOKUP(AG235,Sheet1!$B$3:$D$36,2,FALSE)</f>
        <v>Furniture</v>
      </c>
      <c r="AI235" s="89" t="s">
        <v>1178</v>
      </c>
      <c r="AJ235" s="1" t="str">
        <f t="shared" si="98"/>
        <v>Nayland Chair</v>
      </c>
      <c r="AK235" s="1" t="str">
        <f t="shared" si="99"/>
        <v>w42 x d42 x h91 x sh45</v>
      </c>
      <c r="AL235" s="1" t="str">
        <f t="shared" si="100"/>
        <v>teak root</v>
      </c>
      <c r="AM235" s="1" t="str">
        <f t="shared" si="101"/>
        <v>teak root</v>
      </c>
      <c r="AN235" s="1" t="str">
        <f t="shared" si="122"/>
        <v>teak root</v>
      </c>
      <c r="AQ235" s="1" t="str">
        <f t="shared" si="102"/>
        <v>A</v>
      </c>
      <c r="AR235" s="1" t="str">
        <f>VLOOKUP(TRIM(AI235),Sheet1!$D$3:$E$36,2,FALSE)</f>
        <v>08</v>
      </c>
      <c r="AS235" s="90" t="str">
        <f t="shared" si="103"/>
        <v>01</v>
      </c>
      <c r="AT235" s="1" t="str">
        <f t="shared" si="104"/>
        <v>01</v>
      </c>
      <c r="AU235" s="90" t="s">
        <v>648</v>
      </c>
      <c r="AV235" s="90"/>
      <c r="AW235" s="90"/>
      <c r="AX235" s="95" t="str">
        <f>AQ235&amp;AR235&amp;AS235&amp;"-"&amp;AT235&amp;AU235&amp;BA235</f>
        <v>A0801-0132</v>
      </c>
      <c r="AY235" s="99" t="str">
        <f>AQ235&amp;AR235&amp;AS235&amp;"-"&amp;AT235&amp;BA235</f>
        <v>A0801-01</v>
      </c>
      <c r="AZ235" s="90"/>
      <c r="BA235" s="1" t="str">
        <f t="shared" si="105"/>
        <v/>
      </c>
      <c r="BC235" s="1">
        <f t="shared" si="123"/>
        <v>1</v>
      </c>
      <c r="BD235" s="90">
        <f t="shared" si="124"/>
        <v>1</v>
      </c>
      <c r="BE235" s="1">
        <f t="shared" si="114"/>
        <v>1</v>
      </c>
      <c r="BF235" s="1">
        <f t="shared" si="115"/>
        <v>1</v>
      </c>
      <c r="BI235"/>
      <c r="BJ235"/>
      <c r="BL235"/>
    </row>
    <row r="236" spans="1:64" ht="11.25" customHeight="1">
      <c r="A236" s="26" t="s">
        <v>1239</v>
      </c>
      <c r="B236" s="27" t="s">
        <v>1240</v>
      </c>
      <c r="C236" s="28">
        <v>449.99</v>
      </c>
      <c r="D236" s="28">
        <f t="shared" si="95"/>
        <v>224.995</v>
      </c>
      <c r="E236" s="22" t="s">
        <v>1170</v>
      </c>
      <c r="F236" s="22" t="s">
        <v>1241</v>
      </c>
      <c r="G236" s="22" t="s">
        <v>1242</v>
      </c>
      <c r="H236" s="22" t="s">
        <v>1243</v>
      </c>
      <c r="I236" s="23" t="s">
        <v>1244</v>
      </c>
      <c r="J236" s="22" t="s">
        <v>646</v>
      </c>
      <c r="K236" s="23">
        <v>47</v>
      </c>
      <c r="L236" s="23">
        <v>54</v>
      </c>
      <c r="M236" s="23">
        <v>78</v>
      </c>
      <c r="N236" s="3">
        <f t="shared" si="106"/>
        <v>0.197964</v>
      </c>
      <c r="O236" s="4" t="e">
        <f>(C236-(C236*#REF!))-((C236-(C236*#REF!))*#REF!)</f>
        <v>#REF!</v>
      </c>
      <c r="P236" s="7">
        <f>Q236*0.1</f>
        <v>174000</v>
      </c>
      <c r="Q236" s="7">
        <v>1740000</v>
      </c>
      <c r="R236" s="5">
        <f t="shared" si="118"/>
        <v>1914000</v>
      </c>
      <c r="S236" s="4">
        <f t="shared" si="119"/>
        <v>127.6</v>
      </c>
      <c r="T236" s="13">
        <f t="shared" si="97"/>
        <v>314.99300000000005</v>
      </c>
      <c r="U236" s="13">
        <f t="shared" si="109"/>
        <v>157.49650000000003</v>
      </c>
      <c r="V236" s="14">
        <f>U236/C236</f>
        <v>0.35000000000000003</v>
      </c>
      <c r="W236" s="18">
        <f>S236*1.7</f>
        <v>216.92</v>
      </c>
      <c r="X236" s="19">
        <f t="shared" si="120"/>
        <v>216.92</v>
      </c>
      <c r="Y236" s="19">
        <f t="shared" si="121"/>
        <v>433.84</v>
      </c>
      <c r="Z236" s="15">
        <v>2</v>
      </c>
      <c r="AA236" s="22" t="s">
        <v>1245</v>
      </c>
      <c r="AG236" s="94" t="s">
        <v>52</v>
      </c>
      <c r="AH236" s="89" t="str">
        <f>VLOOKUP(AG236,Sheet1!$B$3:$D$36,2,FALSE)</f>
        <v>Furniture</v>
      </c>
      <c r="AI236" s="89" t="s">
        <v>1178</v>
      </c>
      <c r="AJ236" s="1" t="str">
        <f t="shared" si="98"/>
        <v>Otley Chair</v>
      </c>
      <c r="AK236" s="1" t="str">
        <f t="shared" si="99"/>
        <v>w47 x d54 x h78 x sh47</v>
      </c>
      <c r="AL236" s="1" t="str">
        <f t="shared" si="100"/>
        <v xml:space="preserve">natural teak  </v>
      </c>
      <c r="AM236" s="1" t="str">
        <f t="shared" si="101"/>
        <v xml:space="preserve">natural teak  </v>
      </c>
      <c r="AN236" s="1" t="str">
        <f t="shared" si="122"/>
        <v xml:space="preserve">natural teak  </v>
      </c>
      <c r="AQ236" s="1" t="str">
        <f t="shared" si="102"/>
        <v>A</v>
      </c>
      <c r="AR236" s="1" t="str">
        <f>VLOOKUP(TRIM(AI236),Sheet1!$D$3:$E$36,2,FALSE)</f>
        <v>08</v>
      </c>
      <c r="AS236" s="90" t="str">
        <f t="shared" si="103"/>
        <v>01</v>
      </c>
      <c r="AT236" s="1" t="str">
        <f t="shared" si="104"/>
        <v>01</v>
      </c>
      <c r="AU236" s="90" t="s">
        <v>55</v>
      </c>
      <c r="AV236" s="90"/>
      <c r="AW236" s="90"/>
      <c r="AX236" s="95" t="str">
        <f>AQ236&amp;AR236&amp;AS236&amp;"-"&amp;AT236&amp;AU236&amp;BA236</f>
        <v>A0801-0110</v>
      </c>
      <c r="AY236" s="99" t="str">
        <f>AQ236&amp;AR236&amp;AS236&amp;"-"&amp;AT236&amp;BA236</f>
        <v>A0801-01</v>
      </c>
      <c r="AZ236" s="90"/>
      <c r="BA236" s="1" t="str">
        <f t="shared" si="105"/>
        <v/>
      </c>
      <c r="BC236" s="1">
        <f t="shared" si="123"/>
        <v>1</v>
      </c>
      <c r="BD236" s="90">
        <f t="shared" si="124"/>
        <v>1</v>
      </c>
      <c r="BE236" s="1">
        <f t="shared" si="114"/>
        <v>1</v>
      </c>
      <c r="BF236" s="1">
        <f t="shared" si="115"/>
        <v>1</v>
      </c>
      <c r="BI236"/>
      <c r="BJ236"/>
      <c r="BL236"/>
    </row>
    <row r="237" spans="1:64" ht="11.25" customHeight="1">
      <c r="A237" s="26" t="s">
        <v>1246</v>
      </c>
      <c r="B237" s="27" t="s">
        <v>1247</v>
      </c>
      <c r="C237" s="28">
        <v>539.99</v>
      </c>
      <c r="D237" s="28">
        <f t="shared" si="95"/>
        <v>269.995</v>
      </c>
      <c r="E237" s="22" t="s">
        <v>1170</v>
      </c>
      <c r="F237" s="22" t="s">
        <v>1248</v>
      </c>
      <c r="G237" s="22" t="s">
        <v>1249</v>
      </c>
      <c r="H237" s="22" t="s">
        <v>1250</v>
      </c>
      <c r="I237" s="23" t="s">
        <v>1244</v>
      </c>
      <c r="J237" s="22" t="s">
        <v>646</v>
      </c>
      <c r="K237" s="23">
        <v>47</v>
      </c>
      <c r="L237" s="23">
        <v>54</v>
      </c>
      <c r="M237" s="23">
        <v>80</v>
      </c>
      <c r="N237" s="3">
        <f t="shared" si="106"/>
        <v>0.20304</v>
      </c>
      <c r="O237" s="4" t="e">
        <f>(C237-(C237*#REF!))-((C237-(C237*#REF!))*#REF!)</f>
        <v>#REF!</v>
      </c>
      <c r="P237" s="7">
        <f>Q237*0.1</f>
        <v>200000</v>
      </c>
      <c r="Q237" s="7">
        <v>2000000</v>
      </c>
      <c r="R237" s="5">
        <f>P237+Q237</f>
        <v>2200000</v>
      </c>
      <c r="S237" s="4">
        <f t="shared" si="119"/>
        <v>146.66666666666666</v>
      </c>
      <c r="T237" s="13">
        <f t="shared" si="97"/>
        <v>377.99300000000005</v>
      </c>
      <c r="U237" s="13">
        <f t="shared" si="109"/>
        <v>188.99650000000003</v>
      </c>
      <c r="V237" s="14">
        <f>U237/C237</f>
        <v>0.35000000000000003</v>
      </c>
      <c r="W237" s="18">
        <f>S237*1.7</f>
        <v>249.33333333333331</v>
      </c>
      <c r="X237" s="19">
        <f t="shared" si="120"/>
        <v>249.33333333333331</v>
      </c>
      <c r="Y237" s="19">
        <f t="shared" si="121"/>
        <v>498.66666666666663</v>
      </c>
      <c r="Z237" s="15">
        <f>W237/S237</f>
        <v>1.7</v>
      </c>
      <c r="AA237" s="22" t="s">
        <v>1251</v>
      </c>
      <c r="AG237" s="94" t="s">
        <v>52</v>
      </c>
      <c r="AH237" s="89" t="str">
        <f>VLOOKUP(AG237,Sheet1!$B$3:$D$36,2,FALSE)</f>
        <v>Furniture</v>
      </c>
      <c r="AI237" s="89" t="s">
        <v>1178</v>
      </c>
      <c r="AJ237" s="1" t="str">
        <f t="shared" si="98"/>
        <v>Thaxted Chair</v>
      </c>
      <c r="AK237" s="1" t="str">
        <f t="shared" si="99"/>
        <v>w47 x d54 x h80 x sh47</v>
      </c>
      <c r="AL237" s="1" t="str">
        <f t="shared" si="100"/>
        <v xml:space="preserve">natural teak  </v>
      </c>
      <c r="AM237" s="1" t="str">
        <f t="shared" si="101"/>
        <v xml:space="preserve">natural teak  </v>
      </c>
      <c r="AN237" s="1" t="str">
        <f t="shared" si="122"/>
        <v xml:space="preserve">natural teak  </v>
      </c>
      <c r="AQ237" s="1" t="str">
        <f t="shared" si="102"/>
        <v>A</v>
      </c>
      <c r="AR237" s="1" t="str">
        <f>VLOOKUP(TRIM(AI237),Sheet1!$D$3:$E$36,2,FALSE)</f>
        <v>08</v>
      </c>
      <c r="AS237" s="90" t="str">
        <f t="shared" si="103"/>
        <v>01</v>
      </c>
      <c r="AT237" s="1" t="str">
        <f t="shared" si="104"/>
        <v>01</v>
      </c>
      <c r="AU237" s="90" t="s">
        <v>55</v>
      </c>
      <c r="AV237" s="90"/>
      <c r="AW237" s="90"/>
      <c r="AX237" s="95" t="str">
        <f>AQ237&amp;AR237&amp;AS237&amp;"-"&amp;AT237&amp;AU237&amp;BA237</f>
        <v>A0801-0110</v>
      </c>
      <c r="AY237" s="99" t="str">
        <f>AQ237&amp;AR237&amp;AS237&amp;"-"&amp;AT237&amp;BA237</f>
        <v>A0801-01</v>
      </c>
      <c r="AZ237" s="90"/>
      <c r="BA237" s="1" t="str">
        <f t="shared" si="105"/>
        <v/>
      </c>
      <c r="BC237" s="1">
        <f t="shared" si="123"/>
        <v>1</v>
      </c>
      <c r="BD237" s="90">
        <f t="shared" si="124"/>
        <v>1</v>
      </c>
      <c r="BE237" s="1">
        <f t="shared" si="114"/>
        <v>1</v>
      </c>
      <c r="BF237" s="1">
        <f t="shared" si="115"/>
        <v>1</v>
      </c>
      <c r="BI237"/>
      <c r="BJ237"/>
      <c r="BL237"/>
    </row>
    <row r="238" spans="1:64" ht="11.25" customHeight="1">
      <c r="A238" s="26" t="s">
        <v>1252</v>
      </c>
      <c r="B238" s="27" t="s">
        <v>1253</v>
      </c>
      <c r="C238" s="28">
        <v>469.99</v>
      </c>
      <c r="D238" s="28">
        <f t="shared" si="95"/>
        <v>234.995</v>
      </c>
      <c r="E238" s="22" t="s">
        <v>1170</v>
      </c>
      <c r="F238" s="22" t="s">
        <v>1254</v>
      </c>
      <c r="G238" s="22" t="s">
        <v>1255</v>
      </c>
      <c r="H238" s="22" t="s">
        <v>1256</v>
      </c>
      <c r="I238" s="23" t="s">
        <v>1244</v>
      </c>
      <c r="J238" s="22" t="s">
        <v>50</v>
      </c>
      <c r="K238" s="23">
        <v>46</v>
      </c>
      <c r="L238" s="23">
        <v>55</v>
      </c>
      <c r="M238" s="23">
        <v>97</v>
      </c>
      <c r="N238" s="3">
        <f t="shared" si="106"/>
        <v>0.24540999999999999</v>
      </c>
      <c r="O238" s="4" t="e">
        <f>(C238-(C238*#REF!))-((C238-(C238*#REF!))*#REF!)</f>
        <v>#REF!</v>
      </c>
      <c r="P238" s="7">
        <v>772158.0065531187</v>
      </c>
      <c r="Q238" s="7"/>
      <c r="R238" s="5">
        <f t="shared" si="118"/>
        <v>772158.0065531187</v>
      </c>
      <c r="S238" s="4">
        <f t="shared" si="119"/>
        <v>51.477200436874583</v>
      </c>
      <c r="T238" s="13">
        <f t="shared" si="97"/>
        <v>328.99300000000005</v>
      </c>
      <c r="U238" s="13">
        <f t="shared" si="109"/>
        <v>164.49650000000003</v>
      </c>
      <c r="V238" s="14">
        <f>U238/C238</f>
        <v>0.35000000000000003</v>
      </c>
      <c r="W238" s="14"/>
      <c r="X238" s="19">
        <f t="shared" si="120"/>
        <v>164.49650000000003</v>
      </c>
      <c r="Y238" s="19">
        <f t="shared" si="121"/>
        <v>328.99300000000005</v>
      </c>
      <c r="Z238" s="15">
        <f>U238/S238</f>
        <v>3.195521485316954</v>
      </c>
      <c r="AA238" s="22" t="s">
        <v>1257</v>
      </c>
      <c r="AG238" s="94" t="s">
        <v>52</v>
      </c>
      <c r="AH238" s="89" t="str">
        <f>VLOOKUP(AG238,Sheet1!$B$3:$D$36,2,FALSE)</f>
        <v>Furniture</v>
      </c>
      <c r="AI238" s="89" t="s">
        <v>1178</v>
      </c>
      <c r="AJ238" s="1" t="str">
        <f t="shared" si="98"/>
        <v>Sibton Chair</v>
      </c>
      <c r="AK238" s="1" t="str">
        <f t="shared" si="99"/>
        <v>w46 x d55 x h97 x sh45</v>
      </c>
      <c r="AL238" s="1" t="str">
        <f t="shared" si="100"/>
        <v xml:space="preserve">natural teak  </v>
      </c>
      <c r="AM238" s="1" t="str">
        <f t="shared" si="101"/>
        <v xml:space="preserve">natural teak  </v>
      </c>
      <c r="AN238" s="1" t="str">
        <f t="shared" si="122"/>
        <v xml:space="preserve">natural teak  </v>
      </c>
      <c r="AQ238" s="1" t="str">
        <f t="shared" si="102"/>
        <v>A</v>
      </c>
      <c r="AR238" s="1" t="str">
        <f>VLOOKUP(TRIM(AI238),Sheet1!$D$3:$E$36,2,FALSE)</f>
        <v>08</v>
      </c>
      <c r="AS238" s="90" t="str">
        <f t="shared" si="103"/>
        <v>01</v>
      </c>
      <c r="AT238" s="1" t="str">
        <f t="shared" si="104"/>
        <v>01</v>
      </c>
      <c r="AU238" s="90" t="s">
        <v>55</v>
      </c>
      <c r="AV238" s="90"/>
      <c r="AW238" s="90"/>
      <c r="AX238" s="95" t="str">
        <f>AQ238&amp;AR238&amp;AS238&amp;"-"&amp;AT238&amp;AU238&amp;BA238</f>
        <v>A0801-0110</v>
      </c>
      <c r="AY238" s="99" t="str">
        <f>AQ238&amp;AR238&amp;AS238&amp;"-"&amp;AT238&amp;BA238</f>
        <v>A0801-01</v>
      </c>
      <c r="AZ238" s="90"/>
      <c r="BA238" s="1" t="str">
        <f t="shared" si="105"/>
        <v/>
      </c>
      <c r="BC238" s="1">
        <f t="shared" si="123"/>
        <v>1</v>
      </c>
      <c r="BD238" s="90">
        <f t="shared" si="124"/>
        <v>1</v>
      </c>
      <c r="BE238" s="1">
        <f t="shared" si="114"/>
        <v>1</v>
      </c>
      <c r="BF238" s="1">
        <f t="shared" si="115"/>
        <v>1</v>
      </c>
      <c r="BI238"/>
      <c r="BJ238"/>
      <c r="BL238"/>
    </row>
    <row r="239" spans="1:64" ht="11.25" customHeight="1">
      <c r="A239" s="26" t="s">
        <v>1258</v>
      </c>
      <c r="B239" s="27" t="s">
        <v>1259</v>
      </c>
      <c r="C239" s="28">
        <v>459.99</v>
      </c>
      <c r="D239" s="28">
        <f t="shared" si="95"/>
        <v>229.995</v>
      </c>
      <c r="E239" s="22" t="s">
        <v>1170</v>
      </c>
      <c r="F239" s="22" t="s">
        <v>1260</v>
      </c>
      <c r="G239" s="22" t="s">
        <v>1261</v>
      </c>
      <c r="H239" s="22" t="s">
        <v>1262</v>
      </c>
      <c r="I239" s="23" t="s">
        <v>807</v>
      </c>
      <c r="J239" s="22" t="s">
        <v>50</v>
      </c>
      <c r="K239" s="23">
        <v>47</v>
      </c>
      <c r="L239" s="23">
        <v>50</v>
      </c>
      <c r="M239" s="23">
        <v>75</v>
      </c>
      <c r="N239" s="3">
        <f t="shared" si="106"/>
        <v>0.17624999999999999</v>
      </c>
      <c r="O239" s="4" t="e">
        <f>(C239-(C239*#REF!))-((C239-(C239*#REF!))*#REF!)</f>
        <v>#REF!</v>
      </c>
      <c r="P239" s="7"/>
      <c r="Q239" s="7"/>
      <c r="R239" s="5">
        <f t="shared" si="118"/>
        <v>0</v>
      </c>
      <c r="S239" s="4">
        <f t="shared" si="119"/>
        <v>0</v>
      </c>
      <c r="T239" s="13">
        <f t="shared" si="97"/>
        <v>321.99300000000005</v>
      </c>
      <c r="U239" s="13">
        <f t="shared" si="109"/>
        <v>160.99650000000003</v>
      </c>
      <c r="V239" s="14">
        <f>U239/C239</f>
        <v>0.35000000000000003</v>
      </c>
      <c r="W239" s="14"/>
      <c r="X239" s="19">
        <f t="shared" si="120"/>
        <v>160.99650000000003</v>
      </c>
      <c r="Y239" s="19">
        <f t="shared" si="121"/>
        <v>321.99300000000005</v>
      </c>
      <c r="Z239" s="15" t="e">
        <f>U239/S239</f>
        <v>#DIV/0!</v>
      </c>
      <c r="AA239" s="22" t="s">
        <v>1263</v>
      </c>
      <c r="AG239" s="94" t="s">
        <v>52</v>
      </c>
      <c r="AH239" s="89" t="str">
        <f>VLOOKUP(AG239,Sheet1!$B$3:$D$36,2,FALSE)</f>
        <v>Furniture</v>
      </c>
      <c r="AI239" s="89" t="s">
        <v>1178</v>
      </c>
      <c r="AJ239" s="1" t="str">
        <f t="shared" si="98"/>
        <v>Eynesbury Chair</v>
      </c>
      <c r="AK239" s="1" t="str">
        <f t="shared" si="99"/>
        <v>w47 x d50 x h75 x sh47</v>
      </c>
      <c r="AL239" s="1" t="str">
        <f t="shared" si="100"/>
        <v>natural teak</v>
      </c>
      <c r="AM239" s="1" t="str">
        <f t="shared" si="101"/>
        <v>natural teak</v>
      </c>
      <c r="AN239" s="1" t="str">
        <f t="shared" si="122"/>
        <v>natural teak</v>
      </c>
      <c r="AQ239" s="1" t="str">
        <f t="shared" si="102"/>
        <v>A</v>
      </c>
      <c r="AR239" s="1" t="str">
        <f>VLOOKUP(TRIM(AI239),Sheet1!$D$3:$E$36,2,FALSE)</f>
        <v>08</v>
      </c>
      <c r="AS239" s="90" t="str">
        <f t="shared" si="103"/>
        <v>01</v>
      </c>
      <c r="AT239" s="1" t="str">
        <f t="shared" si="104"/>
        <v>01</v>
      </c>
      <c r="AU239" s="90" t="s">
        <v>55</v>
      </c>
      <c r="AV239" s="90"/>
      <c r="AW239" s="90"/>
      <c r="AX239" s="95" t="str">
        <f>AQ239&amp;AR239&amp;AS239&amp;"-"&amp;AT239&amp;AU239&amp;BA239</f>
        <v>A0801-0110</v>
      </c>
      <c r="AY239" s="99" t="str">
        <f>AQ239&amp;AR239&amp;AS239&amp;"-"&amp;AT239&amp;BA239</f>
        <v>A0801-01</v>
      </c>
      <c r="AZ239" s="90"/>
      <c r="BA239" s="1" t="str">
        <f t="shared" si="105"/>
        <v/>
      </c>
      <c r="BC239" s="1">
        <f t="shared" si="123"/>
        <v>1</v>
      </c>
      <c r="BD239" s="90">
        <f t="shared" si="124"/>
        <v>1</v>
      </c>
      <c r="BE239" s="1">
        <f t="shared" si="114"/>
        <v>1</v>
      </c>
      <c r="BF239" s="1">
        <f t="shared" si="115"/>
        <v>1</v>
      </c>
      <c r="BI239"/>
      <c r="BJ239"/>
      <c r="BL239"/>
    </row>
    <row r="240" spans="1:64" ht="11.25" customHeight="1">
      <c r="A240" s="26" t="s">
        <v>1264</v>
      </c>
      <c r="B240" s="27" t="s">
        <v>1265</v>
      </c>
      <c r="C240" s="28">
        <v>329.99</v>
      </c>
      <c r="D240" s="28">
        <f t="shared" si="95"/>
        <v>164.995</v>
      </c>
      <c r="E240" s="22" t="s">
        <v>1170</v>
      </c>
      <c r="F240" s="22" t="s">
        <v>1266</v>
      </c>
      <c r="G240" s="22" t="s">
        <v>1267</v>
      </c>
      <c r="H240" s="22" t="s">
        <v>1268</v>
      </c>
      <c r="I240" s="23" t="s">
        <v>807</v>
      </c>
      <c r="J240" s="22" t="s">
        <v>50</v>
      </c>
      <c r="K240" s="23">
        <v>58</v>
      </c>
      <c r="L240" s="23">
        <v>56</v>
      </c>
      <c r="M240" s="23">
        <v>60</v>
      </c>
      <c r="N240" s="3">
        <f t="shared" si="106"/>
        <v>0.19488</v>
      </c>
      <c r="O240" s="4" t="e">
        <f>(C240-(C240*#REF!))-((C240-(C240*#REF!))*#REF!)</f>
        <v>#REF!</v>
      </c>
      <c r="P240" s="7"/>
      <c r="Q240" s="7"/>
      <c r="R240" s="5">
        <f t="shared" si="118"/>
        <v>0</v>
      </c>
      <c r="S240" s="4">
        <f t="shared" si="119"/>
        <v>0</v>
      </c>
      <c r="T240" s="13">
        <f t="shared" si="97"/>
        <v>230.99299999999999</v>
      </c>
      <c r="U240" s="13">
        <f t="shared" si="109"/>
        <v>115.4965</v>
      </c>
      <c r="V240" s="14">
        <f>U240/C240</f>
        <v>0.35</v>
      </c>
      <c r="W240" s="14"/>
      <c r="X240" s="19">
        <f t="shared" si="120"/>
        <v>115.4965</v>
      </c>
      <c r="Y240" s="19">
        <f t="shared" si="121"/>
        <v>230.99299999999999</v>
      </c>
      <c r="Z240" s="15" t="e">
        <f>U240/S240</f>
        <v>#DIV/0!</v>
      </c>
      <c r="AA240" s="22" t="s">
        <v>1269</v>
      </c>
      <c r="AG240" s="94" t="s">
        <v>52</v>
      </c>
      <c r="AH240" s="89" t="str">
        <f>VLOOKUP(AG240,Sheet1!$B$3:$D$36,2,FALSE)</f>
        <v>Furniture</v>
      </c>
      <c r="AI240" s="89" t="s">
        <v>1178</v>
      </c>
      <c r="AJ240" s="1" t="str">
        <f t="shared" si="98"/>
        <v>Aldeburgh Chair</v>
      </c>
      <c r="AK240" s="1" t="str">
        <f t="shared" si="99"/>
        <v>w58 x d56 x h60 x sh40</v>
      </c>
      <c r="AL240" s="1" t="str">
        <f t="shared" si="100"/>
        <v>natural teak</v>
      </c>
      <c r="AM240" s="1" t="str">
        <f t="shared" si="101"/>
        <v>natural teak</v>
      </c>
      <c r="AN240" s="1" t="str">
        <f t="shared" si="122"/>
        <v>natural teak</v>
      </c>
      <c r="AQ240" s="1" t="str">
        <f t="shared" si="102"/>
        <v>A</v>
      </c>
      <c r="AR240" s="1" t="str">
        <f>VLOOKUP(TRIM(AI240),Sheet1!$D$3:$E$36,2,FALSE)</f>
        <v>08</v>
      </c>
      <c r="AS240" s="90" t="str">
        <f t="shared" si="103"/>
        <v>01</v>
      </c>
      <c r="AT240" s="1" t="str">
        <f t="shared" si="104"/>
        <v>01</v>
      </c>
      <c r="AU240" s="90" t="s">
        <v>55</v>
      </c>
      <c r="AV240" s="90"/>
      <c r="AW240" s="90"/>
      <c r="AX240" s="95" t="str">
        <f>AQ240&amp;AR240&amp;AS240&amp;"-"&amp;AT240&amp;AU240&amp;BA240</f>
        <v>A0801-0110</v>
      </c>
      <c r="AY240" s="99" t="str">
        <f>AQ240&amp;AR240&amp;AS240&amp;"-"&amp;AT240&amp;BA240</f>
        <v>A0801-01</v>
      </c>
      <c r="AZ240" s="90"/>
      <c r="BA240" s="1" t="str">
        <f t="shared" si="105"/>
        <v/>
      </c>
      <c r="BC240" s="1">
        <f t="shared" si="123"/>
        <v>1</v>
      </c>
      <c r="BD240" s="90">
        <f t="shared" si="124"/>
        <v>1</v>
      </c>
      <c r="BE240" s="1">
        <f t="shared" si="114"/>
        <v>1</v>
      </c>
      <c r="BF240" s="1">
        <f t="shared" si="115"/>
        <v>1</v>
      </c>
      <c r="BI240"/>
      <c r="BJ240"/>
      <c r="BL240"/>
    </row>
    <row r="241" spans="1:64" ht="11.25" customHeight="1">
      <c r="A241" s="26" t="s">
        <v>1270</v>
      </c>
      <c r="B241" s="27" t="s">
        <v>1271</v>
      </c>
      <c r="C241" s="28">
        <v>314.99</v>
      </c>
      <c r="D241" s="28">
        <f t="shared" si="95"/>
        <v>157.495</v>
      </c>
      <c r="E241" s="22" t="s">
        <v>1170</v>
      </c>
      <c r="F241" s="22" t="s">
        <v>1272</v>
      </c>
      <c r="G241" s="22" t="s">
        <v>1273</v>
      </c>
      <c r="I241" s="23" t="s">
        <v>1223</v>
      </c>
      <c r="J241" s="22" t="s">
        <v>1176</v>
      </c>
      <c r="N241" s="3">
        <f t="shared" si="106"/>
        <v>0</v>
      </c>
      <c r="O241" s="4" t="e">
        <f>(C241-(C241*#REF!))-((C241-(C241*#REF!))*#REF!)</f>
        <v>#REF!</v>
      </c>
      <c r="P241" s="7"/>
      <c r="Q241" s="7"/>
      <c r="R241" s="5">
        <f t="shared" si="118"/>
        <v>0</v>
      </c>
      <c r="S241" s="4">
        <f t="shared" si="119"/>
        <v>0</v>
      </c>
      <c r="T241" s="13">
        <f t="shared" si="97"/>
        <v>220.49299999999999</v>
      </c>
      <c r="U241" s="13">
        <f t="shared" si="109"/>
        <v>110.2465</v>
      </c>
      <c r="V241" s="14">
        <f>U241/C241</f>
        <v>0.35</v>
      </c>
      <c r="W241" s="14"/>
      <c r="X241" s="19">
        <f t="shared" si="120"/>
        <v>110.2465</v>
      </c>
      <c r="Y241" s="19">
        <f t="shared" si="121"/>
        <v>220.49299999999999</v>
      </c>
      <c r="Z241" s="15" t="e">
        <f>U241/S241</f>
        <v>#DIV/0!</v>
      </c>
      <c r="AA241" s="22" t="s">
        <v>1274</v>
      </c>
      <c r="AG241" s="94" t="s">
        <v>52</v>
      </c>
      <c r="AH241" s="89" t="str">
        <f>VLOOKUP(AG241,Sheet1!$B$3:$D$36,2,FALSE)</f>
        <v>Furniture</v>
      </c>
      <c r="AI241" s="89" t="s">
        <v>1178</v>
      </c>
      <c r="AJ241" s="1" t="str">
        <f t="shared" si="98"/>
        <v xml:space="preserve"> Ickleton - upholstery</v>
      </c>
      <c r="AK241" s="1" t="str">
        <f t="shared" si="99"/>
        <v/>
      </c>
      <c r="AL241" s="1" t="str">
        <f t="shared" si="100"/>
        <v>fabric</v>
      </c>
      <c r="AM241" s="1" t="str">
        <f t="shared" si="101"/>
        <v>fabric</v>
      </c>
      <c r="AN241" s="1" t="str">
        <f t="shared" si="122"/>
        <v>fabric</v>
      </c>
      <c r="AQ241" s="1" t="str">
        <f t="shared" si="102"/>
        <v>A</v>
      </c>
      <c r="AR241" s="1" t="str">
        <f>VLOOKUP(TRIM(AI241),Sheet1!$D$3:$E$36,2,FALSE)</f>
        <v>08</v>
      </c>
      <c r="AS241" s="90" t="str">
        <f t="shared" si="103"/>
        <v>01</v>
      </c>
      <c r="AT241" s="1" t="str">
        <f t="shared" si="104"/>
        <v>01</v>
      </c>
      <c r="AU241" s="90" t="s">
        <v>1225</v>
      </c>
      <c r="AV241" s="90"/>
      <c r="AW241" s="90"/>
      <c r="AX241" s="95" t="str">
        <f>AQ241&amp;AR241&amp;AS241&amp;"-"&amp;AT241&amp;AU241&amp;BA241</f>
        <v>A0801-0139</v>
      </c>
      <c r="AY241" s="99" t="str">
        <f>AQ241&amp;AR241&amp;AS241&amp;"-"&amp;AT241&amp;BA241</f>
        <v>A0801-01</v>
      </c>
      <c r="AZ241" s="90"/>
      <c r="BA241" s="1" t="str">
        <f t="shared" si="105"/>
        <v/>
      </c>
      <c r="BC241" s="1">
        <f t="shared" si="123"/>
        <v>1</v>
      </c>
      <c r="BD241" s="90">
        <f t="shared" si="124"/>
        <v>1</v>
      </c>
      <c r="BE241" s="1">
        <f t="shared" si="114"/>
        <v>1</v>
      </c>
      <c r="BF241" s="1">
        <f t="shared" si="115"/>
        <v>1</v>
      </c>
      <c r="BI241"/>
      <c r="BJ241"/>
      <c r="BL241"/>
    </row>
    <row r="242" spans="1:64" ht="11.25" customHeight="1">
      <c r="A242" s="26" t="s">
        <v>1275</v>
      </c>
      <c r="B242" s="27" t="s">
        <v>1276</v>
      </c>
      <c r="C242" s="28">
        <v>469.99</v>
      </c>
      <c r="D242" s="28">
        <f t="shared" si="95"/>
        <v>234.995</v>
      </c>
      <c r="E242" s="22" t="s">
        <v>1170</v>
      </c>
      <c r="F242" s="22" t="s">
        <v>1277</v>
      </c>
      <c r="G242" s="22" t="s">
        <v>1278</v>
      </c>
      <c r="H242" s="22" t="s">
        <v>1279</v>
      </c>
      <c r="I242" s="23" t="s">
        <v>1244</v>
      </c>
      <c r="J242" s="22" t="s">
        <v>646</v>
      </c>
      <c r="K242" s="23">
        <v>50</v>
      </c>
      <c r="L242" s="23">
        <v>50</v>
      </c>
      <c r="M242" s="23">
        <v>78</v>
      </c>
      <c r="N242" s="3">
        <f t="shared" si="106"/>
        <v>0.19500000000000001</v>
      </c>
      <c r="O242" s="4" t="e">
        <f>(C242-(C242*#REF!))-((C242-(C242*#REF!))*#REF!)</f>
        <v>#REF!</v>
      </c>
      <c r="P242" s="7">
        <f>1534102.64316231-Q242</f>
        <v>452.64316230989061</v>
      </c>
      <c r="Q242" s="7">
        <v>1533650</v>
      </c>
      <c r="R242" s="5">
        <f t="shared" si="118"/>
        <v>1534102.6431623099</v>
      </c>
      <c r="S242" s="4">
        <f t="shared" si="119"/>
        <v>102.273509544154</v>
      </c>
      <c r="T242" s="13">
        <f t="shared" si="97"/>
        <v>328.99300000000005</v>
      </c>
      <c r="U242" s="13">
        <f t="shared" si="109"/>
        <v>164.49650000000003</v>
      </c>
      <c r="V242" s="14">
        <f>U242/C242</f>
        <v>0.35000000000000003</v>
      </c>
      <c r="W242" s="18">
        <f>S242*$W$1</f>
        <v>204.54701908830799</v>
      </c>
      <c r="X242" s="19">
        <f t="shared" si="120"/>
        <v>204.54701908830799</v>
      </c>
      <c r="Y242" s="19">
        <f t="shared" si="121"/>
        <v>409.09403817661598</v>
      </c>
      <c r="Z242" s="15">
        <v>2</v>
      </c>
      <c r="AA242" s="22" t="s">
        <v>1280</v>
      </c>
      <c r="AG242" s="94" t="s">
        <v>52</v>
      </c>
      <c r="AH242" s="89" t="str">
        <f>VLOOKUP(AG242,Sheet1!$B$3:$D$36,2,FALSE)</f>
        <v>Furniture</v>
      </c>
      <c r="AI242" s="89" t="s">
        <v>1178</v>
      </c>
      <c r="AJ242" s="1" t="str">
        <f t="shared" si="98"/>
        <v>Coddenham Chair</v>
      </c>
      <c r="AK242" s="1" t="str">
        <f t="shared" si="99"/>
        <v>w50 x d50 x h78 x sh45</v>
      </c>
      <c r="AL242" s="1" t="str">
        <f t="shared" si="100"/>
        <v xml:space="preserve">natural teak  </v>
      </c>
      <c r="AM242" s="1" t="str">
        <f t="shared" si="101"/>
        <v xml:space="preserve">natural teak  </v>
      </c>
      <c r="AN242" s="1" t="str">
        <f t="shared" si="122"/>
        <v xml:space="preserve">natural teak  </v>
      </c>
      <c r="AQ242" s="1" t="str">
        <f t="shared" si="102"/>
        <v>A</v>
      </c>
      <c r="AR242" s="1" t="str">
        <f>VLOOKUP(TRIM(AI242),Sheet1!$D$3:$E$36,2,FALSE)</f>
        <v>08</v>
      </c>
      <c r="AS242" s="90" t="str">
        <f t="shared" si="103"/>
        <v>01</v>
      </c>
      <c r="AT242" s="1" t="str">
        <f t="shared" si="104"/>
        <v>01</v>
      </c>
      <c r="AU242" s="90" t="s">
        <v>55</v>
      </c>
      <c r="AV242" s="90"/>
      <c r="AW242" s="90"/>
      <c r="AX242" s="95" t="str">
        <f>AQ242&amp;AR242&amp;AS242&amp;"-"&amp;AT242&amp;AU242&amp;BA242</f>
        <v>A0801-0110</v>
      </c>
      <c r="AY242" s="99" t="str">
        <f>AQ242&amp;AR242&amp;AS242&amp;"-"&amp;AT242&amp;BA242</f>
        <v>A0801-01</v>
      </c>
      <c r="AZ242" s="90"/>
      <c r="BA242" s="1" t="str">
        <f t="shared" si="105"/>
        <v/>
      </c>
      <c r="BC242" s="1">
        <f t="shared" si="123"/>
        <v>1</v>
      </c>
      <c r="BD242" s="90">
        <f t="shared" si="124"/>
        <v>1</v>
      </c>
      <c r="BE242" s="1">
        <f t="shared" si="114"/>
        <v>1</v>
      </c>
      <c r="BF242" s="1">
        <f t="shared" si="115"/>
        <v>1</v>
      </c>
      <c r="BI242"/>
      <c r="BJ242"/>
      <c r="BL242"/>
    </row>
    <row r="243" spans="1:64" ht="11.25" customHeight="1">
      <c r="A243" s="26" t="s">
        <v>1281</v>
      </c>
      <c r="B243" s="27" t="s">
        <v>1282</v>
      </c>
      <c r="C243" s="28">
        <v>519.99</v>
      </c>
      <c r="D243" s="28">
        <f t="shared" si="95"/>
        <v>259.995</v>
      </c>
      <c r="E243" s="22" t="s">
        <v>1170</v>
      </c>
      <c r="F243" s="22" t="s">
        <v>1283</v>
      </c>
      <c r="G243" s="22" t="s">
        <v>1284</v>
      </c>
      <c r="H243" s="22" t="s">
        <v>1285</v>
      </c>
      <c r="I243" s="23" t="s">
        <v>1244</v>
      </c>
      <c r="J243" s="22" t="s">
        <v>646</v>
      </c>
      <c r="K243" s="23">
        <v>56</v>
      </c>
      <c r="L243" s="23">
        <v>43</v>
      </c>
      <c r="M243" s="23">
        <v>80</v>
      </c>
      <c r="N243" s="3">
        <f t="shared" si="106"/>
        <v>0.19264000000000001</v>
      </c>
      <c r="O243" s="4" t="e">
        <f>(C243-(C243*#REF!))-((C243-(C243*#REF!))*#REF!)</f>
        <v>#REF!</v>
      </c>
      <c r="P243" s="7"/>
      <c r="Q243" s="7"/>
      <c r="R243" s="5">
        <f t="shared" si="118"/>
        <v>0</v>
      </c>
      <c r="S243" s="4">
        <f t="shared" si="119"/>
        <v>0</v>
      </c>
      <c r="T243" s="13">
        <f t="shared" si="97"/>
        <v>363.99300000000005</v>
      </c>
      <c r="U243" s="13">
        <f t="shared" si="109"/>
        <v>181.99650000000003</v>
      </c>
      <c r="V243" s="14">
        <f>U243/C243</f>
        <v>0.35000000000000003</v>
      </c>
      <c r="W243" s="14"/>
      <c r="X243" s="19">
        <f t="shared" si="120"/>
        <v>181.99650000000003</v>
      </c>
      <c r="Y243" s="19">
        <f t="shared" si="121"/>
        <v>363.99300000000005</v>
      </c>
      <c r="Z243" s="15" t="e">
        <f>U243/S243</f>
        <v>#DIV/0!</v>
      </c>
      <c r="AA243" s="22" t="s">
        <v>1286</v>
      </c>
      <c r="AG243" s="94" t="s">
        <v>52</v>
      </c>
      <c r="AH243" s="89" t="str">
        <f>VLOOKUP(AG243,Sheet1!$B$3:$D$36,2,FALSE)</f>
        <v>Furniture</v>
      </c>
      <c r="AI243" s="89" t="s">
        <v>1178</v>
      </c>
      <c r="AJ243" s="1" t="str">
        <f t="shared" si="98"/>
        <v>Hasketon Chair</v>
      </c>
      <c r="AK243" s="1" t="str">
        <f t="shared" si="99"/>
        <v>w56 x d43 x h80 x sh45</v>
      </c>
      <c r="AL243" s="1" t="str">
        <f t="shared" si="100"/>
        <v xml:space="preserve">natural teak  </v>
      </c>
      <c r="AM243" s="1" t="str">
        <f t="shared" si="101"/>
        <v xml:space="preserve">natural teak  </v>
      </c>
      <c r="AN243" s="1" t="str">
        <f t="shared" si="122"/>
        <v xml:space="preserve">natural teak  </v>
      </c>
      <c r="AQ243" s="1" t="str">
        <f t="shared" si="102"/>
        <v>A</v>
      </c>
      <c r="AR243" s="1" t="str">
        <f>VLOOKUP(TRIM(AI243),Sheet1!$D$3:$E$36,2,FALSE)</f>
        <v>08</v>
      </c>
      <c r="AS243" s="90" t="str">
        <f t="shared" si="103"/>
        <v>01</v>
      </c>
      <c r="AT243" s="1" t="str">
        <f t="shared" si="104"/>
        <v>01</v>
      </c>
      <c r="AU243" s="90" t="s">
        <v>55</v>
      </c>
      <c r="AV243" s="90"/>
      <c r="AW243" s="90"/>
      <c r="AX243" s="95" t="str">
        <f>AQ243&amp;AR243&amp;AS243&amp;"-"&amp;AT243&amp;AU243&amp;BA243</f>
        <v>A0801-0110</v>
      </c>
      <c r="AY243" s="99" t="str">
        <f>AQ243&amp;AR243&amp;AS243&amp;"-"&amp;AT243&amp;BA243</f>
        <v>A0801-01</v>
      </c>
      <c r="AZ243" s="90"/>
      <c r="BA243" s="1" t="str">
        <f t="shared" si="105"/>
        <v/>
      </c>
      <c r="BC243" s="1">
        <f t="shared" si="123"/>
        <v>1</v>
      </c>
      <c r="BD243" s="90">
        <f t="shared" si="124"/>
        <v>1</v>
      </c>
      <c r="BE243" s="1">
        <f t="shared" si="114"/>
        <v>1</v>
      </c>
      <c r="BF243" s="1">
        <f t="shared" si="115"/>
        <v>1</v>
      </c>
      <c r="BI243"/>
      <c r="BJ243"/>
      <c r="BL243"/>
    </row>
    <row r="244" spans="1:64" ht="11.25" customHeight="1">
      <c r="A244" s="26" t="s">
        <v>1287</v>
      </c>
      <c r="B244" s="27" t="s">
        <v>1288</v>
      </c>
      <c r="D244" s="28">
        <f t="shared" si="95"/>
        <v>0</v>
      </c>
      <c r="E244" s="22" t="s">
        <v>1170</v>
      </c>
      <c r="F244" s="22" t="s">
        <v>1289</v>
      </c>
      <c r="G244" s="22" t="s">
        <v>1290</v>
      </c>
      <c r="H244" s="22" t="s">
        <v>1291</v>
      </c>
      <c r="I244" s="23" t="s">
        <v>1244</v>
      </c>
      <c r="J244" s="22" t="s">
        <v>646</v>
      </c>
      <c r="K244" s="23">
        <v>53</v>
      </c>
      <c r="L244" s="23">
        <v>66</v>
      </c>
      <c r="M244" s="23">
        <v>79</v>
      </c>
      <c r="N244" s="3">
        <f t="shared" si="106"/>
        <v>0.27634199999999998</v>
      </c>
      <c r="O244" s="4" t="e">
        <f>(C244-(C244*#REF!))-((C244-(C244*#REF!))*#REF!)</f>
        <v>#REF!</v>
      </c>
      <c r="P244" s="7"/>
      <c r="Q244" s="7"/>
      <c r="R244" s="5">
        <f t="shared" si="118"/>
        <v>0</v>
      </c>
      <c r="S244" s="4">
        <f t="shared" si="119"/>
        <v>0</v>
      </c>
      <c r="T244" s="13">
        <f t="shared" si="97"/>
        <v>0</v>
      </c>
      <c r="U244" s="13">
        <f t="shared" si="109"/>
        <v>0</v>
      </c>
      <c r="V244" s="14" t="e">
        <f>U244/C244</f>
        <v>#DIV/0!</v>
      </c>
      <c r="W244" s="14"/>
      <c r="X244" s="19">
        <f t="shared" si="120"/>
        <v>0</v>
      </c>
      <c r="Y244" s="19">
        <f t="shared" si="121"/>
        <v>0</v>
      </c>
      <c r="Z244" s="15" t="e">
        <f>U244/S244</f>
        <v>#DIV/0!</v>
      </c>
      <c r="AA244" s="22" t="s">
        <v>1292</v>
      </c>
      <c r="AG244" s="94" t="s">
        <v>52</v>
      </c>
      <c r="AH244" s="89" t="str">
        <f>VLOOKUP(AG244,Sheet1!$B$3:$D$36,2,FALSE)</f>
        <v>Furniture</v>
      </c>
      <c r="AI244" s="89" t="s">
        <v>1178</v>
      </c>
      <c r="AJ244" s="1" t="str">
        <f t="shared" si="98"/>
        <v>Walberswick Chair</v>
      </c>
      <c r="AK244" s="1" t="str">
        <f t="shared" si="99"/>
        <v>w53 x d66 x h79 x sh45</v>
      </c>
      <c r="AL244" s="1" t="str">
        <f t="shared" si="100"/>
        <v xml:space="preserve">natural teak  </v>
      </c>
      <c r="AM244" s="1" t="str">
        <f t="shared" si="101"/>
        <v xml:space="preserve">natural teak  </v>
      </c>
      <c r="AN244" s="1" t="str">
        <f t="shared" si="122"/>
        <v xml:space="preserve">natural teak  </v>
      </c>
      <c r="AQ244" s="1" t="str">
        <f t="shared" si="102"/>
        <v>A</v>
      </c>
      <c r="AR244" s="1" t="str">
        <f>VLOOKUP(TRIM(AI244),Sheet1!$D$3:$E$36,2,FALSE)</f>
        <v>08</v>
      </c>
      <c r="AS244" s="90" t="str">
        <f t="shared" si="103"/>
        <v>01</v>
      </c>
      <c r="AT244" s="1" t="str">
        <f t="shared" si="104"/>
        <v>01</v>
      </c>
      <c r="AU244" s="90" t="s">
        <v>55</v>
      </c>
      <c r="AV244" s="90"/>
      <c r="AW244" s="90"/>
      <c r="AX244" s="95" t="str">
        <f>AQ244&amp;AR244&amp;AS244&amp;"-"&amp;AT244&amp;AU244&amp;BA244</f>
        <v>A0801-0110</v>
      </c>
      <c r="AY244" s="99" t="str">
        <f>AQ244&amp;AR244&amp;AS244&amp;"-"&amp;AT244&amp;BA244</f>
        <v>A0801-01</v>
      </c>
      <c r="AZ244" s="90"/>
      <c r="BA244" s="1" t="str">
        <f t="shared" si="105"/>
        <v/>
      </c>
      <c r="BC244" s="1">
        <f t="shared" si="123"/>
        <v>1</v>
      </c>
      <c r="BD244" s="90">
        <f t="shared" si="124"/>
        <v>1</v>
      </c>
      <c r="BE244" s="1">
        <f t="shared" si="114"/>
        <v>1</v>
      </c>
      <c r="BF244" s="1">
        <f t="shared" si="115"/>
        <v>1</v>
      </c>
      <c r="BI244"/>
      <c r="BJ244"/>
      <c r="BL244"/>
    </row>
    <row r="245" spans="1:64" ht="11.25" customHeight="1">
      <c r="A245" s="26">
        <v>22002</v>
      </c>
      <c r="B245" s="27" t="s">
        <v>1293</v>
      </c>
      <c r="C245" s="28">
        <v>243.99</v>
      </c>
      <c r="D245" s="28">
        <f t="shared" si="95"/>
        <v>121.995</v>
      </c>
      <c r="E245" s="22" t="s">
        <v>1170</v>
      </c>
      <c r="F245" s="22" t="s">
        <v>1294</v>
      </c>
      <c r="G245" s="22" t="s">
        <v>1295</v>
      </c>
      <c r="H245" s="22" t="s">
        <v>1296</v>
      </c>
      <c r="I245" s="23" t="s">
        <v>1297</v>
      </c>
      <c r="J245" s="22" t="s">
        <v>1176</v>
      </c>
      <c r="K245" s="23">
        <v>45</v>
      </c>
      <c r="L245" s="23">
        <v>45</v>
      </c>
      <c r="M245" s="23">
        <v>81</v>
      </c>
      <c r="N245" s="3">
        <f t="shared" si="106"/>
        <v>0.164025</v>
      </c>
      <c r="O245" s="4" t="e">
        <f>(C245-(C245*#REF!))-((C245-(C245*#REF!))*#REF!)</f>
        <v>#REF!</v>
      </c>
      <c r="P245" s="7"/>
      <c r="Q245" s="7"/>
      <c r="R245" s="5">
        <f t="shared" si="118"/>
        <v>0</v>
      </c>
      <c r="S245" s="4">
        <f t="shared" si="119"/>
        <v>0</v>
      </c>
      <c r="T245" s="13">
        <f t="shared" si="97"/>
        <v>170.79300000000001</v>
      </c>
      <c r="U245" s="13">
        <f t="shared" si="109"/>
        <v>85.396500000000003</v>
      </c>
      <c r="V245" s="14">
        <f>U245/C245</f>
        <v>0.35</v>
      </c>
      <c r="W245" s="14"/>
      <c r="X245" s="19">
        <f t="shared" si="120"/>
        <v>85.396500000000003</v>
      </c>
      <c r="Y245" s="19">
        <f t="shared" si="121"/>
        <v>170.79300000000001</v>
      </c>
      <c r="Z245" s="15" t="e">
        <f>U245/S245</f>
        <v>#DIV/0!</v>
      </c>
      <c r="AA245" s="22" t="s">
        <v>1298</v>
      </c>
      <c r="AG245" s="94" t="s">
        <v>52</v>
      </c>
      <c r="AH245" s="89" t="str">
        <f>VLOOKUP(AG245,Sheet1!$B$3:$D$36,2,FALSE)</f>
        <v>Furniture</v>
      </c>
      <c r="AI245" s="89" t="s">
        <v>1178</v>
      </c>
      <c r="AJ245" s="1" t="str">
        <f t="shared" si="98"/>
        <v>Cromer Chair</v>
      </c>
      <c r="AK245" s="1" t="str">
        <f t="shared" si="99"/>
        <v>w45 x d45 x h81 x sh43</v>
      </c>
      <c r="AL245" s="1" t="str">
        <f t="shared" si="100"/>
        <v>bamboo &amp; kubu grey</v>
      </c>
      <c r="AM245" s="1" t="str">
        <f t="shared" si="101"/>
        <v>bamboo &amp; kubu grey</v>
      </c>
      <c r="AN245" s="1" t="str">
        <f t="shared" si="122"/>
        <v>bamboo &amp; kubu grey</v>
      </c>
      <c r="AQ245" s="1" t="str">
        <f t="shared" si="102"/>
        <v>A</v>
      </c>
      <c r="AR245" s="1" t="str">
        <f>VLOOKUP(TRIM(AI245),Sheet1!$D$3:$E$36,2,FALSE)</f>
        <v>08</v>
      </c>
      <c r="AS245" s="90" t="str">
        <f t="shared" si="103"/>
        <v>01</v>
      </c>
      <c r="AT245" s="1" t="str">
        <f t="shared" si="104"/>
        <v>01</v>
      </c>
      <c r="AU245" s="90" t="s">
        <v>1232</v>
      </c>
      <c r="AV245" s="90"/>
      <c r="AW245" s="90"/>
      <c r="AX245" s="95" t="str">
        <f>AQ245&amp;AR245&amp;AS245&amp;"-"&amp;AT245&amp;AU245&amp;BA245</f>
        <v>A0801-0135</v>
      </c>
      <c r="AY245" s="99" t="str">
        <f>AQ245&amp;AR245&amp;AS245&amp;"-"&amp;AT245&amp;BA245</f>
        <v>A0801-01</v>
      </c>
      <c r="AZ245" s="90"/>
      <c r="BA245" s="1" t="str">
        <f t="shared" si="105"/>
        <v/>
      </c>
      <c r="BC245" s="1">
        <f t="shared" si="123"/>
        <v>1</v>
      </c>
      <c r="BD245" s="90">
        <f t="shared" si="124"/>
        <v>1</v>
      </c>
      <c r="BE245" s="1">
        <f t="shared" si="114"/>
        <v>1</v>
      </c>
      <c r="BF245" s="1">
        <f t="shared" si="115"/>
        <v>1</v>
      </c>
      <c r="BI245"/>
      <c r="BJ245"/>
      <c r="BL245"/>
    </row>
    <row r="246" spans="1:64" ht="11.25" customHeight="1">
      <c r="A246" s="26">
        <v>21066</v>
      </c>
      <c r="B246" s="27" t="s">
        <v>1299</v>
      </c>
      <c r="C246" s="28">
        <v>161.99</v>
      </c>
      <c r="D246" s="28">
        <f t="shared" si="95"/>
        <v>80.995000000000005</v>
      </c>
      <c r="E246" s="22" t="s">
        <v>1170</v>
      </c>
      <c r="F246" s="22" t="s">
        <v>1300</v>
      </c>
      <c r="G246" s="22" t="s">
        <v>1301</v>
      </c>
      <c r="H246" s="22" t="s">
        <v>1302</v>
      </c>
      <c r="I246" s="23" t="s">
        <v>1196</v>
      </c>
      <c r="J246" s="22" t="s">
        <v>1176</v>
      </c>
      <c r="K246" s="23">
        <v>52</v>
      </c>
      <c r="L246" s="23">
        <v>62</v>
      </c>
      <c r="M246" s="23">
        <v>83</v>
      </c>
      <c r="N246" s="3">
        <f t="shared" si="106"/>
        <v>0.267592</v>
      </c>
      <c r="O246" s="4" t="e">
        <f>(C246-(C246*#REF!))-((C246-(C246*#REF!))*#REF!)</f>
        <v>#REF!</v>
      </c>
      <c r="P246" s="7"/>
      <c r="Q246" s="7"/>
      <c r="R246" s="5">
        <f t="shared" si="118"/>
        <v>0</v>
      </c>
      <c r="S246" s="4">
        <f t="shared" si="119"/>
        <v>0</v>
      </c>
      <c r="T246" s="13">
        <f t="shared" si="97"/>
        <v>113.393</v>
      </c>
      <c r="U246" s="13">
        <f t="shared" si="109"/>
        <v>56.6965</v>
      </c>
      <c r="V246" s="14">
        <f>U246/C246</f>
        <v>0.35</v>
      </c>
      <c r="W246" s="14"/>
      <c r="X246" s="19">
        <f t="shared" si="120"/>
        <v>56.6965</v>
      </c>
      <c r="Y246" s="19">
        <f t="shared" si="121"/>
        <v>113.393</v>
      </c>
      <c r="Z246" s="15" t="e">
        <f>U246/S246</f>
        <v>#DIV/0!</v>
      </c>
      <c r="AA246" s="22" t="s">
        <v>1303</v>
      </c>
      <c r="AG246" s="94" t="s">
        <v>52</v>
      </c>
      <c r="AH246" s="89" t="str">
        <f>VLOOKUP(AG246,Sheet1!$B$3:$D$36,2,FALSE)</f>
        <v>Furniture</v>
      </c>
      <c r="AI246" s="89" t="s">
        <v>1178</v>
      </c>
      <c r="AJ246" s="1" t="str">
        <f t="shared" si="98"/>
        <v>Kersey Chair</v>
      </c>
      <c r="AK246" s="1" t="str">
        <f t="shared" si="99"/>
        <v>w52 x d62 x h83 x sh48</v>
      </c>
      <c r="AL246" s="1" t="str">
        <f t="shared" si="100"/>
        <v>kubu grey</v>
      </c>
      <c r="AM246" s="1" t="str">
        <f t="shared" si="101"/>
        <v>kubu grey</v>
      </c>
      <c r="AN246" s="1" t="str">
        <f t="shared" si="122"/>
        <v>kubu grey</v>
      </c>
      <c r="AQ246" s="1" t="str">
        <f t="shared" si="102"/>
        <v>A</v>
      </c>
      <c r="AR246" s="1" t="str">
        <f>VLOOKUP(TRIM(AI246),Sheet1!$D$3:$E$36,2,FALSE)</f>
        <v>08</v>
      </c>
      <c r="AS246" s="90" t="str">
        <f t="shared" si="103"/>
        <v>01</v>
      </c>
      <c r="AT246" s="1" t="str">
        <f t="shared" si="104"/>
        <v>01</v>
      </c>
      <c r="AU246" s="90" t="s">
        <v>1198</v>
      </c>
      <c r="AV246" s="90"/>
      <c r="AW246" s="90"/>
      <c r="AX246" s="95" t="str">
        <f>AQ246&amp;AR246&amp;AS246&amp;"-"&amp;AT246&amp;AU246&amp;BA246</f>
        <v>A0801-0107</v>
      </c>
      <c r="AY246" s="99" t="str">
        <f>AQ246&amp;AR246&amp;AS246&amp;"-"&amp;AT246&amp;BA246</f>
        <v>A0801-01</v>
      </c>
      <c r="AZ246" s="90"/>
      <c r="BA246" s="1" t="str">
        <f t="shared" si="105"/>
        <v/>
      </c>
      <c r="BC246" s="1">
        <f t="shared" si="123"/>
        <v>1</v>
      </c>
      <c r="BD246" s="90">
        <f t="shared" si="124"/>
        <v>1</v>
      </c>
      <c r="BE246" s="1">
        <f t="shared" si="114"/>
        <v>1</v>
      </c>
      <c r="BF246" s="1">
        <f t="shared" si="115"/>
        <v>1</v>
      </c>
      <c r="BI246"/>
      <c r="BJ246"/>
      <c r="BL246"/>
    </row>
    <row r="247" spans="1:64" ht="11.25" customHeight="1">
      <c r="A247" s="26" t="s">
        <v>1304</v>
      </c>
      <c r="B247" s="27" t="s">
        <v>1305</v>
      </c>
      <c r="C247" s="28">
        <v>160.99</v>
      </c>
      <c r="D247" s="28">
        <f t="shared" si="95"/>
        <v>80.495000000000005</v>
      </c>
      <c r="E247" s="22" t="s">
        <v>1170</v>
      </c>
      <c r="F247" s="22" t="s">
        <v>1306</v>
      </c>
      <c r="G247" s="22" t="s">
        <v>1307</v>
      </c>
      <c r="H247" s="22" t="s">
        <v>1308</v>
      </c>
      <c r="I247" s="23" t="s">
        <v>645</v>
      </c>
      <c r="J247" s="22" t="s">
        <v>646</v>
      </c>
      <c r="K247" s="23">
        <v>48</v>
      </c>
      <c r="L247" s="23">
        <v>63</v>
      </c>
      <c r="M247" s="23">
        <v>84.5</v>
      </c>
      <c r="N247" s="3">
        <f t="shared" si="106"/>
        <v>0.25552799999999998</v>
      </c>
      <c r="O247" s="4" t="e">
        <f>(C247-(C247*#REF!))-((C247-(C247*#REF!))*#REF!)</f>
        <v>#REF!</v>
      </c>
      <c r="P247" s="7">
        <f>Q247*0.2</f>
        <v>120000</v>
      </c>
      <c r="Q247" s="7">
        <v>600000</v>
      </c>
      <c r="R247" s="5">
        <f t="shared" si="118"/>
        <v>720000</v>
      </c>
      <c r="S247" s="4">
        <f t="shared" si="119"/>
        <v>48</v>
      </c>
      <c r="T247" s="13">
        <f t="shared" si="97"/>
        <v>112.69300000000001</v>
      </c>
      <c r="U247" s="13">
        <f t="shared" si="109"/>
        <v>56.346500000000006</v>
      </c>
      <c r="V247" s="14">
        <f>U247/C247</f>
        <v>0.35000000000000003</v>
      </c>
      <c r="W247" s="18">
        <f>S247*1.65</f>
        <v>79.199999999999989</v>
      </c>
      <c r="X247" s="19">
        <f t="shared" si="120"/>
        <v>79.199999999999989</v>
      </c>
      <c r="Y247" s="19">
        <f t="shared" si="121"/>
        <v>158.39999999999998</v>
      </c>
      <c r="Z247" s="15">
        <v>2</v>
      </c>
      <c r="AA247" s="22" t="s">
        <v>1309</v>
      </c>
      <c r="AG247" s="94" t="s">
        <v>52</v>
      </c>
      <c r="AH247" s="89" t="str">
        <f>VLOOKUP(AG247,Sheet1!$B$3:$D$36,2,FALSE)</f>
        <v>Furniture</v>
      </c>
      <c r="AI247" s="89" t="s">
        <v>1178</v>
      </c>
      <c r="AJ247" s="1" t="str">
        <f t="shared" si="98"/>
        <v>Clare Chair</v>
      </c>
      <c r="AK247" s="1" t="str">
        <f t="shared" si="99"/>
        <v>w48 x d63 x h84.5 x sh45</v>
      </c>
      <c r="AL247" s="1" t="str">
        <f t="shared" si="100"/>
        <v>teak root</v>
      </c>
      <c r="AM247" s="1" t="str">
        <f t="shared" si="101"/>
        <v>teak root</v>
      </c>
      <c r="AN247" s="1" t="str">
        <f t="shared" si="122"/>
        <v>teak root</v>
      </c>
      <c r="AQ247" s="1" t="str">
        <f t="shared" si="102"/>
        <v>A</v>
      </c>
      <c r="AR247" s="1" t="str">
        <f>VLOOKUP(TRIM(AI247),Sheet1!$D$3:$E$36,2,FALSE)</f>
        <v>08</v>
      </c>
      <c r="AS247" s="90" t="str">
        <f t="shared" si="103"/>
        <v>01</v>
      </c>
      <c r="AT247" s="1" t="str">
        <f t="shared" si="104"/>
        <v>01</v>
      </c>
      <c r="AU247" s="90" t="s">
        <v>648</v>
      </c>
      <c r="AV247" s="90"/>
      <c r="AW247" s="90"/>
      <c r="AX247" s="95" t="str">
        <f>AQ247&amp;AR247&amp;AS247&amp;"-"&amp;AT247&amp;AU247&amp;BA247</f>
        <v>A0801-0132</v>
      </c>
      <c r="AY247" s="99" t="str">
        <f>AQ247&amp;AR247&amp;AS247&amp;"-"&amp;AT247&amp;BA247</f>
        <v>A0801-01</v>
      </c>
      <c r="AZ247" s="90"/>
      <c r="BA247" s="1" t="str">
        <f t="shared" si="105"/>
        <v/>
      </c>
      <c r="BC247" s="1">
        <f t="shared" si="123"/>
        <v>1</v>
      </c>
      <c r="BD247" s="90">
        <f t="shared" si="124"/>
        <v>1</v>
      </c>
      <c r="BE247" s="1">
        <f t="shared" si="114"/>
        <v>1</v>
      </c>
      <c r="BF247" s="1">
        <f t="shared" si="115"/>
        <v>1</v>
      </c>
      <c r="BI247"/>
      <c r="BJ247"/>
      <c r="BL247"/>
    </row>
    <row r="248" spans="1:64" ht="11.25" customHeight="1">
      <c r="A248" s="26" t="s">
        <v>1310</v>
      </c>
      <c r="B248" s="27" t="s">
        <v>1311</v>
      </c>
      <c r="C248" s="28">
        <v>155.99</v>
      </c>
      <c r="D248" s="28">
        <f t="shared" si="95"/>
        <v>77.995000000000005</v>
      </c>
      <c r="E248" s="22" t="s">
        <v>1170</v>
      </c>
      <c r="F248" s="22" t="s">
        <v>1312</v>
      </c>
      <c r="G248" s="22" t="s">
        <v>1313</v>
      </c>
      <c r="H248" s="22" t="s">
        <v>1314</v>
      </c>
      <c r="I248" s="23" t="s">
        <v>1196</v>
      </c>
      <c r="J248" s="22" t="s">
        <v>1176</v>
      </c>
      <c r="K248" s="23">
        <v>50</v>
      </c>
      <c r="L248" s="23">
        <v>51</v>
      </c>
      <c r="M248" s="23">
        <v>82</v>
      </c>
      <c r="N248" s="3">
        <f t="shared" si="106"/>
        <v>0.20910000000000001</v>
      </c>
      <c r="O248" s="4" t="e">
        <f>(C248-(C248*#REF!))-((C248-(C248*#REF!))*#REF!)</f>
        <v>#REF!</v>
      </c>
      <c r="P248" s="7"/>
      <c r="Q248" s="7"/>
      <c r="R248" s="5">
        <f t="shared" si="118"/>
        <v>0</v>
      </c>
      <c r="S248" s="4">
        <f t="shared" si="119"/>
        <v>0</v>
      </c>
      <c r="T248" s="13">
        <f t="shared" si="97"/>
        <v>109.19300000000001</v>
      </c>
      <c r="U248" s="13">
        <f t="shared" si="109"/>
        <v>54.596500000000006</v>
      </c>
      <c r="V248" s="14">
        <f>U248/C248</f>
        <v>0.35000000000000003</v>
      </c>
      <c r="W248" s="14"/>
      <c r="X248" s="19">
        <f t="shared" si="120"/>
        <v>54.596500000000006</v>
      </c>
      <c r="Y248" s="19">
        <f t="shared" si="121"/>
        <v>109.19300000000001</v>
      </c>
      <c r="Z248" s="15" t="e">
        <f>U248/S248</f>
        <v>#DIV/0!</v>
      </c>
      <c r="AA248" s="22" t="s">
        <v>1315</v>
      </c>
      <c r="AG248" s="94" t="s">
        <v>52</v>
      </c>
      <c r="AH248" s="89" t="str">
        <f>VLOOKUP(AG248,Sheet1!$B$3:$D$36,2,FALSE)</f>
        <v>Furniture</v>
      </c>
      <c r="AI248" s="89" t="s">
        <v>1178</v>
      </c>
      <c r="AJ248" s="1" t="str">
        <f t="shared" si="98"/>
        <v>Comberton Chair</v>
      </c>
      <c r="AK248" s="1" t="str">
        <f t="shared" si="99"/>
        <v>w50 x d51 x h82 x sh49</v>
      </c>
      <c r="AL248" s="1" t="str">
        <f t="shared" si="100"/>
        <v>kubu grey</v>
      </c>
      <c r="AM248" s="1" t="str">
        <f t="shared" si="101"/>
        <v>kubu grey</v>
      </c>
      <c r="AN248" s="1" t="str">
        <f t="shared" si="122"/>
        <v>kubu grey</v>
      </c>
      <c r="AQ248" s="1" t="str">
        <f t="shared" si="102"/>
        <v>A</v>
      </c>
      <c r="AR248" s="1" t="str">
        <f>VLOOKUP(TRIM(AI248),Sheet1!$D$3:$E$36,2,FALSE)</f>
        <v>08</v>
      </c>
      <c r="AS248" s="90" t="str">
        <f t="shared" si="103"/>
        <v>01</v>
      </c>
      <c r="AT248" s="1" t="str">
        <f t="shared" si="104"/>
        <v>01</v>
      </c>
      <c r="AU248" s="90" t="s">
        <v>1198</v>
      </c>
      <c r="AV248" s="90"/>
      <c r="AW248" s="90"/>
      <c r="AX248" s="95" t="str">
        <f>AQ248&amp;AR248&amp;AS248&amp;"-"&amp;AT248&amp;AU248&amp;BA248</f>
        <v>A0801-0107</v>
      </c>
      <c r="AY248" s="99" t="str">
        <f>AQ248&amp;AR248&amp;AS248&amp;"-"&amp;AT248&amp;BA248</f>
        <v>A0801-01</v>
      </c>
      <c r="AZ248" s="90"/>
      <c r="BA248" s="1" t="str">
        <f t="shared" si="105"/>
        <v/>
      </c>
      <c r="BC248" s="1">
        <f t="shared" si="123"/>
        <v>1</v>
      </c>
      <c r="BD248" s="90">
        <f t="shared" si="124"/>
        <v>1</v>
      </c>
      <c r="BE248" s="1">
        <f t="shared" si="114"/>
        <v>1</v>
      </c>
      <c r="BF248" s="1">
        <f t="shared" si="115"/>
        <v>1</v>
      </c>
      <c r="BI248"/>
      <c r="BJ248"/>
      <c r="BL248"/>
    </row>
    <row r="249" spans="1:64" ht="11.25" customHeight="1">
      <c r="A249" s="26" t="s">
        <v>1316</v>
      </c>
      <c r="B249" s="27" t="s">
        <v>1317</v>
      </c>
      <c r="C249" s="28">
        <v>211.99</v>
      </c>
      <c r="D249" s="28">
        <f t="shared" si="95"/>
        <v>105.995</v>
      </c>
      <c r="E249" s="22" t="s">
        <v>1170</v>
      </c>
      <c r="F249" s="22" t="s">
        <v>1318</v>
      </c>
      <c r="G249" s="22" t="s">
        <v>1319</v>
      </c>
      <c r="H249" s="22" t="s">
        <v>1320</v>
      </c>
      <c r="I249" s="23" t="s">
        <v>1196</v>
      </c>
      <c r="J249" s="22" t="s">
        <v>1176</v>
      </c>
      <c r="K249" s="23">
        <v>63</v>
      </c>
      <c r="L249" s="23">
        <v>61</v>
      </c>
      <c r="M249" s="23">
        <v>81</v>
      </c>
      <c r="N249" s="3">
        <f t="shared" si="106"/>
        <v>0.31128299999999998</v>
      </c>
      <c r="O249" s="4" t="e">
        <f>(C249-(C249*#REF!))-((C249-(C249*#REF!))*#REF!)</f>
        <v>#REF!</v>
      </c>
      <c r="P249" s="7"/>
      <c r="Q249" s="7"/>
      <c r="R249" s="5">
        <f t="shared" si="118"/>
        <v>0</v>
      </c>
      <c r="S249" s="4">
        <f t="shared" si="119"/>
        <v>0</v>
      </c>
      <c r="T249" s="13">
        <f t="shared" si="97"/>
        <v>148.393</v>
      </c>
      <c r="U249" s="13">
        <f t="shared" si="109"/>
        <v>74.1965</v>
      </c>
      <c r="V249" s="14">
        <f>U249/C249</f>
        <v>0.35</v>
      </c>
      <c r="W249" s="14"/>
      <c r="X249" s="19">
        <f t="shared" si="120"/>
        <v>74.1965</v>
      </c>
      <c r="Y249" s="19">
        <f t="shared" si="121"/>
        <v>148.393</v>
      </c>
      <c r="Z249" s="15" t="e">
        <f>U249/S249</f>
        <v>#DIV/0!</v>
      </c>
      <c r="AA249" s="22" t="s">
        <v>1321</v>
      </c>
      <c r="AG249" s="94" t="s">
        <v>52</v>
      </c>
      <c r="AH249" s="89" t="str">
        <f>VLOOKUP(AG249,Sheet1!$B$3:$D$36,2,FALSE)</f>
        <v>Furniture</v>
      </c>
      <c r="AI249" s="89" t="s">
        <v>1178</v>
      </c>
      <c r="AJ249" s="1" t="str">
        <f t="shared" si="98"/>
        <v>Hinxton Chair</v>
      </c>
      <c r="AK249" s="1" t="str">
        <f t="shared" si="99"/>
        <v>w63 x d61 x h81 x sh49 x ah68</v>
      </c>
      <c r="AL249" s="1" t="str">
        <f t="shared" si="100"/>
        <v>kubu grey</v>
      </c>
      <c r="AM249" s="1" t="str">
        <f t="shared" si="101"/>
        <v>kubu grey</v>
      </c>
      <c r="AN249" s="1" t="str">
        <f t="shared" si="122"/>
        <v>kubu grey</v>
      </c>
      <c r="AQ249" s="1" t="str">
        <f t="shared" si="102"/>
        <v>A</v>
      </c>
      <c r="AR249" s="1" t="str">
        <f>VLOOKUP(TRIM(AI249),Sheet1!$D$3:$E$36,2,FALSE)</f>
        <v>08</v>
      </c>
      <c r="AS249" s="90" t="str">
        <f t="shared" si="103"/>
        <v>01</v>
      </c>
      <c r="AT249" s="1" t="str">
        <f t="shared" si="104"/>
        <v>01</v>
      </c>
      <c r="AU249" s="90" t="s">
        <v>1198</v>
      </c>
      <c r="AV249" s="90"/>
      <c r="AW249" s="90"/>
      <c r="AX249" s="95" t="str">
        <f>AQ249&amp;AR249&amp;AS249&amp;"-"&amp;AT249&amp;AU249&amp;BA249</f>
        <v>A0801-0107</v>
      </c>
      <c r="AY249" s="99" t="str">
        <f>AQ249&amp;AR249&amp;AS249&amp;"-"&amp;AT249&amp;BA249</f>
        <v>A0801-01</v>
      </c>
      <c r="AZ249" s="90"/>
      <c r="BA249" s="1" t="str">
        <f t="shared" si="105"/>
        <v/>
      </c>
      <c r="BC249" s="1">
        <f t="shared" si="123"/>
        <v>1</v>
      </c>
      <c r="BD249" s="90">
        <f t="shared" si="124"/>
        <v>1</v>
      </c>
      <c r="BE249" s="1">
        <f t="shared" si="114"/>
        <v>1</v>
      </c>
      <c r="BF249" s="1">
        <f t="shared" si="115"/>
        <v>1</v>
      </c>
      <c r="BI249"/>
      <c r="BJ249"/>
      <c r="BL249"/>
    </row>
    <row r="250" spans="1:64" ht="11.25" customHeight="1">
      <c r="A250" s="26">
        <v>21899</v>
      </c>
      <c r="B250" s="27" t="s">
        <v>1322</v>
      </c>
      <c r="C250" s="28">
        <v>314.99</v>
      </c>
      <c r="D250" s="28">
        <f t="shared" si="95"/>
        <v>157.495</v>
      </c>
      <c r="E250" s="22" t="s">
        <v>1170</v>
      </c>
      <c r="F250" s="22" t="s">
        <v>1323</v>
      </c>
      <c r="G250" s="22" t="s">
        <v>1324</v>
      </c>
      <c r="H250" s="22" t="s">
        <v>1325</v>
      </c>
      <c r="I250" s="23" t="s">
        <v>1326</v>
      </c>
      <c r="J250" s="22" t="s">
        <v>1176</v>
      </c>
      <c r="K250" s="23">
        <v>58</v>
      </c>
      <c r="L250" s="23">
        <v>62</v>
      </c>
      <c r="M250" s="23">
        <v>84</v>
      </c>
      <c r="N250" s="3">
        <f t="shared" si="106"/>
        <v>0.302064</v>
      </c>
      <c r="O250" s="4" t="e">
        <f>(C250-(C250*#REF!))-((C250-(C250*#REF!))*#REF!)</f>
        <v>#REF!</v>
      </c>
      <c r="P250" s="7">
        <v>112000</v>
      </c>
      <c r="Q250" s="7">
        <v>760750</v>
      </c>
      <c r="R250" s="5">
        <f t="shared" si="118"/>
        <v>872750</v>
      </c>
      <c r="S250" s="4">
        <f t="shared" si="119"/>
        <v>58.18333333333333</v>
      </c>
      <c r="T250" s="13">
        <f t="shared" si="97"/>
        <v>220.49299999999999</v>
      </c>
      <c r="U250" s="13">
        <f t="shared" si="109"/>
        <v>110.2465</v>
      </c>
      <c r="V250" s="14">
        <f>U250/C250</f>
        <v>0.35</v>
      </c>
      <c r="W250" s="18">
        <f>S250*$W$1</f>
        <v>116.36666666666666</v>
      </c>
      <c r="X250" s="19">
        <f t="shared" si="120"/>
        <v>116.36666666666666</v>
      </c>
      <c r="Y250" s="19">
        <f t="shared" si="121"/>
        <v>232.73333333333332</v>
      </c>
      <c r="Z250" s="15">
        <v>2</v>
      </c>
      <c r="AA250" s="22" t="s">
        <v>1327</v>
      </c>
      <c r="AG250" s="94" t="s">
        <v>52</v>
      </c>
      <c r="AH250" s="89" t="str">
        <f>VLOOKUP(AG250,Sheet1!$B$3:$D$36,2,FALSE)</f>
        <v>Furniture</v>
      </c>
      <c r="AI250" s="89" t="s">
        <v>1178</v>
      </c>
      <c r="AJ250" s="1" t="str">
        <f t="shared" si="98"/>
        <v>Bottisham Chair</v>
      </c>
      <c r="AK250" s="1" t="str">
        <f t="shared" si="99"/>
        <v>w58 x d62 x h84 x sh46 x ah69</v>
      </c>
      <c r="AL250" s="1" t="str">
        <f t="shared" si="100"/>
        <v>pullut</v>
      </c>
      <c r="AM250" s="1" t="str">
        <f t="shared" si="101"/>
        <v>pullut</v>
      </c>
      <c r="AN250" s="1" t="str">
        <f t="shared" si="122"/>
        <v>pullut</v>
      </c>
      <c r="AQ250" s="1" t="str">
        <f t="shared" si="102"/>
        <v>A</v>
      </c>
      <c r="AR250" s="1" t="str">
        <f>VLOOKUP(TRIM(AI250),Sheet1!$D$3:$E$36,2,FALSE)</f>
        <v>08</v>
      </c>
      <c r="AS250" s="90" t="str">
        <f t="shared" si="103"/>
        <v>01</v>
      </c>
      <c r="AT250" s="1" t="str">
        <f t="shared" si="104"/>
        <v>01</v>
      </c>
      <c r="AU250" s="90" t="s">
        <v>1185</v>
      </c>
      <c r="AV250" s="90"/>
      <c r="AW250" s="90"/>
      <c r="AX250" s="95" t="str">
        <f>AQ250&amp;AR250&amp;AS250&amp;"-"&amp;AT250&amp;AU250&amp;BA250</f>
        <v>A0801-0114</v>
      </c>
      <c r="AY250" s="99" t="str">
        <f>AQ250&amp;AR250&amp;AS250&amp;"-"&amp;AT250&amp;BA250</f>
        <v>A0801-01</v>
      </c>
      <c r="AZ250" s="90"/>
      <c r="BA250" s="1" t="str">
        <f t="shared" si="105"/>
        <v/>
      </c>
      <c r="BC250" s="1">
        <f t="shared" si="123"/>
        <v>1</v>
      </c>
      <c r="BD250" s="90">
        <f t="shared" si="124"/>
        <v>1</v>
      </c>
      <c r="BE250" s="1">
        <f t="shared" si="114"/>
        <v>1</v>
      </c>
      <c r="BF250" s="1">
        <f t="shared" si="115"/>
        <v>1</v>
      </c>
      <c r="BI250"/>
      <c r="BJ250"/>
      <c r="BL250"/>
    </row>
    <row r="251" spans="1:64" ht="11.25" customHeight="1">
      <c r="A251" s="26" t="s">
        <v>1328</v>
      </c>
      <c r="B251" s="27" t="s">
        <v>1329</v>
      </c>
      <c r="C251" s="28">
        <v>280.99</v>
      </c>
      <c r="D251" s="28">
        <f t="shared" si="95"/>
        <v>140.495</v>
      </c>
      <c r="E251" s="22" t="s">
        <v>1170</v>
      </c>
      <c r="F251" s="22" t="s">
        <v>1330</v>
      </c>
      <c r="G251" s="22" t="s">
        <v>1331</v>
      </c>
      <c r="H251" s="22" t="s">
        <v>1325</v>
      </c>
      <c r="I251" s="23" t="s">
        <v>1196</v>
      </c>
      <c r="J251" s="22" t="s">
        <v>1176</v>
      </c>
      <c r="K251" s="23">
        <v>58</v>
      </c>
      <c r="L251" s="23">
        <v>62</v>
      </c>
      <c r="M251" s="23">
        <v>84</v>
      </c>
      <c r="N251" s="3">
        <f t="shared" si="106"/>
        <v>0.302064</v>
      </c>
      <c r="O251" s="4" t="e">
        <f>(C251-(C251*#REF!))-((C251-(C251*#REF!))*#REF!)</f>
        <v>#REF!</v>
      </c>
      <c r="P251" s="7">
        <f>986065.175563224-Q251</f>
        <v>113115.17556322401</v>
      </c>
      <c r="Q251" s="7">
        <v>872950</v>
      </c>
      <c r="R251" s="5">
        <f t="shared" si="118"/>
        <v>986065.17556322401</v>
      </c>
      <c r="S251" s="4">
        <f t="shared" si="119"/>
        <v>65.737678370881596</v>
      </c>
      <c r="T251" s="13">
        <f t="shared" si="97"/>
        <v>196.69300000000001</v>
      </c>
      <c r="U251" s="13">
        <f t="shared" si="109"/>
        <v>98.346500000000006</v>
      </c>
      <c r="V251" s="14">
        <f>U251/C251</f>
        <v>0.35000000000000003</v>
      </c>
      <c r="W251" s="18">
        <f>S251*$W$1</f>
        <v>131.47535674176319</v>
      </c>
      <c r="X251" s="19">
        <f t="shared" si="120"/>
        <v>131.47535674176319</v>
      </c>
      <c r="Y251" s="19">
        <f t="shared" si="121"/>
        <v>262.95071348352639</v>
      </c>
      <c r="Z251" s="15">
        <v>2</v>
      </c>
      <c r="AA251" s="22" t="s">
        <v>1332</v>
      </c>
      <c r="AG251" s="94" t="s">
        <v>52</v>
      </c>
      <c r="AH251" s="89" t="str">
        <f>VLOOKUP(AG251,Sheet1!$B$3:$D$36,2,FALSE)</f>
        <v>Furniture</v>
      </c>
      <c r="AI251" s="89" t="s">
        <v>1178</v>
      </c>
      <c r="AJ251" s="1" t="str">
        <f t="shared" si="98"/>
        <v>Cavendish Chair</v>
      </c>
      <c r="AK251" s="1" t="str">
        <f t="shared" si="99"/>
        <v>w58 x d62 x h84 x sh46 x ah69</v>
      </c>
      <c r="AL251" s="1" t="str">
        <f t="shared" si="100"/>
        <v>kubu grey</v>
      </c>
      <c r="AM251" s="1" t="str">
        <f t="shared" si="101"/>
        <v>kubu grey</v>
      </c>
      <c r="AN251" s="1" t="str">
        <f t="shared" si="122"/>
        <v>kubu grey</v>
      </c>
      <c r="AQ251" s="1" t="str">
        <f t="shared" si="102"/>
        <v>A</v>
      </c>
      <c r="AR251" s="1" t="str">
        <f>VLOOKUP(TRIM(AI251),Sheet1!$D$3:$E$36,2,FALSE)</f>
        <v>08</v>
      </c>
      <c r="AS251" s="90" t="str">
        <f t="shared" si="103"/>
        <v>01</v>
      </c>
      <c r="AT251" s="1" t="str">
        <f t="shared" si="104"/>
        <v>02</v>
      </c>
      <c r="AU251" s="90" t="s">
        <v>1198</v>
      </c>
      <c r="AV251" s="90"/>
      <c r="AW251" s="90"/>
      <c r="AX251" s="95" t="str">
        <f>AQ251&amp;AR251&amp;AS251&amp;"-"&amp;AT251&amp;AU251&amp;BA251</f>
        <v>A0801-0207</v>
      </c>
      <c r="AY251" s="99" t="str">
        <f>AQ251&amp;AR251&amp;AS251&amp;"-"&amp;AT251&amp;BA251</f>
        <v>A0801-02</v>
      </c>
      <c r="AZ251" s="90"/>
      <c r="BA251" s="1" t="str">
        <f t="shared" si="105"/>
        <v/>
      </c>
      <c r="BC251" s="1">
        <f t="shared" si="123"/>
        <v>1</v>
      </c>
      <c r="BD251" s="90">
        <f t="shared" si="124"/>
        <v>1</v>
      </c>
      <c r="BE251" s="1" t="str">
        <f t="shared" si="114"/>
        <v/>
      </c>
      <c r="BF251" s="1">
        <f t="shared" si="115"/>
        <v>2</v>
      </c>
      <c r="BI251"/>
      <c r="BJ251"/>
      <c r="BL251"/>
    </row>
    <row r="252" spans="1:64" s="63" customFormat="1" ht="15.75">
      <c r="A252" s="65" t="s">
        <v>1333</v>
      </c>
      <c r="B252" s="66"/>
      <c r="C252" s="67"/>
      <c r="D252" s="75"/>
      <c r="E252" s="68"/>
      <c r="F252" s="69"/>
      <c r="G252" s="68"/>
      <c r="H252" s="68"/>
      <c r="I252" s="65"/>
      <c r="J252" s="68"/>
      <c r="K252" s="65"/>
      <c r="L252" s="65"/>
      <c r="M252" s="65"/>
      <c r="N252" s="68"/>
      <c r="O252" s="68"/>
      <c r="P252" s="76"/>
      <c r="Q252" s="76"/>
      <c r="R252" s="77"/>
      <c r="S252" s="68"/>
      <c r="T252" s="78"/>
      <c r="U252" s="78"/>
      <c r="V252" s="75"/>
      <c r="W252" s="75"/>
      <c r="X252" s="75"/>
      <c r="Y252" s="75"/>
      <c r="Z252" s="79"/>
      <c r="AA252" s="68"/>
      <c r="AB252" s="66"/>
      <c r="AC252" s="66"/>
      <c r="AD252" s="66"/>
      <c r="AE252" s="66"/>
      <c r="AF252" s="66"/>
      <c r="AG252" s="93"/>
      <c r="AH252" s="89"/>
      <c r="AI252" s="89"/>
      <c r="AJ252" s="1"/>
      <c r="AK252" s="1"/>
      <c r="AL252" s="1"/>
      <c r="AM252" s="1"/>
      <c r="AQ252" s="1"/>
      <c r="AR252" s="1"/>
      <c r="AS252" s="90"/>
      <c r="AT252" s="1"/>
      <c r="AU252" s="90"/>
      <c r="AV252" s="90"/>
      <c r="AW252" s="90"/>
      <c r="AX252" s="95"/>
      <c r="AY252" s="99" t="str">
        <f>AQ252&amp;AR252&amp;AS252&amp;"-"&amp;AT252&amp;BA252</f>
        <v>-</v>
      </c>
      <c r="AZ252" s="90"/>
      <c r="BA252" s="1"/>
      <c r="BC252" s="1"/>
      <c r="BD252" s="90"/>
      <c r="BE252" s="1"/>
      <c r="BF252" s="1"/>
      <c r="BI252"/>
      <c r="BJ252"/>
      <c r="BK252" s="1"/>
      <c r="BL252"/>
    </row>
    <row r="253" spans="1:64" ht="11.25" customHeight="1">
      <c r="A253" s="26" t="s">
        <v>1334</v>
      </c>
      <c r="B253" s="27" t="s">
        <v>1335</v>
      </c>
      <c r="C253" s="28">
        <v>214.99</v>
      </c>
      <c r="D253" s="28">
        <f t="shared" si="95"/>
        <v>107.495</v>
      </c>
      <c r="E253" s="22" t="s">
        <v>1333</v>
      </c>
      <c r="F253" s="22" t="s">
        <v>1336</v>
      </c>
      <c r="G253" s="22" t="s">
        <v>1337</v>
      </c>
      <c r="H253" s="22" t="s">
        <v>1338</v>
      </c>
      <c r="I253" s="23" t="s">
        <v>662</v>
      </c>
      <c r="J253" s="22" t="s">
        <v>646</v>
      </c>
      <c r="K253" s="23">
        <v>45</v>
      </c>
      <c r="L253" s="23">
        <v>45</v>
      </c>
      <c r="M253" s="23">
        <v>105</v>
      </c>
      <c r="N253" s="3">
        <f t="shared" si="106"/>
        <v>0.21262500000000001</v>
      </c>
      <c r="O253" s="4" t="e">
        <f>(C253-(C253*#REF!))-((C253-(C253*#REF!))*#REF!)</f>
        <v>#REF!</v>
      </c>
      <c r="P253" s="7"/>
      <c r="Q253" s="7"/>
      <c r="R253" s="5">
        <f t="shared" ref="R253:R275" si="125">P253+Q253</f>
        <v>0</v>
      </c>
      <c r="S253" s="4">
        <f t="shared" ref="S253:S275" si="126">R253/15000</f>
        <v>0</v>
      </c>
      <c r="T253" s="13">
        <f t="shared" si="97"/>
        <v>150.49299999999999</v>
      </c>
      <c r="U253" s="13">
        <f t="shared" si="109"/>
        <v>75.246499999999997</v>
      </c>
      <c r="V253" s="14">
        <f>U253/C253</f>
        <v>0.35</v>
      </c>
      <c r="W253" s="14"/>
      <c r="X253" s="19">
        <f t="shared" ref="X253:X275" si="127">IF(ISBLANK(W253),U253, W253)</f>
        <v>75.246499999999997</v>
      </c>
      <c r="Y253" s="19">
        <f t="shared" ref="Y253:Y275" si="128">X253*2</f>
        <v>150.49299999999999</v>
      </c>
      <c r="Z253" s="15" t="e">
        <f t="shared" ref="Z252:Z264" si="129">U253/S253</f>
        <v>#DIV/0!</v>
      </c>
      <c r="AA253" s="22" t="s">
        <v>1339</v>
      </c>
      <c r="AG253" s="94" t="s">
        <v>52</v>
      </c>
      <c r="AH253" s="89" t="str">
        <f>VLOOKUP(AG253,Sheet1!$B$3:$D$36,2,FALSE)</f>
        <v>Furniture</v>
      </c>
      <c r="AI253" s="89" t="s">
        <v>1340</v>
      </c>
      <c r="AJ253" s="1" t="str">
        <f t="shared" si="98"/>
        <v>Troyes Rustic</v>
      </c>
      <c r="AK253" s="1" t="str">
        <f t="shared" si="99"/>
        <v>w45 x d45 x h105 x sh80</v>
      </c>
      <c r="AL253" s="1" t="str">
        <f t="shared" si="100"/>
        <v>teak branches</v>
      </c>
      <c r="AM253" s="1" t="str">
        <f t="shared" si="101"/>
        <v>teak branches</v>
      </c>
      <c r="AN253" s="1" t="str">
        <f t="shared" ref="AN253:AN275" si="130">SUBSTITUTE(AL253,"indoor","")</f>
        <v>teak branches</v>
      </c>
      <c r="AQ253" s="1" t="str">
        <f t="shared" si="102"/>
        <v>A</v>
      </c>
      <c r="AR253" s="1" t="str">
        <f>VLOOKUP(TRIM(AI253),Sheet1!$D$3:$E$36,2,FALSE)</f>
        <v>09</v>
      </c>
      <c r="AS253" s="90" t="str">
        <f t="shared" si="103"/>
        <v>01</v>
      </c>
      <c r="AT253" s="1" t="str">
        <f t="shared" si="104"/>
        <v>01</v>
      </c>
      <c r="AU253" s="90" t="s">
        <v>664</v>
      </c>
      <c r="AV253" s="90"/>
      <c r="AW253" s="90"/>
      <c r="AX253" s="95" t="str">
        <f>AQ253&amp;AR253&amp;AS253&amp;"-"&amp;AT253&amp;AU253&amp;BA253</f>
        <v>A0901-0127</v>
      </c>
      <c r="AY253" s="99" t="str">
        <f>AQ253&amp;AR253&amp;AS253&amp;"-"&amp;AT253&amp;BA253</f>
        <v>A0901-01</v>
      </c>
      <c r="AZ253" s="90"/>
      <c r="BA253" s="1" t="str">
        <f t="shared" si="105"/>
        <v/>
      </c>
      <c r="BC253" s="1">
        <f t="shared" si="123"/>
        <v>1</v>
      </c>
      <c r="BD253" s="90">
        <f t="shared" si="124"/>
        <v>1</v>
      </c>
      <c r="BE253" s="1">
        <f t="shared" si="114"/>
        <v>1</v>
      </c>
      <c r="BF253" s="1">
        <f t="shared" si="115"/>
        <v>1</v>
      </c>
      <c r="BI253"/>
      <c r="BJ253"/>
      <c r="BL253"/>
    </row>
    <row r="254" spans="1:64" ht="11.25" customHeight="1">
      <c r="A254" s="26">
        <v>21913</v>
      </c>
      <c r="B254" s="27" t="s">
        <v>1341</v>
      </c>
      <c r="C254" s="28">
        <v>275.99</v>
      </c>
      <c r="D254" s="28">
        <f t="shared" si="95"/>
        <v>137.995</v>
      </c>
      <c r="E254" s="22" t="s">
        <v>1333</v>
      </c>
      <c r="F254" s="22" t="s">
        <v>1342</v>
      </c>
      <c r="G254" s="22" t="s">
        <v>1343</v>
      </c>
      <c r="H254" s="22" t="s">
        <v>1344</v>
      </c>
      <c r="I254" s="23" t="s">
        <v>1183</v>
      </c>
      <c r="J254" s="22" t="s">
        <v>670</v>
      </c>
      <c r="K254" s="23">
        <v>41</v>
      </c>
      <c r="L254" s="23">
        <v>55</v>
      </c>
      <c r="M254" s="23">
        <v>110</v>
      </c>
      <c r="N254" s="3">
        <f t="shared" si="106"/>
        <v>0.24804999999999999</v>
      </c>
      <c r="O254" s="4" t="e">
        <f>(C254-(C254*#REF!))-((C254-(C254*#REF!))*#REF!)</f>
        <v>#REF!</v>
      </c>
      <c r="P254" s="7"/>
      <c r="Q254" s="7"/>
      <c r="R254" s="5">
        <f t="shared" si="125"/>
        <v>0</v>
      </c>
      <c r="S254" s="4">
        <f t="shared" si="126"/>
        <v>0</v>
      </c>
      <c r="T254" s="13">
        <f t="shared" si="97"/>
        <v>193.19300000000001</v>
      </c>
      <c r="U254" s="13">
        <f t="shared" si="109"/>
        <v>96.596500000000006</v>
      </c>
      <c r="V254" s="14">
        <f>U254/C254</f>
        <v>0.35000000000000003</v>
      </c>
      <c r="W254" s="14"/>
      <c r="X254" s="19">
        <f t="shared" si="127"/>
        <v>96.596500000000006</v>
      </c>
      <c r="Y254" s="19">
        <f t="shared" si="128"/>
        <v>193.19300000000001</v>
      </c>
      <c r="Z254" s="15" t="e">
        <f t="shared" si="129"/>
        <v>#DIV/0!</v>
      </c>
      <c r="AA254" s="22" t="s">
        <v>1345</v>
      </c>
      <c r="AG254" s="94" t="s">
        <v>52</v>
      </c>
      <c r="AH254" s="89" t="str">
        <f>VLOOKUP(AG254,Sheet1!$B$3:$D$36,2,FALSE)</f>
        <v>Furniture</v>
      </c>
      <c r="AI254" s="89" t="s">
        <v>1340</v>
      </c>
      <c r="AJ254" s="1" t="str">
        <f t="shared" si="98"/>
        <v>Carcassonne Bar Chair</v>
      </c>
      <c r="AK254" s="1" t="str">
        <f t="shared" si="99"/>
        <v>w41 x d55 x h110 x sh76</v>
      </c>
      <c r="AL254" s="1" t="str">
        <f t="shared" si="100"/>
        <v>pulut</v>
      </c>
      <c r="AM254" s="1" t="str">
        <f t="shared" si="101"/>
        <v>pulut</v>
      </c>
      <c r="AN254" s="1" t="str">
        <f t="shared" si="130"/>
        <v>pulut</v>
      </c>
      <c r="AQ254" s="1" t="str">
        <f t="shared" si="102"/>
        <v>A</v>
      </c>
      <c r="AR254" s="1" t="str">
        <f>VLOOKUP(TRIM(AI254),Sheet1!$D$3:$E$36,2,FALSE)</f>
        <v>09</v>
      </c>
      <c r="AS254" s="90" t="str">
        <f t="shared" si="103"/>
        <v>01</v>
      </c>
      <c r="AT254" s="1" t="str">
        <f t="shared" si="104"/>
        <v>01</v>
      </c>
      <c r="AU254" s="90" t="s">
        <v>1185</v>
      </c>
      <c r="AV254" s="90"/>
      <c r="AW254" s="90"/>
      <c r="AX254" s="95" t="str">
        <f>AQ254&amp;AR254&amp;AS254&amp;"-"&amp;AT254&amp;AU254&amp;BA254</f>
        <v>A0901-0114</v>
      </c>
      <c r="AY254" s="99" t="str">
        <f>AQ254&amp;AR254&amp;AS254&amp;"-"&amp;AT254&amp;BA254</f>
        <v>A0901-01</v>
      </c>
      <c r="AZ254" s="90"/>
      <c r="BA254" s="1" t="str">
        <f t="shared" si="105"/>
        <v/>
      </c>
      <c r="BC254" s="1">
        <f t="shared" si="123"/>
        <v>1</v>
      </c>
      <c r="BD254" s="90">
        <f t="shared" si="124"/>
        <v>1</v>
      </c>
      <c r="BE254" s="1">
        <f t="shared" si="114"/>
        <v>1</v>
      </c>
      <c r="BF254" s="1">
        <f t="shared" si="115"/>
        <v>1</v>
      </c>
      <c r="BI254"/>
      <c r="BJ254"/>
      <c r="BL254"/>
    </row>
    <row r="255" spans="1:64" ht="11.25" customHeight="1">
      <c r="A255" s="26">
        <v>21951</v>
      </c>
      <c r="B255" s="27" t="s">
        <v>1346</v>
      </c>
      <c r="C255" s="28">
        <v>374.99</v>
      </c>
      <c r="D255" s="28">
        <f t="shared" si="95"/>
        <v>187.495</v>
      </c>
      <c r="E255" s="22" t="s">
        <v>1333</v>
      </c>
      <c r="F255" s="22" t="s">
        <v>1347</v>
      </c>
      <c r="G255" s="22" t="s">
        <v>1348</v>
      </c>
      <c r="H255" s="22" t="s">
        <v>1349</v>
      </c>
      <c r="I255" s="23" t="s">
        <v>1183</v>
      </c>
      <c r="J255" s="22" t="s">
        <v>670</v>
      </c>
      <c r="K255" s="23">
        <v>55</v>
      </c>
      <c r="L255" s="23">
        <v>55</v>
      </c>
      <c r="M255" s="23">
        <v>110</v>
      </c>
      <c r="N255" s="3">
        <f t="shared" si="106"/>
        <v>0.33274999999999999</v>
      </c>
      <c r="O255" s="4" t="e">
        <f>(C255-(C255*#REF!))-((C255-(C255*#REF!))*#REF!)</f>
        <v>#REF!</v>
      </c>
      <c r="P255" s="7"/>
      <c r="Q255" s="7"/>
      <c r="R255" s="5">
        <f t="shared" si="125"/>
        <v>0</v>
      </c>
      <c r="S255" s="4">
        <f t="shared" si="126"/>
        <v>0</v>
      </c>
      <c r="T255" s="13">
        <f t="shared" si="97"/>
        <v>262.49299999999999</v>
      </c>
      <c r="U255" s="13">
        <f t="shared" si="109"/>
        <v>131.2465</v>
      </c>
      <c r="V255" s="14">
        <f>U255/C255</f>
        <v>0.35</v>
      </c>
      <c r="W255" s="14"/>
      <c r="X255" s="19">
        <f t="shared" si="127"/>
        <v>131.2465</v>
      </c>
      <c r="Y255" s="19">
        <f t="shared" si="128"/>
        <v>262.49299999999999</v>
      </c>
      <c r="Z255" s="15" t="e">
        <f t="shared" si="129"/>
        <v>#DIV/0!</v>
      </c>
      <c r="AA255" s="22" t="s">
        <v>1350</v>
      </c>
      <c r="AG255" s="94" t="s">
        <v>52</v>
      </c>
      <c r="AH255" s="89" t="str">
        <f>VLOOKUP(AG255,Sheet1!$B$3:$D$36,2,FALSE)</f>
        <v>Furniture</v>
      </c>
      <c r="AI255" s="89" t="s">
        <v>1340</v>
      </c>
      <c r="AJ255" s="1" t="str">
        <f t="shared" si="98"/>
        <v>Carcassonne Bar Chair with arm rest</v>
      </c>
      <c r="AK255" s="1" t="str">
        <f t="shared" si="99"/>
        <v>w55 x d55 x h110 x sh76 x ah92</v>
      </c>
      <c r="AL255" s="1" t="str">
        <f t="shared" si="100"/>
        <v>pulut</v>
      </c>
      <c r="AM255" s="1" t="str">
        <f t="shared" si="101"/>
        <v>pulut</v>
      </c>
      <c r="AN255" s="1" t="str">
        <f t="shared" si="130"/>
        <v>pulut</v>
      </c>
      <c r="AQ255" s="1" t="str">
        <f t="shared" si="102"/>
        <v>A</v>
      </c>
      <c r="AR255" s="1" t="str">
        <f>VLOOKUP(TRIM(AI255),Sheet1!$D$3:$E$36,2,FALSE)</f>
        <v>09</v>
      </c>
      <c r="AS255" s="90" t="str">
        <f t="shared" si="103"/>
        <v>01</v>
      </c>
      <c r="AT255" s="1" t="str">
        <f t="shared" si="104"/>
        <v>01</v>
      </c>
      <c r="AU255" s="90" t="s">
        <v>1185</v>
      </c>
      <c r="AV255" s="90"/>
      <c r="AW255" s="90"/>
      <c r="AX255" s="95" t="str">
        <f>AQ255&amp;AR255&amp;AS255&amp;"-"&amp;AT255&amp;AU255&amp;BA255</f>
        <v>A0901-0114</v>
      </c>
      <c r="AY255" s="99" t="str">
        <f>AQ255&amp;AR255&amp;AS255&amp;"-"&amp;AT255&amp;BA255</f>
        <v>A0901-01</v>
      </c>
      <c r="AZ255" s="90"/>
      <c r="BA255" s="1" t="str">
        <f t="shared" si="105"/>
        <v/>
      </c>
      <c r="BC255" s="1">
        <f t="shared" si="123"/>
        <v>1</v>
      </c>
      <c r="BD255" s="90">
        <f t="shared" si="124"/>
        <v>1</v>
      </c>
      <c r="BE255" s="1">
        <f t="shared" si="114"/>
        <v>1</v>
      </c>
      <c r="BF255" s="1">
        <f t="shared" si="115"/>
        <v>1</v>
      </c>
      <c r="BI255"/>
      <c r="BJ255"/>
      <c r="BL255"/>
    </row>
    <row r="256" spans="1:64" ht="11.25" customHeight="1">
      <c r="A256" s="26" t="s">
        <v>1351</v>
      </c>
      <c r="B256" s="27" t="s">
        <v>1352</v>
      </c>
      <c r="C256" s="28">
        <v>449.99</v>
      </c>
      <c r="D256" s="28">
        <f t="shared" si="95"/>
        <v>224.995</v>
      </c>
      <c r="E256" s="22" t="s">
        <v>1333</v>
      </c>
      <c r="F256" s="22" t="s">
        <v>1353</v>
      </c>
      <c r="G256" s="22" t="s">
        <v>721</v>
      </c>
      <c r="H256" s="22" t="s">
        <v>1354</v>
      </c>
      <c r="I256" s="23" t="s">
        <v>807</v>
      </c>
      <c r="J256" s="22" t="s">
        <v>50</v>
      </c>
      <c r="K256" s="23">
        <v>45</v>
      </c>
      <c r="L256" s="23">
        <v>40</v>
      </c>
      <c r="M256" s="23">
        <v>65</v>
      </c>
      <c r="N256" s="3">
        <f t="shared" si="106"/>
        <v>0.11700000000000001</v>
      </c>
      <c r="O256" s="4" t="e">
        <f>(C256-(C256*#REF!))-((C256-(C256*#REF!))*#REF!)</f>
        <v>#REF!</v>
      </c>
      <c r="P256" s="7"/>
      <c r="Q256" s="7"/>
      <c r="R256" s="5">
        <f t="shared" si="125"/>
        <v>0</v>
      </c>
      <c r="S256" s="4">
        <f t="shared" si="126"/>
        <v>0</v>
      </c>
      <c r="T256" s="13">
        <f t="shared" si="97"/>
        <v>314.99300000000005</v>
      </c>
      <c r="U256" s="13">
        <f t="shared" si="109"/>
        <v>157.49650000000003</v>
      </c>
      <c r="V256" s="14">
        <f>U256/C256</f>
        <v>0.35000000000000003</v>
      </c>
      <c r="W256" s="14"/>
      <c r="X256" s="19">
        <f t="shared" si="127"/>
        <v>157.49650000000003</v>
      </c>
      <c r="Y256" s="19">
        <f t="shared" si="128"/>
        <v>314.99300000000005</v>
      </c>
      <c r="Z256" s="15" t="e">
        <f t="shared" si="129"/>
        <v>#DIV/0!</v>
      </c>
      <c r="AA256" s="22" t="s">
        <v>1355</v>
      </c>
      <c r="AG256" s="94" t="s">
        <v>52</v>
      </c>
      <c r="AH256" s="89" t="str">
        <f>VLOOKUP(AG256,Sheet1!$B$3:$D$36,2,FALSE)</f>
        <v>Furniture</v>
      </c>
      <c r="AI256" s="89" t="s">
        <v>1340</v>
      </c>
      <c r="AJ256" s="1" t="str">
        <f t="shared" si="98"/>
        <v>Rye Bar Chair</v>
      </c>
      <c r="AK256" s="1" t="str">
        <f t="shared" si="99"/>
        <v>w45 x d40 x h65 x sh65</v>
      </c>
      <c r="AL256" s="1" t="str">
        <f t="shared" si="100"/>
        <v>natural teak</v>
      </c>
      <c r="AM256" s="1" t="str">
        <f t="shared" si="101"/>
        <v>natural teak</v>
      </c>
      <c r="AN256" s="1" t="str">
        <f t="shared" si="130"/>
        <v>natural teak</v>
      </c>
      <c r="AQ256" s="1" t="str">
        <f t="shared" si="102"/>
        <v>A</v>
      </c>
      <c r="AR256" s="1" t="str">
        <f>VLOOKUP(TRIM(AI256),Sheet1!$D$3:$E$36,2,FALSE)</f>
        <v>09</v>
      </c>
      <c r="AS256" s="90" t="str">
        <f t="shared" si="103"/>
        <v>01</v>
      </c>
      <c r="AT256" s="1" t="str">
        <f t="shared" si="104"/>
        <v>01</v>
      </c>
      <c r="AU256" s="90" t="s">
        <v>55</v>
      </c>
      <c r="AV256" s="90"/>
      <c r="AW256" s="90"/>
      <c r="AX256" s="95" t="str">
        <f>AQ256&amp;AR256&amp;AS256&amp;"-"&amp;AT256&amp;AU256&amp;BA256</f>
        <v>A0901-0110</v>
      </c>
      <c r="AY256" s="99" t="str">
        <f>AQ256&amp;AR256&amp;AS256&amp;"-"&amp;AT256&amp;BA256</f>
        <v>A0901-01</v>
      </c>
      <c r="AZ256" s="90"/>
      <c r="BA256" s="1" t="str">
        <f t="shared" si="105"/>
        <v/>
      </c>
      <c r="BC256" s="1">
        <f t="shared" si="123"/>
        <v>1</v>
      </c>
      <c r="BD256" s="90">
        <f t="shared" si="124"/>
        <v>1</v>
      </c>
      <c r="BE256" s="1">
        <f t="shared" si="114"/>
        <v>1</v>
      </c>
      <c r="BF256" s="1">
        <f t="shared" si="115"/>
        <v>1</v>
      </c>
      <c r="BI256"/>
      <c r="BJ256"/>
      <c r="BL256"/>
    </row>
    <row r="257" spans="1:64" ht="11.25" customHeight="1">
      <c r="A257" s="26" t="s">
        <v>1356</v>
      </c>
      <c r="B257" s="27" t="s">
        <v>1352</v>
      </c>
      <c r="C257" s="28">
        <v>469.99</v>
      </c>
      <c r="D257" s="28">
        <f t="shared" si="95"/>
        <v>234.995</v>
      </c>
      <c r="E257" s="22" t="s">
        <v>1333</v>
      </c>
      <c r="F257" s="22" t="s">
        <v>1357</v>
      </c>
      <c r="G257" s="22" t="s">
        <v>721</v>
      </c>
      <c r="H257" s="22" t="s">
        <v>1358</v>
      </c>
      <c r="I257" s="23" t="s">
        <v>807</v>
      </c>
      <c r="J257" s="22" t="s">
        <v>50</v>
      </c>
      <c r="K257" s="23">
        <v>45</v>
      </c>
      <c r="L257" s="23">
        <v>40</v>
      </c>
      <c r="M257" s="23">
        <v>75</v>
      </c>
      <c r="N257" s="3">
        <f t="shared" si="106"/>
        <v>0.13500000000000001</v>
      </c>
      <c r="O257" s="4" t="e">
        <f>(C257-(C257*#REF!))-((C257-(C257*#REF!))*#REF!)</f>
        <v>#REF!</v>
      </c>
      <c r="P257" s="7"/>
      <c r="Q257" s="7"/>
      <c r="R257" s="5">
        <f t="shared" si="125"/>
        <v>0</v>
      </c>
      <c r="S257" s="4">
        <f t="shared" si="126"/>
        <v>0</v>
      </c>
      <c r="T257" s="13">
        <f t="shared" si="97"/>
        <v>328.99300000000005</v>
      </c>
      <c r="U257" s="13">
        <f t="shared" si="109"/>
        <v>164.49650000000003</v>
      </c>
      <c r="V257" s="14">
        <f>U257/C257</f>
        <v>0.35000000000000003</v>
      </c>
      <c r="W257" s="14"/>
      <c r="X257" s="19">
        <f t="shared" si="127"/>
        <v>164.49650000000003</v>
      </c>
      <c r="Y257" s="19">
        <f t="shared" si="128"/>
        <v>328.99300000000005</v>
      </c>
      <c r="Z257" s="15" t="e">
        <f t="shared" si="129"/>
        <v>#DIV/0!</v>
      </c>
      <c r="AA257" s="22" t="s">
        <v>1355</v>
      </c>
      <c r="AG257" s="94" t="s">
        <v>52</v>
      </c>
      <c r="AH257" s="89" t="str">
        <f>VLOOKUP(AG257,Sheet1!$B$3:$D$36,2,FALSE)</f>
        <v>Furniture</v>
      </c>
      <c r="AI257" s="89" t="s">
        <v>1340</v>
      </c>
      <c r="AJ257" s="1" t="str">
        <f t="shared" si="98"/>
        <v>Rye Bar Chair</v>
      </c>
      <c r="AK257" s="1" t="str">
        <f t="shared" si="99"/>
        <v>w45 x d40 x h75 x sh75</v>
      </c>
      <c r="AL257" s="1" t="str">
        <f t="shared" si="100"/>
        <v>natural teak</v>
      </c>
      <c r="AM257" s="1" t="str">
        <f t="shared" si="101"/>
        <v>natural teak</v>
      </c>
      <c r="AN257" s="1" t="str">
        <f t="shared" si="130"/>
        <v>natural teak</v>
      </c>
      <c r="AQ257" s="1" t="str">
        <f t="shared" si="102"/>
        <v>A</v>
      </c>
      <c r="AR257" s="1" t="str">
        <f>VLOOKUP(TRIM(AI257),Sheet1!$D$3:$E$36,2,FALSE)</f>
        <v>09</v>
      </c>
      <c r="AS257" s="90" t="str">
        <f t="shared" si="103"/>
        <v>02</v>
      </c>
      <c r="AT257" s="1" t="str">
        <f t="shared" si="104"/>
        <v>01</v>
      </c>
      <c r="AU257" s="90" t="s">
        <v>55</v>
      </c>
      <c r="AV257" s="90"/>
      <c r="AW257" s="90"/>
      <c r="AX257" s="95" t="str">
        <f>AQ257&amp;AR257&amp;AS257&amp;"-"&amp;AT257&amp;AU257&amp;BA257</f>
        <v>A0902-0110</v>
      </c>
      <c r="AY257" s="99" t="str">
        <f>AQ257&amp;AR257&amp;AS257&amp;"-"&amp;AT257&amp;BA257</f>
        <v>A0902-01</v>
      </c>
      <c r="AZ257" s="90"/>
      <c r="BA257" s="1" t="str">
        <f t="shared" si="105"/>
        <v/>
      </c>
      <c r="BC257" s="1" t="str">
        <f t="shared" si="123"/>
        <v/>
      </c>
      <c r="BD257" s="90">
        <f t="shared" si="124"/>
        <v>2</v>
      </c>
      <c r="BE257" s="1">
        <f t="shared" si="114"/>
        <v>1</v>
      </c>
      <c r="BF257" s="1">
        <f t="shared" si="115"/>
        <v>1</v>
      </c>
      <c r="BI257"/>
      <c r="BJ257"/>
      <c r="BL257"/>
    </row>
    <row r="258" spans="1:64" ht="11.25" customHeight="1">
      <c r="A258" s="26" t="s">
        <v>1359</v>
      </c>
      <c r="B258" s="27" t="s">
        <v>1360</v>
      </c>
      <c r="C258" s="28">
        <v>229.99</v>
      </c>
      <c r="D258" s="28">
        <f t="shared" si="95"/>
        <v>114.995</v>
      </c>
      <c r="E258" s="22" t="s">
        <v>1333</v>
      </c>
      <c r="F258" s="22" t="s">
        <v>1361</v>
      </c>
      <c r="G258" s="22" t="s">
        <v>1362</v>
      </c>
      <c r="H258" s="22" t="s">
        <v>1363</v>
      </c>
      <c r="I258" s="23" t="s">
        <v>815</v>
      </c>
      <c r="J258" s="22" t="s">
        <v>50</v>
      </c>
      <c r="K258" s="23">
        <v>49</v>
      </c>
      <c r="L258" s="23">
        <v>25</v>
      </c>
      <c r="M258" s="23">
        <v>75</v>
      </c>
      <c r="N258" s="3">
        <f t="shared" si="106"/>
        <v>9.1874999999999998E-2</v>
      </c>
      <c r="O258" s="4" t="e">
        <f>(C258-(C258*#REF!))-((C258-(C258*#REF!))*#REF!)</f>
        <v>#REF!</v>
      </c>
      <c r="P258" s="7"/>
      <c r="Q258" s="7"/>
      <c r="R258" s="5">
        <f t="shared" si="125"/>
        <v>0</v>
      </c>
      <c r="S258" s="4">
        <f t="shared" si="126"/>
        <v>0</v>
      </c>
      <c r="T258" s="13">
        <f t="shared" si="97"/>
        <v>160.99299999999999</v>
      </c>
      <c r="U258" s="13">
        <f t="shared" si="109"/>
        <v>80.496499999999997</v>
      </c>
      <c r="V258" s="14">
        <f>U258/C258</f>
        <v>0.35</v>
      </c>
      <c r="W258" s="14"/>
      <c r="X258" s="19">
        <f t="shared" si="127"/>
        <v>80.496499999999997</v>
      </c>
      <c r="Y258" s="19">
        <f t="shared" si="128"/>
        <v>160.99299999999999</v>
      </c>
      <c r="Z258" s="15" t="e">
        <f t="shared" si="129"/>
        <v>#DIV/0!</v>
      </c>
      <c r="AA258" s="22" t="s">
        <v>1364</v>
      </c>
      <c r="AG258" s="94" t="s">
        <v>52</v>
      </c>
      <c r="AH258" s="89" t="str">
        <f>VLOOKUP(AG258,Sheet1!$B$3:$D$36,2,FALSE)</f>
        <v>Furniture</v>
      </c>
      <c r="AI258" s="89" t="s">
        <v>1340</v>
      </c>
      <c r="AJ258" s="1" t="str">
        <f t="shared" si="98"/>
        <v>Stavelot Bar Chair</v>
      </c>
      <c r="AK258" s="1" t="str">
        <f t="shared" si="99"/>
        <v>w49 x d25 x h75 x sh75</v>
      </c>
      <c r="AL258" s="1" t="str">
        <f t="shared" si="100"/>
        <v>bare</v>
      </c>
      <c r="AM258" s="1" t="str">
        <f t="shared" si="101"/>
        <v>bare</v>
      </c>
      <c r="AN258" s="1" t="str">
        <f t="shared" si="130"/>
        <v>bare</v>
      </c>
      <c r="AQ258" s="1" t="str">
        <f t="shared" si="102"/>
        <v>A</v>
      </c>
      <c r="AR258" s="1" t="str">
        <f>VLOOKUP(TRIM(AI258),Sheet1!$D$3:$E$36,2,FALSE)</f>
        <v>09</v>
      </c>
      <c r="AS258" s="90" t="str">
        <f t="shared" si="103"/>
        <v>01</v>
      </c>
      <c r="AT258" s="1" t="str">
        <f t="shared" si="104"/>
        <v>01</v>
      </c>
      <c r="AU258" s="90" t="s">
        <v>817</v>
      </c>
      <c r="AV258" s="90"/>
      <c r="AW258" s="90"/>
      <c r="AX258" s="95" t="str">
        <f>AQ258&amp;AR258&amp;AS258&amp;"-"&amp;AT258&amp;AU258&amp;BA258</f>
        <v>A0901-0103</v>
      </c>
      <c r="AY258" s="99" t="str">
        <f>AQ258&amp;AR258&amp;AS258&amp;"-"&amp;AT258&amp;BA258</f>
        <v>A0901-01</v>
      </c>
      <c r="AZ258" s="90"/>
      <c r="BA258" s="1" t="str">
        <f t="shared" si="105"/>
        <v/>
      </c>
      <c r="BC258" s="1">
        <f t="shared" si="123"/>
        <v>1</v>
      </c>
      <c r="BD258" s="90">
        <f t="shared" si="124"/>
        <v>1</v>
      </c>
      <c r="BE258" s="1">
        <f t="shared" si="114"/>
        <v>1</v>
      </c>
      <c r="BF258" s="1">
        <f t="shared" si="115"/>
        <v>1</v>
      </c>
      <c r="BI258"/>
      <c r="BJ258"/>
      <c r="BL258"/>
    </row>
    <row r="259" spans="1:64" ht="11.25" customHeight="1">
      <c r="A259" s="26" t="s">
        <v>1365</v>
      </c>
      <c r="B259" s="27" t="s">
        <v>1366</v>
      </c>
      <c r="C259" s="28">
        <v>339.99</v>
      </c>
      <c r="D259" s="28">
        <f t="shared" si="95"/>
        <v>169.995</v>
      </c>
      <c r="E259" s="22" t="s">
        <v>1333</v>
      </c>
      <c r="F259" s="22" t="s">
        <v>1367</v>
      </c>
      <c r="G259" s="22" t="s">
        <v>212</v>
      </c>
      <c r="H259" s="22" t="s">
        <v>1368</v>
      </c>
      <c r="I259" s="23" t="s">
        <v>807</v>
      </c>
      <c r="J259" s="22" t="s">
        <v>50</v>
      </c>
      <c r="L259" s="23">
        <v>40</v>
      </c>
      <c r="M259" s="23">
        <v>65</v>
      </c>
      <c r="N259" s="3">
        <f t="shared" si="106"/>
        <v>0.104</v>
      </c>
      <c r="O259" s="4" t="e">
        <f>(C259-(C259*#REF!))-((C259-(C259*#REF!))*#REF!)</f>
        <v>#REF!</v>
      </c>
      <c r="P259" s="7"/>
      <c r="Q259" s="7"/>
      <c r="R259" s="5">
        <f t="shared" si="125"/>
        <v>0</v>
      </c>
      <c r="S259" s="4">
        <f t="shared" si="126"/>
        <v>0</v>
      </c>
      <c r="T259" s="13">
        <f t="shared" si="97"/>
        <v>237.99299999999999</v>
      </c>
      <c r="U259" s="13">
        <f t="shared" si="109"/>
        <v>118.9965</v>
      </c>
      <c r="V259" s="14">
        <f>U259/C259</f>
        <v>0.35</v>
      </c>
      <c r="W259" s="14"/>
      <c r="X259" s="19">
        <f t="shared" si="127"/>
        <v>118.9965</v>
      </c>
      <c r="Y259" s="19">
        <f t="shared" si="128"/>
        <v>237.99299999999999</v>
      </c>
      <c r="Z259" s="15" t="e">
        <f t="shared" si="129"/>
        <v>#DIV/0!</v>
      </c>
      <c r="AA259" s="22" t="s">
        <v>1369</v>
      </c>
      <c r="AG259" s="94" t="s">
        <v>52</v>
      </c>
      <c r="AH259" s="89" t="str">
        <f>VLOOKUP(AG259,Sheet1!$B$3:$D$36,2,FALSE)</f>
        <v>Furniture</v>
      </c>
      <c r="AI259" s="89" t="s">
        <v>1340</v>
      </c>
      <c r="AJ259" s="1" t="str">
        <f t="shared" si="98"/>
        <v>Diodora Bar Chair</v>
      </c>
      <c r="AK259" s="1" t="str">
        <f t="shared" si="99"/>
        <v>d40 x h65 x sh65</v>
      </c>
      <c r="AL259" s="1" t="str">
        <f t="shared" si="100"/>
        <v>natural teak</v>
      </c>
      <c r="AM259" s="1" t="str">
        <f t="shared" si="101"/>
        <v>natural teak</v>
      </c>
      <c r="AN259" s="1" t="str">
        <f t="shared" si="130"/>
        <v>natural teak</v>
      </c>
      <c r="AQ259" s="1" t="str">
        <f t="shared" si="102"/>
        <v>A</v>
      </c>
      <c r="AR259" s="1" t="str">
        <f>VLOOKUP(TRIM(AI259),Sheet1!$D$3:$E$36,2,FALSE)</f>
        <v>09</v>
      </c>
      <c r="AS259" s="90" t="str">
        <f t="shared" si="103"/>
        <v>01</v>
      </c>
      <c r="AT259" s="1" t="str">
        <f t="shared" si="104"/>
        <v>01</v>
      </c>
      <c r="AU259" s="90" t="s">
        <v>55</v>
      </c>
      <c r="AV259" s="90"/>
      <c r="AW259" s="90"/>
      <c r="AX259" s="95" t="str">
        <f>AQ259&amp;AR259&amp;AS259&amp;"-"&amp;AT259&amp;AU259&amp;BA259</f>
        <v>A0901-0110</v>
      </c>
      <c r="AY259" s="99" t="str">
        <f>AQ259&amp;AR259&amp;AS259&amp;"-"&amp;AT259&amp;BA259</f>
        <v>A0901-01</v>
      </c>
      <c r="AZ259" s="90"/>
      <c r="BA259" s="1" t="str">
        <f t="shared" si="105"/>
        <v/>
      </c>
      <c r="BC259" s="1">
        <f t="shared" si="123"/>
        <v>1</v>
      </c>
      <c r="BD259" s="90">
        <f t="shared" si="124"/>
        <v>1</v>
      </c>
      <c r="BE259" s="1">
        <f t="shared" si="114"/>
        <v>1</v>
      </c>
      <c r="BF259" s="1">
        <f t="shared" si="115"/>
        <v>1</v>
      </c>
      <c r="BI259"/>
      <c r="BJ259"/>
      <c r="BL259"/>
    </row>
    <row r="260" spans="1:64" ht="11.25" customHeight="1">
      <c r="A260" s="26" t="s">
        <v>1370</v>
      </c>
      <c r="B260" s="27" t="s">
        <v>1366</v>
      </c>
      <c r="C260" s="28">
        <v>369.99</v>
      </c>
      <c r="D260" s="28">
        <f t="shared" si="95"/>
        <v>184.995</v>
      </c>
      <c r="E260" s="22" t="s">
        <v>1333</v>
      </c>
      <c r="F260" s="22" t="s">
        <v>1371</v>
      </c>
      <c r="G260" s="22" t="s">
        <v>212</v>
      </c>
      <c r="H260" s="22" t="s">
        <v>1372</v>
      </c>
      <c r="I260" s="23" t="s">
        <v>807</v>
      </c>
      <c r="J260" s="22" t="s">
        <v>50</v>
      </c>
      <c r="L260" s="23">
        <v>40</v>
      </c>
      <c r="M260" s="23">
        <v>75</v>
      </c>
      <c r="N260" s="3">
        <f t="shared" si="106"/>
        <v>0.12</v>
      </c>
      <c r="O260" s="4" t="e">
        <f>(C260-(C260*#REF!))-((C260-(C260*#REF!))*#REF!)</f>
        <v>#REF!</v>
      </c>
      <c r="P260" s="7">
        <v>701359.60932572302</v>
      </c>
      <c r="Q260" s="7">
        <v>0</v>
      </c>
      <c r="R260" s="5">
        <f t="shared" si="125"/>
        <v>701359.60932572302</v>
      </c>
      <c r="S260" s="4">
        <f t="shared" si="126"/>
        <v>46.757307288381533</v>
      </c>
      <c r="T260" s="13">
        <f t="shared" si="97"/>
        <v>258.99299999999999</v>
      </c>
      <c r="U260" s="13">
        <f t="shared" si="109"/>
        <v>129.4965</v>
      </c>
      <c r="V260" s="14">
        <f>U260/C260</f>
        <v>0.35</v>
      </c>
      <c r="W260" s="14"/>
      <c r="X260" s="19">
        <f t="shared" si="127"/>
        <v>129.4965</v>
      </c>
      <c r="Y260" s="19">
        <f t="shared" si="128"/>
        <v>258.99299999999999</v>
      </c>
      <c r="Z260" s="15">
        <f t="shared" si="129"/>
        <v>2.7695457140274176</v>
      </c>
      <c r="AA260" s="22" t="s">
        <v>1373</v>
      </c>
      <c r="AG260" s="94" t="s">
        <v>52</v>
      </c>
      <c r="AH260" s="89" t="str">
        <f>VLOOKUP(AG260,Sheet1!$B$3:$D$36,2,FALSE)</f>
        <v>Furniture</v>
      </c>
      <c r="AI260" s="89" t="s">
        <v>1340</v>
      </c>
      <c r="AJ260" s="1" t="str">
        <f t="shared" si="98"/>
        <v>Diodora Bar Chair</v>
      </c>
      <c r="AK260" s="1" t="str">
        <f t="shared" si="99"/>
        <v>d40 x h75 x sh75</v>
      </c>
      <c r="AL260" s="1" t="str">
        <f t="shared" si="100"/>
        <v>natural teak</v>
      </c>
      <c r="AM260" s="1" t="str">
        <f t="shared" si="101"/>
        <v>natural teak</v>
      </c>
      <c r="AN260" s="1" t="str">
        <f t="shared" si="130"/>
        <v>natural teak</v>
      </c>
      <c r="AQ260" s="1" t="str">
        <f t="shared" si="102"/>
        <v>A</v>
      </c>
      <c r="AR260" s="1" t="str">
        <f>VLOOKUP(TRIM(AI260),Sheet1!$D$3:$E$36,2,FALSE)</f>
        <v>09</v>
      </c>
      <c r="AS260" s="90" t="str">
        <f t="shared" si="103"/>
        <v>02</v>
      </c>
      <c r="AT260" s="1" t="str">
        <f t="shared" si="104"/>
        <v>01</v>
      </c>
      <c r="AU260" s="90" t="s">
        <v>55</v>
      </c>
      <c r="AV260" s="90"/>
      <c r="AW260" s="90"/>
      <c r="AX260" s="95" t="str">
        <f>AQ260&amp;AR260&amp;AS260&amp;"-"&amp;AT260&amp;AU260&amp;BA260</f>
        <v>A0902-0110</v>
      </c>
      <c r="AY260" s="99" t="str">
        <f>AQ260&amp;AR260&amp;AS260&amp;"-"&amp;AT260&amp;BA260</f>
        <v>A0902-01</v>
      </c>
      <c r="AZ260" s="90"/>
      <c r="BA260" s="1" t="str">
        <f t="shared" si="105"/>
        <v/>
      </c>
      <c r="BC260" s="1" t="str">
        <f t="shared" si="123"/>
        <v/>
      </c>
      <c r="BD260" s="90">
        <f t="shared" si="124"/>
        <v>2</v>
      </c>
      <c r="BE260" s="1">
        <f t="shared" si="114"/>
        <v>1</v>
      </c>
      <c r="BF260" s="1">
        <f t="shared" si="115"/>
        <v>1</v>
      </c>
      <c r="BI260"/>
      <c r="BJ260"/>
      <c r="BL260"/>
    </row>
    <row r="261" spans="1:64" ht="11.25" customHeight="1">
      <c r="A261" s="26" t="s">
        <v>1374</v>
      </c>
      <c r="B261" s="27" t="s">
        <v>1375</v>
      </c>
      <c r="C261" s="28">
        <v>359.99</v>
      </c>
      <c r="D261" s="28">
        <f t="shared" ref="D261:D324" si="131">C261*$D$1</f>
        <v>179.995</v>
      </c>
      <c r="E261" s="22" t="s">
        <v>1333</v>
      </c>
      <c r="F261" s="22" t="s">
        <v>1376</v>
      </c>
      <c r="G261" s="22" t="s">
        <v>1377</v>
      </c>
      <c r="H261" s="22" t="s">
        <v>1378</v>
      </c>
      <c r="I261" s="23" t="s">
        <v>807</v>
      </c>
      <c r="J261" s="22" t="s">
        <v>50</v>
      </c>
      <c r="K261" s="23">
        <v>46</v>
      </c>
      <c r="L261" s="23">
        <v>45</v>
      </c>
      <c r="M261" s="23">
        <v>96</v>
      </c>
      <c r="N261" s="3">
        <f t="shared" si="106"/>
        <v>0.19872000000000001</v>
      </c>
      <c r="O261" s="4" t="e">
        <f>(C261-(C261*#REF!))-((C261-(C261*#REF!))*#REF!)</f>
        <v>#REF!</v>
      </c>
      <c r="P261" s="7"/>
      <c r="Q261" s="7"/>
      <c r="R261" s="5">
        <f t="shared" si="125"/>
        <v>0</v>
      </c>
      <c r="S261" s="4">
        <f t="shared" si="126"/>
        <v>0</v>
      </c>
      <c r="T261" s="13">
        <f t="shared" ref="T261:T324" si="132">C261-(C261*$T$1)</f>
        <v>251.99299999999999</v>
      </c>
      <c r="U261" s="13">
        <f t="shared" si="109"/>
        <v>125.9965</v>
      </c>
      <c r="V261" s="14">
        <f>U261/C261</f>
        <v>0.35</v>
      </c>
      <c r="W261" s="14"/>
      <c r="X261" s="19">
        <f t="shared" si="127"/>
        <v>125.9965</v>
      </c>
      <c r="Y261" s="19">
        <f t="shared" si="128"/>
        <v>251.99299999999999</v>
      </c>
      <c r="Z261" s="15" t="e">
        <f t="shared" si="129"/>
        <v>#DIV/0!</v>
      </c>
      <c r="AA261" s="22" t="s">
        <v>1379</v>
      </c>
      <c r="AG261" s="94" t="s">
        <v>52</v>
      </c>
      <c r="AH261" s="89" t="str">
        <f>VLOOKUP(AG261,Sheet1!$B$3:$D$36,2,FALSE)</f>
        <v>Furniture</v>
      </c>
      <c r="AI261" s="89" t="s">
        <v>1340</v>
      </c>
      <c r="AJ261" s="1" t="str">
        <f t="shared" ref="AJ261:AJ324" si="133">G261</f>
        <v>Rothenburg Bar Chair</v>
      </c>
      <c r="AK261" s="1" t="str">
        <f t="shared" ref="AK261:AK324" si="134">TRIM(H261)</f>
        <v>w46 x d45 x h96 x sh74</v>
      </c>
      <c r="AL261" s="1" t="str">
        <f t="shared" ref="AL261:AL324" si="135">I261</f>
        <v>natural teak</v>
      </c>
      <c r="AM261" s="1" t="str">
        <f t="shared" ref="AM261:AM324" si="136">I261</f>
        <v>natural teak</v>
      </c>
      <c r="AN261" s="1" t="str">
        <f t="shared" si="130"/>
        <v>natural teak</v>
      </c>
      <c r="AQ261" s="1" t="str">
        <f t="shared" ref="AQ261:AQ324" si="137">IF(TRIM(AG261)="01","A",IF(TRIM(AG261)="02","B",IF(TRIM(AG261)="03","C",IF(TRIM(AG261)="04","D",IF(TRIM(AG261)="05","E","F")))))</f>
        <v>A</v>
      </c>
      <c r="AR261" s="1" t="str">
        <f>VLOOKUP(TRIM(AI261),Sheet1!$D$3:$E$36,2,FALSE)</f>
        <v>09</v>
      </c>
      <c r="AS261" s="90" t="str">
        <f t="shared" ref="AS261:AS324" si="138">IF(LEN(BD261)=1,"0"&amp;BD261,BD261)</f>
        <v>01</v>
      </c>
      <c r="AT261" s="1" t="str">
        <f t="shared" ref="AT261:AT324" si="139">IF(LEN(BF261)=1,"0"&amp;BF261,BF261)</f>
        <v>01</v>
      </c>
      <c r="AU261" s="90" t="s">
        <v>55</v>
      </c>
      <c r="AV261" s="90"/>
      <c r="AW261" s="90"/>
      <c r="AX261" s="95" t="str">
        <f>AQ261&amp;AR261&amp;AS261&amp;"-"&amp;AT261&amp;AU261&amp;BA261</f>
        <v>A0901-0110</v>
      </c>
      <c r="AY261" s="99" t="str">
        <f>AQ261&amp;AR261&amp;AS261&amp;"-"&amp;AT261&amp;BA261</f>
        <v>A0901-01</v>
      </c>
      <c r="AZ261" s="90"/>
      <c r="BA261" s="1" t="str">
        <f t="shared" ref="BA261:BA324" si="140">IF(AO261="","",UPPER(LEFT(AO261,3)))</f>
        <v/>
      </c>
      <c r="BC261" s="1">
        <f t="shared" si="123"/>
        <v>1</v>
      </c>
      <c r="BD261" s="90">
        <f t="shared" si="124"/>
        <v>1</v>
      </c>
      <c r="BE261" s="1">
        <f t="shared" si="114"/>
        <v>1</v>
      </c>
      <c r="BF261" s="1">
        <f t="shared" si="115"/>
        <v>1</v>
      </c>
      <c r="BI261"/>
      <c r="BJ261"/>
      <c r="BL261"/>
    </row>
    <row r="262" spans="1:64" ht="11.25" customHeight="1">
      <c r="A262" s="26" t="s">
        <v>1380</v>
      </c>
      <c r="B262" s="27" t="s">
        <v>1381</v>
      </c>
      <c r="C262" s="28">
        <v>144.99</v>
      </c>
      <c r="D262" s="28">
        <f t="shared" si="131"/>
        <v>72.495000000000005</v>
      </c>
      <c r="E262" s="22" t="s">
        <v>1333</v>
      </c>
      <c r="F262" s="22" t="s">
        <v>1382</v>
      </c>
      <c r="G262" s="22" t="s">
        <v>1383</v>
      </c>
      <c r="I262" s="23" t="s">
        <v>1223</v>
      </c>
      <c r="J262" s="22" t="s">
        <v>670</v>
      </c>
      <c r="N262" s="3">
        <f t="shared" si="106"/>
        <v>0</v>
      </c>
      <c r="O262" s="4" t="e">
        <f>(C262-(C262*#REF!))-((C262-(C262*#REF!))*#REF!)</f>
        <v>#REF!</v>
      </c>
      <c r="P262" s="7"/>
      <c r="Q262" s="7"/>
      <c r="R262" s="5">
        <f t="shared" si="125"/>
        <v>0</v>
      </c>
      <c r="S262" s="4">
        <f t="shared" si="126"/>
        <v>0</v>
      </c>
      <c r="T262" s="13">
        <f t="shared" si="132"/>
        <v>101.49300000000001</v>
      </c>
      <c r="U262" s="13">
        <f t="shared" ref="U262:U325" si="141">T262-(T262*$U$1)</f>
        <v>50.746500000000005</v>
      </c>
      <c r="V262" s="14">
        <f>U262/C262</f>
        <v>0.35000000000000003</v>
      </c>
      <c r="W262" s="14"/>
      <c r="X262" s="19">
        <f t="shared" si="127"/>
        <v>50.746500000000005</v>
      </c>
      <c r="Y262" s="19">
        <f t="shared" si="128"/>
        <v>101.49300000000001</v>
      </c>
      <c r="Z262" s="15" t="e">
        <f t="shared" si="129"/>
        <v>#DIV/0!</v>
      </c>
      <c r="AA262" s="22" t="s">
        <v>1384</v>
      </c>
      <c r="AG262" s="94" t="s">
        <v>52</v>
      </c>
      <c r="AH262" s="89" t="str">
        <f>VLOOKUP(AG262,Sheet1!$B$3:$D$36,2,FALSE)</f>
        <v>Furniture</v>
      </c>
      <c r="AI262" s="89" t="s">
        <v>1340</v>
      </c>
      <c r="AJ262" s="1" t="str">
        <f t="shared" si="133"/>
        <v>Rothenburg Patine</v>
      </c>
      <c r="AK262" s="1" t="str">
        <f t="shared" si="134"/>
        <v/>
      </c>
      <c r="AL262" s="1" t="str">
        <f t="shared" si="135"/>
        <v>fabric</v>
      </c>
      <c r="AM262" s="1" t="str">
        <f t="shared" si="136"/>
        <v>fabric</v>
      </c>
      <c r="AN262" s="1" t="str">
        <f t="shared" si="130"/>
        <v>fabric</v>
      </c>
      <c r="AQ262" s="1" t="str">
        <f t="shared" si="137"/>
        <v>A</v>
      </c>
      <c r="AR262" s="1" t="str">
        <f>VLOOKUP(TRIM(AI262),Sheet1!$D$3:$E$36,2,FALSE)</f>
        <v>09</v>
      </c>
      <c r="AS262" s="90" t="str">
        <f t="shared" si="138"/>
        <v>01</v>
      </c>
      <c r="AT262" s="1" t="str">
        <f t="shared" si="139"/>
        <v>01</v>
      </c>
      <c r="AU262" s="90" t="s">
        <v>1225</v>
      </c>
      <c r="AV262" s="90"/>
      <c r="AW262" s="90"/>
      <c r="AX262" s="95" t="str">
        <f>AQ262&amp;AR262&amp;AS262&amp;"-"&amp;AT262&amp;AU262&amp;BA262</f>
        <v>A0901-0139</v>
      </c>
      <c r="AY262" s="99" t="str">
        <f>AQ262&amp;AR262&amp;AS262&amp;"-"&amp;AT262&amp;BA262</f>
        <v>A0901-01</v>
      </c>
      <c r="AZ262" s="90"/>
      <c r="BA262" s="1" t="str">
        <f t="shared" si="140"/>
        <v/>
      </c>
      <c r="BC262" s="1">
        <f t="shared" si="123"/>
        <v>1</v>
      </c>
      <c r="BD262" s="90">
        <f t="shared" si="124"/>
        <v>1</v>
      </c>
      <c r="BE262" s="1">
        <f t="shared" si="114"/>
        <v>1</v>
      </c>
      <c r="BF262" s="1">
        <f t="shared" si="115"/>
        <v>1</v>
      </c>
      <c r="BI262"/>
      <c r="BJ262"/>
      <c r="BL262"/>
    </row>
    <row r="263" spans="1:64" ht="11.25" customHeight="1">
      <c r="A263" s="26" t="s">
        <v>1385</v>
      </c>
      <c r="B263" s="27" t="s">
        <v>1386</v>
      </c>
      <c r="C263" s="28">
        <v>164.99</v>
      </c>
      <c r="D263" s="28">
        <f t="shared" si="131"/>
        <v>82.495000000000005</v>
      </c>
      <c r="E263" s="22" t="s">
        <v>1333</v>
      </c>
      <c r="F263" s="22" t="s">
        <v>1387</v>
      </c>
      <c r="G263" s="22" t="s">
        <v>1388</v>
      </c>
      <c r="I263" s="23" t="s">
        <v>1223</v>
      </c>
      <c r="J263" s="22" t="s">
        <v>670</v>
      </c>
      <c r="N263" s="3">
        <f t="shared" ref="N263:N327" si="142">(IF(ISBLANK(K263),(L263*L263*M263),(K263*L263*M263)))/1000000</f>
        <v>0</v>
      </c>
      <c r="O263" s="4" t="e">
        <f>(C263-(C263*#REF!))-((C263-(C263*#REF!))*#REF!)</f>
        <v>#REF!</v>
      </c>
      <c r="P263" s="7"/>
      <c r="Q263" s="7"/>
      <c r="R263" s="5">
        <f t="shared" si="125"/>
        <v>0</v>
      </c>
      <c r="S263" s="4">
        <f t="shared" si="126"/>
        <v>0</v>
      </c>
      <c r="T263" s="13">
        <f t="shared" si="132"/>
        <v>115.49300000000001</v>
      </c>
      <c r="U263" s="13">
        <f t="shared" si="141"/>
        <v>57.746500000000005</v>
      </c>
      <c r="V263" s="14">
        <f>U263/C263</f>
        <v>0.35000000000000003</v>
      </c>
      <c r="W263" s="14"/>
      <c r="X263" s="19">
        <f t="shared" si="127"/>
        <v>57.746500000000005</v>
      </c>
      <c r="Y263" s="19">
        <f t="shared" si="128"/>
        <v>115.49300000000001</v>
      </c>
      <c r="Z263" s="15" t="e">
        <f t="shared" si="129"/>
        <v>#DIV/0!</v>
      </c>
      <c r="AA263" s="22" t="s">
        <v>1389</v>
      </c>
      <c r="AG263" s="94" t="s">
        <v>52</v>
      </c>
      <c r="AH263" s="89" t="str">
        <f>VLOOKUP(AG263,Sheet1!$B$3:$D$36,2,FALSE)</f>
        <v>Furniture</v>
      </c>
      <c r="AI263" s="89" t="s">
        <v>1340</v>
      </c>
      <c r="AJ263" s="1" t="str">
        <f t="shared" si="133"/>
        <v>Rothenburg Vintage</v>
      </c>
      <c r="AK263" s="1" t="str">
        <f t="shared" si="134"/>
        <v/>
      </c>
      <c r="AL263" s="1" t="str">
        <f t="shared" si="135"/>
        <v>fabric</v>
      </c>
      <c r="AM263" s="1" t="str">
        <f t="shared" si="136"/>
        <v>fabric</v>
      </c>
      <c r="AN263" s="1" t="str">
        <f t="shared" si="130"/>
        <v>fabric</v>
      </c>
      <c r="AQ263" s="1" t="str">
        <f t="shared" si="137"/>
        <v>A</v>
      </c>
      <c r="AR263" s="1" t="str">
        <f>VLOOKUP(TRIM(AI263),Sheet1!$D$3:$E$36,2,FALSE)</f>
        <v>09</v>
      </c>
      <c r="AS263" s="90" t="str">
        <f t="shared" si="138"/>
        <v>01</v>
      </c>
      <c r="AT263" s="1" t="str">
        <f t="shared" si="139"/>
        <v>02</v>
      </c>
      <c r="AU263" s="90" t="s">
        <v>1225</v>
      </c>
      <c r="AV263" s="90"/>
      <c r="AW263" s="90"/>
      <c r="AX263" s="95" t="str">
        <f>AQ263&amp;AR263&amp;AS263&amp;"-"&amp;AT263&amp;AU263&amp;BA263</f>
        <v>A0901-0239</v>
      </c>
      <c r="AY263" s="99" t="str">
        <f>AQ263&amp;AR263&amp;AS263&amp;"-"&amp;AT263&amp;BA263</f>
        <v>A0901-02</v>
      </c>
      <c r="AZ263" s="90"/>
      <c r="BA263" s="1" t="str">
        <f t="shared" si="140"/>
        <v/>
      </c>
      <c r="BC263" s="1">
        <f t="shared" si="123"/>
        <v>1</v>
      </c>
      <c r="BD263" s="90">
        <f t="shared" si="124"/>
        <v>1</v>
      </c>
      <c r="BE263" s="1" t="str">
        <f t="shared" si="114"/>
        <v/>
      </c>
      <c r="BF263" s="1">
        <f t="shared" si="115"/>
        <v>2</v>
      </c>
      <c r="BI263"/>
      <c r="BJ263"/>
      <c r="BL263"/>
    </row>
    <row r="264" spans="1:64" ht="11.25" customHeight="1">
      <c r="A264" s="26" t="s">
        <v>1390</v>
      </c>
      <c r="B264" s="27" t="s">
        <v>1391</v>
      </c>
      <c r="C264" s="28">
        <v>268.99</v>
      </c>
      <c r="D264" s="28">
        <f t="shared" si="131"/>
        <v>134.495</v>
      </c>
      <c r="E264" s="22" t="s">
        <v>1333</v>
      </c>
      <c r="F264" s="22" t="s">
        <v>1392</v>
      </c>
      <c r="G264" s="22" t="s">
        <v>1393</v>
      </c>
      <c r="H264" s="22" t="s">
        <v>1394</v>
      </c>
      <c r="I264" s="23" t="s">
        <v>645</v>
      </c>
      <c r="J264" s="22" t="s">
        <v>646</v>
      </c>
      <c r="K264" s="23">
        <v>31</v>
      </c>
      <c r="L264" s="23">
        <v>31</v>
      </c>
      <c r="M264" s="23">
        <v>75</v>
      </c>
      <c r="N264" s="3">
        <f t="shared" si="142"/>
        <v>7.2075E-2</v>
      </c>
      <c r="O264" s="4" t="e">
        <f>(C264-(C264*#REF!))-((C264-(C264*#REF!))*#REF!)</f>
        <v>#REF!</v>
      </c>
      <c r="P264" s="7">
        <f>396134.338600644-Q264</f>
        <v>66134.338600644027</v>
      </c>
      <c r="Q264" s="7">
        <v>330000</v>
      </c>
      <c r="R264" s="5">
        <f t="shared" si="125"/>
        <v>396134.33860064403</v>
      </c>
      <c r="S264" s="4">
        <f t="shared" si="126"/>
        <v>26.4089559067096</v>
      </c>
      <c r="T264" s="13">
        <f t="shared" si="132"/>
        <v>188.29300000000001</v>
      </c>
      <c r="U264" s="13">
        <f t="shared" si="141"/>
        <v>94.146500000000003</v>
      </c>
      <c r="V264" s="14">
        <f>U264/C264</f>
        <v>0.35</v>
      </c>
      <c r="W264" s="14"/>
      <c r="X264" s="19">
        <f t="shared" si="127"/>
        <v>94.146500000000003</v>
      </c>
      <c r="Y264" s="19">
        <f t="shared" si="128"/>
        <v>188.29300000000001</v>
      </c>
      <c r="Z264" s="15">
        <f t="shared" si="129"/>
        <v>3.5649459347266599</v>
      </c>
      <c r="AA264" s="22" t="s">
        <v>1395</v>
      </c>
      <c r="AG264" s="94" t="s">
        <v>52</v>
      </c>
      <c r="AH264" s="89" t="str">
        <f>VLOOKUP(AG264,Sheet1!$B$3:$D$36,2,FALSE)</f>
        <v>Furniture</v>
      </c>
      <c r="AI264" s="89" t="s">
        <v>1340</v>
      </c>
      <c r="AJ264" s="1" t="str">
        <f t="shared" si="133"/>
        <v>Trixy Bar Chair</v>
      </c>
      <c r="AK264" s="1" t="str">
        <f t="shared" si="134"/>
        <v>w31 x d31 x h75 x sh75</v>
      </c>
      <c r="AL264" s="1" t="str">
        <f t="shared" si="135"/>
        <v>teak root</v>
      </c>
      <c r="AM264" s="1" t="str">
        <f t="shared" si="136"/>
        <v>teak root</v>
      </c>
      <c r="AN264" s="1" t="str">
        <f t="shared" si="130"/>
        <v>teak root</v>
      </c>
      <c r="AQ264" s="1" t="str">
        <f t="shared" si="137"/>
        <v>A</v>
      </c>
      <c r="AR264" s="1" t="str">
        <f>VLOOKUP(TRIM(AI264),Sheet1!$D$3:$E$36,2,FALSE)</f>
        <v>09</v>
      </c>
      <c r="AS264" s="90" t="str">
        <f t="shared" si="138"/>
        <v>01</v>
      </c>
      <c r="AT264" s="1" t="str">
        <f t="shared" si="139"/>
        <v>01</v>
      </c>
      <c r="AU264" s="90" t="s">
        <v>648</v>
      </c>
      <c r="AV264" s="90"/>
      <c r="AW264" s="90"/>
      <c r="AX264" s="95" t="str">
        <f>AQ264&amp;AR264&amp;AS264&amp;"-"&amp;AT264&amp;AU264&amp;BA264</f>
        <v>A0901-0132</v>
      </c>
      <c r="AY264" s="99" t="str">
        <f>AQ264&amp;AR264&amp;AS264&amp;"-"&amp;AT264&amp;BA264</f>
        <v>A0901-01</v>
      </c>
      <c r="AZ264" s="90"/>
      <c r="BA264" s="1" t="str">
        <f t="shared" si="140"/>
        <v/>
      </c>
      <c r="BC264" s="1">
        <f t="shared" si="123"/>
        <v>1</v>
      </c>
      <c r="BD264" s="90">
        <f t="shared" si="124"/>
        <v>1</v>
      </c>
      <c r="BE264" s="1">
        <f t="shared" si="114"/>
        <v>1</v>
      </c>
      <c r="BF264" s="1">
        <f t="shared" si="115"/>
        <v>1</v>
      </c>
      <c r="BI264"/>
      <c r="BJ264"/>
      <c r="BL264"/>
    </row>
    <row r="265" spans="1:64" ht="11.25" customHeight="1">
      <c r="A265" s="26" t="s">
        <v>1396</v>
      </c>
      <c r="B265" s="27" t="s">
        <v>1397</v>
      </c>
      <c r="C265" s="28">
        <v>479.99</v>
      </c>
      <c r="D265" s="28">
        <f t="shared" si="131"/>
        <v>239.995</v>
      </c>
      <c r="E265" s="22" t="s">
        <v>1333</v>
      </c>
      <c r="F265" s="22" t="s">
        <v>1398</v>
      </c>
      <c r="G265" s="22" t="s">
        <v>1399</v>
      </c>
      <c r="H265" s="22" t="s">
        <v>1400</v>
      </c>
      <c r="I265" s="23" t="s">
        <v>1401</v>
      </c>
      <c r="J265" s="22" t="s">
        <v>646</v>
      </c>
      <c r="K265" s="23">
        <v>47</v>
      </c>
      <c r="L265" s="23">
        <v>52</v>
      </c>
      <c r="M265" s="23">
        <v>93</v>
      </c>
      <c r="N265" s="3">
        <f t="shared" si="142"/>
        <v>0.22729199999999999</v>
      </c>
      <c r="O265" s="4" t="e">
        <f>(C265-(C265*#REF!))-((C265-(C265*#REF!))*#REF!)</f>
        <v>#REF!</v>
      </c>
      <c r="P265" s="7">
        <f>1710760.87898669-Q265</f>
        <v>310023.87898668996</v>
      </c>
      <c r="Q265" s="7">
        <v>1400737</v>
      </c>
      <c r="R265" s="5">
        <f t="shared" si="125"/>
        <v>1710760.87898669</v>
      </c>
      <c r="S265" s="4">
        <f t="shared" si="126"/>
        <v>114.05072526577933</v>
      </c>
      <c r="T265" s="13">
        <f t="shared" si="132"/>
        <v>335.99300000000005</v>
      </c>
      <c r="U265" s="13">
        <f t="shared" si="141"/>
        <v>167.99650000000003</v>
      </c>
      <c r="V265" s="14">
        <f>U265/C265</f>
        <v>0.35000000000000003</v>
      </c>
      <c r="W265" s="18">
        <f>S265*$W$1</f>
        <v>228.10145053155867</v>
      </c>
      <c r="X265" s="19">
        <f t="shared" si="127"/>
        <v>228.10145053155867</v>
      </c>
      <c r="Y265" s="19">
        <f t="shared" si="128"/>
        <v>456.20290106311734</v>
      </c>
      <c r="Z265" s="15">
        <v>2</v>
      </c>
      <c r="AA265" s="22" t="s">
        <v>1402</v>
      </c>
      <c r="AG265" s="94" t="s">
        <v>52</v>
      </c>
      <c r="AH265" s="89" t="str">
        <f>VLOOKUP(AG265,Sheet1!$B$3:$D$36,2,FALSE)</f>
        <v>Furniture</v>
      </c>
      <c r="AI265" s="89" t="s">
        <v>1340</v>
      </c>
      <c r="AJ265" s="1" t="str">
        <f t="shared" si="133"/>
        <v>Oradour Bar Chair</v>
      </c>
      <c r="AK265" s="1" t="str">
        <f t="shared" si="134"/>
        <v>w47 x d52 x h93 x sh74</v>
      </c>
      <c r="AL265" s="1" t="str">
        <f t="shared" si="135"/>
        <v xml:space="preserve">natural teak </v>
      </c>
      <c r="AM265" s="1" t="str">
        <f t="shared" si="136"/>
        <v xml:space="preserve">natural teak </v>
      </c>
      <c r="AN265" s="1" t="str">
        <f t="shared" si="130"/>
        <v xml:space="preserve">natural teak </v>
      </c>
      <c r="AQ265" s="1" t="str">
        <f t="shared" si="137"/>
        <v>A</v>
      </c>
      <c r="AR265" s="1" t="str">
        <f>VLOOKUP(TRIM(AI265),Sheet1!$D$3:$E$36,2,FALSE)</f>
        <v>09</v>
      </c>
      <c r="AS265" s="90" t="str">
        <f t="shared" si="138"/>
        <v>01</v>
      </c>
      <c r="AT265" s="1" t="str">
        <f t="shared" si="139"/>
        <v>01</v>
      </c>
      <c r="AU265" s="90" t="s">
        <v>55</v>
      </c>
      <c r="AV265" s="90"/>
      <c r="AW265" s="90"/>
      <c r="AX265" s="95" t="str">
        <f>AQ265&amp;AR265&amp;AS265&amp;"-"&amp;AT265&amp;AU265&amp;BA265</f>
        <v>A0901-0110</v>
      </c>
      <c r="AY265" s="99" t="str">
        <f>AQ265&amp;AR265&amp;AS265&amp;"-"&amp;AT265&amp;BA265</f>
        <v>A0901-01</v>
      </c>
      <c r="AZ265" s="90"/>
      <c r="BA265" s="1" t="str">
        <f t="shared" si="140"/>
        <v/>
      </c>
      <c r="BC265" s="1">
        <f t="shared" si="123"/>
        <v>1</v>
      </c>
      <c r="BD265" s="90">
        <f t="shared" si="124"/>
        <v>1</v>
      </c>
      <c r="BE265" s="1">
        <f t="shared" si="114"/>
        <v>1</v>
      </c>
      <c r="BF265" s="1">
        <f t="shared" si="115"/>
        <v>1</v>
      </c>
      <c r="BI265"/>
      <c r="BJ265"/>
      <c r="BL265"/>
    </row>
    <row r="266" spans="1:64" ht="11.25" customHeight="1">
      <c r="A266" s="26" t="s">
        <v>1403</v>
      </c>
      <c r="B266" s="27" t="s">
        <v>1404</v>
      </c>
      <c r="C266" s="28">
        <v>599.99</v>
      </c>
      <c r="D266" s="28">
        <f t="shared" si="131"/>
        <v>299.995</v>
      </c>
      <c r="E266" s="22" t="s">
        <v>1333</v>
      </c>
      <c r="F266" s="22" t="s">
        <v>1398</v>
      </c>
      <c r="G266" s="22" t="s">
        <v>1405</v>
      </c>
      <c r="H266" s="22" t="s">
        <v>1400</v>
      </c>
      <c r="I266" s="23" t="s">
        <v>1401</v>
      </c>
      <c r="J266" s="22" t="s">
        <v>646</v>
      </c>
      <c r="K266" s="23">
        <v>47</v>
      </c>
      <c r="L266" s="23">
        <v>52</v>
      </c>
      <c r="M266" s="23">
        <v>93</v>
      </c>
      <c r="N266" s="3">
        <f t="shared" si="142"/>
        <v>0.22729199999999999</v>
      </c>
      <c r="O266" s="4" t="e">
        <f>(C266-(C266*#REF!))-((C266-(C266*#REF!))*#REF!)</f>
        <v>#REF!</v>
      </c>
      <c r="P266" s="7"/>
      <c r="Q266" s="7"/>
      <c r="R266" s="5">
        <f t="shared" si="125"/>
        <v>0</v>
      </c>
      <c r="S266" s="4">
        <f t="shared" si="126"/>
        <v>0</v>
      </c>
      <c r="T266" s="13">
        <f t="shared" si="132"/>
        <v>419.99300000000005</v>
      </c>
      <c r="U266" s="13">
        <f t="shared" si="141"/>
        <v>209.99650000000003</v>
      </c>
      <c r="V266" s="14">
        <f>U266/C266</f>
        <v>0.35000000000000003</v>
      </c>
      <c r="W266" s="14"/>
      <c r="X266" s="19">
        <f t="shared" si="127"/>
        <v>209.99650000000003</v>
      </c>
      <c r="Y266" s="19">
        <f t="shared" si="128"/>
        <v>419.99300000000005</v>
      </c>
      <c r="Z266" s="15" t="e">
        <f>U266/S266</f>
        <v>#DIV/0!</v>
      </c>
      <c r="AA266" s="22" t="s">
        <v>1406</v>
      </c>
      <c r="AG266" s="94" t="s">
        <v>52</v>
      </c>
      <c r="AH266" s="89" t="str">
        <f>VLOOKUP(AG266,Sheet1!$B$3:$D$36,2,FALSE)</f>
        <v>Furniture</v>
      </c>
      <c r="AI266" s="89" t="s">
        <v>1340</v>
      </c>
      <c r="AJ266" s="1" t="str">
        <f t="shared" si="133"/>
        <v>Oradour Bar Chair with arm rest</v>
      </c>
      <c r="AK266" s="1" t="str">
        <f t="shared" si="134"/>
        <v>w47 x d52 x h93 x sh74</v>
      </c>
      <c r="AL266" s="1" t="str">
        <f t="shared" si="135"/>
        <v xml:space="preserve">natural teak </v>
      </c>
      <c r="AM266" s="1" t="str">
        <f t="shared" si="136"/>
        <v xml:space="preserve">natural teak </v>
      </c>
      <c r="AN266" s="1" t="str">
        <f t="shared" si="130"/>
        <v xml:space="preserve">natural teak </v>
      </c>
      <c r="AQ266" s="1" t="str">
        <f t="shared" si="137"/>
        <v>A</v>
      </c>
      <c r="AR266" s="1" t="str">
        <f>VLOOKUP(TRIM(AI266),Sheet1!$D$3:$E$36,2,FALSE)</f>
        <v>09</v>
      </c>
      <c r="AS266" s="90" t="str">
        <f t="shared" si="138"/>
        <v>01</v>
      </c>
      <c r="AT266" s="1" t="str">
        <f t="shared" si="139"/>
        <v>02</v>
      </c>
      <c r="AU266" s="90" t="s">
        <v>55</v>
      </c>
      <c r="AV266" s="90"/>
      <c r="AW266" s="90"/>
      <c r="AX266" s="95" t="str">
        <f>AQ266&amp;AR266&amp;AS266&amp;"-"&amp;AT266&amp;AU266&amp;BA266</f>
        <v>A0901-0210</v>
      </c>
      <c r="AY266" s="99" t="str">
        <f>AQ266&amp;AR266&amp;AS266&amp;"-"&amp;AT266&amp;BA266</f>
        <v>A0901-02</v>
      </c>
      <c r="AZ266" s="90"/>
      <c r="BA266" s="1" t="str">
        <f t="shared" si="140"/>
        <v/>
      </c>
      <c r="BC266" s="1">
        <f t="shared" si="123"/>
        <v>1</v>
      </c>
      <c r="BD266" s="90">
        <f t="shared" si="124"/>
        <v>1</v>
      </c>
      <c r="BE266" s="1" t="str">
        <f t="shared" si="114"/>
        <v/>
      </c>
      <c r="BF266" s="1">
        <f t="shared" si="115"/>
        <v>2</v>
      </c>
      <c r="BI266"/>
      <c r="BJ266"/>
      <c r="BL266"/>
    </row>
    <row r="267" spans="1:64" ht="11.25" customHeight="1">
      <c r="A267" s="26" t="s">
        <v>1407</v>
      </c>
      <c r="B267" s="27" t="s">
        <v>1408</v>
      </c>
      <c r="C267" s="28">
        <v>739.99</v>
      </c>
      <c r="D267" s="28">
        <f t="shared" si="131"/>
        <v>369.995</v>
      </c>
      <c r="E267" s="22" t="s">
        <v>1333</v>
      </c>
      <c r="F267" s="22" t="s">
        <v>1409</v>
      </c>
      <c r="G267" s="22" t="s">
        <v>1410</v>
      </c>
      <c r="H267" s="22" t="s">
        <v>1411</v>
      </c>
      <c r="I267" s="23" t="s">
        <v>1401</v>
      </c>
      <c r="J267" s="22" t="s">
        <v>50</v>
      </c>
      <c r="K267" s="23">
        <v>41</v>
      </c>
      <c r="L267" s="23">
        <v>45</v>
      </c>
      <c r="M267" s="23">
        <v>95</v>
      </c>
      <c r="N267" s="3">
        <f t="shared" si="142"/>
        <v>0.17527499999999999</v>
      </c>
      <c r="O267" s="4" t="e">
        <f>(C267-(C267*#REF!))-((C267-(C267*#REF!))*#REF!)</f>
        <v>#REF!</v>
      </c>
      <c r="P267" s="7">
        <f>2792758.48368478-Q267</f>
        <v>42758.483684780076</v>
      </c>
      <c r="Q267" s="7">
        <v>2750000</v>
      </c>
      <c r="R267" s="5">
        <f t="shared" si="125"/>
        <v>2792758.4836847801</v>
      </c>
      <c r="S267" s="4">
        <f t="shared" si="126"/>
        <v>186.18389891231868</v>
      </c>
      <c r="T267" s="13">
        <f t="shared" si="132"/>
        <v>517.99300000000005</v>
      </c>
      <c r="U267" s="13">
        <f t="shared" si="141"/>
        <v>258.99650000000003</v>
      </c>
      <c r="V267" s="14">
        <f>U267/C267</f>
        <v>0.35000000000000003</v>
      </c>
      <c r="W267" s="18">
        <f>S267*1.7</f>
        <v>316.51262815094174</v>
      </c>
      <c r="X267" s="19">
        <f t="shared" si="127"/>
        <v>316.51262815094174</v>
      </c>
      <c r="Y267" s="19">
        <f t="shared" si="128"/>
        <v>633.02525630188347</v>
      </c>
      <c r="Z267" s="15">
        <v>1.7</v>
      </c>
      <c r="AA267" s="22" t="s">
        <v>1412</v>
      </c>
      <c r="AG267" s="94" t="s">
        <v>52</v>
      </c>
      <c r="AH267" s="89" t="str">
        <f>VLOOKUP(AG267,Sheet1!$B$3:$D$36,2,FALSE)</f>
        <v>Furniture</v>
      </c>
      <c r="AI267" s="89" t="s">
        <v>1340</v>
      </c>
      <c r="AJ267" s="1" t="str">
        <f t="shared" si="133"/>
        <v>Mystras Bar Chair</v>
      </c>
      <c r="AK267" s="1" t="str">
        <f t="shared" si="134"/>
        <v>w41 x d45 x h95 x sh74</v>
      </c>
      <c r="AL267" s="1" t="str">
        <f t="shared" si="135"/>
        <v xml:space="preserve">natural teak </v>
      </c>
      <c r="AM267" s="1" t="str">
        <f t="shared" si="136"/>
        <v xml:space="preserve">natural teak </v>
      </c>
      <c r="AN267" s="1" t="str">
        <f t="shared" si="130"/>
        <v xml:space="preserve">natural teak </v>
      </c>
      <c r="AQ267" s="1" t="str">
        <f t="shared" si="137"/>
        <v>A</v>
      </c>
      <c r="AR267" s="1" t="str">
        <f>VLOOKUP(TRIM(AI267),Sheet1!$D$3:$E$36,2,FALSE)</f>
        <v>09</v>
      </c>
      <c r="AS267" s="90" t="str">
        <f t="shared" si="138"/>
        <v>01</v>
      </c>
      <c r="AT267" s="1" t="str">
        <f t="shared" si="139"/>
        <v>01</v>
      </c>
      <c r="AU267" s="90" t="s">
        <v>55</v>
      </c>
      <c r="AV267" s="90"/>
      <c r="AW267" s="90"/>
      <c r="AX267" s="95" t="str">
        <f>AQ267&amp;AR267&amp;AS267&amp;"-"&amp;AT267&amp;AU267&amp;BA267</f>
        <v>A0901-0110</v>
      </c>
      <c r="AY267" s="99" t="str">
        <f>AQ267&amp;AR267&amp;AS267&amp;"-"&amp;AT267&amp;BA267</f>
        <v>A0901-01</v>
      </c>
      <c r="AZ267" s="90"/>
      <c r="BA267" s="1" t="str">
        <f t="shared" si="140"/>
        <v/>
      </c>
      <c r="BC267" s="1">
        <f t="shared" si="123"/>
        <v>1</v>
      </c>
      <c r="BD267" s="90">
        <f t="shared" si="124"/>
        <v>1</v>
      </c>
      <c r="BE267" s="1">
        <f t="shared" si="114"/>
        <v>1</v>
      </c>
      <c r="BF267" s="1">
        <f t="shared" si="115"/>
        <v>1</v>
      </c>
      <c r="BI267"/>
      <c r="BJ267"/>
      <c r="BL267"/>
    </row>
    <row r="268" spans="1:64" ht="11.25" customHeight="1">
      <c r="A268" s="26" t="s">
        <v>1413</v>
      </c>
      <c r="B268" s="27" t="s">
        <v>1414</v>
      </c>
      <c r="C268" s="28">
        <v>549.99</v>
      </c>
      <c r="D268" s="28">
        <f t="shared" si="131"/>
        <v>274.995</v>
      </c>
      <c r="E268" s="22" t="s">
        <v>1333</v>
      </c>
      <c r="F268" s="22" t="s">
        <v>1415</v>
      </c>
      <c r="G268" s="22" t="s">
        <v>1416</v>
      </c>
      <c r="H268" s="22" t="s">
        <v>1417</v>
      </c>
      <c r="I268" s="23" t="s">
        <v>1401</v>
      </c>
      <c r="J268" s="22" t="s">
        <v>646</v>
      </c>
      <c r="K268" s="23">
        <v>44</v>
      </c>
      <c r="L268" s="23">
        <v>47</v>
      </c>
      <c r="M268" s="23">
        <v>120</v>
      </c>
      <c r="N268" s="3">
        <f t="shared" si="142"/>
        <v>0.24815999999999999</v>
      </c>
      <c r="O268" s="4" t="e">
        <f>(C268-(C268*#REF!))-((C268-(C268*#REF!))*#REF!)</f>
        <v>#REF!</v>
      </c>
      <c r="P268" s="7"/>
      <c r="Q268" s="7"/>
      <c r="R268" s="5">
        <f t="shared" si="125"/>
        <v>0</v>
      </c>
      <c r="S268" s="4">
        <f t="shared" si="126"/>
        <v>0</v>
      </c>
      <c r="T268" s="13">
        <f t="shared" si="132"/>
        <v>384.99300000000005</v>
      </c>
      <c r="U268" s="13">
        <f t="shared" si="141"/>
        <v>192.49650000000003</v>
      </c>
      <c r="V268" s="14">
        <f>U268/C268</f>
        <v>0.35000000000000003</v>
      </c>
      <c r="W268" s="14"/>
      <c r="X268" s="19">
        <f t="shared" si="127"/>
        <v>192.49650000000003</v>
      </c>
      <c r="Y268" s="19">
        <f t="shared" si="128"/>
        <v>384.99300000000005</v>
      </c>
      <c r="Z268" s="15" t="e">
        <f>U268/S268</f>
        <v>#DIV/0!</v>
      </c>
      <c r="AA268" s="22" t="s">
        <v>1418</v>
      </c>
      <c r="AG268" s="94" t="s">
        <v>52</v>
      </c>
      <c r="AH268" s="89" t="str">
        <f>VLOOKUP(AG268,Sheet1!$B$3:$D$36,2,FALSE)</f>
        <v>Furniture</v>
      </c>
      <c r="AI268" s="89" t="s">
        <v>1340</v>
      </c>
      <c r="AJ268" s="1" t="str">
        <f t="shared" si="133"/>
        <v>Sighisoara Bar Chair</v>
      </c>
      <c r="AK268" s="1" t="str">
        <f t="shared" si="134"/>
        <v>w44 x d47 x h120 x sh75</v>
      </c>
      <c r="AL268" s="1" t="str">
        <f t="shared" si="135"/>
        <v xml:space="preserve">natural teak </v>
      </c>
      <c r="AM268" s="1" t="str">
        <f t="shared" si="136"/>
        <v xml:space="preserve">natural teak </v>
      </c>
      <c r="AN268" s="1" t="str">
        <f t="shared" si="130"/>
        <v xml:space="preserve">natural teak </v>
      </c>
      <c r="AQ268" s="1" t="str">
        <f t="shared" si="137"/>
        <v>A</v>
      </c>
      <c r="AR268" s="1" t="str">
        <f>VLOOKUP(TRIM(AI268),Sheet1!$D$3:$E$36,2,FALSE)</f>
        <v>09</v>
      </c>
      <c r="AS268" s="90" t="str">
        <f t="shared" si="138"/>
        <v>01</v>
      </c>
      <c r="AT268" s="1" t="str">
        <f t="shared" si="139"/>
        <v>01</v>
      </c>
      <c r="AU268" s="90" t="s">
        <v>55</v>
      </c>
      <c r="AV268" s="90"/>
      <c r="AW268" s="90"/>
      <c r="AX268" s="95" t="str">
        <f>AQ268&amp;AR268&amp;AS268&amp;"-"&amp;AT268&amp;AU268&amp;BA268</f>
        <v>A0901-0110</v>
      </c>
      <c r="AY268" s="99" t="str">
        <f>AQ268&amp;AR268&amp;AS268&amp;"-"&amp;AT268&amp;BA268</f>
        <v>A0901-01</v>
      </c>
      <c r="AZ268" s="90"/>
      <c r="BA268" s="1" t="str">
        <f t="shared" si="140"/>
        <v/>
      </c>
      <c r="BC268" s="1">
        <f t="shared" si="123"/>
        <v>1</v>
      </c>
      <c r="BD268" s="90">
        <f t="shared" si="124"/>
        <v>1</v>
      </c>
      <c r="BE268" s="1">
        <f t="shared" si="114"/>
        <v>1</v>
      </c>
      <c r="BF268" s="1">
        <f t="shared" si="115"/>
        <v>1</v>
      </c>
      <c r="BI268"/>
      <c r="BJ268"/>
      <c r="BL268"/>
    </row>
    <row r="269" spans="1:64" ht="11.25" customHeight="1">
      <c r="A269" s="26" t="s">
        <v>1419</v>
      </c>
      <c r="B269" s="27" t="s">
        <v>1420</v>
      </c>
      <c r="C269" s="28">
        <v>679.99</v>
      </c>
      <c r="D269" s="28">
        <f t="shared" si="131"/>
        <v>339.995</v>
      </c>
      <c r="E269" s="22" t="s">
        <v>1333</v>
      </c>
      <c r="F269" s="22" t="s">
        <v>1415</v>
      </c>
      <c r="G269" s="22" t="s">
        <v>1421</v>
      </c>
      <c r="H269" s="22" t="s">
        <v>1422</v>
      </c>
      <c r="I269" s="23" t="s">
        <v>1401</v>
      </c>
      <c r="J269" s="22" t="s">
        <v>646</v>
      </c>
      <c r="K269" s="23">
        <v>44</v>
      </c>
      <c r="L269" s="23">
        <v>47</v>
      </c>
      <c r="M269" s="23">
        <v>120</v>
      </c>
      <c r="N269" s="3">
        <f t="shared" si="142"/>
        <v>0.24815999999999999</v>
      </c>
      <c r="O269" s="4" t="e">
        <f>(C269-(C269*#REF!))-((C269-(C269*#REF!))*#REF!)</f>
        <v>#REF!</v>
      </c>
      <c r="P269" s="7"/>
      <c r="Q269" s="7"/>
      <c r="R269" s="5">
        <f t="shared" si="125"/>
        <v>0</v>
      </c>
      <c r="S269" s="4">
        <f t="shared" si="126"/>
        <v>0</v>
      </c>
      <c r="T269" s="13">
        <f t="shared" si="132"/>
        <v>475.99300000000005</v>
      </c>
      <c r="U269" s="13">
        <f t="shared" si="141"/>
        <v>237.99650000000003</v>
      </c>
      <c r="V269" s="14">
        <f>U269/C269</f>
        <v>0.35000000000000003</v>
      </c>
      <c r="W269" s="14"/>
      <c r="X269" s="19">
        <f t="shared" si="127"/>
        <v>237.99650000000003</v>
      </c>
      <c r="Y269" s="19">
        <f t="shared" si="128"/>
        <v>475.99300000000005</v>
      </c>
      <c r="Z269" s="15" t="e">
        <f>U269/S269</f>
        <v>#DIV/0!</v>
      </c>
      <c r="AA269" s="22" t="s">
        <v>1423</v>
      </c>
      <c r="AG269" s="94" t="s">
        <v>52</v>
      </c>
      <c r="AH269" s="89" t="str">
        <f>VLOOKUP(AG269,Sheet1!$B$3:$D$36,2,FALSE)</f>
        <v>Furniture</v>
      </c>
      <c r="AI269" s="89" t="s">
        <v>1340</v>
      </c>
      <c r="AJ269" s="1" t="str">
        <f t="shared" si="133"/>
        <v>Sighisoara Bar Chair with arm rest</v>
      </c>
      <c r="AK269" s="1" t="str">
        <f t="shared" si="134"/>
        <v>w44 x d47 x h120 x sh75vv</v>
      </c>
      <c r="AL269" s="1" t="str">
        <f t="shared" si="135"/>
        <v xml:space="preserve">natural teak </v>
      </c>
      <c r="AM269" s="1" t="str">
        <f t="shared" si="136"/>
        <v xml:space="preserve">natural teak </v>
      </c>
      <c r="AN269" s="1" t="str">
        <f t="shared" si="130"/>
        <v xml:space="preserve">natural teak </v>
      </c>
      <c r="AQ269" s="1" t="str">
        <f t="shared" si="137"/>
        <v>A</v>
      </c>
      <c r="AR269" s="1" t="str">
        <f>VLOOKUP(TRIM(AI269),Sheet1!$D$3:$E$36,2,FALSE)</f>
        <v>09</v>
      </c>
      <c r="AS269" s="90" t="str">
        <f t="shared" si="138"/>
        <v>01</v>
      </c>
      <c r="AT269" s="1" t="str">
        <f t="shared" si="139"/>
        <v>01</v>
      </c>
      <c r="AU269" s="90" t="s">
        <v>55</v>
      </c>
      <c r="AV269" s="90"/>
      <c r="AW269" s="90"/>
      <c r="AX269" s="95" t="str">
        <f>AQ269&amp;AR269&amp;AS269&amp;"-"&amp;AT269&amp;AU269&amp;BA269</f>
        <v>A0901-0110</v>
      </c>
      <c r="AY269" s="99" t="str">
        <f>AQ269&amp;AR269&amp;AS269&amp;"-"&amp;AT269&amp;BA269</f>
        <v>A0901-01</v>
      </c>
      <c r="AZ269" s="90"/>
      <c r="BA269" s="1" t="str">
        <f t="shared" si="140"/>
        <v/>
      </c>
      <c r="BC269" s="1">
        <f t="shared" si="123"/>
        <v>1</v>
      </c>
      <c r="BD269" s="90">
        <f t="shared" si="124"/>
        <v>1</v>
      </c>
      <c r="BE269" s="1">
        <f t="shared" ref="BE269:BE332" si="143">IF(AK268&lt;&gt;AK269,1,"")</f>
        <v>1</v>
      </c>
      <c r="BF269" s="1">
        <f t="shared" ref="BF269:BF332" si="144">IF(BE269=1,1,BF268+1)</f>
        <v>1</v>
      </c>
      <c r="BI269"/>
      <c r="BJ269"/>
      <c r="BL269"/>
    </row>
    <row r="270" spans="1:64" ht="11.25" customHeight="1">
      <c r="A270" s="26" t="s">
        <v>1424</v>
      </c>
      <c r="B270" s="27" t="s">
        <v>1425</v>
      </c>
      <c r="C270" s="28">
        <v>439.99</v>
      </c>
      <c r="D270" s="28">
        <f t="shared" si="131"/>
        <v>219.995</v>
      </c>
      <c r="E270" s="22" t="s">
        <v>1333</v>
      </c>
      <c r="F270" s="22" t="s">
        <v>1426</v>
      </c>
      <c r="G270" s="22" t="s">
        <v>736</v>
      </c>
      <c r="H270" s="22" t="s">
        <v>1427</v>
      </c>
      <c r="I270" s="23" t="s">
        <v>807</v>
      </c>
      <c r="J270" s="22" t="s">
        <v>50</v>
      </c>
      <c r="K270" s="23">
        <v>45</v>
      </c>
      <c r="L270" s="23">
        <v>40</v>
      </c>
      <c r="M270" s="23">
        <v>65</v>
      </c>
      <c r="N270" s="3">
        <f t="shared" si="142"/>
        <v>0.11700000000000001</v>
      </c>
      <c r="O270" s="4" t="e">
        <f>(C270-(C270*#REF!))-((C270-(C270*#REF!))*#REF!)</f>
        <v>#REF!</v>
      </c>
      <c r="P270" s="7"/>
      <c r="Q270" s="7"/>
      <c r="R270" s="5">
        <f t="shared" si="125"/>
        <v>0</v>
      </c>
      <c r="S270" s="4">
        <f t="shared" si="126"/>
        <v>0</v>
      </c>
      <c r="T270" s="13">
        <f t="shared" si="132"/>
        <v>307.99300000000005</v>
      </c>
      <c r="U270" s="13">
        <f t="shared" si="141"/>
        <v>153.99650000000003</v>
      </c>
      <c r="V270" s="14">
        <f>U270/C270</f>
        <v>0.35000000000000003</v>
      </c>
      <c r="W270" s="14"/>
      <c r="X270" s="19">
        <f t="shared" si="127"/>
        <v>153.99650000000003</v>
      </c>
      <c r="Y270" s="19">
        <f t="shared" si="128"/>
        <v>307.99300000000005</v>
      </c>
      <c r="Z270" s="15" t="e">
        <f>U270/S270</f>
        <v>#DIV/0!</v>
      </c>
      <c r="AA270" s="22" t="s">
        <v>1428</v>
      </c>
      <c r="AG270" s="94" t="s">
        <v>52</v>
      </c>
      <c r="AH270" s="89" t="str">
        <f>VLOOKUP(AG270,Sheet1!$B$3:$D$36,2,FALSE)</f>
        <v>Furniture</v>
      </c>
      <c r="AI270" s="89" t="s">
        <v>1340</v>
      </c>
      <c r="AJ270" s="1" t="str">
        <f t="shared" si="133"/>
        <v>Saintes Bar Stool</v>
      </c>
      <c r="AK270" s="1" t="str">
        <f t="shared" si="134"/>
        <v>w45 x d40 x h65 x sh65</v>
      </c>
      <c r="AL270" s="1" t="str">
        <f t="shared" si="135"/>
        <v>natural teak</v>
      </c>
      <c r="AM270" s="1" t="str">
        <f t="shared" si="136"/>
        <v>natural teak</v>
      </c>
      <c r="AN270" s="1" t="str">
        <f t="shared" si="130"/>
        <v>natural teak</v>
      </c>
      <c r="AQ270" s="1" t="str">
        <f t="shared" si="137"/>
        <v>A</v>
      </c>
      <c r="AR270" s="1" t="str">
        <f>VLOOKUP(TRIM(AI270),Sheet1!$D$3:$E$36,2,FALSE)</f>
        <v>09</v>
      </c>
      <c r="AS270" s="90" t="str">
        <f t="shared" si="138"/>
        <v>01</v>
      </c>
      <c r="AT270" s="1" t="str">
        <f t="shared" si="139"/>
        <v>01</v>
      </c>
      <c r="AU270" s="90" t="s">
        <v>55</v>
      </c>
      <c r="AV270" s="90"/>
      <c r="AW270" s="90"/>
      <c r="AX270" s="95" t="str">
        <f>AQ270&amp;AR270&amp;AS270&amp;"-"&amp;AT270&amp;AU270&amp;BA270</f>
        <v>A0901-0110</v>
      </c>
      <c r="AY270" s="99" t="str">
        <f>AQ270&amp;AR270&amp;AS270&amp;"-"&amp;AT270&amp;BA270</f>
        <v>A0901-01</v>
      </c>
      <c r="AZ270" s="90"/>
      <c r="BA270" s="1" t="str">
        <f t="shared" si="140"/>
        <v/>
      </c>
      <c r="BC270" s="1">
        <f t="shared" si="123"/>
        <v>1</v>
      </c>
      <c r="BD270" s="90">
        <f t="shared" si="124"/>
        <v>1</v>
      </c>
      <c r="BE270" s="1">
        <f t="shared" si="143"/>
        <v>1</v>
      </c>
      <c r="BF270" s="1">
        <f t="shared" si="144"/>
        <v>1</v>
      </c>
      <c r="BI270"/>
      <c r="BJ270"/>
      <c r="BL270"/>
    </row>
    <row r="271" spans="1:64" ht="11.25" customHeight="1">
      <c r="A271" s="26" t="s">
        <v>1429</v>
      </c>
      <c r="B271" s="27" t="s">
        <v>1425</v>
      </c>
      <c r="C271" s="28">
        <v>509.99</v>
      </c>
      <c r="D271" s="28">
        <f t="shared" si="131"/>
        <v>254.995</v>
      </c>
      <c r="E271" s="22" t="s">
        <v>1333</v>
      </c>
      <c r="F271" s="22" t="s">
        <v>1430</v>
      </c>
      <c r="G271" s="22" t="s">
        <v>736</v>
      </c>
      <c r="H271" s="22" t="s">
        <v>1358</v>
      </c>
      <c r="I271" s="23" t="s">
        <v>807</v>
      </c>
      <c r="J271" s="22" t="s">
        <v>50</v>
      </c>
      <c r="K271" s="23">
        <v>45</v>
      </c>
      <c r="L271" s="23">
        <v>40</v>
      </c>
      <c r="M271" s="23">
        <v>75</v>
      </c>
      <c r="N271" s="3">
        <f t="shared" si="142"/>
        <v>0.13500000000000001</v>
      </c>
      <c r="O271" s="4" t="e">
        <f>(C271-(C271*#REF!))-((C271-(C271*#REF!))*#REF!)</f>
        <v>#REF!</v>
      </c>
      <c r="P271" s="7"/>
      <c r="Q271" s="7"/>
      <c r="R271" s="5">
        <f t="shared" si="125"/>
        <v>0</v>
      </c>
      <c r="S271" s="4">
        <f t="shared" si="126"/>
        <v>0</v>
      </c>
      <c r="T271" s="13">
        <f t="shared" si="132"/>
        <v>356.99300000000005</v>
      </c>
      <c r="U271" s="13">
        <f t="shared" si="141"/>
        <v>178.49650000000003</v>
      </c>
      <c r="V271" s="14">
        <f>U271/C271</f>
        <v>0.35000000000000003</v>
      </c>
      <c r="W271" s="14"/>
      <c r="X271" s="19">
        <f t="shared" si="127"/>
        <v>178.49650000000003</v>
      </c>
      <c r="Y271" s="19">
        <f t="shared" si="128"/>
        <v>356.99300000000005</v>
      </c>
      <c r="Z271" s="15" t="e">
        <f>U271/S271</f>
        <v>#DIV/0!</v>
      </c>
      <c r="AA271" s="22" t="s">
        <v>1428</v>
      </c>
      <c r="AG271" s="94" t="s">
        <v>52</v>
      </c>
      <c r="AH271" s="89" t="str">
        <f>VLOOKUP(AG271,Sheet1!$B$3:$D$36,2,FALSE)</f>
        <v>Furniture</v>
      </c>
      <c r="AI271" s="89" t="s">
        <v>1340</v>
      </c>
      <c r="AJ271" s="1" t="str">
        <f t="shared" si="133"/>
        <v>Saintes Bar Stool</v>
      </c>
      <c r="AK271" s="1" t="str">
        <f t="shared" si="134"/>
        <v>w45 x d40 x h75 x sh75</v>
      </c>
      <c r="AL271" s="1" t="str">
        <f t="shared" si="135"/>
        <v>natural teak</v>
      </c>
      <c r="AM271" s="1" t="str">
        <f t="shared" si="136"/>
        <v>natural teak</v>
      </c>
      <c r="AN271" s="1" t="str">
        <f t="shared" si="130"/>
        <v>natural teak</v>
      </c>
      <c r="AQ271" s="1" t="str">
        <f t="shared" si="137"/>
        <v>A</v>
      </c>
      <c r="AR271" s="1" t="str">
        <f>VLOOKUP(TRIM(AI271),Sheet1!$D$3:$E$36,2,FALSE)</f>
        <v>09</v>
      </c>
      <c r="AS271" s="90" t="str">
        <f t="shared" si="138"/>
        <v>02</v>
      </c>
      <c r="AT271" s="1" t="str">
        <f t="shared" si="139"/>
        <v>01</v>
      </c>
      <c r="AU271" s="90" t="s">
        <v>55</v>
      </c>
      <c r="AV271" s="90"/>
      <c r="AW271" s="90"/>
      <c r="AX271" s="95" t="str">
        <f>AQ271&amp;AR271&amp;AS271&amp;"-"&amp;AT271&amp;AU271&amp;BA271</f>
        <v>A0902-0110</v>
      </c>
      <c r="AY271" s="99" t="str">
        <f>AQ271&amp;AR271&amp;AS271&amp;"-"&amp;AT271&amp;BA271</f>
        <v>A0902-01</v>
      </c>
      <c r="AZ271" s="90"/>
      <c r="BA271" s="1" t="str">
        <f t="shared" si="140"/>
        <v/>
      </c>
      <c r="BC271" s="1" t="str">
        <f t="shared" si="123"/>
        <v/>
      </c>
      <c r="BD271" s="90">
        <f t="shared" si="124"/>
        <v>2</v>
      </c>
      <c r="BE271" s="1">
        <f t="shared" si="143"/>
        <v>1</v>
      </c>
      <c r="BF271" s="1">
        <f t="shared" si="144"/>
        <v>1</v>
      </c>
      <c r="BI271"/>
      <c r="BJ271"/>
      <c r="BL271"/>
    </row>
    <row r="272" spans="1:64" ht="11.25" customHeight="1">
      <c r="A272" s="26" t="s">
        <v>1431</v>
      </c>
      <c r="B272" s="27" t="s">
        <v>1432</v>
      </c>
      <c r="C272" s="28">
        <v>174.99</v>
      </c>
      <c r="D272" s="28">
        <f t="shared" si="131"/>
        <v>87.495000000000005</v>
      </c>
      <c r="E272" s="22" t="s">
        <v>1333</v>
      </c>
      <c r="F272" s="22" t="s">
        <v>1433</v>
      </c>
      <c r="G272" s="22" t="s">
        <v>1434</v>
      </c>
      <c r="H272" s="22" t="s">
        <v>1435</v>
      </c>
      <c r="I272" s="23" t="s">
        <v>645</v>
      </c>
      <c r="J272" s="22" t="s">
        <v>646</v>
      </c>
      <c r="K272" s="23">
        <v>48</v>
      </c>
      <c r="L272" s="23">
        <v>63</v>
      </c>
      <c r="M272" s="23">
        <v>105</v>
      </c>
      <c r="N272" s="3">
        <f t="shared" si="142"/>
        <v>0.31752000000000002</v>
      </c>
      <c r="O272" s="4" t="e">
        <f>(C272-(C272*#REF!))-((C272-(C272*#REF!))*#REF!)</f>
        <v>#REF!</v>
      </c>
      <c r="P272" s="7"/>
      <c r="Q272" s="7"/>
      <c r="R272" s="5">
        <f t="shared" si="125"/>
        <v>0</v>
      </c>
      <c r="S272" s="4">
        <f t="shared" si="126"/>
        <v>0</v>
      </c>
      <c r="T272" s="13">
        <f t="shared" si="132"/>
        <v>122.49300000000001</v>
      </c>
      <c r="U272" s="13">
        <f t="shared" si="141"/>
        <v>61.246500000000005</v>
      </c>
      <c r="V272" s="14">
        <f>U272/C272</f>
        <v>0.35000000000000003</v>
      </c>
      <c r="W272" s="14"/>
      <c r="X272" s="19">
        <f t="shared" si="127"/>
        <v>61.246500000000005</v>
      </c>
      <c r="Y272" s="19">
        <f t="shared" si="128"/>
        <v>122.49300000000001</v>
      </c>
      <c r="Z272" s="15" t="e">
        <f>U272/S272</f>
        <v>#DIV/0!</v>
      </c>
      <c r="AA272" s="22" t="s">
        <v>1436</v>
      </c>
      <c r="AG272" s="94" t="s">
        <v>52</v>
      </c>
      <c r="AH272" s="89" t="str">
        <f>VLOOKUP(AG272,Sheet1!$B$3:$D$36,2,FALSE)</f>
        <v>Furniture</v>
      </c>
      <c r="AI272" s="89" t="s">
        <v>1340</v>
      </c>
      <c r="AJ272" s="1" t="str">
        <f t="shared" si="133"/>
        <v>Pals Bar Chair</v>
      </c>
      <c r="AK272" s="1" t="str">
        <f t="shared" si="134"/>
        <v>w48 x d63 x h105 x sh76</v>
      </c>
      <c r="AL272" s="1" t="str">
        <f t="shared" si="135"/>
        <v>teak root</v>
      </c>
      <c r="AM272" s="1" t="str">
        <f t="shared" si="136"/>
        <v>teak root</v>
      </c>
      <c r="AN272" s="1" t="str">
        <f t="shared" si="130"/>
        <v>teak root</v>
      </c>
      <c r="AQ272" s="1" t="str">
        <f t="shared" si="137"/>
        <v>A</v>
      </c>
      <c r="AR272" s="1" t="str">
        <f>VLOOKUP(TRIM(AI272),Sheet1!$D$3:$E$36,2,FALSE)</f>
        <v>09</v>
      </c>
      <c r="AS272" s="90" t="str">
        <f t="shared" si="138"/>
        <v>01</v>
      </c>
      <c r="AT272" s="1" t="str">
        <f t="shared" si="139"/>
        <v>01</v>
      </c>
      <c r="AU272" s="90" t="s">
        <v>648</v>
      </c>
      <c r="AV272" s="90"/>
      <c r="AW272" s="90"/>
      <c r="AX272" s="95" t="str">
        <f>AQ272&amp;AR272&amp;AS272&amp;"-"&amp;AT272&amp;AU272&amp;BA272</f>
        <v>A0901-0132</v>
      </c>
      <c r="AY272" s="99" t="str">
        <f>AQ272&amp;AR272&amp;AS272&amp;"-"&amp;AT272&amp;BA272</f>
        <v>A0901-01</v>
      </c>
      <c r="AZ272" s="90"/>
      <c r="BA272" s="1" t="str">
        <f t="shared" si="140"/>
        <v/>
      </c>
      <c r="BC272" s="1">
        <f t="shared" si="123"/>
        <v>1</v>
      </c>
      <c r="BD272" s="90">
        <f t="shared" si="124"/>
        <v>1</v>
      </c>
      <c r="BE272" s="1">
        <f t="shared" si="143"/>
        <v>1</v>
      </c>
      <c r="BF272" s="1">
        <f t="shared" si="144"/>
        <v>1</v>
      </c>
      <c r="BI272"/>
      <c r="BJ272"/>
      <c r="BL272"/>
    </row>
    <row r="273" spans="1:64" ht="11.25" customHeight="1">
      <c r="A273" s="26" t="s">
        <v>1437</v>
      </c>
      <c r="B273" s="27" t="s">
        <v>1438</v>
      </c>
      <c r="C273" s="28">
        <v>204.99</v>
      </c>
      <c r="D273" s="28">
        <f t="shared" si="131"/>
        <v>102.495</v>
      </c>
      <c r="E273" s="22" t="s">
        <v>1333</v>
      </c>
      <c r="F273" s="22" t="s">
        <v>1439</v>
      </c>
      <c r="G273" s="22" t="s">
        <v>1440</v>
      </c>
      <c r="H273" s="22" t="s">
        <v>1441</v>
      </c>
      <c r="I273" s="23" t="s">
        <v>662</v>
      </c>
      <c r="J273" s="22" t="s">
        <v>646</v>
      </c>
      <c r="K273" s="23">
        <v>40</v>
      </c>
      <c r="L273" s="23">
        <v>47</v>
      </c>
      <c r="M273" s="23">
        <v>105</v>
      </c>
      <c r="N273" s="3">
        <f t="shared" si="142"/>
        <v>0.19739999999999999</v>
      </c>
      <c r="O273" s="4" t="e">
        <f>(C273-(C273*#REF!))-((C273-(C273*#REF!))*#REF!)</f>
        <v>#REF!</v>
      </c>
      <c r="P273" s="7">
        <f>556548.442935812-Q273</f>
        <v>171548.44293581205</v>
      </c>
      <c r="Q273" s="7">
        <v>385000</v>
      </c>
      <c r="R273" s="5">
        <f t="shared" si="125"/>
        <v>556548.44293581205</v>
      </c>
      <c r="S273" s="4">
        <f t="shared" si="126"/>
        <v>37.10322952905414</v>
      </c>
      <c r="T273" s="13">
        <f t="shared" si="132"/>
        <v>143.49299999999999</v>
      </c>
      <c r="U273" s="13">
        <f t="shared" si="141"/>
        <v>71.746499999999997</v>
      </c>
      <c r="V273" s="14">
        <f>U273/C273</f>
        <v>0.35</v>
      </c>
      <c r="W273" s="18">
        <f>S273*$W$1</f>
        <v>74.20645905810828</v>
      </c>
      <c r="X273" s="19">
        <f t="shared" si="127"/>
        <v>74.20645905810828</v>
      </c>
      <c r="Y273" s="19">
        <f t="shared" si="128"/>
        <v>148.41291811621656</v>
      </c>
      <c r="Z273" s="15">
        <v>2</v>
      </c>
      <c r="AA273" s="22" t="s">
        <v>1442</v>
      </c>
      <c r="AG273" s="94" t="s">
        <v>52</v>
      </c>
      <c r="AH273" s="89" t="str">
        <f>VLOOKUP(AG273,Sheet1!$B$3:$D$36,2,FALSE)</f>
        <v>Furniture</v>
      </c>
      <c r="AI273" s="89" t="s">
        <v>1340</v>
      </c>
      <c r="AJ273" s="1" t="str">
        <f t="shared" si="133"/>
        <v>Avebury Bar Stool</v>
      </c>
      <c r="AK273" s="1" t="str">
        <f t="shared" si="134"/>
        <v>w40 x d47 x h105 x sh65</v>
      </c>
      <c r="AL273" s="1" t="str">
        <f t="shared" si="135"/>
        <v>teak branches</v>
      </c>
      <c r="AM273" s="1" t="str">
        <f t="shared" si="136"/>
        <v>teak branches</v>
      </c>
      <c r="AN273" s="1" t="str">
        <f t="shared" si="130"/>
        <v>teak branches</v>
      </c>
      <c r="AQ273" s="1" t="str">
        <f t="shared" si="137"/>
        <v>A</v>
      </c>
      <c r="AR273" s="1" t="str">
        <f>VLOOKUP(TRIM(AI273),Sheet1!$D$3:$E$36,2,FALSE)</f>
        <v>09</v>
      </c>
      <c r="AS273" s="90" t="str">
        <f t="shared" si="138"/>
        <v>01</v>
      </c>
      <c r="AT273" s="1" t="str">
        <f t="shared" si="139"/>
        <v>01</v>
      </c>
      <c r="AU273" s="90" t="s">
        <v>664</v>
      </c>
      <c r="AV273" s="90"/>
      <c r="AW273" s="90"/>
      <c r="AX273" s="95" t="str">
        <f>AQ273&amp;AR273&amp;AS273&amp;"-"&amp;AT273&amp;AU273&amp;BA273</f>
        <v>A0901-0127</v>
      </c>
      <c r="AY273" s="99" t="str">
        <f>AQ273&amp;AR273&amp;AS273&amp;"-"&amp;AT273&amp;BA273</f>
        <v>A0901-01</v>
      </c>
      <c r="AZ273" s="90"/>
      <c r="BA273" s="1" t="str">
        <f t="shared" si="140"/>
        <v/>
      </c>
      <c r="BC273" s="1">
        <f t="shared" si="123"/>
        <v>1</v>
      </c>
      <c r="BD273" s="90">
        <f t="shared" si="124"/>
        <v>1</v>
      </c>
      <c r="BE273" s="1">
        <f t="shared" si="143"/>
        <v>1</v>
      </c>
      <c r="BF273" s="1">
        <f t="shared" si="144"/>
        <v>1</v>
      </c>
      <c r="BI273"/>
      <c r="BJ273"/>
      <c r="BL273"/>
    </row>
    <row r="274" spans="1:64" ht="11.25" customHeight="1">
      <c r="A274" s="26" t="s">
        <v>1443</v>
      </c>
      <c r="B274" s="27" t="s">
        <v>1444</v>
      </c>
      <c r="C274" s="28">
        <v>329.99</v>
      </c>
      <c r="D274" s="28">
        <f t="shared" si="131"/>
        <v>164.995</v>
      </c>
      <c r="E274" s="22" t="s">
        <v>1333</v>
      </c>
      <c r="F274" s="22" t="s">
        <v>1445</v>
      </c>
      <c r="G274" s="22" t="s">
        <v>1446</v>
      </c>
      <c r="H274" s="22" t="s">
        <v>1447</v>
      </c>
      <c r="I274" s="23" t="s">
        <v>807</v>
      </c>
      <c r="J274" s="22" t="s">
        <v>50</v>
      </c>
      <c r="K274" s="23">
        <v>40</v>
      </c>
      <c r="L274" s="23">
        <v>40</v>
      </c>
      <c r="M274" s="23">
        <v>75</v>
      </c>
      <c r="N274" s="3">
        <f t="shared" si="142"/>
        <v>0.12</v>
      </c>
      <c r="O274" s="4" t="e">
        <f>(C274-(C274*#REF!))-((C274-(C274*#REF!))*#REF!)</f>
        <v>#REF!</v>
      </c>
      <c r="P274" s="7"/>
      <c r="Q274" s="7"/>
      <c r="R274" s="5">
        <f t="shared" si="125"/>
        <v>0</v>
      </c>
      <c r="S274" s="4">
        <f t="shared" si="126"/>
        <v>0</v>
      </c>
      <c r="T274" s="13">
        <f t="shared" si="132"/>
        <v>230.99299999999999</v>
      </c>
      <c r="U274" s="13">
        <f t="shared" si="141"/>
        <v>115.4965</v>
      </c>
      <c r="V274" s="14">
        <f>U274/C274</f>
        <v>0.35</v>
      </c>
      <c r="W274" s="14"/>
      <c r="X274" s="19">
        <f t="shared" si="127"/>
        <v>115.4965</v>
      </c>
      <c r="Y274" s="19">
        <f t="shared" si="128"/>
        <v>230.99299999999999</v>
      </c>
      <c r="Z274" s="15" t="e">
        <f>U274/S274</f>
        <v>#DIV/0!</v>
      </c>
      <c r="AA274" s="22" t="s">
        <v>1448</v>
      </c>
      <c r="AG274" s="94" t="s">
        <v>52</v>
      </c>
      <c r="AH274" s="89" t="str">
        <f>VLOOKUP(AG274,Sheet1!$B$3:$D$36,2,FALSE)</f>
        <v>Furniture</v>
      </c>
      <c r="AI274" s="89" t="s">
        <v>1340</v>
      </c>
      <c r="AJ274" s="1" t="str">
        <f t="shared" si="133"/>
        <v>Soul Bar Stool</v>
      </c>
      <c r="AK274" s="1" t="str">
        <f t="shared" si="134"/>
        <v>w40 x d40 x h75 x sh75</v>
      </c>
      <c r="AL274" s="1" t="str">
        <f t="shared" si="135"/>
        <v>natural teak</v>
      </c>
      <c r="AM274" s="1" t="str">
        <f t="shared" si="136"/>
        <v>natural teak</v>
      </c>
      <c r="AN274" s="1" t="str">
        <f t="shared" si="130"/>
        <v>natural teak</v>
      </c>
      <c r="AQ274" s="1" t="str">
        <f t="shared" si="137"/>
        <v>A</v>
      </c>
      <c r="AR274" s="1" t="str">
        <f>VLOOKUP(TRIM(AI274),Sheet1!$D$3:$E$36,2,FALSE)</f>
        <v>09</v>
      </c>
      <c r="AS274" s="90" t="str">
        <f t="shared" si="138"/>
        <v>01</v>
      </c>
      <c r="AT274" s="1" t="str">
        <f t="shared" si="139"/>
        <v>01</v>
      </c>
      <c r="AU274" s="90" t="s">
        <v>55</v>
      </c>
      <c r="AV274" s="90"/>
      <c r="AW274" s="90"/>
      <c r="AX274" s="95" t="str">
        <f>AQ274&amp;AR274&amp;AS274&amp;"-"&amp;AT274&amp;AU274&amp;BA274</f>
        <v>A0901-0110</v>
      </c>
      <c r="AY274" s="99" t="str">
        <f>AQ274&amp;AR274&amp;AS274&amp;"-"&amp;AT274&amp;BA274</f>
        <v>A0901-01</v>
      </c>
      <c r="AZ274" s="90"/>
      <c r="BA274" s="1" t="str">
        <f t="shared" si="140"/>
        <v/>
      </c>
      <c r="BC274" s="1">
        <f t="shared" si="123"/>
        <v>1</v>
      </c>
      <c r="BD274" s="90">
        <f t="shared" si="124"/>
        <v>1</v>
      </c>
      <c r="BE274" s="1">
        <f t="shared" si="143"/>
        <v>1</v>
      </c>
      <c r="BF274" s="1">
        <f t="shared" si="144"/>
        <v>1</v>
      </c>
      <c r="BI274"/>
      <c r="BJ274"/>
      <c r="BL274"/>
    </row>
    <row r="275" spans="1:64" ht="11.25" customHeight="1">
      <c r="A275" s="26" t="s">
        <v>1449</v>
      </c>
      <c r="B275" s="27" t="s">
        <v>1450</v>
      </c>
      <c r="C275" s="28">
        <v>237.99</v>
      </c>
      <c r="D275" s="28">
        <f t="shared" si="131"/>
        <v>118.995</v>
      </c>
      <c r="E275" s="22" t="s">
        <v>1333</v>
      </c>
      <c r="F275" s="22" t="s">
        <v>1451</v>
      </c>
      <c r="G275" s="22" t="s">
        <v>1452</v>
      </c>
      <c r="H275" s="22" t="s">
        <v>1435</v>
      </c>
      <c r="I275" s="23" t="s">
        <v>645</v>
      </c>
      <c r="J275" s="22" t="s">
        <v>646</v>
      </c>
      <c r="K275" s="23">
        <v>48</v>
      </c>
      <c r="L275" s="23">
        <v>63</v>
      </c>
      <c r="M275" s="23">
        <v>105</v>
      </c>
      <c r="N275" s="3">
        <f t="shared" si="142"/>
        <v>0.31752000000000002</v>
      </c>
      <c r="O275" s="4" t="e">
        <f>(C275-(C275*#REF!))-((C275-(C275*#REF!))*#REF!)</f>
        <v>#REF!</v>
      </c>
      <c r="P275" s="7">
        <f>739475.256836259-Q275</f>
        <v>299475.25683625904</v>
      </c>
      <c r="Q275" s="7">
        <v>440000</v>
      </c>
      <c r="R275" s="5">
        <f t="shared" si="125"/>
        <v>739475.25683625904</v>
      </c>
      <c r="S275" s="4">
        <f t="shared" si="126"/>
        <v>49.298350455750601</v>
      </c>
      <c r="T275" s="13">
        <f t="shared" si="132"/>
        <v>166.59300000000002</v>
      </c>
      <c r="U275" s="13">
        <f t="shared" si="141"/>
        <v>83.296500000000009</v>
      </c>
      <c r="V275" s="14">
        <f>U275/C275</f>
        <v>0.35000000000000003</v>
      </c>
      <c r="W275" s="18">
        <f>S275*$W$1</f>
        <v>98.596700911501202</v>
      </c>
      <c r="X275" s="19">
        <f t="shared" si="127"/>
        <v>98.596700911501202</v>
      </c>
      <c r="Y275" s="19">
        <f t="shared" si="128"/>
        <v>197.1934018230024</v>
      </c>
      <c r="Z275" s="15">
        <v>2</v>
      </c>
      <c r="AA275" s="22" t="s">
        <v>1453</v>
      </c>
      <c r="AG275" s="94" t="s">
        <v>52</v>
      </c>
      <c r="AH275" s="89" t="str">
        <f>VLOOKUP(AG275,Sheet1!$B$3:$D$36,2,FALSE)</f>
        <v>Furniture</v>
      </c>
      <c r="AI275" s="89" t="s">
        <v>1340</v>
      </c>
      <c r="AJ275" s="1" t="str">
        <f t="shared" si="133"/>
        <v>Ethereal Bar Chair</v>
      </c>
      <c r="AK275" s="1" t="str">
        <f t="shared" si="134"/>
        <v>w48 x d63 x h105 x sh76</v>
      </c>
      <c r="AL275" s="1" t="str">
        <f t="shared" si="135"/>
        <v>teak root</v>
      </c>
      <c r="AM275" s="1" t="str">
        <f t="shared" si="136"/>
        <v>teak root</v>
      </c>
      <c r="AN275" s="1" t="str">
        <f t="shared" si="130"/>
        <v>teak root</v>
      </c>
      <c r="AQ275" s="1" t="str">
        <f t="shared" si="137"/>
        <v>A</v>
      </c>
      <c r="AR275" s="1" t="str">
        <f>VLOOKUP(TRIM(AI275),Sheet1!$D$3:$E$36,2,FALSE)</f>
        <v>09</v>
      </c>
      <c r="AS275" s="90" t="str">
        <f t="shared" si="138"/>
        <v>01</v>
      </c>
      <c r="AT275" s="1" t="str">
        <f t="shared" si="139"/>
        <v>01</v>
      </c>
      <c r="AU275" s="90" t="s">
        <v>648</v>
      </c>
      <c r="AV275" s="90"/>
      <c r="AW275" s="90"/>
      <c r="AX275" s="95" t="str">
        <f>AQ275&amp;AR275&amp;AS275&amp;"-"&amp;AT275&amp;AU275&amp;BA275</f>
        <v>A0901-0132</v>
      </c>
      <c r="AY275" s="99" t="str">
        <f>AQ275&amp;AR275&amp;AS275&amp;"-"&amp;AT275&amp;BA275</f>
        <v>A0901-01</v>
      </c>
      <c r="AZ275" s="90"/>
      <c r="BA275" s="1" t="str">
        <f t="shared" si="140"/>
        <v/>
      </c>
      <c r="BC275" s="1">
        <f t="shared" si="123"/>
        <v>1</v>
      </c>
      <c r="BD275" s="90">
        <f t="shared" si="124"/>
        <v>1</v>
      </c>
      <c r="BE275" s="1">
        <f t="shared" si="143"/>
        <v>1</v>
      </c>
      <c r="BF275" s="1">
        <f t="shared" si="144"/>
        <v>1</v>
      </c>
      <c r="BI275"/>
      <c r="BJ275"/>
      <c r="BL275"/>
    </row>
    <row r="276" spans="1:64" s="63" customFormat="1" ht="15.75">
      <c r="A276" s="65" t="s">
        <v>1454</v>
      </c>
      <c r="B276" s="66"/>
      <c r="C276" s="67"/>
      <c r="D276" s="75"/>
      <c r="E276" s="68"/>
      <c r="F276" s="69"/>
      <c r="G276" s="68"/>
      <c r="H276" s="68"/>
      <c r="I276" s="65"/>
      <c r="J276" s="68"/>
      <c r="K276" s="65"/>
      <c r="L276" s="65"/>
      <c r="M276" s="65"/>
      <c r="N276" s="68"/>
      <c r="O276" s="68"/>
      <c r="P276" s="76"/>
      <c r="Q276" s="76"/>
      <c r="R276" s="77"/>
      <c r="S276" s="68"/>
      <c r="T276" s="78"/>
      <c r="U276" s="78"/>
      <c r="V276" s="75"/>
      <c r="W276" s="75"/>
      <c r="X276" s="75"/>
      <c r="Y276" s="75"/>
      <c r="Z276" s="79"/>
      <c r="AA276" s="68"/>
      <c r="AB276" s="66"/>
      <c r="AC276" s="66"/>
      <c r="AD276" s="66"/>
      <c r="AE276" s="66"/>
      <c r="AF276" s="66"/>
      <c r="AG276" s="93"/>
      <c r="AH276" s="89"/>
      <c r="AI276" s="89"/>
      <c r="AJ276" s="1"/>
      <c r="AK276" s="1"/>
      <c r="AL276" s="1"/>
      <c r="AM276" s="1"/>
      <c r="AQ276" s="1"/>
      <c r="AR276" s="1"/>
      <c r="AS276" s="90"/>
      <c r="AT276" s="1"/>
      <c r="AU276" s="90"/>
      <c r="AV276" s="90"/>
      <c r="AW276" s="90"/>
      <c r="AX276" s="95"/>
      <c r="AY276" s="99" t="str">
        <f>AQ276&amp;AR276&amp;AS276&amp;"-"&amp;AT276&amp;BA276</f>
        <v>-</v>
      </c>
      <c r="AZ276" s="90"/>
      <c r="BA276" s="1"/>
      <c r="BC276" s="1"/>
      <c r="BD276" s="90"/>
      <c r="BE276" s="1"/>
      <c r="BF276" s="1"/>
      <c r="BI276"/>
      <c r="BJ276"/>
      <c r="BK276" s="1"/>
      <c r="BL276"/>
    </row>
    <row r="277" spans="1:64" ht="11.25" customHeight="1">
      <c r="A277" s="26" t="s">
        <v>1455</v>
      </c>
      <c r="B277" s="27" t="s">
        <v>1456</v>
      </c>
      <c r="C277" s="28">
        <v>129.99</v>
      </c>
      <c r="D277" s="28">
        <f t="shared" si="131"/>
        <v>64.995000000000005</v>
      </c>
      <c r="E277" s="22" t="s">
        <v>1454</v>
      </c>
      <c r="F277" s="22" t="s">
        <v>1457</v>
      </c>
      <c r="G277" s="22" t="s">
        <v>1458</v>
      </c>
      <c r="H277" s="22" t="s">
        <v>1459</v>
      </c>
      <c r="I277" s="23" t="s">
        <v>645</v>
      </c>
      <c r="J277" s="22" t="s">
        <v>646</v>
      </c>
      <c r="K277" s="23">
        <v>31</v>
      </c>
      <c r="L277" s="23">
        <v>31</v>
      </c>
      <c r="M277" s="23">
        <v>43</v>
      </c>
      <c r="N277" s="3">
        <f t="shared" si="142"/>
        <v>4.1322999999999999E-2</v>
      </c>
      <c r="O277" s="4" t="e">
        <f>(C277-(C277*#REF!))-((C277-(C277*#REF!))*#REF!)</f>
        <v>#REF!</v>
      </c>
      <c r="P277" s="7">
        <f>405473.415383085-Q277</f>
        <v>55473.415383085026</v>
      </c>
      <c r="Q277" s="7">
        <v>350000</v>
      </c>
      <c r="R277" s="5">
        <f t="shared" ref="R277:R285" si="145">P277+Q277</f>
        <v>405473.41538308503</v>
      </c>
      <c r="S277" s="4">
        <f t="shared" ref="S277:S285" si="146">R277/15000</f>
        <v>27.031561025539002</v>
      </c>
      <c r="T277" s="13">
        <f t="shared" si="132"/>
        <v>90.993000000000009</v>
      </c>
      <c r="U277" s="13">
        <f t="shared" si="141"/>
        <v>45.496500000000005</v>
      </c>
      <c r="V277" s="14">
        <f>U277/C277</f>
        <v>0.35000000000000003</v>
      </c>
      <c r="W277" s="18">
        <f>S277*$W$1</f>
        <v>54.063122051078004</v>
      </c>
      <c r="X277" s="19">
        <f t="shared" ref="X277:X285" si="147">IF(ISBLANK(W277),U277, W277)</f>
        <v>54.063122051078004</v>
      </c>
      <c r="Y277" s="19">
        <f t="shared" ref="Y277:Y285" si="148">X277*2</f>
        <v>108.12624410215601</v>
      </c>
      <c r="Z277" s="15">
        <v>2</v>
      </c>
      <c r="AA277" s="22" t="s">
        <v>1460</v>
      </c>
      <c r="AG277" s="94" t="s">
        <v>52</v>
      </c>
      <c r="AH277" s="89" t="str">
        <f>VLOOKUP(AG277,Sheet1!$B$3:$D$36,2,FALSE)</f>
        <v>Furniture</v>
      </c>
      <c r="AI277" s="89" t="s">
        <v>1461</v>
      </c>
      <c r="AJ277" s="1" t="str">
        <f t="shared" si="133"/>
        <v xml:space="preserve"> Ghent chair</v>
      </c>
      <c r="AK277" s="1" t="str">
        <f t="shared" si="134"/>
        <v>w31 x d31 x h43 x sh43</v>
      </c>
      <c r="AL277" s="1" t="str">
        <f t="shared" si="135"/>
        <v>teak root</v>
      </c>
      <c r="AM277" s="1" t="str">
        <f t="shared" si="136"/>
        <v>teak root</v>
      </c>
      <c r="AN277" s="1" t="str">
        <f t="shared" ref="AN277:AN285" si="149">SUBSTITUTE(AL277,"indoor","")</f>
        <v>teak root</v>
      </c>
      <c r="AQ277" s="1" t="str">
        <f t="shared" si="137"/>
        <v>A</v>
      </c>
      <c r="AR277" s="1" t="str">
        <f>VLOOKUP(TRIM(AI277),Sheet1!$D$3:$E$36,2,FALSE)</f>
        <v>10</v>
      </c>
      <c r="AS277" s="90" t="str">
        <f t="shared" si="138"/>
        <v>01</v>
      </c>
      <c r="AT277" s="1" t="str">
        <f t="shared" si="139"/>
        <v>01</v>
      </c>
      <c r="AU277" s="90" t="s">
        <v>648</v>
      </c>
      <c r="AV277" s="90"/>
      <c r="AW277" s="90"/>
      <c r="AX277" s="95" t="str">
        <f>AQ277&amp;AR277&amp;AS277&amp;"-"&amp;AT277&amp;AU277&amp;BA277</f>
        <v>A1001-0132</v>
      </c>
      <c r="AY277" s="99" t="str">
        <f>AQ277&amp;AR277&amp;AS277&amp;"-"&amp;AT277&amp;BA277</f>
        <v>A1001-01</v>
      </c>
      <c r="AZ277" s="90"/>
      <c r="BA277" s="1" t="str">
        <f t="shared" si="140"/>
        <v/>
      </c>
      <c r="BC277" s="1">
        <f t="shared" si="123"/>
        <v>1</v>
      </c>
      <c r="BD277" s="90">
        <f t="shared" si="124"/>
        <v>1</v>
      </c>
      <c r="BE277" s="1">
        <f t="shared" si="143"/>
        <v>1</v>
      </c>
      <c r="BF277" s="1">
        <f t="shared" si="144"/>
        <v>1</v>
      </c>
      <c r="BI277"/>
      <c r="BJ277"/>
      <c r="BL277"/>
    </row>
    <row r="278" spans="1:64" ht="11.25" customHeight="1">
      <c r="A278" s="26" t="s">
        <v>1462</v>
      </c>
      <c r="B278" s="27" t="s">
        <v>1463</v>
      </c>
      <c r="C278" s="28">
        <v>149.99</v>
      </c>
      <c r="D278" s="28">
        <f t="shared" si="131"/>
        <v>74.995000000000005</v>
      </c>
      <c r="E278" s="22" t="s">
        <v>1454</v>
      </c>
      <c r="F278" s="22" t="s">
        <v>1464</v>
      </c>
      <c r="G278" s="22" t="s">
        <v>1465</v>
      </c>
      <c r="H278" s="22" t="s">
        <v>1466</v>
      </c>
      <c r="I278" s="23" t="s">
        <v>815</v>
      </c>
      <c r="J278" s="22" t="s">
        <v>50</v>
      </c>
      <c r="K278" s="23">
        <v>35</v>
      </c>
      <c r="L278" s="23">
        <v>25</v>
      </c>
      <c r="M278" s="23">
        <v>43</v>
      </c>
      <c r="N278" s="3">
        <f t="shared" si="142"/>
        <v>3.7624999999999999E-2</v>
      </c>
      <c r="O278" s="4" t="e">
        <f>(C278-(C278*#REF!))-((C278-(C278*#REF!))*#REF!)</f>
        <v>#REF!</v>
      </c>
      <c r="P278" s="7">
        <v>608015.89993965416</v>
      </c>
      <c r="Q278" s="7">
        <v>0</v>
      </c>
      <c r="R278" s="5">
        <f t="shared" si="145"/>
        <v>608015.89993965416</v>
      </c>
      <c r="S278" s="4">
        <f t="shared" si="146"/>
        <v>40.534393329310276</v>
      </c>
      <c r="T278" s="13">
        <f t="shared" si="132"/>
        <v>104.99300000000001</v>
      </c>
      <c r="U278" s="13">
        <f t="shared" si="141"/>
        <v>52.496500000000005</v>
      </c>
      <c r="V278" s="14">
        <f>U278/C278</f>
        <v>0.35000000000000003</v>
      </c>
      <c r="W278" s="18">
        <f>S278*2.3</f>
        <v>93.229104657413629</v>
      </c>
      <c r="X278" s="19">
        <f t="shared" si="147"/>
        <v>93.229104657413629</v>
      </c>
      <c r="Y278" s="19">
        <f t="shared" si="148"/>
        <v>186.45820931482726</v>
      </c>
      <c r="Z278" s="15">
        <v>2.2999999999999998</v>
      </c>
      <c r="AA278" s="22" t="s">
        <v>1467</v>
      </c>
      <c r="AG278" s="94" t="s">
        <v>52</v>
      </c>
      <c r="AH278" s="89" t="str">
        <f>VLOOKUP(AG278,Sheet1!$B$3:$D$36,2,FALSE)</f>
        <v>Furniture</v>
      </c>
      <c r="AI278" s="89" t="s">
        <v>1461</v>
      </c>
      <c r="AJ278" s="1" t="str">
        <f t="shared" si="133"/>
        <v xml:space="preserve"> Arles stool</v>
      </c>
      <c r="AK278" s="1" t="str">
        <f t="shared" si="134"/>
        <v>w35 x d25 x h43 x sh43</v>
      </c>
      <c r="AL278" s="1" t="str">
        <f t="shared" si="135"/>
        <v>bare</v>
      </c>
      <c r="AM278" s="1" t="str">
        <f t="shared" si="136"/>
        <v>bare</v>
      </c>
      <c r="AN278" s="1" t="str">
        <f t="shared" si="149"/>
        <v>bare</v>
      </c>
      <c r="AQ278" s="1" t="str">
        <f t="shared" si="137"/>
        <v>A</v>
      </c>
      <c r="AR278" s="1" t="str">
        <f>VLOOKUP(TRIM(AI278),Sheet1!$D$3:$E$36,2,FALSE)</f>
        <v>10</v>
      </c>
      <c r="AS278" s="90" t="str">
        <f t="shared" si="138"/>
        <v>01</v>
      </c>
      <c r="AT278" s="1" t="str">
        <f t="shared" si="139"/>
        <v>01</v>
      </c>
      <c r="AU278" s="90" t="s">
        <v>817</v>
      </c>
      <c r="AV278" s="90"/>
      <c r="AW278" s="90"/>
      <c r="AX278" s="95" t="str">
        <f>AQ278&amp;AR278&amp;AS278&amp;"-"&amp;AT278&amp;AU278&amp;BA278</f>
        <v>A1001-0103</v>
      </c>
      <c r="AY278" s="99" t="str">
        <f>AQ278&amp;AR278&amp;AS278&amp;"-"&amp;AT278&amp;BA278</f>
        <v>A1001-01</v>
      </c>
      <c r="AZ278" s="90"/>
      <c r="BA278" s="1" t="str">
        <f t="shared" si="140"/>
        <v/>
      </c>
      <c r="BC278" s="1">
        <f t="shared" si="123"/>
        <v>1</v>
      </c>
      <c r="BD278" s="90">
        <f t="shared" si="124"/>
        <v>1</v>
      </c>
      <c r="BE278" s="1">
        <f t="shared" si="143"/>
        <v>1</v>
      </c>
      <c r="BF278" s="1">
        <f t="shared" si="144"/>
        <v>1</v>
      </c>
      <c r="BI278"/>
      <c r="BJ278"/>
      <c r="BL278"/>
    </row>
    <row r="279" spans="1:64" ht="11.25" customHeight="1">
      <c r="A279" s="26" t="s">
        <v>1468</v>
      </c>
      <c r="B279" s="27" t="s">
        <v>1469</v>
      </c>
      <c r="C279" s="28">
        <v>239.99</v>
      </c>
      <c r="D279" s="28">
        <f t="shared" si="131"/>
        <v>119.995</v>
      </c>
      <c r="E279" s="22" t="s">
        <v>1454</v>
      </c>
      <c r="F279" s="22" t="s">
        <v>1470</v>
      </c>
      <c r="G279" s="22" t="s">
        <v>1471</v>
      </c>
      <c r="H279" s="22" t="s">
        <v>1472</v>
      </c>
      <c r="I279" s="23" t="s">
        <v>1473</v>
      </c>
      <c r="J279" s="22" t="s">
        <v>50</v>
      </c>
      <c r="L279" s="23">
        <v>40</v>
      </c>
      <c r="M279" s="23">
        <v>43</v>
      </c>
      <c r="N279" s="3">
        <f t="shared" si="142"/>
        <v>6.88E-2</v>
      </c>
      <c r="O279" s="4" t="e">
        <f>(C279-(C279*#REF!))-((C279-(C279*#REF!))*#REF!)</f>
        <v>#REF!</v>
      </c>
      <c r="P279" s="7">
        <v>583827.75478439464</v>
      </c>
      <c r="Q279" s="7">
        <v>0</v>
      </c>
      <c r="R279" s="5">
        <f t="shared" si="145"/>
        <v>583827.75478439464</v>
      </c>
      <c r="S279" s="4">
        <f t="shared" si="146"/>
        <v>38.921850318959642</v>
      </c>
      <c r="T279" s="13">
        <f t="shared" si="132"/>
        <v>167.99299999999999</v>
      </c>
      <c r="U279" s="13">
        <f t="shared" si="141"/>
        <v>83.996499999999997</v>
      </c>
      <c r="V279" s="14">
        <f>U279/C279</f>
        <v>0.35</v>
      </c>
      <c r="W279" s="14"/>
      <c r="X279" s="19">
        <f t="shared" si="147"/>
        <v>83.996499999999997</v>
      </c>
      <c r="Y279" s="19">
        <f t="shared" si="148"/>
        <v>167.99299999999999</v>
      </c>
      <c r="Z279" s="15">
        <f>U279/S279</f>
        <v>2.1580808546268817</v>
      </c>
      <c r="AA279" s="22" t="s">
        <v>1474</v>
      </c>
      <c r="AG279" s="94" t="s">
        <v>52</v>
      </c>
      <c r="AH279" s="89" t="str">
        <f>VLOOKUP(AG279,Sheet1!$B$3:$D$36,2,FALSE)</f>
        <v>Furniture</v>
      </c>
      <c r="AI279" s="89" t="s">
        <v>1461</v>
      </c>
      <c r="AJ279" s="1" t="str">
        <f t="shared" si="133"/>
        <v xml:space="preserve"> Rothenburg stool</v>
      </c>
      <c r="AK279" s="1" t="str">
        <f t="shared" si="134"/>
        <v>d40 x h43 x sh43</v>
      </c>
      <c r="AL279" s="1" t="str">
        <f t="shared" si="135"/>
        <v xml:space="preserve">Natural teak </v>
      </c>
      <c r="AM279" s="1" t="str">
        <f t="shared" si="136"/>
        <v xml:space="preserve">Natural teak </v>
      </c>
      <c r="AN279" s="1" t="str">
        <f t="shared" si="149"/>
        <v xml:space="preserve">Natural teak </v>
      </c>
      <c r="AQ279" s="1" t="str">
        <f t="shared" si="137"/>
        <v>A</v>
      </c>
      <c r="AR279" s="1" t="str">
        <f>VLOOKUP(TRIM(AI279),Sheet1!$D$3:$E$36,2,FALSE)</f>
        <v>10</v>
      </c>
      <c r="AS279" s="90" t="str">
        <f t="shared" si="138"/>
        <v>01</v>
      </c>
      <c r="AT279" s="1" t="str">
        <f t="shared" si="139"/>
        <v>01</v>
      </c>
      <c r="AU279" s="90" t="s">
        <v>55</v>
      </c>
      <c r="AV279" s="90"/>
      <c r="AW279" s="90"/>
      <c r="AX279" s="95" t="str">
        <f>AQ279&amp;AR279&amp;AS279&amp;"-"&amp;AT279&amp;AU279&amp;BA279</f>
        <v>A1001-0110</v>
      </c>
      <c r="AY279" s="99" t="str">
        <f>AQ279&amp;AR279&amp;AS279&amp;"-"&amp;AT279&amp;BA279</f>
        <v>A1001-01</v>
      </c>
      <c r="AZ279" s="90"/>
      <c r="BA279" s="1" t="str">
        <f t="shared" si="140"/>
        <v/>
      </c>
      <c r="BC279" s="1">
        <f t="shared" si="123"/>
        <v>1</v>
      </c>
      <c r="BD279" s="90">
        <f t="shared" si="124"/>
        <v>1</v>
      </c>
      <c r="BE279" s="1">
        <f t="shared" si="143"/>
        <v>1</v>
      </c>
      <c r="BF279" s="1">
        <f t="shared" si="144"/>
        <v>1</v>
      </c>
      <c r="BI279"/>
      <c r="BJ279"/>
      <c r="BL279"/>
    </row>
    <row r="280" spans="1:64" ht="11.25" customHeight="1">
      <c r="A280" s="26">
        <v>22005</v>
      </c>
      <c r="B280" s="27" t="s">
        <v>1475</v>
      </c>
      <c r="C280" s="28">
        <v>183.99</v>
      </c>
      <c r="D280" s="28">
        <f t="shared" si="131"/>
        <v>91.995000000000005</v>
      </c>
      <c r="E280" s="22" t="s">
        <v>1454</v>
      </c>
      <c r="F280" s="22" t="s">
        <v>1476</v>
      </c>
      <c r="G280" s="22" t="s">
        <v>1477</v>
      </c>
      <c r="H280" s="22" t="s">
        <v>1478</v>
      </c>
      <c r="I280" s="23" t="s">
        <v>645</v>
      </c>
      <c r="J280" s="22" t="s">
        <v>670</v>
      </c>
      <c r="L280" s="23">
        <v>40</v>
      </c>
      <c r="M280" s="23">
        <v>46</v>
      </c>
      <c r="N280" s="3">
        <f t="shared" si="142"/>
        <v>7.3599999999999999E-2</v>
      </c>
      <c r="O280" s="4" t="e">
        <f>(C280-(C280*#REF!))-((C280-(C280*#REF!))*#REF!)</f>
        <v>#REF!</v>
      </c>
      <c r="P280" s="7"/>
      <c r="Q280" s="7"/>
      <c r="R280" s="5">
        <f t="shared" si="145"/>
        <v>0</v>
      </c>
      <c r="S280" s="4">
        <f t="shared" si="146"/>
        <v>0</v>
      </c>
      <c r="T280" s="13">
        <f t="shared" si="132"/>
        <v>128.79300000000001</v>
      </c>
      <c r="U280" s="13">
        <f t="shared" si="141"/>
        <v>64.396500000000003</v>
      </c>
      <c r="V280" s="14">
        <f>U280/C280</f>
        <v>0.35</v>
      </c>
      <c r="W280" s="14"/>
      <c r="X280" s="19">
        <f t="shared" si="147"/>
        <v>64.396500000000003</v>
      </c>
      <c r="Y280" s="19">
        <f t="shared" si="148"/>
        <v>128.79300000000001</v>
      </c>
      <c r="Z280" s="15" t="e">
        <f>U280/S280</f>
        <v>#DIV/0!</v>
      </c>
      <c r="AA280" s="22" t="s">
        <v>1479</v>
      </c>
      <c r="AG280" s="94" t="s">
        <v>52</v>
      </c>
      <c r="AH280" s="89" t="str">
        <f>VLOOKUP(AG280,Sheet1!$B$3:$D$36,2,FALSE)</f>
        <v>Furniture</v>
      </c>
      <c r="AI280" s="89" t="s">
        <v>1461</v>
      </c>
      <c r="AJ280" s="1" t="str">
        <f t="shared" si="133"/>
        <v xml:space="preserve"> York ground chair</v>
      </c>
      <c r="AK280" s="1" t="str">
        <f t="shared" si="134"/>
        <v>d40 x h46 x sh46</v>
      </c>
      <c r="AL280" s="1" t="str">
        <f t="shared" si="135"/>
        <v>teak root</v>
      </c>
      <c r="AM280" s="1" t="str">
        <f t="shared" si="136"/>
        <v>teak root</v>
      </c>
      <c r="AN280" s="1" t="str">
        <f t="shared" si="149"/>
        <v>teak root</v>
      </c>
      <c r="AQ280" s="1" t="str">
        <f t="shared" si="137"/>
        <v>A</v>
      </c>
      <c r="AR280" s="1" t="str">
        <f>VLOOKUP(TRIM(AI280),Sheet1!$D$3:$E$36,2,FALSE)</f>
        <v>10</v>
      </c>
      <c r="AS280" s="90" t="str">
        <f t="shared" si="138"/>
        <v>01</v>
      </c>
      <c r="AT280" s="1" t="str">
        <f t="shared" si="139"/>
        <v>01</v>
      </c>
      <c r="AU280" s="90" t="s">
        <v>648</v>
      </c>
      <c r="AV280" s="90"/>
      <c r="AW280" s="90"/>
      <c r="AX280" s="95" t="str">
        <f>AQ280&amp;AR280&amp;AS280&amp;"-"&amp;AT280&amp;AU280&amp;BA280</f>
        <v>A1001-0132</v>
      </c>
      <c r="AY280" s="99" t="str">
        <f>AQ280&amp;AR280&amp;AS280&amp;"-"&amp;AT280&amp;BA280</f>
        <v>A1001-01</v>
      </c>
      <c r="AZ280" s="90"/>
      <c r="BA280" s="1" t="str">
        <f t="shared" si="140"/>
        <v/>
      </c>
      <c r="BC280" s="1">
        <f t="shared" si="123"/>
        <v>1</v>
      </c>
      <c r="BD280" s="90">
        <f t="shared" si="124"/>
        <v>1</v>
      </c>
      <c r="BE280" s="1">
        <f t="shared" si="143"/>
        <v>1</v>
      </c>
      <c r="BF280" s="1">
        <f t="shared" si="144"/>
        <v>1</v>
      </c>
      <c r="BI280"/>
      <c r="BJ280"/>
      <c r="BL280"/>
    </row>
    <row r="281" spans="1:64" ht="11.25" customHeight="1">
      <c r="A281" s="26" t="s">
        <v>1480</v>
      </c>
      <c r="B281" s="27" t="s">
        <v>1481</v>
      </c>
      <c r="C281" s="28">
        <v>110.99</v>
      </c>
      <c r="D281" s="28">
        <f t="shared" si="131"/>
        <v>55.494999999999997</v>
      </c>
      <c r="E281" s="22" t="s">
        <v>1454</v>
      </c>
      <c r="F281" s="22" t="s">
        <v>1482</v>
      </c>
      <c r="G281" s="22" t="s">
        <v>1483</v>
      </c>
      <c r="H281" s="22" t="s">
        <v>1478</v>
      </c>
      <c r="I281" s="23" t="s">
        <v>645</v>
      </c>
      <c r="J281" s="22" t="s">
        <v>646</v>
      </c>
      <c r="L281" s="23">
        <v>40</v>
      </c>
      <c r="M281" s="23">
        <v>46</v>
      </c>
      <c r="N281" s="3">
        <f t="shared" si="142"/>
        <v>7.3599999999999999E-2</v>
      </c>
      <c r="O281" s="4" t="e">
        <f>(C281-(C281*#REF!))-((C281-(C281*#REF!))*#REF!)</f>
        <v>#REF!</v>
      </c>
      <c r="P281" s="7">
        <f>369547.302620784-Q281</f>
        <v>39547.302620783972</v>
      </c>
      <c r="Q281" s="7">
        <v>330000</v>
      </c>
      <c r="R281" s="5">
        <f t="shared" si="145"/>
        <v>369547.30262078397</v>
      </c>
      <c r="S281" s="4">
        <f t="shared" si="146"/>
        <v>24.636486841385597</v>
      </c>
      <c r="T281" s="13">
        <f t="shared" si="132"/>
        <v>77.692999999999998</v>
      </c>
      <c r="U281" s="13">
        <f t="shared" si="141"/>
        <v>38.846499999999999</v>
      </c>
      <c r="V281" s="14">
        <f>U281/C281</f>
        <v>0.35000000000000003</v>
      </c>
      <c r="W281" s="18">
        <f>S281*$W$1</f>
        <v>49.272973682771195</v>
      </c>
      <c r="X281" s="19">
        <f t="shared" si="147"/>
        <v>49.272973682771195</v>
      </c>
      <c r="Y281" s="19">
        <f t="shared" si="148"/>
        <v>98.545947365542389</v>
      </c>
      <c r="Z281" s="15">
        <v>2</v>
      </c>
      <c r="AA281" s="22" t="s">
        <v>1484</v>
      </c>
      <c r="AG281" s="94" t="s">
        <v>52</v>
      </c>
      <c r="AH281" s="89" t="str">
        <f>VLOOKUP(AG281,Sheet1!$B$3:$D$36,2,FALSE)</f>
        <v>Furniture</v>
      </c>
      <c r="AI281" s="89" t="s">
        <v>1461</v>
      </c>
      <c r="AJ281" s="1" t="str">
        <f t="shared" si="133"/>
        <v xml:space="preserve"> Troyes stool</v>
      </c>
      <c r="AK281" s="1" t="str">
        <f t="shared" si="134"/>
        <v>d40 x h46 x sh46</v>
      </c>
      <c r="AL281" s="1" t="str">
        <f t="shared" si="135"/>
        <v>teak root</v>
      </c>
      <c r="AM281" s="1" t="str">
        <f t="shared" si="136"/>
        <v>teak root</v>
      </c>
      <c r="AN281" s="1" t="str">
        <f t="shared" si="149"/>
        <v>teak root</v>
      </c>
      <c r="AQ281" s="1" t="str">
        <f t="shared" si="137"/>
        <v>A</v>
      </c>
      <c r="AR281" s="1" t="str">
        <f>VLOOKUP(TRIM(AI281),Sheet1!$D$3:$E$36,2,FALSE)</f>
        <v>10</v>
      </c>
      <c r="AS281" s="90" t="str">
        <f t="shared" si="138"/>
        <v>01</v>
      </c>
      <c r="AT281" s="1" t="str">
        <f t="shared" si="139"/>
        <v>02</v>
      </c>
      <c r="AU281" s="90" t="s">
        <v>648</v>
      </c>
      <c r="AV281" s="90"/>
      <c r="AW281" s="90"/>
      <c r="AX281" s="95" t="str">
        <f>AQ281&amp;AR281&amp;AS281&amp;"-"&amp;AT281&amp;AU281&amp;BA281</f>
        <v>A1001-0232</v>
      </c>
      <c r="AY281" s="99" t="str">
        <f>AQ281&amp;AR281&amp;AS281&amp;"-"&amp;AT281&amp;BA281</f>
        <v>A1001-02</v>
      </c>
      <c r="AZ281" s="90"/>
      <c r="BA281" s="1" t="str">
        <f t="shared" si="140"/>
        <v/>
      </c>
      <c r="BC281" s="1">
        <f t="shared" si="123"/>
        <v>1</v>
      </c>
      <c r="BD281" s="90">
        <f t="shared" si="124"/>
        <v>1</v>
      </c>
      <c r="BE281" s="1" t="str">
        <f t="shared" si="143"/>
        <v/>
      </c>
      <c r="BF281" s="1">
        <f t="shared" si="144"/>
        <v>2</v>
      </c>
      <c r="BI281"/>
      <c r="BJ281"/>
      <c r="BL281"/>
    </row>
    <row r="282" spans="1:64" ht="11.25" customHeight="1">
      <c r="A282" s="26" t="s">
        <v>1485</v>
      </c>
      <c r="B282" s="27" t="s">
        <v>1486</v>
      </c>
      <c r="C282" s="28">
        <v>229.99</v>
      </c>
      <c r="D282" s="28">
        <f t="shared" si="131"/>
        <v>114.995</v>
      </c>
      <c r="E282" s="22" t="s">
        <v>1454</v>
      </c>
      <c r="F282" s="22" t="s">
        <v>1487</v>
      </c>
      <c r="G282" s="22" t="s">
        <v>1488</v>
      </c>
      <c r="H282" s="22" t="s">
        <v>1489</v>
      </c>
      <c r="I282" s="23" t="s">
        <v>815</v>
      </c>
      <c r="J282" s="22" t="s">
        <v>50</v>
      </c>
      <c r="L282" s="23">
        <v>30</v>
      </c>
      <c r="M282" s="23">
        <v>46</v>
      </c>
      <c r="N282" s="3">
        <f t="shared" si="142"/>
        <v>4.1399999999999999E-2</v>
      </c>
      <c r="O282" s="4" t="e">
        <f>(C282-(C282*#REF!))-((C282-(C282*#REF!))*#REF!)</f>
        <v>#REF!</v>
      </c>
      <c r="P282" s="7">
        <v>654322.48805114068</v>
      </c>
      <c r="Q282" s="7"/>
      <c r="R282" s="5">
        <f t="shared" si="145"/>
        <v>654322.48805114068</v>
      </c>
      <c r="S282" s="4">
        <f t="shared" si="146"/>
        <v>43.621499203409378</v>
      </c>
      <c r="T282" s="13">
        <f t="shared" si="132"/>
        <v>160.99299999999999</v>
      </c>
      <c r="U282" s="13">
        <f t="shared" si="141"/>
        <v>80.496499999999997</v>
      </c>
      <c r="V282" s="14">
        <f>U282/C282</f>
        <v>0.35</v>
      </c>
      <c r="W282" s="18">
        <f>S282*2.3</f>
        <v>100.32944816784156</v>
      </c>
      <c r="X282" s="19">
        <f t="shared" si="147"/>
        <v>100.32944816784156</v>
      </c>
      <c r="Y282" s="19">
        <f t="shared" si="148"/>
        <v>200.65889633568312</v>
      </c>
      <c r="Z282" s="15">
        <v>2.2999999999999998</v>
      </c>
      <c r="AA282" s="22" t="s">
        <v>1490</v>
      </c>
      <c r="AG282" s="94" t="s">
        <v>52</v>
      </c>
      <c r="AH282" s="89" t="str">
        <f>VLOOKUP(AG282,Sheet1!$B$3:$D$36,2,FALSE)</f>
        <v>Furniture</v>
      </c>
      <c r="AI282" s="89" t="s">
        <v>1461</v>
      </c>
      <c r="AJ282" s="1" t="str">
        <f t="shared" si="133"/>
        <v xml:space="preserve"> Ypres stool</v>
      </c>
      <c r="AK282" s="1" t="str">
        <f t="shared" si="134"/>
        <v>d30 x h46 x sh46</v>
      </c>
      <c r="AL282" s="1" t="str">
        <f t="shared" si="135"/>
        <v>bare</v>
      </c>
      <c r="AM282" s="1" t="str">
        <f t="shared" si="136"/>
        <v>bare</v>
      </c>
      <c r="AN282" s="1" t="str">
        <f t="shared" si="149"/>
        <v>bare</v>
      </c>
      <c r="AQ282" s="1" t="str">
        <f t="shared" si="137"/>
        <v>A</v>
      </c>
      <c r="AR282" s="1" t="str">
        <f>VLOOKUP(TRIM(AI282),Sheet1!$D$3:$E$36,2,FALSE)</f>
        <v>10</v>
      </c>
      <c r="AS282" s="90" t="str">
        <f t="shared" si="138"/>
        <v>01</v>
      </c>
      <c r="AT282" s="1" t="str">
        <f t="shared" si="139"/>
        <v>01</v>
      </c>
      <c r="AU282" s="90" t="s">
        <v>817</v>
      </c>
      <c r="AV282" s="90"/>
      <c r="AW282" s="90"/>
      <c r="AX282" s="95" t="str">
        <f>AQ282&amp;AR282&amp;AS282&amp;"-"&amp;AT282&amp;AU282&amp;BA282</f>
        <v>A1001-0103</v>
      </c>
      <c r="AY282" s="99" t="str">
        <f>AQ282&amp;AR282&amp;AS282&amp;"-"&amp;AT282&amp;BA282</f>
        <v>A1001-01</v>
      </c>
      <c r="AZ282" s="90"/>
      <c r="BA282" s="1" t="str">
        <f t="shared" si="140"/>
        <v/>
      </c>
      <c r="BC282" s="1">
        <f t="shared" si="123"/>
        <v>1</v>
      </c>
      <c r="BD282" s="90">
        <f t="shared" si="124"/>
        <v>1</v>
      </c>
      <c r="BE282" s="1">
        <f t="shared" si="143"/>
        <v>1</v>
      </c>
      <c r="BF282" s="1">
        <f t="shared" si="144"/>
        <v>1</v>
      </c>
      <c r="BI282"/>
      <c r="BJ282"/>
      <c r="BL282"/>
    </row>
    <row r="283" spans="1:64" ht="11.25" customHeight="1">
      <c r="A283" s="26" t="s">
        <v>1491</v>
      </c>
      <c r="B283" s="27" t="s">
        <v>1492</v>
      </c>
      <c r="C283" s="28">
        <v>349.99</v>
      </c>
      <c r="D283" s="28">
        <f t="shared" si="131"/>
        <v>174.995</v>
      </c>
      <c r="E283" s="22" t="s">
        <v>1454</v>
      </c>
      <c r="F283" s="22" t="s">
        <v>1493</v>
      </c>
      <c r="G283" s="22" t="s">
        <v>1494</v>
      </c>
      <c r="H283" s="22" t="s">
        <v>1495</v>
      </c>
      <c r="I283" s="23" t="s">
        <v>1473</v>
      </c>
      <c r="J283" s="22" t="s">
        <v>50</v>
      </c>
      <c r="K283" s="23">
        <v>45</v>
      </c>
      <c r="L283" s="23">
        <v>40</v>
      </c>
      <c r="M283" s="23">
        <v>45</v>
      </c>
      <c r="N283" s="3">
        <f t="shared" si="142"/>
        <v>8.1000000000000003E-2</v>
      </c>
      <c r="O283" s="4" t="e">
        <f>(C283-(C283*#REF!))-((C283-(C283*#REF!))*#REF!)</f>
        <v>#REF!</v>
      </c>
      <c r="P283" s="7"/>
      <c r="Q283" s="7"/>
      <c r="R283" s="5">
        <f t="shared" si="145"/>
        <v>0</v>
      </c>
      <c r="S283" s="4">
        <f t="shared" si="146"/>
        <v>0</v>
      </c>
      <c r="T283" s="13">
        <f t="shared" si="132"/>
        <v>244.99299999999999</v>
      </c>
      <c r="U283" s="13">
        <f t="shared" si="141"/>
        <v>122.4965</v>
      </c>
      <c r="V283" s="14">
        <f>U283/C283</f>
        <v>0.35</v>
      </c>
      <c r="W283" s="14"/>
      <c r="X283" s="19">
        <f t="shared" si="147"/>
        <v>122.4965</v>
      </c>
      <c r="Y283" s="19">
        <f t="shared" si="148"/>
        <v>244.99299999999999</v>
      </c>
      <c r="Z283" s="15" t="e">
        <f>U283/S283</f>
        <v>#DIV/0!</v>
      </c>
      <c r="AA283" s="22" t="s">
        <v>1496</v>
      </c>
      <c r="AG283" s="94" t="s">
        <v>52</v>
      </c>
      <c r="AH283" s="89" t="str">
        <f>VLOOKUP(AG283,Sheet1!$B$3:$D$36,2,FALSE)</f>
        <v>Furniture</v>
      </c>
      <c r="AI283" s="89" t="s">
        <v>1461</v>
      </c>
      <c r="AJ283" s="1" t="str">
        <f t="shared" si="133"/>
        <v xml:space="preserve"> Rye stool</v>
      </c>
      <c r="AK283" s="1" t="str">
        <f t="shared" si="134"/>
        <v>w45 x d40 x h45 x sh45</v>
      </c>
      <c r="AL283" s="1" t="str">
        <f t="shared" si="135"/>
        <v xml:space="preserve">Natural teak </v>
      </c>
      <c r="AM283" s="1" t="str">
        <f t="shared" si="136"/>
        <v xml:space="preserve">Natural teak </v>
      </c>
      <c r="AN283" s="1" t="str">
        <f t="shared" si="149"/>
        <v xml:space="preserve">Natural teak </v>
      </c>
      <c r="AQ283" s="1" t="str">
        <f t="shared" si="137"/>
        <v>A</v>
      </c>
      <c r="AR283" s="1" t="str">
        <f>VLOOKUP(TRIM(AI283),Sheet1!$D$3:$E$36,2,FALSE)</f>
        <v>10</v>
      </c>
      <c r="AS283" s="90" t="str">
        <f t="shared" si="138"/>
        <v>01</v>
      </c>
      <c r="AT283" s="1" t="str">
        <f t="shared" si="139"/>
        <v>01</v>
      </c>
      <c r="AU283" s="90" t="s">
        <v>55</v>
      </c>
      <c r="AV283" s="90"/>
      <c r="AW283" s="90"/>
      <c r="AX283" s="95" t="str">
        <f>AQ283&amp;AR283&amp;AS283&amp;"-"&amp;AT283&amp;AU283&amp;BA283</f>
        <v>A1001-0110</v>
      </c>
      <c r="AY283" s="99" t="str">
        <f>AQ283&amp;AR283&amp;AS283&amp;"-"&amp;AT283&amp;BA283</f>
        <v>A1001-01</v>
      </c>
      <c r="AZ283" s="90"/>
      <c r="BA283" s="1" t="str">
        <f t="shared" si="140"/>
        <v/>
      </c>
      <c r="BC283" s="1">
        <f t="shared" si="123"/>
        <v>1</v>
      </c>
      <c r="BD283" s="90">
        <f t="shared" si="124"/>
        <v>1</v>
      </c>
      <c r="BE283" s="1">
        <f t="shared" si="143"/>
        <v>1</v>
      </c>
      <c r="BF283" s="1">
        <f t="shared" si="144"/>
        <v>1</v>
      </c>
      <c r="BI283"/>
      <c r="BJ283"/>
      <c r="BL283"/>
    </row>
    <row r="284" spans="1:64" ht="11.25" customHeight="1">
      <c r="A284" s="26">
        <v>33026</v>
      </c>
      <c r="B284" s="27" t="s">
        <v>1497</v>
      </c>
      <c r="C284" s="28">
        <v>221.99</v>
      </c>
      <c r="D284" s="28">
        <f t="shared" si="131"/>
        <v>110.995</v>
      </c>
      <c r="E284" s="22" t="s">
        <v>1454</v>
      </c>
      <c r="F284" s="22" t="s">
        <v>1498</v>
      </c>
      <c r="G284" s="22" t="s">
        <v>1499</v>
      </c>
      <c r="H284" s="22" t="s">
        <v>1500</v>
      </c>
      <c r="I284" s="23" t="s">
        <v>1501</v>
      </c>
      <c r="J284" s="22" t="s">
        <v>670</v>
      </c>
      <c r="L284" s="23">
        <v>50</v>
      </c>
      <c r="M284" s="23">
        <v>43</v>
      </c>
      <c r="N284" s="3">
        <f t="shared" si="142"/>
        <v>0.1075</v>
      </c>
      <c r="O284" s="4" t="e">
        <f>(C284-(C284*#REF!))-((C284-(C284*#REF!))*#REF!)</f>
        <v>#REF!</v>
      </c>
      <c r="P284" s="7">
        <f>Q284*0.1</f>
        <v>50000</v>
      </c>
      <c r="Q284" s="7">
        <v>500000</v>
      </c>
      <c r="R284" s="5">
        <f>P284+Q284</f>
        <v>550000</v>
      </c>
      <c r="S284" s="4">
        <f t="shared" si="146"/>
        <v>36.666666666666664</v>
      </c>
      <c r="T284" s="13">
        <f t="shared" si="132"/>
        <v>155.39300000000003</v>
      </c>
      <c r="U284" s="13">
        <f t="shared" si="141"/>
        <v>77.696500000000015</v>
      </c>
      <c r="V284" s="14">
        <f>U284/C284</f>
        <v>0.35000000000000003</v>
      </c>
      <c r="X284" s="19">
        <f t="shared" si="147"/>
        <v>77.696500000000015</v>
      </c>
      <c r="Y284" s="19">
        <f t="shared" si="148"/>
        <v>155.39300000000003</v>
      </c>
      <c r="Z284" s="15">
        <v>2</v>
      </c>
      <c r="AA284" s="22" t="s">
        <v>1502</v>
      </c>
      <c r="AG284" s="94" t="s">
        <v>52</v>
      </c>
      <c r="AH284" s="89" t="str">
        <f>VLOOKUP(AG284,Sheet1!$B$3:$D$36,2,FALSE)</f>
        <v>Furniture</v>
      </c>
      <c r="AI284" s="89" t="s">
        <v>1461</v>
      </c>
      <c r="AJ284" s="1" t="str">
        <f t="shared" si="133"/>
        <v xml:space="preserve"> Cullen woven</v>
      </c>
      <c r="AK284" s="1" t="str">
        <f t="shared" si="134"/>
        <v>d50 x h43 x sh43</v>
      </c>
      <c r="AL284" s="1" t="str">
        <f t="shared" si="135"/>
        <v>Seagrass</v>
      </c>
      <c r="AM284" s="1" t="str">
        <f t="shared" si="136"/>
        <v>Seagrass</v>
      </c>
      <c r="AN284" s="1" t="str">
        <f t="shared" si="149"/>
        <v>Seagrass</v>
      </c>
      <c r="AQ284" s="1" t="str">
        <f t="shared" si="137"/>
        <v>A</v>
      </c>
      <c r="AR284" s="1" t="str">
        <f>VLOOKUP(TRIM(AI284),Sheet1!$D$3:$E$36,2,FALSE)</f>
        <v>10</v>
      </c>
      <c r="AS284" s="90" t="str">
        <f t="shared" si="138"/>
        <v>01</v>
      </c>
      <c r="AT284" s="1" t="str">
        <f t="shared" si="139"/>
        <v>01</v>
      </c>
      <c r="AU284" s="90" t="s">
        <v>1503</v>
      </c>
      <c r="AV284" s="90"/>
      <c r="AW284" s="90"/>
      <c r="AX284" s="95" t="str">
        <f>AQ284&amp;AR284&amp;AS284&amp;"-"&amp;AT284&amp;AU284&amp;BA284</f>
        <v>A1001-0121</v>
      </c>
      <c r="AY284" s="99" t="str">
        <f>AQ284&amp;AR284&amp;AS284&amp;"-"&amp;AT284&amp;BA284</f>
        <v>A1001-01</v>
      </c>
      <c r="AZ284" s="90"/>
      <c r="BA284" s="1" t="str">
        <f t="shared" si="140"/>
        <v/>
      </c>
      <c r="BC284" s="1">
        <f t="shared" si="123"/>
        <v>1</v>
      </c>
      <c r="BD284" s="90">
        <f t="shared" si="124"/>
        <v>1</v>
      </c>
      <c r="BE284" s="1">
        <f t="shared" si="143"/>
        <v>1</v>
      </c>
      <c r="BF284" s="1">
        <f t="shared" si="144"/>
        <v>1</v>
      </c>
      <c r="BI284"/>
      <c r="BJ284"/>
      <c r="BL284"/>
    </row>
    <row r="285" spans="1:64" ht="11.25" customHeight="1">
      <c r="A285" s="26" t="s">
        <v>802</v>
      </c>
      <c r="B285" s="27" t="s">
        <v>803</v>
      </c>
      <c r="C285" s="28">
        <v>499.99</v>
      </c>
      <c r="D285" s="28">
        <f t="shared" si="131"/>
        <v>249.995</v>
      </c>
      <c r="E285" s="22" t="s">
        <v>1454</v>
      </c>
      <c r="F285" s="22" t="s">
        <v>1504</v>
      </c>
      <c r="G285" s="22" t="s">
        <v>1505</v>
      </c>
      <c r="H285" s="22" t="s">
        <v>806</v>
      </c>
      <c r="I285" s="23" t="s">
        <v>645</v>
      </c>
      <c r="J285" s="22" t="s">
        <v>646</v>
      </c>
      <c r="L285" s="23">
        <v>35</v>
      </c>
      <c r="M285" s="23">
        <v>45</v>
      </c>
      <c r="N285" s="3">
        <f t="shared" si="142"/>
        <v>5.5125E-2</v>
      </c>
      <c r="O285" s="4" t="e">
        <f>(C285-(C285*#REF!))-((C285-(C285*#REF!))*#REF!)</f>
        <v>#REF!</v>
      </c>
      <c r="P285" s="7">
        <f>977959.658376777-Q285</f>
        <v>77959.658376776963</v>
      </c>
      <c r="Q285" s="7">
        <v>900000</v>
      </c>
      <c r="R285" s="5">
        <f t="shared" si="145"/>
        <v>977959.65837677696</v>
      </c>
      <c r="S285" s="4">
        <f t="shared" si="146"/>
        <v>65.197310558451804</v>
      </c>
      <c r="T285" s="13">
        <f t="shared" si="132"/>
        <v>349.99300000000005</v>
      </c>
      <c r="U285" s="13">
        <f t="shared" si="141"/>
        <v>174.99650000000003</v>
      </c>
      <c r="V285" s="14">
        <f>U285/C285</f>
        <v>0.35000000000000003</v>
      </c>
      <c r="W285" s="14"/>
      <c r="X285" s="19">
        <f t="shared" si="147"/>
        <v>174.99650000000003</v>
      </c>
      <c r="Y285" s="19">
        <f t="shared" si="148"/>
        <v>349.99300000000005</v>
      </c>
      <c r="Z285" s="15">
        <f t="shared" ref="Z285:Z344" si="150">U285/S285</f>
        <v>2.6841061157439796</v>
      </c>
      <c r="AA285" s="22" t="s">
        <v>1506</v>
      </c>
      <c r="AG285" s="94" t="s">
        <v>52</v>
      </c>
      <c r="AH285" s="89" t="str">
        <f>VLOOKUP(AG285,Sheet1!$B$3:$D$36,2,FALSE)</f>
        <v>Furniture</v>
      </c>
      <c r="AI285" s="89" t="s">
        <v>1461</v>
      </c>
      <c r="AJ285" s="1" t="str">
        <f t="shared" si="133"/>
        <v xml:space="preserve"> Bexley round stool</v>
      </c>
      <c r="AK285" s="1" t="str">
        <f t="shared" si="134"/>
        <v>d35 x h45</v>
      </c>
      <c r="AL285" s="1" t="str">
        <f t="shared" si="135"/>
        <v>teak root</v>
      </c>
      <c r="AM285" s="1" t="str">
        <f t="shared" si="136"/>
        <v>teak root</v>
      </c>
      <c r="AN285" s="1" t="str">
        <f t="shared" si="149"/>
        <v>teak root</v>
      </c>
      <c r="AQ285" s="1" t="str">
        <f t="shared" si="137"/>
        <v>A</v>
      </c>
      <c r="AR285" s="1" t="str">
        <f>VLOOKUP(TRIM(AI285),Sheet1!$D$3:$E$36,2,FALSE)</f>
        <v>10</v>
      </c>
      <c r="AS285" s="90" t="str">
        <f t="shared" si="138"/>
        <v>01</v>
      </c>
      <c r="AT285" s="1" t="str">
        <f t="shared" si="139"/>
        <v>01</v>
      </c>
      <c r="AU285" s="90" t="s">
        <v>648</v>
      </c>
      <c r="AV285" s="90"/>
      <c r="AW285" s="90"/>
      <c r="AX285" s="95" t="str">
        <f>AQ285&amp;AR285&amp;AS285&amp;"-"&amp;AT285&amp;AU285&amp;BA285</f>
        <v>A1001-0132</v>
      </c>
      <c r="AY285" s="99" t="str">
        <f>AQ285&amp;AR285&amp;AS285&amp;"-"&amp;AT285&amp;BA285</f>
        <v>A1001-01</v>
      </c>
      <c r="AZ285" s="90"/>
      <c r="BA285" s="1" t="str">
        <f t="shared" si="140"/>
        <v/>
      </c>
      <c r="BC285" s="1">
        <f t="shared" si="123"/>
        <v>1</v>
      </c>
      <c r="BD285" s="90">
        <f t="shared" si="124"/>
        <v>1</v>
      </c>
      <c r="BE285" s="1">
        <f t="shared" si="143"/>
        <v>1</v>
      </c>
      <c r="BF285" s="1">
        <f t="shared" si="144"/>
        <v>1</v>
      </c>
      <c r="BI285"/>
      <c r="BJ285"/>
      <c r="BL285"/>
    </row>
    <row r="286" spans="1:64" s="63" customFormat="1" ht="15.75">
      <c r="A286" s="65" t="s">
        <v>1507</v>
      </c>
      <c r="B286" s="66"/>
      <c r="C286" s="67"/>
      <c r="D286" s="75"/>
      <c r="E286" s="68"/>
      <c r="F286" s="69"/>
      <c r="G286" s="68"/>
      <c r="H286" s="68"/>
      <c r="I286" s="65"/>
      <c r="J286" s="68"/>
      <c r="K286" s="65"/>
      <c r="L286" s="65"/>
      <c r="M286" s="65"/>
      <c r="N286" s="68"/>
      <c r="O286" s="68"/>
      <c r="P286" s="76"/>
      <c r="Q286" s="76"/>
      <c r="R286" s="77"/>
      <c r="S286" s="68"/>
      <c r="T286" s="78"/>
      <c r="U286" s="78"/>
      <c r="V286" s="75"/>
      <c r="W286" s="75"/>
      <c r="X286" s="75"/>
      <c r="Y286" s="75"/>
      <c r="Z286" s="79"/>
      <c r="AA286" s="68"/>
      <c r="AB286" s="66"/>
      <c r="AC286" s="66"/>
      <c r="AD286" s="66"/>
      <c r="AE286" s="66"/>
      <c r="AF286" s="66"/>
      <c r="AG286" s="94"/>
      <c r="AH286" s="89"/>
      <c r="AI286" s="89"/>
      <c r="AJ286" s="1"/>
      <c r="AK286" s="1"/>
      <c r="AL286" s="1"/>
      <c r="AM286" s="1"/>
      <c r="AQ286" s="1"/>
      <c r="AR286" s="1"/>
      <c r="AS286" s="90"/>
      <c r="AT286" s="1"/>
      <c r="AU286" s="90"/>
      <c r="AV286" s="90"/>
      <c r="AW286" s="90"/>
      <c r="AX286" s="95"/>
      <c r="AY286" s="99" t="str">
        <f>AQ286&amp;AR286&amp;AS286&amp;"-"&amp;AT286&amp;BA286</f>
        <v>-</v>
      </c>
      <c r="AZ286" s="90"/>
      <c r="BA286" s="1"/>
      <c r="BC286" s="1"/>
      <c r="BD286" s="90"/>
      <c r="BE286" s="1"/>
      <c r="BF286" s="1"/>
      <c r="BI286"/>
      <c r="BJ286"/>
      <c r="BK286" s="1"/>
      <c r="BL286"/>
    </row>
    <row r="287" spans="1:64" ht="11.25" customHeight="1">
      <c r="A287" s="26" t="s">
        <v>1508</v>
      </c>
      <c r="B287" s="27" t="s">
        <v>1509</v>
      </c>
      <c r="C287" s="28">
        <v>459.99</v>
      </c>
      <c r="D287" s="28">
        <f t="shared" si="131"/>
        <v>229.995</v>
      </c>
      <c r="E287" s="22" t="s">
        <v>1507</v>
      </c>
      <c r="F287" s="22" t="s">
        <v>1510</v>
      </c>
      <c r="G287" s="22" t="s">
        <v>1511</v>
      </c>
      <c r="H287" s="22" t="s">
        <v>1512</v>
      </c>
      <c r="I287" s="23" t="s">
        <v>1101</v>
      </c>
      <c r="J287" s="22" t="s">
        <v>50</v>
      </c>
      <c r="K287" s="23">
        <v>110</v>
      </c>
      <c r="L287" s="23">
        <v>24</v>
      </c>
      <c r="M287" s="23">
        <v>43</v>
      </c>
      <c r="N287" s="3">
        <f t="shared" si="142"/>
        <v>0.11352</v>
      </c>
      <c r="O287" s="4" t="e">
        <f>(C287-(C287*#REF!))-((C287-(C287*#REF!))*#REF!)</f>
        <v>#REF!</v>
      </c>
      <c r="P287" s="7"/>
      <c r="Q287" s="7"/>
      <c r="R287" s="5">
        <f t="shared" ref="R287:R311" si="151">P287+Q287</f>
        <v>0</v>
      </c>
      <c r="S287" s="4">
        <f t="shared" ref="S287:S312" si="152">R287/15000</f>
        <v>0</v>
      </c>
      <c r="T287" s="13">
        <f t="shared" si="132"/>
        <v>321.99300000000005</v>
      </c>
      <c r="U287" s="13">
        <f t="shared" si="141"/>
        <v>160.99650000000003</v>
      </c>
      <c r="V287" s="14">
        <f>U287/C287</f>
        <v>0.35000000000000003</v>
      </c>
      <c r="W287" s="14"/>
      <c r="X287" s="19">
        <f t="shared" ref="X287:X312" si="153">IF(ISBLANK(W287),U287, W287)</f>
        <v>160.99650000000003</v>
      </c>
      <c r="Y287" s="19">
        <f t="shared" ref="Y287:Y312" si="154">X287*2</f>
        <v>321.99300000000005</v>
      </c>
      <c r="Z287" s="15" t="e">
        <f t="shared" si="150"/>
        <v>#DIV/0!</v>
      </c>
      <c r="AA287" s="22" t="s">
        <v>1513</v>
      </c>
      <c r="AG287" s="94" t="s">
        <v>52</v>
      </c>
      <c r="AH287" s="89" t="str">
        <f>VLOOKUP(AG287,Sheet1!$B$3:$D$36,2,FALSE)</f>
        <v>Furniture</v>
      </c>
      <c r="AI287" s="89" t="s">
        <v>1514</v>
      </c>
      <c r="AJ287" s="1" t="str">
        <f t="shared" si="133"/>
        <v xml:space="preserve"> Zephyr bench</v>
      </c>
      <c r="AK287" s="1" t="str">
        <f t="shared" si="134"/>
        <v>w110 x d24 x h43 x sh43</v>
      </c>
      <c r="AL287" s="1" t="str">
        <f t="shared" si="135"/>
        <v>natural teak indoor</v>
      </c>
      <c r="AM287" s="1" t="str">
        <f t="shared" si="136"/>
        <v>natural teak indoor</v>
      </c>
      <c r="AN287" s="1" t="str">
        <f>SUBSTITUTE(AL287,"indoor","")</f>
        <v xml:space="preserve">natural teak </v>
      </c>
      <c r="AO287" s="1" t="s">
        <v>54</v>
      </c>
      <c r="AQ287" s="1" t="str">
        <f t="shared" si="137"/>
        <v>A</v>
      </c>
      <c r="AR287" s="1" t="str">
        <f>VLOOKUP(TRIM(AI287),Sheet1!$D$3:$E$36,2,FALSE)</f>
        <v>11</v>
      </c>
      <c r="AS287" s="90" t="str">
        <f t="shared" si="138"/>
        <v>01</v>
      </c>
      <c r="AT287" s="1" t="str">
        <f t="shared" si="139"/>
        <v>01</v>
      </c>
      <c r="AU287" s="90" t="s">
        <v>55</v>
      </c>
      <c r="AV287" s="90"/>
      <c r="AW287" s="90"/>
      <c r="AX287" s="95" t="str">
        <f>AQ287&amp;AR287&amp;AS287&amp;"-"&amp;AT287&amp;AU287&amp;BA287</f>
        <v>A1101-0110IND</v>
      </c>
      <c r="AY287" s="99" t="str">
        <f>AQ287&amp;AR287&amp;AS287&amp;"-"&amp;AT287&amp;BA287</f>
        <v>A1101-01IND</v>
      </c>
      <c r="AZ287" s="90"/>
      <c r="BA287" s="1" t="str">
        <f t="shared" si="140"/>
        <v>IND</v>
      </c>
      <c r="BC287" s="1">
        <f t="shared" si="123"/>
        <v>1</v>
      </c>
      <c r="BD287" s="90">
        <f t="shared" si="124"/>
        <v>1</v>
      </c>
      <c r="BE287" s="1">
        <f t="shared" si="143"/>
        <v>1</v>
      </c>
      <c r="BF287" s="1">
        <f t="shared" si="144"/>
        <v>1</v>
      </c>
      <c r="BI287"/>
      <c r="BJ287"/>
      <c r="BL287"/>
    </row>
    <row r="288" spans="1:64" ht="11.25" customHeight="1">
      <c r="A288" s="26" t="s">
        <v>1515</v>
      </c>
      <c r="B288" s="27" t="s">
        <v>1509</v>
      </c>
      <c r="C288" s="28">
        <v>469.99</v>
      </c>
      <c r="D288" s="28">
        <f t="shared" si="131"/>
        <v>234.995</v>
      </c>
      <c r="E288" s="22" t="s">
        <v>1507</v>
      </c>
      <c r="F288" s="22" t="s">
        <v>1516</v>
      </c>
      <c r="G288" s="22" t="s">
        <v>1511</v>
      </c>
      <c r="H288" s="22" t="s">
        <v>1512</v>
      </c>
      <c r="I288" s="23" t="s">
        <v>1517</v>
      </c>
      <c r="J288" s="22" t="s">
        <v>50</v>
      </c>
      <c r="K288" s="23">
        <v>110</v>
      </c>
      <c r="L288" s="23">
        <v>24</v>
      </c>
      <c r="M288" s="23">
        <v>43</v>
      </c>
      <c r="N288" s="3">
        <f t="shared" si="142"/>
        <v>0.11352</v>
      </c>
      <c r="O288" s="4" t="e">
        <f>(C288-(C288*#REF!))-((C288-(C288*#REF!))*#REF!)</f>
        <v>#REF!</v>
      </c>
      <c r="P288" s="7">
        <v>1002896.0079653227</v>
      </c>
      <c r="Q288" s="7">
        <v>0</v>
      </c>
      <c r="R288" s="5">
        <f t="shared" si="151"/>
        <v>1002896.0079653227</v>
      </c>
      <c r="S288" s="4">
        <f t="shared" si="152"/>
        <v>66.859733864354851</v>
      </c>
      <c r="T288" s="13">
        <f t="shared" si="132"/>
        <v>328.99300000000005</v>
      </c>
      <c r="U288" s="13">
        <f t="shared" si="141"/>
        <v>164.49650000000003</v>
      </c>
      <c r="V288" s="14">
        <f>U288/C288</f>
        <v>0.35000000000000003</v>
      </c>
      <c r="W288" s="14"/>
      <c r="X288" s="19">
        <f t="shared" si="153"/>
        <v>164.49650000000003</v>
      </c>
      <c r="Y288" s="19">
        <f t="shared" si="154"/>
        <v>328.99300000000005</v>
      </c>
      <c r="Z288" s="15">
        <f t="shared" si="150"/>
        <v>2.4603223867706507</v>
      </c>
      <c r="AA288" s="22" t="s">
        <v>1513</v>
      </c>
      <c r="AG288" s="94" t="s">
        <v>52</v>
      </c>
      <c r="AH288" s="89" t="str">
        <f>VLOOKUP(AG288,Sheet1!$B$3:$D$36,2,FALSE)</f>
        <v>Furniture</v>
      </c>
      <c r="AI288" s="89" t="s">
        <v>1514</v>
      </c>
      <c r="AJ288" s="1" t="str">
        <f t="shared" si="133"/>
        <v xml:space="preserve"> Zephyr bench</v>
      </c>
      <c r="AK288" s="1" t="str">
        <f t="shared" si="134"/>
        <v>w110 x d24 x h43 x sh43</v>
      </c>
      <c r="AL288" s="1" t="str">
        <f t="shared" si="135"/>
        <v>natural teak outdoor</v>
      </c>
      <c r="AM288" s="1" t="str">
        <f t="shared" si="136"/>
        <v>natural teak outdoor</v>
      </c>
      <c r="AN288" s="1" t="str">
        <f>SUBSTITUTE(AL288,"outdoor","")</f>
        <v xml:space="preserve">natural teak </v>
      </c>
      <c r="AO288" s="1" t="s">
        <v>59</v>
      </c>
      <c r="AQ288" s="1" t="str">
        <f t="shared" si="137"/>
        <v>A</v>
      </c>
      <c r="AR288" s="1" t="str">
        <f>VLOOKUP(TRIM(AI288),Sheet1!$D$3:$E$36,2,FALSE)</f>
        <v>11</v>
      </c>
      <c r="AS288" s="90" t="str">
        <f t="shared" si="138"/>
        <v>02</v>
      </c>
      <c r="AT288" s="1" t="str">
        <f t="shared" si="139"/>
        <v>02</v>
      </c>
      <c r="AU288" s="90" t="s">
        <v>55</v>
      </c>
      <c r="AV288" s="90"/>
      <c r="AW288" s="90"/>
      <c r="AX288" s="95" t="str">
        <f>AQ288&amp;AR288&amp;AS288&amp;"-"&amp;AT288&amp;AU288&amp;BA288</f>
        <v>A1102-0210OUT</v>
      </c>
      <c r="AY288" s="99" t="str">
        <f>AQ288&amp;AR288&amp;AS288&amp;"-"&amp;AT288&amp;BA288</f>
        <v>A1102-02OUT</v>
      </c>
      <c r="AZ288" s="90"/>
      <c r="BA288" s="1" t="str">
        <f t="shared" si="140"/>
        <v>OUT</v>
      </c>
      <c r="BC288" s="1" t="str">
        <f t="shared" si="123"/>
        <v/>
      </c>
      <c r="BD288" s="90">
        <f t="shared" si="124"/>
        <v>2</v>
      </c>
      <c r="BE288" s="1" t="str">
        <f t="shared" si="143"/>
        <v/>
      </c>
      <c r="BF288" s="1">
        <f t="shared" si="144"/>
        <v>2</v>
      </c>
      <c r="BI288"/>
      <c r="BJ288"/>
      <c r="BL288"/>
    </row>
    <row r="289" spans="1:64" ht="11.25" customHeight="1">
      <c r="A289" s="26" t="s">
        <v>1518</v>
      </c>
      <c r="B289" s="27" t="s">
        <v>1509</v>
      </c>
      <c r="C289" s="28">
        <v>499.99</v>
      </c>
      <c r="D289" s="28">
        <f t="shared" si="131"/>
        <v>249.995</v>
      </c>
      <c r="E289" s="22" t="s">
        <v>1507</v>
      </c>
      <c r="F289" s="22" t="s">
        <v>1519</v>
      </c>
      <c r="G289" s="22" t="s">
        <v>1511</v>
      </c>
      <c r="H289" s="22" t="s">
        <v>1520</v>
      </c>
      <c r="I289" s="23" t="s">
        <v>1101</v>
      </c>
      <c r="J289" s="22" t="s">
        <v>50</v>
      </c>
      <c r="K289" s="23">
        <v>170</v>
      </c>
      <c r="L289" s="23">
        <v>25</v>
      </c>
      <c r="M289" s="23">
        <v>43</v>
      </c>
      <c r="N289" s="3">
        <f t="shared" si="142"/>
        <v>0.18275</v>
      </c>
      <c r="O289" s="4" t="e">
        <f>(C289-(C289*#REF!))-((C289-(C289*#REF!))*#REF!)</f>
        <v>#REF!</v>
      </c>
      <c r="P289" s="7"/>
      <c r="Q289" s="7"/>
      <c r="R289" s="5">
        <f t="shared" si="151"/>
        <v>0</v>
      </c>
      <c r="S289" s="4">
        <f t="shared" si="152"/>
        <v>0</v>
      </c>
      <c r="T289" s="13">
        <f t="shared" si="132"/>
        <v>349.99300000000005</v>
      </c>
      <c r="U289" s="13">
        <f t="shared" si="141"/>
        <v>174.99650000000003</v>
      </c>
      <c r="V289" s="14">
        <f>U289/C289</f>
        <v>0.35000000000000003</v>
      </c>
      <c r="W289" s="14"/>
      <c r="X289" s="19">
        <f t="shared" si="153"/>
        <v>174.99650000000003</v>
      </c>
      <c r="Y289" s="19">
        <f t="shared" si="154"/>
        <v>349.99300000000005</v>
      </c>
      <c r="Z289" s="15" t="e">
        <f t="shared" si="150"/>
        <v>#DIV/0!</v>
      </c>
      <c r="AA289" s="22" t="s">
        <v>1513</v>
      </c>
      <c r="AG289" s="94" t="s">
        <v>52</v>
      </c>
      <c r="AH289" s="89" t="str">
        <f>VLOOKUP(AG289,Sheet1!$B$3:$D$36,2,FALSE)</f>
        <v>Furniture</v>
      </c>
      <c r="AI289" s="89" t="s">
        <v>1514</v>
      </c>
      <c r="AJ289" s="1" t="str">
        <f t="shared" si="133"/>
        <v xml:space="preserve"> Zephyr bench</v>
      </c>
      <c r="AK289" s="1" t="str">
        <f t="shared" si="134"/>
        <v>w170 x d25 x h43 x sh43</v>
      </c>
      <c r="AL289" s="1" t="str">
        <f t="shared" si="135"/>
        <v>natural teak indoor</v>
      </c>
      <c r="AM289" s="1" t="str">
        <f t="shared" si="136"/>
        <v>natural teak indoor</v>
      </c>
      <c r="AN289" s="1" t="str">
        <f>SUBSTITUTE(AL289,"indoor","")</f>
        <v xml:space="preserve">natural teak </v>
      </c>
      <c r="AO289" s="1" t="s">
        <v>54</v>
      </c>
      <c r="AQ289" s="1" t="str">
        <f t="shared" si="137"/>
        <v>A</v>
      </c>
      <c r="AR289" s="1" t="str">
        <f>VLOOKUP(TRIM(AI289),Sheet1!$D$3:$E$36,2,FALSE)</f>
        <v>11</v>
      </c>
      <c r="AS289" s="90" t="str">
        <f t="shared" si="138"/>
        <v>03</v>
      </c>
      <c r="AT289" s="1" t="str">
        <f t="shared" si="139"/>
        <v>01</v>
      </c>
      <c r="AU289" s="90" t="s">
        <v>55</v>
      </c>
      <c r="AV289" s="90"/>
      <c r="AW289" s="90"/>
      <c r="AX289" s="95" t="str">
        <f>AQ289&amp;AR289&amp;AS289&amp;"-"&amp;AT289&amp;AU289&amp;BA289</f>
        <v>A1103-0110IND</v>
      </c>
      <c r="AY289" s="99" t="str">
        <f>AQ289&amp;AR289&amp;AS289&amp;"-"&amp;AT289&amp;BA289</f>
        <v>A1103-01IND</v>
      </c>
      <c r="AZ289" s="90"/>
      <c r="BA289" s="1" t="str">
        <f t="shared" si="140"/>
        <v>IND</v>
      </c>
      <c r="BC289" s="1" t="str">
        <f t="shared" si="123"/>
        <v/>
      </c>
      <c r="BD289" s="90">
        <f t="shared" si="124"/>
        <v>3</v>
      </c>
      <c r="BE289" s="1">
        <f t="shared" si="143"/>
        <v>1</v>
      </c>
      <c r="BF289" s="1">
        <f t="shared" si="144"/>
        <v>1</v>
      </c>
      <c r="BI289"/>
      <c r="BJ289"/>
      <c r="BL289"/>
    </row>
    <row r="290" spans="1:64" ht="11.25" customHeight="1">
      <c r="A290" s="26" t="s">
        <v>1521</v>
      </c>
      <c r="B290" s="27" t="s">
        <v>1509</v>
      </c>
      <c r="D290" s="28">
        <f t="shared" si="131"/>
        <v>0</v>
      </c>
      <c r="E290" s="22" t="s">
        <v>1507</v>
      </c>
      <c r="F290" s="22" t="s">
        <v>1522</v>
      </c>
      <c r="G290" s="22" t="s">
        <v>1511</v>
      </c>
      <c r="H290" s="22" t="s">
        <v>1520</v>
      </c>
      <c r="I290" s="23" t="s">
        <v>1517</v>
      </c>
      <c r="J290" s="22" t="s">
        <v>50</v>
      </c>
      <c r="K290" s="23">
        <v>170</v>
      </c>
      <c r="L290" s="23">
        <v>25</v>
      </c>
      <c r="M290" s="23">
        <v>43</v>
      </c>
      <c r="N290" s="3">
        <f t="shared" si="142"/>
        <v>0.18275</v>
      </c>
      <c r="O290" s="4" t="e">
        <f>(C290-(C290*#REF!))-((C290-(C290*#REF!))*#REF!)</f>
        <v>#REF!</v>
      </c>
      <c r="P290" s="7"/>
      <c r="Q290" s="7"/>
      <c r="R290" s="5">
        <f t="shared" si="151"/>
        <v>0</v>
      </c>
      <c r="S290" s="4">
        <f t="shared" si="152"/>
        <v>0</v>
      </c>
      <c r="T290" s="13">
        <f t="shared" si="132"/>
        <v>0</v>
      </c>
      <c r="U290" s="13">
        <f t="shared" si="141"/>
        <v>0</v>
      </c>
      <c r="V290" s="14" t="e">
        <f>U290/C290</f>
        <v>#DIV/0!</v>
      </c>
      <c r="W290" s="14"/>
      <c r="X290" s="19">
        <f t="shared" si="153"/>
        <v>0</v>
      </c>
      <c r="Y290" s="19">
        <f t="shared" si="154"/>
        <v>0</v>
      </c>
      <c r="Z290" s="15" t="e">
        <f t="shared" si="150"/>
        <v>#DIV/0!</v>
      </c>
      <c r="AA290" s="22" t="s">
        <v>1523</v>
      </c>
      <c r="AG290" s="94" t="s">
        <v>52</v>
      </c>
      <c r="AH290" s="89" t="str">
        <f>VLOOKUP(AG290,Sheet1!$B$3:$D$36,2,FALSE)</f>
        <v>Furniture</v>
      </c>
      <c r="AI290" s="89" t="s">
        <v>1514</v>
      </c>
      <c r="AJ290" s="1" t="str">
        <f t="shared" si="133"/>
        <v xml:space="preserve"> Zephyr bench</v>
      </c>
      <c r="AK290" s="1" t="str">
        <f t="shared" si="134"/>
        <v>w170 x d25 x h43 x sh43</v>
      </c>
      <c r="AL290" s="1" t="str">
        <f t="shared" si="135"/>
        <v>natural teak outdoor</v>
      </c>
      <c r="AM290" s="1" t="str">
        <f t="shared" si="136"/>
        <v>natural teak outdoor</v>
      </c>
      <c r="AN290" s="1" t="str">
        <f>SUBSTITUTE(AL290,"outdoor","")</f>
        <v xml:space="preserve">natural teak </v>
      </c>
      <c r="AO290" s="1" t="s">
        <v>59</v>
      </c>
      <c r="AQ290" s="1" t="str">
        <f t="shared" si="137"/>
        <v>A</v>
      </c>
      <c r="AR290" s="1" t="str">
        <f>VLOOKUP(TRIM(AI290),Sheet1!$D$3:$E$36,2,FALSE)</f>
        <v>11</v>
      </c>
      <c r="AS290" s="90" t="str">
        <f t="shared" si="138"/>
        <v>04</v>
      </c>
      <c r="AT290" s="1" t="str">
        <f t="shared" si="139"/>
        <v>02</v>
      </c>
      <c r="AU290" s="90" t="s">
        <v>55</v>
      </c>
      <c r="AV290" s="90"/>
      <c r="AW290" s="90"/>
      <c r="AX290" s="95" t="str">
        <f>AQ290&amp;AR290&amp;AS290&amp;"-"&amp;AT290&amp;AU290&amp;BA290</f>
        <v>A1104-0210OUT</v>
      </c>
      <c r="AY290" s="99" t="str">
        <f>AQ290&amp;AR290&amp;AS290&amp;"-"&amp;AT290&amp;BA290</f>
        <v>A1104-02OUT</v>
      </c>
      <c r="AZ290" s="90"/>
      <c r="BA290" s="1" t="str">
        <f t="shared" si="140"/>
        <v>OUT</v>
      </c>
      <c r="BC290" s="1" t="str">
        <f t="shared" si="123"/>
        <v/>
      </c>
      <c r="BD290" s="90">
        <f t="shared" si="124"/>
        <v>4</v>
      </c>
      <c r="BE290" s="1" t="str">
        <f t="shared" si="143"/>
        <v/>
      </c>
      <c r="BF290" s="1">
        <f t="shared" si="144"/>
        <v>2</v>
      </c>
      <c r="BI290"/>
      <c r="BJ290"/>
      <c r="BL290"/>
    </row>
    <row r="291" spans="1:64" ht="11.25" customHeight="1">
      <c r="A291" s="26" t="s">
        <v>1524</v>
      </c>
      <c r="B291" s="27" t="s">
        <v>1525</v>
      </c>
      <c r="C291" s="28">
        <v>309.99</v>
      </c>
      <c r="D291" s="28">
        <f t="shared" si="131"/>
        <v>154.995</v>
      </c>
      <c r="E291" s="22" t="s">
        <v>1507</v>
      </c>
      <c r="F291" s="22" t="s">
        <v>1526</v>
      </c>
      <c r="G291" s="22" t="s">
        <v>1527</v>
      </c>
      <c r="H291" s="22" t="s">
        <v>1528</v>
      </c>
      <c r="I291" s="23" t="s">
        <v>645</v>
      </c>
      <c r="J291" s="22" t="s">
        <v>646</v>
      </c>
      <c r="K291" s="23">
        <v>100</v>
      </c>
      <c r="L291" s="23">
        <v>66</v>
      </c>
      <c r="M291" s="23">
        <v>86</v>
      </c>
      <c r="N291" s="3">
        <f t="shared" si="142"/>
        <v>0.56759999999999999</v>
      </c>
      <c r="O291" s="4" t="e">
        <f>(C291-(C291*#REF!))-((C291-(C291*#REF!))*#REF!)</f>
        <v>#REF!</v>
      </c>
      <c r="P291" s="7">
        <f>686404.456211194-Q291</f>
        <v>236404.45621119405</v>
      </c>
      <c r="Q291" s="7">
        <v>450000</v>
      </c>
      <c r="R291" s="5">
        <f t="shared" si="151"/>
        <v>686404.45621119405</v>
      </c>
      <c r="S291" s="4">
        <f t="shared" si="152"/>
        <v>45.76029708074627</v>
      </c>
      <c r="T291" s="13">
        <f t="shared" si="132"/>
        <v>216.99299999999999</v>
      </c>
      <c r="U291" s="13">
        <f t="shared" si="141"/>
        <v>108.4965</v>
      </c>
      <c r="V291" s="14">
        <f>U291/C291</f>
        <v>0.35</v>
      </c>
      <c r="W291" s="14"/>
      <c r="X291" s="19">
        <f t="shared" si="153"/>
        <v>108.4965</v>
      </c>
      <c r="Y291" s="19">
        <f t="shared" si="154"/>
        <v>216.99299999999999</v>
      </c>
      <c r="Z291" s="15">
        <f t="shared" si="150"/>
        <v>2.3709745548319461</v>
      </c>
      <c r="AA291" s="22" t="s">
        <v>1529</v>
      </c>
      <c r="AG291" s="94" t="s">
        <v>52</v>
      </c>
      <c r="AH291" s="89" t="str">
        <f>VLOOKUP(AG291,Sheet1!$B$3:$D$36,2,FALSE)</f>
        <v>Furniture</v>
      </c>
      <c r="AI291" s="89" t="s">
        <v>1514</v>
      </c>
      <c r="AJ291" s="1" t="str">
        <f t="shared" si="133"/>
        <v xml:space="preserve"> Luna bench</v>
      </c>
      <c r="AK291" s="1" t="str">
        <f t="shared" si="134"/>
        <v>w100 x d66 x h86 x sh44</v>
      </c>
      <c r="AL291" s="1" t="str">
        <f t="shared" si="135"/>
        <v>teak root</v>
      </c>
      <c r="AM291" s="1" t="str">
        <f t="shared" si="136"/>
        <v>teak root</v>
      </c>
      <c r="AN291" s="1" t="str">
        <f t="shared" ref="AN291:AN294" si="155">SUBSTITUTE(AL291,"indoor","")</f>
        <v>teak root</v>
      </c>
      <c r="AQ291" s="1" t="str">
        <f t="shared" si="137"/>
        <v>A</v>
      </c>
      <c r="AR291" s="1" t="str">
        <f>VLOOKUP(TRIM(AI291),Sheet1!$D$3:$E$36,2,FALSE)</f>
        <v>11</v>
      </c>
      <c r="AS291" s="90" t="str">
        <f t="shared" si="138"/>
        <v>01</v>
      </c>
      <c r="AT291" s="1" t="str">
        <f t="shared" si="139"/>
        <v>01</v>
      </c>
      <c r="AU291" s="90" t="s">
        <v>648</v>
      </c>
      <c r="AV291" s="90"/>
      <c r="AW291" s="90"/>
      <c r="AX291" s="95" t="str">
        <f>AQ291&amp;AR291&amp;AS291&amp;"-"&amp;AT291&amp;AU291&amp;BA291</f>
        <v>A1101-0132</v>
      </c>
      <c r="AY291" s="99" t="str">
        <f>AQ291&amp;AR291&amp;AS291&amp;"-"&amp;AT291&amp;BA291</f>
        <v>A1101-01</v>
      </c>
      <c r="AZ291" s="90"/>
      <c r="BA291" s="1" t="str">
        <f t="shared" si="140"/>
        <v/>
      </c>
      <c r="BC291" s="1">
        <f t="shared" si="123"/>
        <v>1</v>
      </c>
      <c r="BD291" s="90">
        <f t="shared" si="124"/>
        <v>1</v>
      </c>
      <c r="BE291" s="1">
        <f t="shared" si="143"/>
        <v>1</v>
      </c>
      <c r="BF291" s="1">
        <f t="shared" si="144"/>
        <v>1</v>
      </c>
      <c r="BI291"/>
      <c r="BJ291"/>
      <c r="BL291"/>
    </row>
    <row r="292" spans="1:64" ht="11.25" customHeight="1">
      <c r="A292" s="26" t="s">
        <v>1530</v>
      </c>
      <c r="B292" s="27" t="s">
        <v>1525</v>
      </c>
      <c r="C292" s="28">
        <v>579.99</v>
      </c>
      <c r="D292" s="28">
        <f t="shared" si="131"/>
        <v>289.995</v>
      </c>
      <c r="E292" s="22" t="s">
        <v>1507</v>
      </c>
      <c r="F292" s="22" t="s">
        <v>1531</v>
      </c>
      <c r="G292" s="22" t="s">
        <v>1527</v>
      </c>
      <c r="H292" s="22" t="s">
        <v>1532</v>
      </c>
      <c r="I292" s="23" t="s">
        <v>645</v>
      </c>
      <c r="J292" s="22" t="s">
        <v>646</v>
      </c>
      <c r="K292" s="23">
        <v>135</v>
      </c>
      <c r="L292" s="23">
        <v>66</v>
      </c>
      <c r="M292" s="23">
        <v>86</v>
      </c>
      <c r="N292" s="3">
        <f t="shared" si="142"/>
        <v>0.76626000000000005</v>
      </c>
      <c r="O292" s="4" t="e">
        <f>(C292-(C292*#REF!))-((C292-(C292*#REF!))*#REF!)</f>
        <v>#REF!</v>
      </c>
      <c r="P292" s="7">
        <f>1069819.46142896-Q292</f>
        <v>269819.46142896009</v>
      </c>
      <c r="Q292" s="7">
        <v>800000</v>
      </c>
      <c r="R292" s="5">
        <f t="shared" si="151"/>
        <v>1069819.4614289601</v>
      </c>
      <c r="S292" s="4">
        <f t="shared" si="152"/>
        <v>71.321297428597333</v>
      </c>
      <c r="T292" s="13">
        <f t="shared" si="132"/>
        <v>405.99300000000005</v>
      </c>
      <c r="U292" s="13">
        <f t="shared" si="141"/>
        <v>202.99650000000003</v>
      </c>
      <c r="V292" s="14">
        <f>U292/C292</f>
        <v>0.35000000000000003</v>
      </c>
      <c r="W292" s="14"/>
      <c r="X292" s="19">
        <f t="shared" si="153"/>
        <v>202.99650000000003</v>
      </c>
      <c r="Y292" s="19">
        <f t="shared" si="154"/>
        <v>405.99300000000005</v>
      </c>
      <c r="Z292" s="15">
        <f t="shared" si="150"/>
        <v>2.8462255640151262</v>
      </c>
      <c r="AA292" s="22" t="s">
        <v>1533</v>
      </c>
      <c r="AG292" s="94" t="s">
        <v>52</v>
      </c>
      <c r="AH292" s="89" t="str">
        <f>VLOOKUP(AG292,Sheet1!$B$3:$D$36,2,FALSE)</f>
        <v>Furniture</v>
      </c>
      <c r="AI292" s="89" t="s">
        <v>1514</v>
      </c>
      <c r="AJ292" s="1" t="str">
        <f t="shared" si="133"/>
        <v xml:space="preserve"> Luna bench</v>
      </c>
      <c r="AK292" s="1" t="str">
        <f t="shared" si="134"/>
        <v>w135 x d66 x h86 x sh44</v>
      </c>
      <c r="AL292" s="1" t="str">
        <f t="shared" si="135"/>
        <v>teak root</v>
      </c>
      <c r="AM292" s="1" t="str">
        <f t="shared" si="136"/>
        <v>teak root</v>
      </c>
      <c r="AN292" s="1" t="str">
        <f t="shared" si="155"/>
        <v>teak root</v>
      </c>
      <c r="AQ292" s="1" t="str">
        <f t="shared" si="137"/>
        <v>A</v>
      </c>
      <c r="AR292" s="1" t="str">
        <f>VLOOKUP(TRIM(AI292),Sheet1!$D$3:$E$36,2,FALSE)</f>
        <v>11</v>
      </c>
      <c r="AS292" s="90" t="str">
        <f t="shared" si="138"/>
        <v>02</v>
      </c>
      <c r="AT292" s="1" t="str">
        <f t="shared" si="139"/>
        <v>01</v>
      </c>
      <c r="AU292" s="90" t="s">
        <v>648</v>
      </c>
      <c r="AV292" s="90"/>
      <c r="AW292" s="90"/>
      <c r="AX292" s="95" t="str">
        <f>AQ292&amp;AR292&amp;AS292&amp;"-"&amp;AT292&amp;AU292&amp;BA292</f>
        <v>A1102-0132</v>
      </c>
      <c r="AY292" s="99" t="str">
        <f>AQ292&amp;AR292&amp;AS292&amp;"-"&amp;AT292&amp;BA292</f>
        <v>A1102-01</v>
      </c>
      <c r="AZ292" s="90"/>
      <c r="BA292" s="1" t="str">
        <f t="shared" si="140"/>
        <v/>
      </c>
      <c r="BC292" s="1" t="str">
        <f t="shared" si="123"/>
        <v/>
      </c>
      <c r="BD292" s="90">
        <f t="shared" si="124"/>
        <v>2</v>
      </c>
      <c r="BE292" s="1">
        <f t="shared" si="143"/>
        <v>1</v>
      </c>
      <c r="BF292" s="1">
        <f t="shared" si="144"/>
        <v>1</v>
      </c>
      <c r="BI292"/>
      <c r="BJ292"/>
      <c r="BL292"/>
    </row>
    <row r="293" spans="1:64" ht="11.25" customHeight="1">
      <c r="A293" s="26">
        <v>22015</v>
      </c>
      <c r="B293" s="27" t="s">
        <v>1534</v>
      </c>
      <c r="C293" s="28">
        <v>301.99</v>
      </c>
      <c r="D293" s="28">
        <f t="shared" si="131"/>
        <v>150.995</v>
      </c>
      <c r="E293" s="22" t="s">
        <v>1507</v>
      </c>
      <c r="F293" s="22" t="s">
        <v>1535</v>
      </c>
      <c r="G293" s="22" t="s">
        <v>1536</v>
      </c>
      <c r="H293" s="22" t="s">
        <v>1537</v>
      </c>
      <c r="I293" s="23" t="s">
        <v>1538</v>
      </c>
      <c r="J293" s="22" t="s">
        <v>646</v>
      </c>
      <c r="K293" s="23">
        <v>152</v>
      </c>
      <c r="L293" s="23">
        <v>41</v>
      </c>
      <c r="M293" s="23">
        <v>47</v>
      </c>
      <c r="N293" s="3">
        <f t="shared" si="142"/>
        <v>0.292904</v>
      </c>
      <c r="O293" s="4" t="e">
        <f>(C293-(C293*#REF!))-((C293-(C293*#REF!))*#REF!)</f>
        <v>#REF!</v>
      </c>
      <c r="P293" s="7"/>
      <c r="Q293" s="7"/>
      <c r="R293" s="5">
        <f t="shared" si="151"/>
        <v>0</v>
      </c>
      <c r="S293" s="4">
        <f t="shared" si="152"/>
        <v>0</v>
      </c>
      <c r="T293" s="13">
        <f t="shared" si="132"/>
        <v>211.39300000000003</v>
      </c>
      <c r="U293" s="13">
        <f t="shared" si="141"/>
        <v>105.69650000000001</v>
      </c>
      <c r="V293" s="14">
        <f>U293/C293</f>
        <v>0.35000000000000003</v>
      </c>
      <c r="W293" s="14"/>
      <c r="X293" s="19">
        <f t="shared" si="153"/>
        <v>105.69650000000001</v>
      </c>
      <c r="Y293" s="19">
        <f t="shared" si="154"/>
        <v>211.39300000000003</v>
      </c>
      <c r="Z293" s="15" t="e">
        <f t="shared" si="150"/>
        <v>#DIV/0!</v>
      </c>
      <c r="AA293" s="22" t="s">
        <v>1539</v>
      </c>
      <c r="AG293" s="94" t="s">
        <v>52</v>
      </c>
      <c r="AH293" s="89" t="str">
        <f>VLOOKUP(AG293,Sheet1!$B$3:$D$36,2,FALSE)</f>
        <v>Furniture</v>
      </c>
      <c r="AI293" s="89" t="s">
        <v>1514</v>
      </c>
      <c r="AJ293" s="1" t="str">
        <f t="shared" si="133"/>
        <v xml:space="preserve"> Nebula bench</v>
      </c>
      <c r="AK293" s="1" t="str">
        <f t="shared" si="134"/>
        <v>w152 x d41 x h47 x sh47</v>
      </c>
      <c r="AL293" s="1" t="str">
        <f t="shared" si="135"/>
        <v>teak branches &amp; rope</v>
      </c>
      <c r="AM293" s="1" t="str">
        <f t="shared" si="136"/>
        <v>teak branches &amp; rope</v>
      </c>
      <c r="AN293" s="1" t="str">
        <f t="shared" si="155"/>
        <v>teak branches &amp; rope</v>
      </c>
      <c r="AQ293" s="1" t="str">
        <f t="shared" si="137"/>
        <v>A</v>
      </c>
      <c r="AR293" s="1" t="str">
        <f>VLOOKUP(TRIM(AI293),Sheet1!$D$3:$E$36,2,FALSE)</f>
        <v>11</v>
      </c>
      <c r="AS293" s="90" t="str">
        <f t="shared" si="138"/>
        <v>01</v>
      </c>
      <c r="AT293" s="1" t="str">
        <f t="shared" si="139"/>
        <v>01</v>
      </c>
      <c r="AU293" s="90" t="s">
        <v>664</v>
      </c>
      <c r="AV293" s="90"/>
      <c r="AW293" s="90"/>
      <c r="AX293" s="95" t="str">
        <f>AQ293&amp;AR293&amp;AS293&amp;"-"&amp;AT293&amp;AU293&amp;BA293</f>
        <v>A1101-0127</v>
      </c>
      <c r="AY293" s="99" t="str">
        <f>AQ293&amp;AR293&amp;AS293&amp;"-"&amp;AT293&amp;BA293</f>
        <v>A1101-01</v>
      </c>
      <c r="AZ293" s="90"/>
      <c r="BA293" s="1" t="str">
        <f t="shared" si="140"/>
        <v/>
      </c>
      <c r="BC293" s="1">
        <f t="shared" si="123"/>
        <v>1</v>
      </c>
      <c r="BD293" s="90">
        <f t="shared" si="124"/>
        <v>1</v>
      </c>
      <c r="BE293" s="1">
        <f t="shared" si="143"/>
        <v>1</v>
      </c>
      <c r="BF293" s="1">
        <f t="shared" si="144"/>
        <v>1</v>
      </c>
      <c r="BI293"/>
      <c r="BJ293"/>
      <c r="BL293"/>
    </row>
    <row r="294" spans="1:64" ht="11.25" customHeight="1">
      <c r="A294" s="26" t="s">
        <v>1540</v>
      </c>
      <c r="B294" s="27" t="s">
        <v>1541</v>
      </c>
      <c r="C294" s="28">
        <v>599.99</v>
      </c>
      <c r="D294" s="28">
        <f t="shared" si="131"/>
        <v>299.995</v>
      </c>
      <c r="E294" s="22" t="s">
        <v>1507</v>
      </c>
      <c r="F294" s="22" t="s">
        <v>1542</v>
      </c>
      <c r="G294" s="22" t="s">
        <v>1543</v>
      </c>
      <c r="H294" s="22" t="s">
        <v>1544</v>
      </c>
      <c r="I294" s="23" t="s">
        <v>645</v>
      </c>
      <c r="J294" s="22" t="s">
        <v>646</v>
      </c>
      <c r="K294" s="23">
        <v>127</v>
      </c>
      <c r="L294" s="23">
        <v>38</v>
      </c>
      <c r="M294" s="23">
        <v>47</v>
      </c>
      <c r="N294" s="3">
        <f t="shared" si="142"/>
        <v>0.226822</v>
      </c>
      <c r="O294" s="4" t="e">
        <f>(C294-(C294*#REF!))-((C294-(C294*#REF!))*#REF!)</f>
        <v>#REF!</v>
      </c>
      <c r="P294" s="7"/>
      <c r="Q294" s="7"/>
      <c r="R294" s="5">
        <f t="shared" si="151"/>
        <v>0</v>
      </c>
      <c r="S294" s="4">
        <f t="shared" si="152"/>
        <v>0</v>
      </c>
      <c r="T294" s="13">
        <f t="shared" si="132"/>
        <v>419.99300000000005</v>
      </c>
      <c r="U294" s="13">
        <f t="shared" si="141"/>
        <v>209.99650000000003</v>
      </c>
      <c r="V294" s="14">
        <f>U294/C294</f>
        <v>0.35000000000000003</v>
      </c>
      <c r="W294" s="14"/>
      <c r="X294" s="19">
        <f t="shared" si="153"/>
        <v>209.99650000000003</v>
      </c>
      <c r="Y294" s="19">
        <f t="shared" si="154"/>
        <v>419.99300000000005</v>
      </c>
      <c r="Z294" s="15" t="e">
        <f t="shared" si="150"/>
        <v>#DIV/0!</v>
      </c>
      <c r="AA294" s="22" t="s">
        <v>1545</v>
      </c>
      <c r="AG294" s="94" t="s">
        <v>52</v>
      </c>
      <c r="AH294" s="89" t="str">
        <f>VLOOKUP(AG294,Sheet1!$B$3:$D$36,2,FALSE)</f>
        <v>Furniture</v>
      </c>
      <c r="AI294" s="89" t="s">
        <v>1514</v>
      </c>
      <c r="AJ294" s="1" t="str">
        <f t="shared" si="133"/>
        <v xml:space="preserve"> Cascade bench</v>
      </c>
      <c r="AK294" s="1" t="str">
        <f t="shared" si="134"/>
        <v>w127 x d38x h47 x sh47</v>
      </c>
      <c r="AL294" s="1" t="str">
        <f t="shared" si="135"/>
        <v>teak root</v>
      </c>
      <c r="AM294" s="1" t="str">
        <f t="shared" si="136"/>
        <v>teak root</v>
      </c>
      <c r="AN294" s="1" t="str">
        <f t="shared" si="155"/>
        <v>teak root</v>
      </c>
      <c r="AQ294" s="1" t="str">
        <f t="shared" si="137"/>
        <v>A</v>
      </c>
      <c r="AR294" s="1" t="str">
        <f>VLOOKUP(TRIM(AI294),Sheet1!$D$3:$E$36,2,FALSE)</f>
        <v>11</v>
      </c>
      <c r="AS294" s="90" t="str">
        <f t="shared" si="138"/>
        <v>01</v>
      </c>
      <c r="AT294" s="1" t="str">
        <f t="shared" si="139"/>
        <v>01</v>
      </c>
      <c r="AU294" s="90" t="s">
        <v>648</v>
      </c>
      <c r="AV294" s="90"/>
      <c r="AW294" s="90"/>
      <c r="AX294" s="95" t="str">
        <f>AQ294&amp;AR294&amp;AS294&amp;"-"&amp;AT294&amp;AU294&amp;BA294</f>
        <v>A1101-0132</v>
      </c>
      <c r="AY294" s="99" t="str">
        <f>AQ294&amp;AR294&amp;AS294&amp;"-"&amp;AT294&amp;BA294</f>
        <v>A1101-01</v>
      </c>
      <c r="AZ294" s="90"/>
      <c r="BA294" s="1" t="str">
        <f t="shared" si="140"/>
        <v/>
      </c>
      <c r="BC294" s="1">
        <f t="shared" si="123"/>
        <v>1</v>
      </c>
      <c r="BD294" s="90">
        <f t="shared" si="124"/>
        <v>1</v>
      </c>
      <c r="BE294" s="1">
        <f t="shared" si="143"/>
        <v>1</v>
      </c>
      <c r="BF294" s="1">
        <f t="shared" si="144"/>
        <v>1</v>
      </c>
      <c r="BI294"/>
      <c r="BJ294"/>
      <c r="BL294"/>
    </row>
    <row r="295" spans="1:64" ht="11.25" customHeight="1">
      <c r="A295" s="26" t="s">
        <v>1546</v>
      </c>
      <c r="B295" s="27" t="s">
        <v>1547</v>
      </c>
      <c r="C295" s="28">
        <v>1599.99</v>
      </c>
      <c r="D295" s="28">
        <f t="shared" si="131"/>
        <v>799.995</v>
      </c>
      <c r="E295" s="22" t="s">
        <v>1507</v>
      </c>
      <c r="F295" s="22" t="s">
        <v>1548</v>
      </c>
      <c r="G295" s="22" t="s">
        <v>1549</v>
      </c>
      <c r="H295" s="22" t="s">
        <v>1550</v>
      </c>
      <c r="I295" s="23" t="s">
        <v>1101</v>
      </c>
      <c r="J295" s="22" t="s">
        <v>50</v>
      </c>
      <c r="K295" s="23">
        <v>240</v>
      </c>
      <c r="L295" s="23">
        <v>40</v>
      </c>
      <c r="M295" s="23">
        <v>45</v>
      </c>
      <c r="N295" s="3">
        <f t="shared" si="142"/>
        <v>0.432</v>
      </c>
      <c r="O295" s="4" t="e">
        <f>(C295-(C295*#REF!))-((C295-(C295*#REF!))*#REF!)</f>
        <v>#REF!</v>
      </c>
      <c r="P295" s="7"/>
      <c r="Q295" s="7"/>
      <c r="R295" s="5">
        <f t="shared" si="151"/>
        <v>0</v>
      </c>
      <c r="S295" s="4">
        <f t="shared" si="152"/>
        <v>0</v>
      </c>
      <c r="T295" s="13">
        <f t="shared" si="132"/>
        <v>1119.9929999999999</v>
      </c>
      <c r="U295" s="13">
        <f t="shared" si="141"/>
        <v>559.99649999999997</v>
      </c>
      <c r="V295" s="14">
        <f>U295/C295</f>
        <v>0.35</v>
      </c>
      <c r="W295" s="14"/>
      <c r="X295" s="19">
        <f t="shared" si="153"/>
        <v>559.99649999999997</v>
      </c>
      <c r="Y295" s="19">
        <f t="shared" si="154"/>
        <v>1119.9929999999999</v>
      </c>
      <c r="Z295" s="15" t="e">
        <f t="shared" si="150"/>
        <v>#DIV/0!</v>
      </c>
      <c r="AA295" s="22" t="s">
        <v>1551</v>
      </c>
      <c r="AG295" s="94" t="s">
        <v>52</v>
      </c>
      <c r="AH295" s="89" t="str">
        <f>VLOOKUP(AG295,Sheet1!$B$3:$D$36,2,FALSE)</f>
        <v>Furniture</v>
      </c>
      <c r="AI295" s="89" t="s">
        <v>1514</v>
      </c>
      <c r="AJ295" s="1" t="str">
        <f t="shared" si="133"/>
        <v xml:space="preserve"> Maverick bench</v>
      </c>
      <c r="AK295" s="1" t="str">
        <f t="shared" si="134"/>
        <v>w240 x d40 x h45 x sh45</v>
      </c>
      <c r="AL295" s="1" t="str">
        <f t="shared" si="135"/>
        <v>natural teak indoor</v>
      </c>
      <c r="AM295" s="1" t="str">
        <f t="shared" si="136"/>
        <v>natural teak indoor</v>
      </c>
      <c r="AN295" s="1" t="str">
        <f>SUBSTITUTE(AL295,"indoor","")</f>
        <v xml:space="preserve">natural teak </v>
      </c>
      <c r="AO295" s="1" t="s">
        <v>54</v>
      </c>
      <c r="AQ295" s="1" t="str">
        <f t="shared" si="137"/>
        <v>A</v>
      </c>
      <c r="AR295" s="1" t="str">
        <f>VLOOKUP(TRIM(AI295),Sheet1!$D$3:$E$36,2,FALSE)</f>
        <v>11</v>
      </c>
      <c r="AS295" s="90" t="str">
        <f t="shared" si="138"/>
        <v>01</v>
      </c>
      <c r="AT295" s="1" t="str">
        <f t="shared" si="139"/>
        <v>01</v>
      </c>
      <c r="AU295" s="90" t="s">
        <v>55</v>
      </c>
      <c r="AV295" s="90"/>
      <c r="AW295" s="90"/>
      <c r="AX295" s="95" t="str">
        <f>AQ295&amp;AR295&amp;AS295&amp;"-"&amp;AT295&amp;AU295&amp;BA295</f>
        <v>A1101-0110IND</v>
      </c>
      <c r="AY295" s="99" t="str">
        <f>AQ295&amp;AR295&amp;AS295&amp;"-"&amp;AT295&amp;BA295</f>
        <v>A1101-01IND</v>
      </c>
      <c r="AZ295" s="90"/>
      <c r="BA295" s="1" t="str">
        <f t="shared" si="140"/>
        <v>IND</v>
      </c>
      <c r="BC295" s="1">
        <f t="shared" si="123"/>
        <v>1</v>
      </c>
      <c r="BD295" s="90">
        <f t="shared" si="124"/>
        <v>1</v>
      </c>
      <c r="BE295" s="1">
        <f t="shared" si="143"/>
        <v>1</v>
      </c>
      <c r="BF295" s="1">
        <f t="shared" si="144"/>
        <v>1</v>
      </c>
      <c r="BI295"/>
      <c r="BJ295"/>
      <c r="BL295"/>
    </row>
    <row r="296" spans="1:64" ht="11.25" customHeight="1">
      <c r="A296" s="26" t="s">
        <v>1552</v>
      </c>
      <c r="B296" s="27" t="s">
        <v>1547</v>
      </c>
      <c r="C296" s="28">
        <v>1699.99</v>
      </c>
      <c r="D296" s="28">
        <f t="shared" si="131"/>
        <v>849.995</v>
      </c>
      <c r="E296" s="22" t="s">
        <v>1507</v>
      </c>
      <c r="F296" s="22" t="s">
        <v>1553</v>
      </c>
      <c r="G296" s="22" t="s">
        <v>1549</v>
      </c>
      <c r="H296" s="22" t="s">
        <v>1550</v>
      </c>
      <c r="I296" s="23" t="s">
        <v>1517</v>
      </c>
      <c r="J296" s="22" t="s">
        <v>50</v>
      </c>
      <c r="K296" s="23">
        <v>240</v>
      </c>
      <c r="L296" s="23">
        <v>40</v>
      </c>
      <c r="M296" s="23">
        <v>45</v>
      </c>
      <c r="N296" s="3">
        <f t="shared" si="142"/>
        <v>0.432</v>
      </c>
      <c r="O296" s="4" t="e">
        <f>(C296-(C296*#REF!))-((C296-(C296*#REF!))*#REF!)</f>
        <v>#REF!</v>
      </c>
      <c r="P296" s="7">
        <v>2241743.5828553354</v>
      </c>
      <c r="Q296" s="7">
        <v>0</v>
      </c>
      <c r="R296" s="5">
        <f t="shared" si="151"/>
        <v>2241743.5828553354</v>
      </c>
      <c r="S296" s="4">
        <f t="shared" si="152"/>
        <v>149.4495721903557</v>
      </c>
      <c r="T296" s="13">
        <f t="shared" si="132"/>
        <v>1189.9929999999999</v>
      </c>
      <c r="U296" s="13">
        <f t="shared" si="141"/>
        <v>594.99649999999997</v>
      </c>
      <c r="V296" s="14">
        <f>U296/C296</f>
        <v>0.35</v>
      </c>
      <c r="W296" s="14"/>
      <c r="X296" s="19">
        <f t="shared" si="153"/>
        <v>594.99649999999997</v>
      </c>
      <c r="Y296" s="19">
        <f t="shared" si="154"/>
        <v>1189.9929999999999</v>
      </c>
      <c r="Z296" s="15">
        <f t="shared" si="150"/>
        <v>3.9812526143744718</v>
      </c>
      <c r="AA296" s="22" t="s">
        <v>1554</v>
      </c>
      <c r="AG296" s="94" t="s">
        <v>52</v>
      </c>
      <c r="AH296" s="89" t="str">
        <f>VLOOKUP(AG296,Sheet1!$B$3:$D$36,2,FALSE)</f>
        <v>Furniture</v>
      </c>
      <c r="AI296" s="89" t="s">
        <v>1514</v>
      </c>
      <c r="AJ296" s="1" t="str">
        <f t="shared" si="133"/>
        <v xml:space="preserve"> Maverick bench</v>
      </c>
      <c r="AK296" s="1" t="str">
        <f t="shared" si="134"/>
        <v>w240 x d40 x h45 x sh45</v>
      </c>
      <c r="AL296" s="1" t="str">
        <f t="shared" si="135"/>
        <v>natural teak outdoor</v>
      </c>
      <c r="AM296" s="1" t="str">
        <f t="shared" si="136"/>
        <v>natural teak outdoor</v>
      </c>
      <c r="AN296" s="1" t="str">
        <f>SUBSTITUTE(AL296,"outdoor","")</f>
        <v xml:space="preserve">natural teak </v>
      </c>
      <c r="AO296" s="1" t="s">
        <v>59</v>
      </c>
      <c r="AQ296" s="1" t="str">
        <f t="shared" si="137"/>
        <v>A</v>
      </c>
      <c r="AR296" s="1" t="str">
        <f>VLOOKUP(TRIM(AI296),Sheet1!$D$3:$E$36,2,FALSE)</f>
        <v>11</v>
      </c>
      <c r="AS296" s="90" t="str">
        <f t="shared" si="138"/>
        <v>02</v>
      </c>
      <c r="AT296" s="1" t="str">
        <f t="shared" si="139"/>
        <v>02</v>
      </c>
      <c r="AU296" s="90" t="s">
        <v>55</v>
      </c>
      <c r="AV296" s="90"/>
      <c r="AW296" s="90"/>
      <c r="AX296" s="95" t="str">
        <f>AQ296&amp;AR296&amp;AS296&amp;"-"&amp;AT296&amp;AU296&amp;BA296</f>
        <v>A1102-0210OUT</v>
      </c>
      <c r="AY296" s="99" t="str">
        <f>AQ296&amp;AR296&amp;AS296&amp;"-"&amp;AT296&amp;BA296</f>
        <v>A1102-02OUT</v>
      </c>
      <c r="AZ296" s="90"/>
      <c r="BA296" s="1" t="str">
        <f t="shared" si="140"/>
        <v>OUT</v>
      </c>
      <c r="BC296" s="1" t="str">
        <f t="shared" si="123"/>
        <v/>
      </c>
      <c r="BD296" s="90">
        <f t="shared" si="124"/>
        <v>2</v>
      </c>
      <c r="BE296" s="1" t="str">
        <f t="shared" si="143"/>
        <v/>
      </c>
      <c r="BF296" s="1">
        <f t="shared" si="144"/>
        <v>2</v>
      </c>
      <c r="BI296"/>
      <c r="BJ296"/>
      <c r="BL296"/>
    </row>
    <row r="297" spans="1:64" ht="11.25" customHeight="1">
      <c r="A297" s="26" t="s">
        <v>1555</v>
      </c>
      <c r="B297" s="27" t="s">
        <v>1547</v>
      </c>
      <c r="C297" s="28">
        <v>1649.99</v>
      </c>
      <c r="D297" s="28">
        <f t="shared" si="131"/>
        <v>824.995</v>
      </c>
      <c r="E297" s="22" t="s">
        <v>1507</v>
      </c>
      <c r="F297" s="22" t="s">
        <v>1556</v>
      </c>
      <c r="G297" s="22" t="s">
        <v>1549</v>
      </c>
      <c r="H297" s="22" t="s">
        <v>1557</v>
      </c>
      <c r="I297" s="23" t="s">
        <v>1101</v>
      </c>
      <c r="J297" s="22" t="s">
        <v>50</v>
      </c>
      <c r="K297" s="23">
        <v>250</v>
      </c>
      <c r="L297" s="23">
        <v>40</v>
      </c>
      <c r="M297" s="23">
        <v>45</v>
      </c>
      <c r="N297" s="3">
        <f t="shared" si="142"/>
        <v>0.45</v>
      </c>
      <c r="O297" s="4" t="e">
        <f>(C297-(C297*#REF!))-((C297-(C297*#REF!))*#REF!)</f>
        <v>#REF!</v>
      </c>
      <c r="P297" s="7"/>
      <c r="Q297" s="7"/>
      <c r="R297" s="5">
        <f t="shared" si="151"/>
        <v>0</v>
      </c>
      <c r="S297" s="4">
        <f t="shared" si="152"/>
        <v>0</v>
      </c>
      <c r="T297" s="13">
        <f t="shared" si="132"/>
        <v>1154.9929999999999</v>
      </c>
      <c r="U297" s="13">
        <f t="shared" si="141"/>
        <v>577.49649999999997</v>
      </c>
      <c r="V297" s="14">
        <f>U297/C297</f>
        <v>0.35</v>
      </c>
      <c r="W297" s="14"/>
      <c r="X297" s="19">
        <f t="shared" si="153"/>
        <v>577.49649999999997</v>
      </c>
      <c r="Y297" s="19">
        <f t="shared" si="154"/>
        <v>1154.9929999999999</v>
      </c>
      <c r="Z297" s="15" t="e">
        <f t="shared" si="150"/>
        <v>#DIV/0!</v>
      </c>
      <c r="AA297" s="22" t="s">
        <v>1551</v>
      </c>
      <c r="AG297" s="94" t="s">
        <v>52</v>
      </c>
      <c r="AH297" s="89" t="str">
        <f>VLOOKUP(AG297,Sheet1!$B$3:$D$36,2,FALSE)</f>
        <v>Furniture</v>
      </c>
      <c r="AI297" s="89" t="s">
        <v>1514</v>
      </c>
      <c r="AJ297" s="1" t="str">
        <f t="shared" si="133"/>
        <v xml:space="preserve"> Maverick bench</v>
      </c>
      <c r="AK297" s="1" t="str">
        <f t="shared" si="134"/>
        <v>w250 x d40 x h45 x sh45</v>
      </c>
      <c r="AL297" s="1" t="str">
        <f t="shared" si="135"/>
        <v>natural teak indoor</v>
      </c>
      <c r="AM297" s="1" t="str">
        <f t="shared" si="136"/>
        <v>natural teak indoor</v>
      </c>
      <c r="AN297" s="1" t="str">
        <f>SUBSTITUTE(AL297,"indoor","")</f>
        <v xml:space="preserve">natural teak </v>
      </c>
      <c r="AO297" s="1" t="s">
        <v>54</v>
      </c>
      <c r="AQ297" s="1" t="str">
        <f t="shared" si="137"/>
        <v>A</v>
      </c>
      <c r="AR297" s="1" t="str">
        <f>VLOOKUP(TRIM(AI297),Sheet1!$D$3:$E$36,2,FALSE)</f>
        <v>11</v>
      </c>
      <c r="AS297" s="90" t="str">
        <f t="shared" si="138"/>
        <v>03</v>
      </c>
      <c r="AT297" s="1" t="str">
        <f t="shared" si="139"/>
        <v>01</v>
      </c>
      <c r="AU297" s="90" t="s">
        <v>55</v>
      </c>
      <c r="AV297" s="90"/>
      <c r="AW297" s="90"/>
      <c r="AX297" s="95" t="str">
        <f>AQ297&amp;AR297&amp;AS297&amp;"-"&amp;AT297&amp;AU297&amp;BA297</f>
        <v>A1103-0110IND</v>
      </c>
      <c r="AY297" s="99" t="str">
        <f>AQ297&amp;AR297&amp;AS297&amp;"-"&amp;AT297&amp;BA297</f>
        <v>A1103-01IND</v>
      </c>
      <c r="AZ297" s="90"/>
      <c r="BA297" s="1" t="str">
        <f t="shared" si="140"/>
        <v>IND</v>
      </c>
      <c r="BC297" s="1" t="str">
        <f t="shared" ref="BC297:BC360" si="156">IF(AJ296&lt;&gt;AJ297,1,"")</f>
        <v/>
      </c>
      <c r="BD297" s="90">
        <f t="shared" ref="BD297:BD360" si="157">IF(BC297=1,1,BD296+1)</f>
        <v>3</v>
      </c>
      <c r="BE297" s="1">
        <f t="shared" si="143"/>
        <v>1</v>
      </c>
      <c r="BF297" s="1">
        <f t="shared" si="144"/>
        <v>1</v>
      </c>
      <c r="BI297"/>
      <c r="BJ297"/>
      <c r="BL297"/>
    </row>
    <row r="298" spans="1:64" ht="11.25" customHeight="1">
      <c r="A298" s="26" t="s">
        <v>1558</v>
      </c>
      <c r="B298" s="27" t="s">
        <v>1547</v>
      </c>
      <c r="C298" s="28">
        <v>1789.99</v>
      </c>
      <c r="D298" s="28">
        <f t="shared" si="131"/>
        <v>894.995</v>
      </c>
      <c r="E298" s="22" t="s">
        <v>1507</v>
      </c>
      <c r="F298" s="22" t="s">
        <v>1559</v>
      </c>
      <c r="G298" s="22" t="s">
        <v>1549</v>
      </c>
      <c r="H298" s="22" t="s">
        <v>1557</v>
      </c>
      <c r="I298" s="23" t="s">
        <v>1517</v>
      </c>
      <c r="J298" s="22" t="s">
        <v>50</v>
      </c>
      <c r="K298" s="23">
        <v>250</v>
      </c>
      <c r="L298" s="23">
        <v>40</v>
      </c>
      <c r="M298" s="23">
        <v>45</v>
      </c>
      <c r="N298" s="3">
        <f t="shared" si="142"/>
        <v>0.45</v>
      </c>
      <c r="O298" s="4" t="e">
        <f>(C298-(C298*#REF!))-((C298-(C298*#REF!))*#REF!)</f>
        <v>#REF!</v>
      </c>
      <c r="P298" s="7"/>
      <c r="Q298" s="7"/>
      <c r="R298" s="5">
        <f t="shared" si="151"/>
        <v>0</v>
      </c>
      <c r="S298" s="4">
        <f t="shared" si="152"/>
        <v>0</v>
      </c>
      <c r="T298" s="13">
        <f t="shared" si="132"/>
        <v>1252.9929999999999</v>
      </c>
      <c r="U298" s="13">
        <f t="shared" si="141"/>
        <v>626.49649999999997</v>
      </c>
      <c r="V298" s="14">
        <f>U298/C298</f>
        <v>0.35</v>
      </c>
      <c r="W298" s="14"/>
      <c r="X298" s="19">
        <f t="shared" si="153"/>
        <v>626.49649999999997</v>
      </c>
      <c r="Y298" s="19">
        <f t="shared" si="154"/>
        <v>1252.9929999999999</v>
      </c>
      <c r="Z298" s="15" t="e">
        <f t="shared" si="150"/>
        <v>#DIV/0!</v>
      </c>
      <c r="AA298" s="22" t="s">
        <v>1560</v>
      </c>
      <c r="AG298" s="94" t="s">
        <v>52</v>
      </c>
      <c r="AH298" s="89" t="str">
        <f>VLOOKUP(AG298,Sheet1!$B$3:$D$36,2,FALSE)</f>
        <v>Furniture</v>
      </c>
      <c r="AI298" s="89" t="s">
        <v>1514</v>
      </c>
      <c r="AJ298" s="1" t="str">
        <f t="shared" si="133"/>
        <v xml:space="preserve"> Maverick bench</v>
      </c>
      <c r="AK298" s="1" t="str">
        <f t="shared" si="134"/>
        <v>w250 x d40 x h45 x sh45</v>
      </c>
      <c r="AL298" s="1" t="str">
        <f t="shared" si="135"/>
        <v>natural teak outdoor</v>
      </c>
      <c r="AM298" s="1" t="str">
        <f t="shared" si="136"/>
        <v>natural teak outdoor</v>
      </c>
      <c r="AN298" s="1" t="str">
        <f>SUBSTITUTE(AL298,"outdoor","")</f>
        <v xml:space="preserve">natural teak </v>
      </c>
      <c r="AO298" s="1" t="s">
        <v>59</v>
      </c>
      <c r="AQ298" s="1" t="str">
        <f t="shared" si="137"/>
        <v>A</v>
      </c>
      <c r="AR298" s="1" t="str">
        <f>VLOOKUP(TRIM(AI298),Sheet1!$D$3:$E$36,2,FALSE)</f>
        <v>11</v>
      </c>
      <c r="AS298" s="90" t="str">
        <f t="shared" si="138"/>
        <v>04</v>
      </c>
      <c r="AT298" s="1" t="str">
        <f t="shared" si="139"/>
        <v>02</v>
      </c>
      <c r="AU298" s="90" t="s">
        <v>55</v>
      </c>
      <c r="AV298" s="90"/>
      <c r="AW298" s="90"/>
      <c r="AX298" s="95" t="str">
        <f>AQ298&amp;AR298&amp;AS298&amp;"-"&amp;AT298&amp;AU298&amp;BA298</f>
        <v>A1104-0210OUT</v>
      </c>
      <c r="AY298" s="99" t="str">
        <f>AQ298&amp;AR298&amp;AS298&amp;"-"&amp;AT298&amp;BA298</f>
        <v>A1104-02OUT</v>
      </c>
      <c r="AZ298" s="90"/>
      <c r="BA298" s="1" t="str">
        <f t="shared" si="140"/>
        <v>OUT</v>
      </c>
      <c r="BC298" s="1" t="str">
        <f t="shared" si="156"/>
        <v/>
      </c>
      <c r="BD298" s="90">
        <f t="shared" si="157"/>
        <v>4</v>
      </c>
      <c r="BE298" s="1" t="str">
        <f t="shared" si="143"/>
        <v/>
      </c>
      <c r="BF298" s="1">
        <f t="shared" si="144"/>
        <v>2</v>
      </c>
      <c r="BI298"/>
      <c r="BJ298"/>
      <c r="BL298"/>
    </row>
    <row r="299" spans="1:64" ht="11.25" customHeight="1">
      <c r="A299" s="26" t="s">
        <v>1561</v>
      </c>
      <c r="B299" s="27" t="s">
        <v>1547</v>
      </c>
      <c r="C299" s="28">
        <v>2009.99</v>
      </c>
      <c r="D299" s="28">
        <f t="shared" si="131"/>
        <v>1004.995</v>
      </c>
      <c r="E299" s="22" t="s">
        <v>1507</v>
      </c>
      <c r="F299" s="22" t="s">
        <v>1562</v>
      </c>
      <c r="G299" s="22" t="s">
        <v>1549</v>
      </c>
      <c r="H299" s="22" t="s">
        <v>1563</v>
      </c>
      <c r="I299" s="23" t="s">
        <v>1101</v>
      </c>
      <c r="J299" s="22" t="s">
        <v>50</v>
      </c>
      <c r="K299" s="23">
        <v>300</v>
      </c>
      <c r="L299" s="23">
        <v>40</v>
      </c>
      <c r="M299" s="23">
        <v>45</v>
      </c>
      <c r="N299" s="3">
        <f t="shared" si="142"/>
        <v>0.54</v>
      </c>
      <c r="O299" s="4" t="e">
        <f>(C299-(C299*#REF!))-((C299-(C299*#REF!))*#REF!)</f>
        <v>#REF!</v>
      </c>
      <c r="P299" s="7"/>
      <c r="Q299" s="7"/>
      <c r="R299" s="5">
        <f t="shared" si="151"/>
        <v>0</v>
      </c>
      <c r="S299" s="4">
        <f t="shared" si="152"/>
        <v>0</v>
      </c>
      <c r="T299" s="13">
        <f t="shared" si="132"/>
        <v>1406.9929999999999</v>
      </c>
      <c r="U299" s="13">
        <f t="shared" si="141"/>
        <v>703.49649999999997</v>
      </c>
      <c r="V299" s="14">
        <f>U299/C299</f>
        <v>0.35</v>
      </c>
      <c r="W299" s="14"/>
      <c r="X299" s="19">
        <f t="shared" si="153"/>
        <v>703.49649999999997</v>
      </c>
      <c r="Y299" s="19">
        <f t="shared" si="154"/>
        <v>1406.9929999999999</v>
      </c>
      <c r="Z299" s="15" t="e">
        <f t="shared" si="150"/>
        <v>#DIV/0!</v>
      </c>
      <c r="AA299" s="22" t="s">
        <v>1564</v>
      </c>
      <c r="AG299" s="94" t="s">
        <v>52</v>
      </c>
      <c r="AH299" s="89" t="str">
        <f>VLOOKUP(AG299,Sheet1!$B$3:$D$36,2,FALSE)</f>
        <v>Furniture</v>
      </c>
      <c r="AI299" s="89" t="s">
        <v>1514</v>
      </c>
      <c r="AJ299" s="1" t="str">
        <f t="shared" si="133"/>
        <v xml:space="preserve"> Maverick bench</v>
      </c>
      <c r="AK299" s="1" t="str">
        <f t="shared" si="134"/>
        <v>w300 x d40 x h45 x sh45</v>
      </c>
      <c r="AL299" s="1" t="str">
        <f t="shared" si="135"/>
        <v>natural teak indoor</v>
      </c>
      <c r="AM299" s="1" t="str">
        <f t="shared" si="136"/>
        <v>natural teak indoor</v>
      </c>
      <c r="AN299" s="1" t="str">
        <f>SUBSTITUTE(AL299,"indoor","")</f>
        <v xml:space="preserve">natural teak </v>
      </c>
      <c r="AO299" s="1" t="s">
        <v>54</v>
      </c>
      <c r="AQ299" s="1" t="str">
        <f t="shared" si="137"/>
        <v>A</v>
      </c>
      <c r="AR299" s="1" t="str">
        <f>VLOOKUP(TRIM(AI299),Sheet1!$D$3:$E$36,2,FALSE)</f>
        <v>11</v>
      </c>
      <c r="AS299" s="90" t="str">
        <f t="shared" si="138"/>
        <v>05</v>
      </c>
      <c r="AT299" s="1" t="str">
        <f t="shared" si="139"/>
        <v>01</v>
      </c>
      <c r="AU299" s="90" t="s">
        <v>55</v>
      </c>
      <c r="AV299" s="90"/>
      <c r="AW299" s="90"/>
      <c r="AX299" s="95" t="str">
        <f>AQ299&amp;AR299&amp;AS299&amp;"-"&amp;AT299&amp;AU299&amp;BA299</f>
        <v>A1105-0110IND</v>
      </c>
      <c r="AY299" s="99" t="str">
        <f>AQ299&amp;AR299&amp;AS299&amp;"-"&amp;AT299&amp;BA299</f>
        <v>A1105-01IND</v>
      </c>
      <c r="AZ299" s="90"/>
      <c r="BA299" s="1" t="str">
        <f t="shared" si="140"/>
        <v>IND</v>
      </c>
      <c r="BC299" s="1" t="str">
        <f t="shared" si="156"/>
        <v/>
      </c>
      <c r="BD299" s="90">
        <f t="shared" si="157"/>
        <v>5</v>
      </c>
      <c r="BE299" s="1">
        <f t="shared" si="143"/>
        <v>1</v>
      </c>
      <c r="BF299" s="1">
        <f t="shared" si="144"/>
        <v>1</v>
      </c>
      <c r="BI299"/>
      <c r="BJ299"/>
      <c r="BL299"/>
    </row>
    <row r="300" spans="1:64" ht="11.25" customHeight="1">
      <c r="A300" s="26" t="s">
        <v>1565</v>
      </c>
      <c r="B300" s="27" t="s">
        <v>1547</v>
      </c>
      <c r="C300" s="28">
        <v>2159.9899999999998</v>
      </c>
      <c r="D300" s="28">
        <f t="shared" si="131"/>
        <v>1079.9949999999999</v>
      </c>
      <c r="E300" s="22" t="s">
        <v>1507</v>
      </c>
      <c r="F300" s="22" t="s">
        <v>1566</v>
      </c>
      <c r="G300" s="22" t="s">
        <v>1549</v>
      </c>
      <c r="H300" s="22" t="s">
        <v>1563</v>
      </c>
      <c r="I300" s="23" t="s">
        <v>1517</v>
      </c>
      <c r="J300" s="22" t="s">
        <v>50</v>
      </c>
      <c r="K300" s="23">
        <v>300</v>
      </c>
      <c r="L300" s="23">
        <v>40</v>
      </c>
      <c r="M300" s="23">
        <v>45</v>
      </c>
      <c r="N300" s="3">
        <f t="shared" si="142"/>
        <v>0.54</v>
      </c>
      <c r="O300" s="4" t="e">
        <f>(C300-(C300*#REF!))-((C300-(C300*#REF!))*#REF!)</f>
        <v>#REF!</v>
      </c>
      <c r="P300" s="7"/>
      <c r="Q300" s="7"/>
      <c r="R300" s="5">
        <f t="shared" si="151"/>
        <v>0</v>
      </c>
      <c r="S300" s="4">
        <f t="shared" si="152"/>
        <v>0</v>
      </c>
      <c r="T300" s="13">
        <f t="shared" si="132"/>
        <v>1511.9929999999999</v>
      </c>
      <c r="U300" s="13">
        <f t="shared" si="141"/>
        <v>755.99649999999997</v>
      </c>
      <c r="V300" s="14">
        <f>U300/C300</f>
        <v>0.35000000000000003</v>
      </c>
      <c r="W300" s="14"/>
      <c r="X300" s="19">
        <f t="shared" si="153"/>
        <v>755.99649999999997</v>
      </c>
      <c r="Y300" s="19">
        <f t="shared" si="154"/>
        <v>1511.9929999999999</v>
      </c>
      <c r="Z300" s="15" t="e">
        <f t="shared" si="150"/>
        <v>#DIV/0!</v>
      </c>
      <c r="AA300" s="22" t="s">
        <v>1551</v>
      </c>
      <c r="AG300" s="94" t="s">
        <v>52</v>
      </c>
      <c r="AH300" s="89" t="str">
        <f>VLOOKUP(AG300,Sheet1!$B$3:$D$36,2,FALSE)</f>
        <v>Furniture</v>
      </c>
      <c r="AI300" s="89" t="s">
        <v>1514</v>
      </c>
      <c r="AJ300" s="1" t="str">
        <f t="shared" si="133"/>
        <v xml:space="preserve"> Maverick bench</v>
      </c>
      <c r="AK300" s="1" t="str">
        <f t="shared" si="134"/>
        <v>w300 x d40 x h45 x sh45</v>
      </c>
      <c r="AL300" s="1" t="str">
        <f t="shared" si="135"/>
        <v>natural teak outdoor</v>
      </c>
      <c r="AM300" s="1" t="str">
        <f t="shared" si="136"/>
        <v>natural teak outdoor</v>
      </c>
      <c r="AN300" s="1" t="str">
        <f>SUBSTITUTE(AL300,"outdoor","")</f>
        <v xml:space="preserve">natural teak </v>
      </c>
      <c r="AO300" s="1" t="s">
        <v>59</v>
      </c>
      <c r="AQ300" s="1" t="str">
        <f t="shared" si="137"/>
        <v>A</v>
      </c>
      <c r="AR300" s="1" t="str">
        <f>VLOOKUP(TRIM(AI300),Sheet1!$D$3:$E$36,2,FALSE)</f>
        <v>11</v>
      </c>
      <c r="AS300" s="90" t="str">
        <f t="shared" si="138"/>
        <v>06</v>
      </c>
      <c r="AT300" s="1" t="str">
        <f t="shared" si="139"/>
        <v>02</v>
      </c>
      <c r="AU300" s="90" t="s">
        <v>55</v>
      </c>
      <c r="AV300" s="90"/>
      <c r="AW300" s="90"/>
      <c r="AX300" s="95" t="str">
        <f>AQ300&amp;AR300&amp;AS300&amp;"-"&amp;AT300&amp;AU300&amp;BA300</f>
        <v>A1106-0210OUT</v>
      </c>
      <c r="AY300" s="99" t="str">
        <f>AQ300&amp;AR300&amp;AS300&amp;"-"&amp;AT300&amp;BA300</f>
        <v>A1106-02OUT</v>
      </c>
      <c r="AZ300" s="90"/>
      <c r="BA300" s="1" t="str">
        <f t="shared" si="140"/>
        <v>OUT</v>
      </c>
      <c r="BC300" s="1" t="str">
        <f t="shared" si="156"/>
        <v/>
      </c>
      <c r="BD300" s="90">
        <f t="shared" si="157"/>
        <v>6</v>
      </c>
      <c r="BE300" s="1" t="str">
        <f t="shared" si="143"/>
        <v/>
      </c>
      <c r="BF300" s="1">
        <f t="shared" si="144"/>
        <v>2</v>
      </c>
      <c r="BI300"/>
      <c r="BJ300"/>
      <c r="BL300"/>
    </row>
    <row r="301" spans="1:64" ht="11.25" customHeight="1">
      <c r="A301" s="26" t="s">
        <v>1567</v>
      </c>
      <c r="B301" s="27" t="s">
        <v>1568</v>
      </c>
      <c r="C301" s="28">
        <v>1739.99</v>
      </c>
      <c r="D301" s="28">
        <f t="shared" si="131"/>
        <v>869.995</v>
      </c>
      <c r="E301" s="22" t="s">
        <v>1507</v>
      </c>
      <c r="F301" s="22" t="s">
        <v>1569</v>
      </c>
      <c r="G301" s="22" t="s">
        <v>1570</v>
      </c>
      <c r="H301" s="22" t="s">
        <v>1557</v>
      </c>
      <c r="I301" s="23" t="s">
        <v>1101</v>
      </c>
      <c r="J301" s="22" t="s">
        <v>50</v>
      </c>
      <c r="K301" s="23">
        <v>250</v>
      </c>
      <c r="L301" s="23">
        <v>40</v>
      </c>
      <c r="M301" s="23">
        <v>45</v>
      </c>
      <c r="N301" s="3">
        <f t="shared" si="142"/>
        <v>0.45</v>
      </c>
      <c r="O301" s="4" t="e">
        <f>(C301-(C301*#REF!))-((C301-(C301*#REF!))*#REF!)</f>
        <v>#REF!</v>
      </c>
      <c r="P301" s="7"/>
      <c r="Q301" s="7"/>
      <c r="R301" s="5">
        <f t="shared" si="151"/>
        <v>0</v>
      </c>
      <c r="S301" s="4">
        <f t="shared" si="152"/>
        <v>0</v>
      </c>
      <c r="T301" s="13">
        <f t="shared" si="132"/>
        <v>1217.9929999999999</v>
      </c>
      <c r="U301" s="13">
        <f t="shared" si="141"/>
        <v>608.99649999999997</v>
      </c>
      <c r="V301" s="14">
        <f>U301/C301</f>
        <v>0.35</v>
      </c>
      <c r="W301" s="14"/>
      <c r="X301" s="19">
        <f t="shared" si="153"/>
        <v>608.99649999999997</v>
      </c>
      <c r="Y301" s="19">
        <f t="shared" si="154"/>
        <v>1217.9929999999999</v>
      </c>
      <c r="Z301" s="15" t="e">
        <f t="shared" si="150"/>
        <v>#DIV/0!</v>
      </c>
      <c r="AA301" s="22" t="s">
        <v>1571</v>
      </c>
      <c r="AG301" s="94" t="s">
        <v>52</v>
      </c>
      <c r="AH301" s="89" t="str">
        <f>VLOOKUP(AG301,Sheet1!$B$3:$D$36,2,FALSE)</f>
        <v>Furniture</v>
      </c>
      <c r="AI301" s="89" t="s">
        <v>1514</v>
      </c>
      <c r="AJ301" s="1" t="str">
        <f t="shared" si="133"/>
        <v xml:space="preserve"> Orion bench</v>
      </c>
      <c r="AK301" s="1" t="str">
        <f t="shared" si="134"/>
        <v>w250 x d40 x h45 x sh45</v>
      </c>
      <c r="AL301" s="1" t="str">
        <f t="shared" si="135"/>
        <v>natural teak indoor</v>
      </c>
      <c r="AM301" s="1" t="str">
        <f t="shared" si="136"/>
        <v>natural teak indoor</v>
      </c>
      <c r="AN301" s="1" t="str">
        <f>SUBSTITUTE(AL301,"indoor","")</f>
        <v xml:space="preserve">natural teak </v>
      </c>
      <c r="AO301" s="1" t="s">
        <v>54</v>
      </c>
      <c r="AQ301" s="1" t="str">
        <f t="shared" si="137"/>
        <v>A</v>
      </c>
      <c r="AR301" s="1" t="str">
        <f>VLOOKUP(TRIM(AI301),Sheet1!$D$3:$E$36,2,FALSE)</f>
        <v>11</v>
      </c>
      <c r="AS301" s="90" t="str">
        <f t="shared" si="138"/>
        <v>01</v>
      </c>
      <c r="AT301" s="1" t="str">
        <f t="shared" si="139"/>
        <v>01</v>
      </c>
      <c r="AU301" s="90" t="s">
        <v>55</v>
      </c>
      <c r="AV301" s="90"/>
      <c r="AW301" s="90"/>
      <c r="AX301" s="95" t="str">
        <f>AQ301&amp;AR301&amp;AS301&amp;"-"&amp;AT301&amp;AU301&amp;BA301</f>
        <v>A1101-0110IND</v>
      </c>
      <c r="AY301" s="99" t="str">
        <f>AQ301&amp;AR301&amp;AS301&amp;"-"&amp;AT301&amp;BA301</f>
        <v>A1101-01IND</v>
      </c>
      <c r="AZ301" s="90"/>
      <c r="BA301" s="1" t="str">
        <f t="shared" si="140"/>
        <v>IND</v>
      </c>
      <c r="BC301" s="1">
        <f t="shared" si="156"/>
        <v>1</v>
      </c>
      <c r="BD301" s="90">
        <f t="shared" si="157"/>
        <v>1</v>
      </c>
      <c r="BE301" s="1">
        <f t="shared" si="143"/>
        <v>1</v>
      </c>
      <c r="BF301" s="1">
        <f t="shared" si="144"/>
        <v>1</v>
      </c>
      <c r="BI301"/>
      <c r="BJ301"/>
      <c r="BL301"/>
    </row>
    <row r="302" spans="1:64" ht="11.25" customHeight="1">
      <c r="A302" s="26" t="s">
        <v>1572</v>
      </c>
      <c r="B302" s="27" t="s">
        <v>1568</v>
      </c>
      <c r="C302" s="28">
        <v>1979.99</v>
      </c>
      <c r="D302" s="28">
        <f t="shared" si="131"/>
        <v>989.995</v>
      </c>
      <c r="E302" s="22" t="s">
        <v>1507</v>
      </c>
      <c r="F302" s="22" t="s">
        <v>1573</v>
      </c>
      <c r="G302" s="22" t="s">
        <v>1570</v>
      </c>
      <c r="H302" s="22" t="s">
        <v>1557</v>
      </c>
      <c r="I302" s="23" t="s">
        <v>1517</v>
      </c>
      <c r="J302" s="22" t="s">
        <v>50</v>
      </c>
      <c r="K302" s="23">
        <v>250</v>
      </c>
      <c r="L302" s="23">
        <v>40</v>
      </c>
      <c r="M302" s="23">
        <v>45</v>
      </c>
      <c r="N302" s="3">
        <f t="shared" si="142"/>
        <v>0.45</v>
      </c>
      <c r="O302" s="4" t="e">
        <f>(C302-(C302*#REF!))-((C302-(C302*#REF!))*#REF!)</f>
        <v>#REF!</v>
      </c>
      <c r="P302" s="7"/>
      <c r="Q302" s="7"/>
      <c r="R302" s="5">
        <f t="shared" si="151"/>
        <v>0</v>
      </c>
      <c r="S302" s="4">
        <f t="shared" si="152"/>
        <v>0</v>
      </c>
      <c r="T302" s="13">
        <f t="shared" si="132"/>
        <v>1385.9929999999999</v>
      </c>
      <c r="U302" s="13">
        <f t="shared" si="141"/>
        <v>692.99649999999997</v>
      </c>
      <c r="V302" s="14">
        <f>U302/C302</f>
        <v>0.35</v>
      </c>
      <c r="W302" s="14"/>
      <c r="X302" s="19">
        <f t="shared" si="153"/>
        <v>692.99649999999997</v>
      </c>
      <c r="Y302" s="19">
        <f t="shared" si="154"/>
        <v>1385.9929999999999</v>
      </c>
      <c r="Z302" s="15" t="e">
        <f t="shared" si="150"/>
        <v>#DIV/0!</v>
      </c>
      <c r="AA302" s="22" t="s">
        <v>1574</v>
      </c>
      <c r="AG302" s="94" t="s">
        <v>52</v>
      </c>
      <c r="AH302" s="89" t="str">
        <f>VLOOKUP(AG302,Sheet1!$B$3:$D$36,2,FALSE)</f>
        <v>Furniture</v>
      </c>
      <c r="AI302" s="89" t="s">
        <v>1514</v>
      </c>
      <c r="AJ302" s="1" t="str">
        <f t="shared" si="133"/>
        <v xml:space="preserve"> Orion bench</v>
      </c>
      <c r="AK302" s="1" t="str">
        <f t="shared" si="134"/>
        <v>w250 x d40 x h45 x sh45</v>
      </c>
      <c r="AL302" s="1" t="str">
        <f t="shared" si="135"/>
        <v>natural teak outdoor</v>
      </c>
      <c r="AM302" s="1" t="str">
        <f t="shared" si="136"/>
        <v>natural teak outdoor</v>
      </c>
      <c r="AN302" s="1" t="str">
        <f>SUBSTITUTE(AL302,"outdoor","")</f>
        <v xml:space="preserve">natural teak </v>
      </c>
      <c r="AO302" s="1" t="s">
        <v>59</v>
      </c>
      <c r="AQ302" s="1" t="str">
        <f t="shared" si="137"/>
        <v>A</v>
      </c>
      <c r="AR302" s="1" t="str">
        <f>VLOOKUP(TRIM(AI302),Sheet1!$D$3:$E$36,2,FALSE)</f>
        <v>11</v>
      </c>
      <c r="AS302" s="90" t="str">
        <f t="shared" si="138"/>
        <v>02</v>
      </c>
      <c r="AT302" s="1" t="str">
        <f t="shared" si="139"/>
        <v>02</v>
      </c>
      <c r="AU302" s="90" t="s">
        <v>55</v>
      </c>
      <c r="AV302" s="90"/>
      <c r="AW302" s="90"/>
      <c r="AX302" s="95" t="str">
        <f>AQ302&amp;AR302&amp;AS302&amp;"-"&amp;AT302&amp;AU302&amp;BA302</f>
        <v>A1102-0210OUT</v>
      </c>
      <c r="AY302" s="99" t="str">
        <f>AQ302&amp;AR302&amp;AS302&amp;"-"&amp;AT302&amp;BA302</f>
        <v>A1102-02OUT</v>
      </c>
      <c r="AZ302" s="90"/>
      <c r="BA302" s="1" t="str">
        <f t="shared" si="140"/>
        <v>OUT</v>
      </c>
      <c r="BC302" s="1" t="str">
        <f t="shared" si="156"/>
        <v/>
      </c>
      <c r="BD302" s="90">
        <f t="shared" si="157"/>
        <v>2</v>
      </c>
      <c r="BE302" s="1" t="str">
        <f t="shared" si="143"/>
        <v/>
      </c>
      <c r="BF302" s="1">
        <f t="shared" si="144"/>
        <v>2</v>
      </c>
      <c r="BI302"/>
      <c r="BJ302"/>
      <c r="BL302"/>
    </row>
    <row r="303" spans="1:64" ht="11.25" customHeight="1">
      <c r="A303" s="26" t="s">
        <v>1575</v>
      </c>
      <c r="B303" s="27" t="s">
        <v>1568</v>
      </c>
      <c r="C303" s="28">
        <v>2219.9899999999998</v>
      </c>
      <c r="D303" s="28">
        <f t="shared" si="131"/>
        <v>1109.9949999999999</v>
      </c>
      <c r="E303" s="22" t="s">
        <v>1507</v>
      </c>
      <c r="F303" s="22" t="s">
        <v>1576</v>
      </c>
      <c r="G303" s="22" t="s">
        <v>1570</v>
      </c>
      <c r="H303" s="22" t="s">
        <v>1577</v>
      </c>
      <c r="I303" s="23" t="s">
        <v>1101</v>
      </c>
      <c r="J303" s="22" t="s">
        <v>50</v>
      </c>
      <c r="K303" s="23">
        <v>300</v>
      </c>
      <c r="L303" s="23">
        <v>40</v>
      </c>
      <c r="M303" s="23">
        <v>45</v>
      </c>
      <c r="N303" s="3">
        <f t="shared" si="142"/>
        <v>0.54</v>
      </c>
      <c r="O303" s="4" t="e">
        <f>(C303-(C303*#REF!))-((C303-(C303*#REF!))*#REF!)</f>
        <v>#REF!</v>
      </c>
      <c r="P303" s="7"/>
      <c r="Q303" s="7"/>
      <c r="R303" s="5">
        <f t="shared" si="151"/>
        <v>0</v>
      </c>
      <c r="S303" s="4">
        <f t="shared" si="152"/>
        <v>0</v>
      </c>
      <c r="T303" s="13">
        <f t="shared" si="132"/>
        <v>1553.9929999999999</v>
      </c>
      <c r="U303" s="13">
        <f t="shared" si="141"/>
        <v>776.99649999999997</v>
      </c>
      <c r="V303" s="14">
        <f>U303/C303</f>
        <v>0.35000000000000003</v>
      </c>
      <c r="W303" s="14"/>
      <c r="X303" s="19">
        <f t="shared" si="153"/>
        <v>776.99649999999997</v>
      </c>
      <c r="Y303" s="19">
        <f t="shared" si="154"/>
        <v>1553.9929999999999</v>
      </c>
      <c r="Z303" s="15" t="e">
        <f t="shared" si="150"/>
        <v>#DIV/0!</v>
      </c>
      <c r="AA303" s="22" t="s">
        <v>1578</v>
      </c>
      <c r="AG303" s="94" t="s">
        <v>52</v>
      </c>
      <c r="AH303" s="89" t="str">
        <f>VLOOKUP(AG303,Sheet1!$B$3:$D$36,2,FALSE)</f>
        <v>Furniture</v>
      </c>
      <c r="AI303" s="89" t="s">
        <v>1514</v>
      </c>
      <c r="AJ303" s="1" t="str">
        <f t="shared" si="133"/>
        <v xml:space="preserve"> Orion bench</v>
      </c>
      <c r="AK303" s="1" t="str">
        <f t="shared" si="134"/>
        <v>w300 x d40 x h45 x sh45</v>
      </c>
      <c r="AL303" s="1" t="str">
        <f t="shared" si="135"/>
        <v>natural teak indoor</v>
      </c>
      <c r="AM303" s="1" t="str">
        <f t="shared" si="136"/>
        <v>natural teak indoor</v>
      </c>
      <c r="AN303" s="1" t="str">
        <f>SUBSTITUTE(AL303,"indoor","")</f>
        <v xml:space="preserve">natural teak </v>
      </c>
      <c r="AO303" s="1" t="s">
        <v>54</v>
      </c>
      <c r="AQ303" s="1" t="str">
        <f t="shared" si="137"/>
        <v>A</v>
      </c>
      <c r="AR303" s="1" t="str">
        <f>VLOOKUP(TRIM(AI303),Sheet1!$D$3:$E$36,2,FALSE)</f>
        <v>11</v>
      </c>
      <c r="AS303" s="90" t="str">
        <f t="shared" si="138"/>
        <v>03</v>
      </c>
      <c r="AT303" s="1" t="str">
        <f t="shared" si="139"/>
        <v>01</v>
      </c>
      <c r="AU303" s="90" t="s">
        <v>55</v>
      </c>
      <c r="AV303" s="90"/>
      <c r="AW303" s="90"/>
      <c r="AX303" s="95" t="str">
        <f>AQ303&amp;AR303&amp;AS303&amp;"-"&amp;AT303&amp;AU303&amp;BA303</f>
        <v>A1103-0110IND</v>
      </c>
      <c r="AY303" s="99" t="str">
        <f>AQ303&amp;AR303&amp;AS303&amp;"-"&amp;AT303&amp;BA303</f>
        <v>A1103-01IND</v>
      </c>
      <c r="AZ303" s="90"/>
      <c r="BA303" s="1" t="str">
        <f t="shared" si="140"/>
        <v>IND</v>
      </c>
      <c r="BC303" s="1" t="str">
        <f t="shared" si="156"/>
        <v/>
      </c>
      <c r="BD303" s="90">
        <f t="shared" si="157"/>
        <v>3</v>
      </c>
      <c r="BE303" s="1">
        <f t="shared" si="143"/>
        <v>1</v>
      </c>
      <c r="BF303" s="1">
        <f t="shared" si="144"/>
        <v>1</v>
      </c>
      <c r="BI303"/>
      <c r="BJ303"/>
      <c r="BL303"/>
    </row>
    <row r="304" spans="1:64" ht="11.25" customHeight="1">
      <c r="A304" s="26" t="s">
        <v>1579</v>
      </c>
      <c r="B304" s="27" t="s">
        <v>1568</v>
      </c>
      <c r="C304" s="28">
        <v>2429.9899999999998</v>
      </c>
      <c r="D304" s="28">
        <f t="shared" si="131"/>
        <v>1214.9949999999999</v>
      </c>
      <c r="E304" s="22" t="s">
        <v>1507</v>
      </c>
      <c r="F304" s="22" t="s">
        <v>1580</v>
      </c>
      <c r="G304" s="22" t="s">
        <v>1570</v>
      </c>
      <c r="H304" s="22" t="s">
        <v>1577</v>
      </c>
      <c r="I304" s="23" t="s">
        <v>1517</v>
      </c>
      <c r="J304" s="22" t="s">
        <v>50</v>
      </c>
      <c r="K304" s="23">
        <v>300</v>
      </c>
      <c r="L304" s="23">
        <v>40</v>
      </c>
      <c r="M304" s="23">
        <v>45</v>
      </c>
      <c r="N304" s="3">
        <f t="shared" si="142"/>
        <v>0.54</v>
      </c>
      <c r="O304" s="4" t="e">
        <f>(C304-(C304*#REF!))-((C304-(C304*#REF!))*#REF!)</f>
        <v>#REF!</v>
      </c>
      <c r="P304" s="7">
        <v>3034405.8361179102</v>
      </c>
      <c r="Q304" s="7">
        <v>0</v>
      </c>
      <c r="R304" s="5">
        <f t="shared" si="151"/>
        <v>3034405.8361179102</v>
      </c>
      <c r="S304" s="4">
        <f t="shared" si="152"/>
        <v>202.29372240786068</v>
      </c>
      <c r="T304" s="13">
        <f t="shared" si="132"/>
        <v>1700.9929999999999</v>
      </c>
      <c r="U304" s="13">
        <f t="shared" si="141"/>
        <v>850.49649999999997</v>
      </c>
      <c r="V304" s="14">
        <f>U304/C304</f>
        <v>0.35000000000000003</v>
      </c>
      <c r="W304" s="14"/>
      <c r="X304" s="19">
        <f t="shared" si="153"/>
        <v>850.49649999999997</v>
      </c>
      <c r="Y304" s="19">
        <f t="shared" si="154"/>
        <v>1700.9929999999999</v>
      </c>
      <c r="Z304" s="15">
        <f t="shared" si="150"/>
        <v>4.2042654110899464</v>
      </c>
      <c r="AA304" s="22" t="s">
        <v>1574</v>
      </c>
      <c r="AG304" s="94" t="s">
        <v>52</v>
      </c>
      <c r="AH304" s="89" t="str">
        <f>VLOOKUP(AG304,Sheet1!$B$3:$D$36,2,FALSE)</f>
        <v>Furniture</v>
      </c>
      <c r="AI304" s="89" t="s">
        <v>1514</v>
      </c>
      <c r="AJ304" s="1" t="str">
        <f t="shared" si="133"/>
        <v xml:space="preserve"> Orion bench</v>
      </c>
      <c r="AK304" s="1" t="str">
        <f t="shared" si="134"/>
        <v>w300 x d40 x h45 x sh45</v>
      </c>
      <c r="AL304" s="1" t="str">
        <f t="shared" si="135"/>
        <v>natural teak outdoor</v>
      </c>
      <c r="AM304" s="1" t="str">
        <f t="shared" si="136"/>
        <v>natural teak outdoor</v>
      </c>
      <c r="AN304" s="1" t="str">
        <f>SUBSTITUTE(AL304,"outdoor","")</f>
        <v xml:space="preserve">natural teak </v>
      </c>
      <c r="AO304" s="1" t="s">
        <v>59</v>
      </c>
      <c r="AQ304" s="1" t="str">
        <f t="shared" si="137"/>
        <v>A</v>
      </c>
      <c r="AR304" s="1" t="str">
        <f>VLOOKUP(TRIM(AI304),Sheet1!$D$3:$E$36,2,FALSE)</f>
        <v>11</v>
      </c>
      <c r="AS304" s="90" t="str">
        <f t="shared" si="138"/>
        <v>04</v>
      </c>
      <c r="AT304" s="1" t="str">
        <f t="shared" si="139"/>
        <v>02</v>
      </c>
      <c r="AU304" s="90" t="s">
        <v>55</v>
      </c>
      <c r="AV304" s="90"/>
      <c r="AW304" s="90"/>
      <c r="AX304" s="95" t="str">
        <f>AQ304&amp;AR304&amp;AS304&amp;"-"&amp;AT304&amp;AU304&amp;BA304</f>
        <v>A1104-0210OUT</v>
      </c>
      <c r="AY304" s="99" t="str">
        <f>AQ304&amp;AR304&amp;AS304&amp;"-"&amp;AT304&amp;BA304</f>
        <v>A1104-02OUT</v>
      </c>
      <c r="AZ304" s="90"/>
      <c r="BA304" s="1" t="str">
        <f t="shared" si="140"/>
        <v>OUT</v>
      </c>
      <c r="BC304" s="1" t="str">
        <f t="shared" si="156"/>
        <v/>
      </c>
      <c r="BD304" s="90">
        <f t="shared" si="157"/>
        <v>4</v>
      </c>
      <c r="BE304" s="1" t="str">
        <f t="shared" si="143"/>
        <v/>
      </c>
      <c r="BF304" s="1">
        <f t="shared" si="144"/>
        <v>2</v>
      </c>
      <c r="BI304"/>
      <c r="BJ304"/>
      <c r="BL304"/>
    </row>
    <row r="305" spans="1:64" ht="11.25" customHeight="1">
      <c r="A305" s="26" t="s">
        <v>1581</v>
      </c>
      <c r="B305" s="27" t="s">
        <v>1582</v>
      </c>
      <c r="C305" s="28">
        <v>1669.99</v>
      </c>
      <c r="D305" s="28">
        <f t="shared" si="131"/>
        <v>834.995</v>
      </c>
      <c r="E305" s="22" t="s">
        <v>1507</v>
      </c>
      <c r="F305" s="22" t="s">
        <v>1583</v>
      </c>
      <c r="G305" s="22" t="s">
        <v>1584</v>
      </c>
      <c r="H305" s="22" t="s">
        <v>1585</v>
      </c>
      <c r="I305" s="23" t="s">
        <v>1101</v>
      </c>
      <c r="J305" s="22" t="s">
        <v>50</v>
      </c>
      <c r="K305" s="23">
        <v>280</v>
      </c>
      <c r="L305" s="23">
        <v>40</v>
      </c>
      <c r="M305" s="23">
        <v>45</v>
      </c>
      <c r="N305" s="3">
        <f t="shared" si="142"/>
        <v>0.504</v>
      </c>
      <c r="O305" s="4" t="e">
        <f>(C305-(C305*#REF!))-((C305-(C305*#REF!))*#REF!)</f>
        <v>#REF!</v>
      </c>
      <c r="P305" s="7"/>
      <c r="Q305" s="7"/>
      <c r="R305" s="5">
        <f t="shared" si="151"/>
        <v>0</v>
      </c>
      <c r="S305" s="4">
        <f t="shared" si="152"/>
        <v>0</v>
      </c>
      <c r="T305" s="13">
        <f t="shared" si="132"/>
        <v>1168.9929999999999</v>
      </c>
      <c r="U305" s="13">
        <f t="shared" si="141"/>
        <v>584.49649999999997</v>
      </c>
      <c r="V305" s="14">
        <f>U305/C305</f>
        <v>0.35</v>
      </c>
      <c r="W305" s="14"/>
      <c r="X305" s="19">
        <f t="shared" si="153"/>
        <v>584.49649999999997</v>
      </c>
      <c r="Y305" s="19">
        <f t="shared" si="154"/>
        <v>1168.9929999999999</v>
      </c>
      <c r="Z305" s="15" t="e">
        <f t="shared" si="150"/>
        <v>#DIV/0!</v>
      </c>
      <c r="AA305" s="22" t="s">
        <v>1586</v>
      </c>
      <c r="AG305" s="94" t="s">
        <v>52</v>
      </c>
      <c r="AH305" s="89" t="str">
        <f>VLOOKUP(AG305,Sheet1!$B$3:$D$36,2,FALSE)</f>
        <v>Furniture</v>
      </c>
      <c r="AI305" s="89" t="s">
        <v>1514</v>
      </c>
      <c r="AJ305" s="1" t="str">
        <f t="shared" si="133"/>
        <v xml:space="preserve"> Solstice bench</v>
      </c>
      <c r="AK305" s="1" t="str">
        <f t="shared" si="134"/>
        <v>w280 x d40 x h45 x sh45</v>
      </c>
      <c r="AL305" s="1" t="str">
        <f t="shared" si="135"/>
        <v>natural teak indoor</v>
      </c>
      <c r="AM305" s="1" t="str">
        <f t="shared" si="136"/>
        <v>natural teak indoor</v>
      </c>
      <c r="AN305" s="1" t="str">
        <f>SUBSTITUTE(AL305,"indoor","")</f>
        <v xml:space="preserve">natural teak </v>
      </c>
      <c r="AO305" s="1" t="s">
        <v>54</v>
      </c>
      <c r="AQ305" s="1" t="str">
        <f t="shared" si="137"/>
        <v>A</v>
      </c>
      <c r="AR305" s="1" t="str">
        <f>VLOOKUP(TRIM(AI305),Sheet1!$D$3:$E$36,2,FALSE)</f>
        <v>11</v>
      </c>
      <c r="AS305" s="90" t="str">
        <f t="shared" si="138"/>
        <v>01</v>
      </c>
      <c r="AT305" s="1" t="str">
        <f t="shared" si="139"/>
        <v>01</v>
      </c>
      <c r="AU305" s="90" t="s">
        <v>55</v>
      </c>
      <c r="AV305" s="90"/>
      <c r="AW305" s="90"/>
      <c r="AX305" s="95" t="str">
        <f>AQ305&amp;AR305&amp;AS305&amp;"-"&amp;AT305&amp;AU305&amp;BA305</f>
        <v>A1101-0110IND</v>
      </c>
      <c r="AY305" s="99" t="str">
        <f>AQ305&amp;AR305&amp;AS305&amp;"-"&amp;AT305&amp;BA305</f>
        <v>A1101-01IND</v>
      </c>
      <c r="AZ305" s="90"/>
      <c r="BA305" s="1" t="str">
        <f t="shared" si="140"/>
        <v>IND</v>
      </c>
      <c r="BC305" s="1">
        <f t="shared" si="156"/>
        <v>1</v>
      </c>
      <c r="BD305" s="90">
        <f t="shared" si="157"/>
        <v>1</v>
      </c>
      <c r="BE305" s="1">
        <f t="shared" si="143"/>
        <v>1</v>
      </c>
      <c r="BF305" s="1">
        <f t="shared" si="144"/>
        <v>1</v>
      </c>
      <c r="BI305"/>
      <c r="BJ305"/>
      <c r="BL305"/>
    </row>
    <row r="306" spans="1:64" ht="11.25" customHeight="1">
      <c r="A306" s="26" t="s">
        <v>1587</v>
      </c>
      <c r="B306" s="27" t="s">
        <v>1582</v>
      </c>
      <c r="C306" s="28">
        <v>1739.99</v>
      </c>
      <c r="D306" s="28">
        <f t="shared" si="131"/>
        <v>869.995</v>
      </c>
      <c r="E306" s="22" t="s">
        <v>1507</v>
      </c>
      <c r="F306" s="22" t="s">
        <v>1588</v>
      </c>
      <c r="G306" s="22" t="s">
        <v>1584</v>
      </c>
      <c r="H306" s="22" t="s">
        <v>1585</v>
      </c>
      <c r="I306" s="23" t="s">
        <v>1517</v>
      </c>
      <c r="J306" s="22" t="s">
        <v>50</v>
      </c>
      <c r="K306" s="23">
        <v>280</v>
      </c>
      <c r="L306" s="23">
        <v>40</v>
      </c>
      <c r="M306" s="23">
        <v>45</v>
      </c>
      <c r="N306" s="3">
        <f t="shared" si="142"/>
        <v>0.504</v>
      </c>
      <c r="O306" s="4" t="e">
        <f>(C306-(C306*#REF!))-((C306-(C306*#REF!))*#REF!)</f>
        <v>#REF!</v>
      </c>
      <c r="P306" s="7"/>
      <c r="Q306" s="7"/>
      <c r="R306" s="5">
        <f t="shared" si="151"/>
        <v>0</v>
      </c>
      <c r="S306" s="4">
        <f t="shared" si="152"/>
        <v>0</v>
      </c>
      <c r="T306" s="13">
        <f t="shared" si="132"/>
        <v>1217.9929999999999</v>
      </c>
      <c r="U306" s="13">
        <f t="shared" si="141"/>
        <v>608.99649999999997</v>
      </c>
      <c r="V306" s="14">
        <f>U306/C306</f>
        <v>0.35</v>
      </c>
      <c r="W306" s="14"/>
      <c r="X306" s="19">
        <f t="shared" si="153"/>
        <v>608.99649999999997</v>
      </c>
      <c r="Y306" s="19">
        <f t="shared" si="154"/>
        <v>1217.9929999999999</v>
      </c>
      <c r="Z306" s="15" t="e">
        <f t="shared" si="150"/>
        <v>#DIV/0!</v>
      </c>
      <c r="AA306" s="22" t="s">
        <v>1589</v>
      </c>
      <c r="AG306" s="94" t="s">
        <v>52</v>
      </c>
      <c r="AH306" s="89" t="str">
        <f>VLOOKUP(AG306,Sheet1!$B$3:$D$36,2,FALSE)</f>
        <v>Furniture</v>
      </c>
      <c r="AI306" s="89" t="s">
        <v>1514</v>
      </c>
      <c r="AJ306" s="1" t="str">
        <f t="shared" si="133"/>
        <v xml:space="preserve"> Solstice bench</v>
      </c>
      <c r="AK306" s="1" t="str">
        <f t="shared" si="134"/>
        <v>w280 x d40 x h45 x sh45</v>
      </c>
      <c r="AL306" s="1" t="str">
        <f t="shared" si="135"/>
        <v>natural teak outdoor</v>
      </c>
      <c r="AM306" s="1" t="str">
        <f t="shared" si="136"/>
        <v>natural teak outdoor</v>
      </c>
      <c r="AN306" s="1" t="str">
        <f>SUBSTITUTE(AL306,"outdoor","")</f>
        <v xml:space="preserve">natural teak </v>
      </c>
      <c r="AO306" s="1" t="s">
        <v>59</v>
      </c>
      <c r="AQ306" s="1" t="str">
        <f t="shared" si="137"/>
        <v>A</v>
      </c>
      <c r="AR306" s="1" t="str">
        <f>VLOOKUP(TRIM(AI306),Sheet1!$D$3:$E$36,2,FALSE)</f>
        <v>11</v>
      </c>
      <c r="AS306" s="90" t="str">
        <f t="shared" si="138"/>
        <v>02</v>
      </c>
      <c r="AT306" s="1" t="str">
        <f t="shared" si="139"/>
        <v>02</v>
      </c>
      <c r="AU306" s="90" t="s">
        <v>55</v>
      </c>
      <c r="AV306" s="90"/>
      <c r="AW306" s="90"/>
      <c r="AX306" s="95" t="str">
        <f>AQ306&amp;AR306&amp;AS306&amp;"-"&amp;AT306&amp;AU306&amp;BA306</f>
        <v>A1102-0210OUT</v>
      </c>
      <c r="AY306" s="99" t="str">
        <f>AQ306&amp;AR306&amp;AS306&amp;"-"&amp;AT306&amp;BA306</f>
        <v>A1102-02OUT</v>
      </c>
      <c r="AZ306" s="90"/>
      <c r="BA306" s="1" t="str">
        <f t="shared" si="140"/>
        <v>OUT</v>
      </c>
      <c r="BC306" s="1" t="str">
        <f t="shared" si="156"/>
        <v/>
      </c>
      <c r="BD306" s="90">
        <f t="shared" si="157"/>
        <v>2</v>
      </c>
      <c r="BE306" s="1" t="str">
        <f t="shared" si="143"/>
        <v/>
      </c>
      <c r="BF306" s="1">
        <f t="shared" si="144"/>
        <v>2</v>
      </c>
      <c r="BI306"/>
      <c r="BJ306"/>
      <c r="BL306"/>
    </row>
    <row r="307" spans="1:64" ht="11.25" customHeight="1">
      <c r="A307" s="26" t="s">
        <v>1590</v>
      </c>
      <c r="B307" s="27" t="s">
        <v>1582</v>
      </c>
      <c r="C307" s="28">
        <v>2049.9899999999998</v>
      </c>
      <c r="D307" s="28">
        <f t="shared" si="131"/>
        <v>1024.9949999999999</v>
      </c>
      <c r="E307" s="22" t="s">
        <v>1507</v>
      </c>
      <c r="F307" s="22" t="s">
        <v>1591</v>
      </c>
      <c r="G307" s="22" t="s">
        <v>1584</v>
      </c>
      <c r="H307" s="22" t="s">
        <v>1592</v>
      </c>
      <c r="I307" s="23" t="s">
        <v>1101</v>
      </c>
      <c r="J307" s="22" t="s">
        <v>50</v>
      </c>
      <c r="K307" s="23">
        <v>320</v>
      </c>
      <c r="L307" s="23">
        <v>40</v>
      </c>
      <c r="M307" s="23">
        <v>45</v>
      </c>
      <c r="N307" s="3">
        <f t="shared" si="142"/>
        <v>0.57599999999999996</v>
      </c>
      <c r="O307" s="4" t="e">
        <f>(C307-(C307*#REF!))-((C307-(C307*#REF!))*#REF!)</f>
        <v>#REF!</v>
      </c>
      <c r="P307" s="7"/>
      <c r="Q307" s="7"/>
      <c r="R307" s="5">
        <f t="shared" si="151"/>
        <v>0</v>
      </c>
      <c r="S307" s="4">
        <f t="shared" si="152"/>
        <v>0</v>
      </c>
      <c r="T307" s="13">
        <f t="shared" si="132"/>
        <v>1434.9929999999999</v>
      </c>
      <c r="U307" s="13">
        <f t="shared" si="141"/>
        <v>717.49649999999997</v>
      </c>
      <c r="V307" s="14">
        <f>U307/C307</f>
        <v>0.35000000000000003</v>
      </c>
      <c r="W307" s="14"/>
      <c r="X307" s="19">
        <f t="shared" si="153"/>
        <v>717.49649999999997</v>
      </c>
      <c r="Y307" s="19">
        <f t="shared" si="154"/>
        <v>1434.9929999999999</v>
      </c>
      <c r="Z307" s="15" t="e">
        <f t="shared" si="150"/>
        <v>#DIV/0!</v>
      </c>
      <c r="AA307" s="22" t="s">
        <v>1586</v>
      </c>
      <c r="AG307" s="94" t="s">
        <v>52</v>
      </c>
      <c r="AH307" s="89" t="str">
        <f>VLOOKUP(AG307,Sheet1!$B$3:$D$36,2,FALSE)</f>
        <v>Furniture</v>
      </c>
      <c r="AI307" s="89" t="s">
        <v>1514</v>
      </c>
      <c r="AJ307" s="1" t="str">
        <f t="shared" si="133"/>
        <v xml:space="preserve"> Solstice bench</v>
      </c>
      <c r="AK307" s="1" t="str">
        <f t="shared" si="134"/>
        <v>w320 x d40 x h45 x sh45</v>
      </c>
      <c r="AL307" s="1" t="str">
        <f t="shared" si="135"/>
        <v>natural teak indoor</v>
      </c>
      <c r="AM307" s="1" t="str">
        <f t="shared" si="136"/>
        <v>natural teak indoor</v>
      </c>
      <c r="AN307" s="1" t="str">
        <f>SUBSTITUTE(AL307,"indoor","")</f>
        <v xml:space="preserve">natural teak </v>
      </c>
      <c r="AO307" s="1" t="s">
        <v>54</v>
      </c>
      <c r="AQ307" s="1" t="str">
        <f t="shared" si="137"/>
        <v>A</v>
      </c>
      <c r="AR307" s="1" t="str">
        <f>VLOOKUP(TRIM(AI307),Sheet1!$D$3:$E$36,2,FALSE)</f>
        <v>11</v>
      </c>
      <c r="AS307" s="90" t="str">
        <f t="shared" si="138"/>
        <v>03</v>
      </c>
      <c r="AT307" s="1" t="str">
        <f t="shared" si="139"/>
        <v>01</v>
      </c>
      <c r="AU307" s="90" t="s">
        <v>55</v>
      </c>
      <c r="AV307" s="90"/>
      <c r="AW307" s="90"/>
      <c r="AX307" s="95" t="str">
        <f>AQ307&amp;AR307&amp;AS307&amp;"-"&amp;AT307&amp;AU307&amp;BA307</f>
        <v>A1103-0110IND</v>
      </c>
      <c r="AY307" s="99" t="str">
        <f>AQ307&amp;AR307&amp;AS307&amp;"-"&amp;AT307&amp;BA307</f>
        <v>A1103-01IND</v>
      </c>
      <c r="AZ307" s="90"/>
      <c r="BA307" s="1" t="str">
        <f t="shared" si="140"/>
        <v>IND</v>
      </c>
      <c r="BC307" s="1" t="str">
        <f t="shared" si="156"/>
        <v/>
      </c>
      <c r="BD307" s="90">
        <f t="shared" si="157"/>
        <v>3</v>
      </c>
      <c r="BE307" s="1">
        <f t="shared" si="143"/>
        <v>1</v>
      </c>
      <c r="BF307" s="1">
        <f t="shared" si="144"/>
        <v>1</v>
      </c>
      <c r="BI307"/>
      <c r="BJ307"/>
      <c r="BL307"/>
    </row>
    <row r="308" spans="1:64" ht="11.25" customHeight="1">
      <c r="A308" s="26" t="s">
        <v>1593</v>
      </c>
      <c r="B308" s="27" t="s">
        <v>1582</v>
      </c>
      <c r="C308" s="28">
        <v>2129.9899999999998</v>
      </c>
      <c r="D308" s="28">
        <f t="shared" si="131"/>
        <v>1064.9949999999999</v>
      </c>
      <c r="E308" s="22" t="s">
        <v>1507</v>
      </c>
      <c r="F308" s="22" t="s">
        <v>1594</v>
      </c>
      <c r="G308" s="22" t="s">
        <v>1584</v>
      </c>
      <c r="H308" s="22" t="s">
        <v>1592</v>
      </c>
      <c r="I308" s="23" t="s">
        <v>1517</v>
      </c>
      <c r="J308" s="22" t="s">
        <v>50</v>
      </c>
      <c r="K308" s="23">
        <v>320</v>
      </c>
      <c r="L308" s="23">
        <v>40</v>
      </c>
      <c r="M308" s="23">
        <v>45</v>
      </c>
      <c r="N308" s="3">
        <f t="shared" si="142"/>
        <v>0.57599999999999996</v>
      </c>
      <c r="O308" s="4" t="e">
        <f>(C308-(C308*#REF!))-((C308-(C308*#REF!))*#REF!)</f>
        <v>#REF!</v>
      </c>
      <c r="P308" s="7"/>
      <c r="Q308" s="7"/>
      <c r="R308" s="5">
        <f t="shared" si="151"/>
        <v>0</v>
      </c>
      <c r="S308" s="4">
        <f t="shared" si="152"/>
        <v>0</v>
      </c>
      <c r="T308" s="13">
        <f t="shared" si="132"/>
        <v>1490.9929999999999</v>
      </c>
      <c r="U308" s="13">
        <f t="shared" si="141"/>
        <v>745.49649999999997</v>
      </c>
      <c r="V308" s="14">
        <f>U308/C308</f>
        <v>0.35000000000000003</v>
      </c>
      <c r="W308" s="14"/>
      <c r="X308" s="19">
        <f t="shared" si="153"/>
        <v>745.49649999999997</v>
      </c>
      <c r="Y308" s="19">
        <f t="shared" si="154"/>
        <v>1490.9929999999999</v>
      </c>
      <c r="Z308" s="15" t="e">
        <f t="shared" si="150"/>
        <v>#DIV/0!</v>
      </c>
      <c r="AA308" s="22" t="s">
        <v>1586</v>
      </c>
      <c r="AG308" s="94" t="s">
        <v>52</v>
      </c>
      <c r="AH308" s="89" t="str">
        <f>VLOOKUP(AG308,Sheet1!$B$3:$D$36,2,FALSE)</f>
        <v>Furniture</v>
      </c>
      <c r="AI308" s="89" t="s">
        <v>1514</v>
      </c>
      <c r="AJ308" s="1" t="str">
        <f t="shared" si="133"/>
        <v xml:space="preserve"> Solstice bench</v>
      </c>
      <c r="AK308" s="1" t="str">
        <f t="shared" si="134"/>
        <v>w320 x d40 x h45 x sh45</v>
      </c>
      <c r="AL308" s="1" t="str">
        <f t="shared" si="135"/>
        <v>natural teak outdoor</v>
      </c>
      <c r="AM308" s="1" t="str">
        <f t="shared" si="136"/>
        <v>natural teak outdoor</v>
      </c>
      <c r="AN308" s="1" t="str">
        <f>SUBSTITUTE(AL308,"outdoor","")</f>
        <v xml:space="preserve">natural teak </v>
      </c>
      <c r="AO308" s="1" t="s">
        <v>59</v>
      </c>
      <c r="AQ308" s="1" t="str">
        <f t="shared" si="137"/>
        <v>A</v>
      </c>
      <c r="AR308" s="1" t="str">
        <f>VLOOKUP(TRIM(AI308),Sheet1!$D$3:$E$36,2,FALSE)</f>
        <v>11</v>
      </c>
      <c r="AS308" s="90" t="str">
        <f t="shared" si="138"/>
        <v>04</v>
      </c>
      <c r="AT308" s="1" t="str">
        <f t="shared" si="139"/>
        <v>02</v>
      </c>
      <c r="AU308" s="90" t="s">
        <v>55</v>
      </c>
      <c r="AV308" s="90"/>
      <c r="AW308" s="90"/>
      <c r="AX308" s="95" t="str">
        <f>AQ308&amp;AR308&amp;AS308&amp;"-"&amp;AT308&amp;AU308&amp;BA308</f>
        <v>A1104-0210OUT</v>
      </c>
      <c r="AY308" s="99" t="str">
        <f>AQ308&amp;AR308&amp;AS308&amp;"-"&amp;AT308&amp;BA308</f>
        <v>A1104-02OUT</v>
      </c>
      <c r="AZ308" s="90"/>
      <c r="BA308" s="1" t="str">
        <f t="shared" si="140"/>
        <v>OUT</v>
      </c>
      <c r="BC308" s="1" t="str">
        <f t="shared" si="156"/>
        <v/>
      </c>
      <c r="BD308" s="90">
        <f t="shared" si="157"/>
        <v>4</v>
      </c>
      <c r="BE308" s="1" t="str">
        <f t="shared" si="143"/>
        <v/>
      </c>
      <c r="BF308" s="1">
        <f t="shared" si="144"/>
        <v>2</v>
      </c>
      <c r="BI308"/>
      <c r="BJ308"/>
      <c r="BL308"/>
    </row>
    <row r="309" spans="1:64" ht="11.25" customHeight="1">
      <c r="A309" s="26" t="s">
        <v>1595</v>
      </c>
      <c r="B309" s="27" t="s">
        <v>1582</v>
      </c>
      <c r="C309" s="28">
        <v>4049.99</v>
      </c>
      <c r="D309" s="28">
        <f t="shared" si="131"/>
        <v>2024.9949999999999</v>
      </c>
      <c r="E309" s="22" t="s">
        <v>1507</v>
      </c>
      <c r="F309" s="22" t="s">
        <v>1596</v>
      </c>
      <c r="G309" s="22" t="s">
        <v>1584</v>
      </c>
      <c r="H309" s="22" t="s">
        <v>1597</v>
      </c>
      <c r="I309" s="23" t="s">
        <v>1101</v>
      </c>
      <c r="J309" s="22" t="s">
        <v>50</v>
      </c>
      <c r="K309" s="23">
        <v>400</v>
      </c>
      <c r="L309" s="23">
        <v>40</v>
      </c>
      <c r="M309" s="23">
        <v>45</v>
      </c>
      <c r="N309" s="3">
        <f t="shared" si="142"/>
        <v>0.72</v>
      </c>
      <c r="O309" s="4" t="e">
        <f>(C309-(C309*#REF!))-((C309-(C309*#REF!))*#REF!)</f>
        <v>#REF!</v>
      </c>
      <c r="P309" s="7"/>
      <c r="Q309" s="7"/>
      <c r="R309" s="5">
        <f t="shared" si="151"/>
        <v>0</v>
      </c>
      <c r="S309" s="4">
        <f t="shared" si="152"/>
        <v>0</v>
      </c>
      <c r="T309" s="13">
        <f t="shared" si="132"/>
        <v>2834.9929999999999</v>
      </c>
      <c r="U309" s="13">
        <f t="shared" si="141"/>
        <v>1417.4965</v>
      </c>
      <c r="V309" s="14">
        <f>U309/C309</f>
        <v>0.35000000000000003</v>
      </c>
      <c r="W309" s="14"/>
      <c r="X309" s="19">
        <f t="shared" si="153"/>
        <v>1417.4965</v>
      </c>
      <c r="Y309" s="19">
        <f t="shared" si="154"/>
        <v>2834.9929999999999</v>
      </c>
      <c r="Z309" s="15" t="e">
        <f t="shared" si="150"/>
        <v>#DIV/0!</v>
      </c>
      <c r="AA309" s="22" t="s">
        <v>1586</v>
      </c>
      <c r="AG309" s="94" t="s">
        <v>52</v>
      </c>
      <c r="AH309" s="89" t="str">
        <f>VLOOKUP(AG309,Sheet1!$B$3:$D$36,2,FALSE)</f>
        <v>Furniture</v>
      </c>
      <c r="AI309" s="89" t="s">
        <v>1514</v>
      </c>
      <c r="AJ309" s="1" t="str">
        <f t="shared" si="133"/>
        <v xml:space="preserve"> Solstice bench</v>
      </c>
      <c r="AK309" s="1" t="str">
        <f t="shared" si="134"/>
        <v>w400 x d40 x h45 x sh45</v>
      </c>
      <c r="AL309" s="1" t="str">
        <f t="shared" si="135"/>
        <v>natural teak indoor</v>
      </c>
      <c r="AM309" s="1" t="str">
        <f t="shared" si="136"/>
        <v>natural teak indoor</v>
      </c>
      <c r="AN309" s="1" t="str">
        <f>SUBSTITUTE(AL309,"indoor","")</f>
        <v xml:space="preserve">natural teak </v>
      </c>
      <c r="AO309" s="1" t="s">
        <v>54</v>
      </c>
      <c r="AQ309" s="1" t="str">
        <f t="shared" si="137"/>
        <v>A</v>
      </c>
      <c r="AR309" s="1" t="str">
        <f>VLOOKUP(TRIM(AI309),Sheet1!$D$3:$E$36,2,FALSE)</f>
        <v>11</v>
      </c>
      <c r="AS309" s="90" t="str">
        <f t="shared" si="138"/>
        <v>05</v>
      </c>
      <c r="AT309" s="1" t="str">
        <f t="shared" si="139"/>
        <v>01</v>
      </c>
      <c r="AU309" s="90" t="s">
        <v>55</v>
      </c>
      <c r="AV309" s="90"/>
      <c r="AW309" s="90"/>
      <c r="AX309" s="95" t="str">
        <f>AQ309&amp;AR309&amp;AS309&amp;"-"&amp;AT309&amp;AU309&amp;BA309</f>
        <v>A1105-0110IND</v>
      </c>
      <c r="AY309" s="99" t="str">
        <f>AQ309&amp;AR309&amp;AS309&amp;"-"&amp;AT309&amp;BA309</f>
        <v>A1105-01IND</v>
      </c>
      <c r="AZ309" s="90"/>
      <c r="BA309" s="1" t="str">
        <f t="shared" si="140"/>
        <v>IND</v>
      </c>
      <c r="BC309" s="1" t="str">
        <f t="shared" si="156"/>
        <v/>
      </c>
      <c r="BD309" s="90">
        <f t="shared" si="157"/>
        <v>5</v>
      </c>
      <c r="BE309" s="1">
        <f t="shared" si="143"/>
        <v>1</v>
      </c>
      <c r="BF309" s="1">
        <f t="shared" si="144"/>
        <v>1</v>
      </c>
      <c r="BI309"/>
      <c r="BJ309"/>
      <c r="BL309"/>
    </row>
    <row r="310" spans="1:64" ht="11.25" customHeight="1">
      <c r="A310" s="26" t="s">
        <v>1598</v>
      </c>
      <c r="B310" s="27" t="s">
        <v>1582</v>
      </c>
      <c r="C310" s="28">
        <v>4259.99</v>
      </c>
      <c r="D310" s="28">
        <f t="shared" si="131"/>
        <v>2129.9949999999999</v>
      </c>
      <c r="E310" s="22" t="s">
        <v>1507</v>
      </c>
      <c r="F310" s="22" t="s">
        <v>1599</v>
      </c>
      <c r="G310" s="22" t="s">
        <v>1584</v>
      </c>
      <c r="H310" s="22" t="s">
        <v>1597</v>
      </c>
      <c r="I310" s="23" t="s">
        <v>1517</v>
      </c>
      <c r="J310" s="22" t="s">
        <v>50</v>
      </c>
      <c r="K310" s="23">
        <v>400</v>
      </c>
      <c r="L310" s="23">
        <v>40</v>
      </c>
      <c r="M310" s="23">
        <v>45</v>
      </c>
      <c r="N310" s="3">
        <f t="shared" si="142"/>
        <v>0.72</v>
      </c>
      <c r="O310" s="4" t="e">
        <f>(C310-(C310*#REF!))-((C310-(C310*#REF!))*#REF!)</f>
        <v>#REF!</v>
      </c>
      <c r="P310" s="7"/>
      <c r="Q310" s="7"/>
      <c r="R310" s="5">
        <f t="shared" si="151"/>
        <v>0</v>
      </c>
      <c r="S310" s="4">
        <f t="shared" si="152"/>
        <v>0</v>
      </c>
      <c r="T310" s="13">
        <f t="shared" si="132"/>
        <v>2981.9929999999999</v>
      </c>
      <c r="U310" s="13">
        <f t="shared" si="141"/>
        <v>1490.9965</v>
      </c>
      <c r="V310" s="14">
        <f>U310/C310</f>
        <v>0.35000000000000003</v>
      </c>
      <c r="W310" s="14"/>
      <c r="X310" s="19">
        <f t="shared" si="153"/>
        <v>1490.9965</v>
      </c>
      <c r="Y310" s="19">
        <f t="shared" si="154"/>
        <v>2981.9929999999999</v>
      </c>
      <c r="Z310" s="15" t="e">
        <f t="shared" si="150"/>
        <v>#DIV/0!</v>
      </c>
      <c r="AA310" s="22" t="s">
        <v>1600</v>
      </c>
      <c r="AG310" s="94" t="s">
        <v>52</v>
      </c>
      <c r="AH310" s="89" t="str">
        <f>VLOOKUP(AG310,Sheet1!$B$3:$D$36,2,FALSE)</f>
        <v>Furniture</v>
      </c>
      <c r="AI310" s="89" t="s">
        <v>1514</v>
      </c>
      <c r="AJ310" s="1" t="str">
        <f t="shared" si="133"/>
        <v xml:space="preserve"> Solstice bench</v>
      </c>
      <c r="AK310" s="1" t="str">
        <f t="shared" si="134"/>
        <v>w400 x d40 x h45 x sh45</v>
      </c>
      <c r="AL310" s="1" t="str">
        <f t="shared" si="135"/>
        <v>natural teak outdoor</v>
      </c>
      <c r="AM310" s="1" t="str">
        <f t="shared" si="136"/>
        <v>natural teak outdoor</v>
      </c>
      <c r="AN310" s="1" t="str">
        <f>SUBSTITUTE(AL310,"outdoor","")</f>
        <v xml:space="preserve">natural teak </v>
      </c>
      <c r="AO310" s="1" t="s">
        <v>59</v>
      </c>
      <c r="AQ310" s="1" t="str">
        <f t="shared" si="137"/>
        <v>A</v>
      </c>
      <c r="AR310" s="1" t="str">
        <f>VLOOKUP(TRIM(AI310),Sheet1!$D$3:$E$36,2,FALSE)</f>
        <v>11</v>
      </c>
      <c r="AS310" s="90" t="str">
        <f t="shared" si="138"/>
        <v>06</v>
      </c>
      <c r="AT310" s="1" t="str">
        <f t="shared" si="139"/>
        <v>02</v>
      </c>
      <c r="AU310" s="90" t="s">
        <v>55</v>
      </c>
      <c r="AV310" s="90"/>
      <c r="AW310" s="90"/>
      <c r="AX310" s="95" t="str">
        <f>AQ310&amp;AR310&amp;AS310&amp;"-"&amp;AT310&amp;AU310&amp;BA310</f>
        <v>A1106-0210OUT</v>
      </c>
      <c r="AY310" s="99" t="str">
        <f>AQ310&amp;AR310&amp;AS310&amp;"-"&amp;AT310&amp;BA310</f>
        <v>A1106-02OUT</v>
      </c>
      <c r="AZ310" s="90"/>
      <c r="BA310" s="1" t="str">
        <f t="shared" si="140"/>
        <v>OUT</v>
      </c>
      <c r="BC310" s="1" t="str">
        <f t="shared" si="156"/>
        <v/>
      </c>
      <c r="BD310" s="90">
        <f t="shared" si="157"/>
        <v>6</v>
      </c>
      <c r="BE310" s="1" t="str">
        <f t="shared" si="143"/>
        <v/>
      </c>
      <c r="BF310" s="1">
        <f t="shared" si="144"/>
        <v>2</v>
      </c>
      <c r="BI310"/>
      <c r="BJ310"/>
      <c r="BL310"/>
    </row>
    <row r="311" spans="1:64" ht="11.25" customHeight="1">
      <c r="A311" s="26" t="s">
        <v>1601</v>
      </c>
      <c r="B311" s="27" t="s">
        <v>1602</v>
      </c>
      <c r="C311" s="28">
        <v>1979.99</v>
      </c>
      <c r="D311" s="28">
        <f t="shared" si="131"/>
        <v>989.995</v>
      </c>
      <c r="E311" s="22" t="s">
        <v>1507</v>
      </c>
      <c r="F311" s="22" t="s">
        <v>1603</v>
      </c>
      <c r="G311" s="22" t="s">
        <v>1604</v>
      </c>
      <c r="H311" s="22" t="s">
        <v>1605</v>
      </c>
      <c r="I311" s="23" t="s">
        <v>1101</v>
      </c>
      <c r="J311" s="22" t="s">
        <v>50</v>
      </c>
      <c r="K311" s="23">
        <v>260</v>
      </c>
      <c r="L311" s="23">
        <v>40</v>
      </c>
      <c r="M311" s="23">
        <v>45</v>
      </c>
      <c r="N311" s="3">
        <f t="shared" si="142"/>
        <v>0.46800000000000003</v>
      </c>
      <c r="O311" s="4" t="e">
        <f>(C311-(C311*#REF!))-((C311-(C311*#REF!))*#REF!)</f>
        <v>#REF!</v>
      </c>
      <c r="P311" s="7"/>
      <c r="Q311" s="7"/>
      <c r="R311" s="5">
        <f t="shared" si="151"/>
        <v>0</v>
      </c>
      <c r="S311" s="4">
        <f t="shared" si="152"/>
        <v>0</v>
      </c>
      <c r="T311" s="13">
        <f t="shared" si="132"/>
        <v>1385.9929999999999</v>
      </c>
      <c r="U311" s="13">
        <f t="shared" si="141"/>
        <v>692.99649999999997</v>
      </c>
      <c r="V311" s="14">
        <f>U311/C311</f>
        <v>0.35</v>
      </c>
      <c r="W311" s="14"/>
      <c r="X311" s="19">
        <f t="shared" si="153"/>
        <v>692.99649999999997</v>
      </c>
      <c r="Y311" s="19">
        <f t="shared" si="154"/>
        <v>1385.9929999999999</v>
      </c>
      <c r="Z311" s="15" t="e">
        <f t="shared" si="150"/>
        <v>#DIV/0!</v>
      </c>
      <c r="AA311" s="22" t="s">
        <v>1606</v>
      </c>
      <c r="AG311" s="94" t="s">
        <v>52</v>
      </c>
      <c r="AH311" s="89" t="str">
        <f>VLOOKUP(AG311,Sheet1!$B$3:$D$36,2,FALSE)</f>
        <v>Furniture</v>
      </c>
      <c r="AI311" s="89" t="s">
        <v>1514</v>
      </c>
      <c r="AJ311" s="1" t="str">
        <f t="shared" si="133"/>
        <v xml:space="preserve"> Zenith bench</v>
      </c>
      <c r="AK311" s="1" t="str">
        <f t="shared" si="134"/>
        <v>w260 x d40 x h45 x sh45</v>
      </c>
      <c r="AL311" s="1" t="str">
        <f t="shared" si="135"/>
        <v>natural teak indoor</v>
      </c>
      <c r="AM311" s="1" t="str">
        <f t="shared" si="136"/>
        <v>natural teak indoor</v>
      </c>
      <c r="AN311" s="1" t="str">
        <f>SUBSTITUTE(AL311,"indoor","")</f>
        <v xml:space="preserve">natural teak </v>
      </c>
      <c r="AO311" s="1" t="s">
        <v>54</v>
      </c>
      <c r="AQ311" s="1" t="str">
        <f t="shared" si="137"/>
        <v>A</v>
      </c>
      <c r="AR311" s="1" t="str">
        <f>VLOOKUP(TRIM(AI311),Sheet1!$D$3:$E$36,2,FALSE)</f>
        <v>11</v>
      </c>
      <c r="AS311" s="90" t="str">
        <f t="shared" si="138"/>
        <v>01</v>
      </c>
      <c r="AT311" s="1" t="str">
        <f t="shared" si="139"/>
        <v>01</v>
      </c>
      <c r="AU311" s="90" t="s">
        <v>55</v>
      </c>
      <c r="AV311" s="90"/>
      <c r="AW311" s="90"/>
      <c r="AX311" s="95" t="str">
        <f>AQ311&amp;AR311&amp;AS311&amp;"-"&amp;AT311&amp;AU311&amp;BA311</f>
        <v>A1101-0110IND</v>
      </c>
      <c r="AY311" s="99" t="str">
        <f>AQ311&amp;AR311&amp;AS311&amp;"-"&amp;AT311&amp;BA311</f>
        <v>A1101-01IND</v>
      </c>
      <c r="AZ311" s="90"/>
      <c r="BA311" s="1" t="str">
        <f t="shared" si="140"/>
        <v>IND</v>
      </c>
      <c r="BC311" s="1">
        <f t="shared" si="156"/>
        <v>1</v>
      </c>
      <c r="BD311" s="90">
        <f t="shared" si="157"/>
        <v>1</v>
      </c>
      <c r="BE311" s="1">
        <f t="shared" si="143"/>
        <v>1</v>
      </c>
      <c r="BF311" s="1">
        <f t="shared" si="144"/>
        <v>1</v>
      </c>
      <c r="BI311"/>
      <c r="BJ311"/>
      <c r="BL311"/>
    </row>
    <row r="312" spans="1:64" ht="11.25" customHeight="1">
      <c r="A312" s="26" t="s">
        <v>1607</v>
      </c>
      <c r="B312" s="27" t="s">
        <v>1602</v>
      </c>
      <c r="C312" s="28">
        <v>2029.99</v>
      </c>
      <c r="D312" s="28">
        <f t="shared" si="131"/>
        <v>1014.995</v>
      </c>
      <c r="E312" s="22" t="s">
        <v>1507</v>
      </c>
      <c r="F312" s="22" t="s">
        <v>1608</v>
      </c>
      <c r="G312" s="22" t="s">
        <v>1604</v>
      </c>
      <c r="H312" s="22" t="s">
        <v>1605</v>
      </c>
      <c r="I312" s="23" t="s">
        <v>1517</v>
      </c>
      <c r="J312" s="22" t="s">
        <v>50</v>
      </c>
      <c r="K312" s="23">
        <v>260</v>
      </c>
      <c r="L312" s="23">
        <v>40</v>
      </c>
      <c r="M312" s="23">
        <v>45</v>
      </c>
      <c r="N312" s="3">
        <f t="shared" si="142"/>
        <v>0.46800000000000003</v>
      </c>
      <c r="O312" s="4" t="e">
        <f>(C312-(C312*#REF!))-((C312-(C312*#REF!))*#REF!)</f>
        <v>#REF!</v>
      </c>
      <c r="P312" s="7"/>
      <c r="Q312" s="7"/>
      <c r="R312" s="5"/>
      <c r="S312" s="4">
        <f t="shared" si="152"/>
        <v>0</v>
      </c>
      <c r="T312" s="13">
        <f t="shared" si="132"/>
        <v>1420.9929999999999</v>
      </c>
      <c r="U312" s="13">
        <f t="shared" si="141"/>
        <v>710.49649999999997</v>
      </c>
      <c r="V312" s="14">
        <f>U312/C312</f>
        <v>0.35</v>
      </c>
      <c r="W312" s="14"/>
      <c r="X312" s="19">
        <f t="shared" si="153"/>
        <v>710.49649999999997</v>
      </c>
      <c r="Y312" s="19">
        <f t="shared" si="154"/>
        <v>1420.9929999999999</v>
      </c>
      <c r="Z312" s="15" t="e">
        <f t="shared" si="150"/>
        <v>#DIV/0!</v>
      </c>
      <c r="AA312" s="22" t="s">
        <v>1609</v>
      </c>
      <c r="AG312" s="94" t="s">
        <v>52</v>
      </c>
      <c r="AH312" s="89" t="str">
        <f>VLOOKUP(AG312,Sheet1!$B$3:$D$36,2,FALSE)</f>
        <v>Furniture</v>
      </c>
      <c r="AI312" s="89" t="s">
        <v>1514</v>
      </c>
      <c r="AJ312" s="1" t="str">
        <f t="shared" si="133"/>
        <v xml:space="preserve"> Zenith bench</v>
      </c>
      <c r="AK312" s="1" t="str">
        <f t="shared" si="134"/>
        <v>w260 x d40 x h45 x sh45</v>
      </c>
      <c r="AL312" s="1" t="str">
        <f t="shared" si="135"/>
        <v>natural teak outdoor</v>
      </c>
      <c r="AM312" s="1" t="str">
        <f t="shared" si="136"/>
        <v>natural teak outdoor</v>
      </c>
      <c r="AN312" s="1" t="str">
        <f>SUBSTITUTE(AL312,"outdoor","")</f>
        <v xml:space="preserve">natural teak </v>
      </c>
      <c r="AO312" s="1" t="s">
        <v>59</v>
      </c>
      <c r="AQ312" s="1" t="str">
        <f t="shared" si="137"/>
        <v>A</v>
      </c>
      <c r="AR312" s="1" t="str">
        <f>VLOOKUP(TRIM(AI312),Sheet1!$D$3:$E$36,2,FALSE)</f>
        <v>11</v>
      </c>
      <c r="AS312" s="90" t="str">
        <f t="shared" si="138"/>
        <v>02</v>
      </c>
      <c r="AT312" s="1" t="str">
        <f t="shared" si="139"/>
        <v>02</v>
      </c>
      <c r="AU312" s="90" t="s">
        <v>55</v>
      </c>
      <c r="AV312" s="90"/>
      <c r="AW312" s="90"/>
      <c r="AX312" s="95" t="str">
        <f>AQ312&amp;AR312&amp;AS312&amp;"-"&amp;AT312&amp;AU312&amp;BA312</f>
        <v>A1102-0210OUT</v>
      </c>
      <c r="AY312" s="99" t="str">
        <f>AQ312&amp;AR312&amp;AS312&amp;"-"&amp;AT312&amp;BA312</f>
        <v>A1102-02OUT</v>
      </c>
      <c r="AZ312" s="90"/>
      <c r="BA312" s="1" t="str">
        <f t="shared" si="140"/>
        <v>OUT</v>
      </c>
      <c r="BC312" s="1" t="str">
        <f t="shared" si="156"/>
        <v/>
      </c>
      <c r="BD312" s="90">
        <f t="shared" si="157"/>
        <v>2</v>
      </c>
      <c r="BE312" s="1" t="str">
        <f t="shared" si="143"/>
        <v/>
      </c>
      <c r="BF312" s="1">
        <f t="shared" si="144"/>
        <v>2</v>
      </c>
      <c r="BI312"/>
      <c r="BJ312"/>
      <c r="BL312"/>
    </row>
    <row r="313" spans="1:64" s="63" customFormat="1" ht="15.75">
      <c r="A313" s="65" t="s">
        <v>1610</v>
      </c>
      <c r="B313" s="66"/>
      <c r="C313" s="67"/>
      <c r="D313" s="75"/>
      <c r="E313" s="68"/>
      <c r="F313" s="69"/>
      <c r="G313" s="68"/>
      <c r="H313" s="68"/>
      <c r="I313" s="65"/>
      <c r="J313" s="68"/>
      <c r="K313" s="65"/>
      <c r="L313" s="65"/>
      <c r="M313" s="65"/>
      <c r="N313" s="68"/>
      <c r="O313" s="68"/>
      <c r="P313" s="76"/>
      <c r="Q313" s="76"/>
      <c r="R313" s="77"/>
      <c r="S313" s="68"/>
      <c r="T313" s="78"/>
      <c r="U313" s="78"/>
      <c r="V313" s="75"/>
      <c r="W313" s="75"/>
      <c r="X313" s="75"/>
      <c r="Y313" s="75"/>
      <c r="Z313" s="79"/>
      <c r="AA313" s="68"/>
      <c r="AB313" s="66"/>
      <c r="AC313" s="66"/>
      <c r="AD313" s="66"/>
      <c r="AE313" s="66"/>
      <c r="AF313" s="66"/>
      <c r="AG313" s="94"/>
      <c r="AH313" s="89"/>
      <c r="AI313" s="89"/>
      <c r="AJ313" s="1"/>
      <c r="AK313" s="1"/>
      <c r="AL313" s="1"/>
      <c r="AM313" s="1"/>
      <c r="AQ313" s="1"/>
      <c r="AR313" s="1"/>
      <c r="AS313" s="90"/>
      <c r="AT313" s="1"/>
      <c r="AU313" s="90"/>
      <c r="AV313" s="90"/>
      <c r="AW313" s="90"/>
      <c r="AX313" s="95"/>
      <c r="AY313" s="99" t="str">
        <f>AQ313&amp;AR313&amp;AS313&amp;"-"&amp;AT313&amp;BA313</f>
        <v>-</v>
      </c>
      <c r="AZ313" s="90"/>
      <c r="BA313" s="1"/>
      <c r="BC313" s="1"/>
      <c r="BD313" s="90"/>
      <c r="BE313" s="1"/>
      <c r="BF313" s="1"/>
      <c r="BI313"/>
      <c r="BJ313"/>
      <c r="BK313" s="1"/>
      <c r="BL313"/>
    </row>
    <row r="314" spans="1:64" ht="11.25" customHeight="1">
      <c r="A314" s="26" t="s">
        <v>1611</v>
      </c>
      <c r="B314" s="27" t="s">
        <v>1612</v>
      </c>
      <c r="C314" s="28">
        <v>1359.99</v>
      </c>
      <c r="D314" s="28">
        <f t="shared" si="131"/>
        <v>679.995</v>
      </c>
      <c r="E314" s="22" t="s">
        <v>1610</v>
      </c>
      <c r="F314" s="22" t="s">
        <v>1613</v>
      </c>
      <c r="G314" s="22" t="s">
        <v>1614</v>
      </c>
      <c r="H314" s="22" t="s">
        <v>1615</v>
      </c>
      <c r="I314" s="23" t="s">
        <v>807</v>
      </c>
      <c r="J314" s="22" t="s">
        <v>50</v>
      </c>
      <c r="K314" s="23">
        <v>102</v>
      </c>
      <c r="L314" s="23">
        <v>67</v>
      </c>
      <c r="M314" s="23">
        <v>64</v>
      </c>
      <c r="N314" s="3">
        <f t="shared" si="142"/>
        <v>0.43737599999999999</v>
      </c>
      <c r="O314" s="4" t="e">
        <f>(C314-(C314*#REF!))-((C314-(C314*#REF!))*#REF!)</f>
        <v>#REF!</v>
      </c>
      <c r="P314" s="7"/>
      <c r="Q314" s="7"/>
      <c r="R314" s="5">
        <f t="shared" ref="R314:R325" si="158">P314+Q314</f>
        <v>0</v>
      </c>
      <c r="S314" s="4">
        <f t="shared" ref="S314:S325" si="159">R314/15000</f>
        <v>0</v>
      </c>
      <c r="T314" s="13">
        <f t="shared" si="132"/>
        <v>951.99299999999994</v>
      </c>
      <c r="U314" s="13">
        <f t="shared" si="141"/>
        <v>475.99649999999997</v>
      </c>
      <c r="V314" s="14">
        <f>U314/C314</f>
        <v>0.35</v>
      </c>
      <c r="W314" s="14"/>
      <c r="X314" s="19">
        <f t="shared" ref="X314:X325" si="160">IF(ISBLANK(W314),U314, W314)</f>
        <v>475.99649999999997</v>
      </c>
      <c r="Y314" s="19">
        <f t="shared" ref="Y314:Y325" si="161">X314*2</f>
        <v>951.99299999999994</v>
      </c>
      <c r="Z314" s="15" t="e">
        <f t="shared" si="150"/>
        <v>#DIV/0!</v>
      </c>
      <c r="AA314" s="22" t="s">
        <v>1616</v>
      </c>
      <c r="AG314" s="94" t="s">
        <v>52</v>
      </c>
      <c r="AH314" s="89" t="str">
        <f>VLOOKUP(AG314,Sheet1!$B$3:$D$36,2,FALSE)</f>
        <v>Furniture</v>
      </c>
      <c r="AI314" s="89" t="s">
        <v>1617</v>
      </c>
      <c r="AJ314" s="1" t="str">
        <f t="shared" si="133"/>
        <v xml:space="preserve"> Vortex 1-seater</v>
      </c>
      <c r="AK314" s="1" t="str">
        <f t="shared" si="134"/>
        <v>w102 x d67 x h64 x sh43 x ah64</v>
      </c>
      <c r="AL314" s="1" t="str">
        <f t="shared" si="135"/>
        <v>natural teak</v>
      </c>
      <c r="AM314" s="1" t="str">
        <f t="shared" si="136"/>
        <v>natural teak</v>
      </c>
      <c r="AN314" s="1" t="str">
        <f t="shared" ref="AN314:AN325" si="162">SUBSTITUTE(AL314,"indoor","")</f>
        <v>natural teak</v>
      </c>
      <c r="AQ314" s="1" t="str">
        <f t="shared" si="137"/>
        <v>A</v>
      </c>
      <c r="AR314" s="1" t="str">
        <f>VLOOKUP(TRIM(AI314),Sheet1!$D$3:$E$36,2,FALSE)</f>
        <v>12</v>
      </c>
      <c r="AS314" s="90" t="str">
        <f t="shared" si="138"/>
        <v>01</v>
      </c>
      <c r="AT314" s="1" t="str">
        <f t="shared" si="139"/>
        <v>01</v>
      </c>
      <c r="AU314" s="90" t="s">
        <v>55</v>
      </c>
      <c r="AV314" s="90"/>
      <c r="AW314" s="90"/>
      <c r="AX314" s="95" t="str">
        <f>AQ314&amp;AR314&amp;AS314&amp;"-"&amp;AT314&amp;AU314&amp;BA314</f>
        <v>A1201-0110</v>
      </c>
      <c r="AY314" s="99" t="str">
        <f>AQ314&amp;AR314&amp;AS314&amp;"-"&amp;AT314&amp;BA314</f>
        <v>A1201-01</v>
      </c>
      <c r="AZ314" s="90"/>
      <c r="BA314" s="1" t="str">
        <f t="shared" si="140"/>
        <v/>
      </c>
      <c r="BC314" s="1">
        <f t="shared" si="156"/>
        <v>1</v>
      </c>
      <c r="BD314" s="90">
        <f t="shared" si="157"/>
        <v>1</v>
      </c>
      <c r="BE314" s="1">
        <f t="shared" si="143"/>
        <v>1</v>
      </c>
      <c r="BF314" s="1">
        <f t="shared" si="144"/>
        <v>1</v>
      </c>
      <c r="BI314"/>
      <c r="BJ314"/>
      <c r="BL314"/>
    </row>
    <row r="315" spans="1:64" ht="11.25" customHeight="1">
      <c r="A315" s="26" t="s">
        <v>1618</v>
      </c>
      <c r="B315" s="27" t="s">
        <v>1619</v>
      </c>
      <c r="C315" s="28">
        <v>3369.99</v>
      </c>
      <c r="D315" s="28">
        <f t="shared" si="131"/>
        <v>1684.9949999999999</v>
      </c>
      <c r="E315" s="22" t="s">
        <v>1610</v>
      </c>
      <c r="F315" s="22" t="s">
        <v>1620</v>
      </c>
      <c r="G315" s="22" t="s">
        <v>1621</v>
      </c>
      <c r="H315" s="22" t="s">
        <v>1622</v>
      </c>
      <c r="I315" s="23" t="s">
        <v>1223</v>
      </c>
      <c r="J315" s="22" t="s">
        <v>670</v>
      </c>
      <c r="K315" s="23">
        <v>102</v>
      </c>
      <c r="L315" s="23">
        <v>70</v>
      </c>
      <c r="M315" s="23">
        <v>75</v>
      </c>
      <c r="N315" s="3">
        <f t="shared" si="142"/>
        <v>0.53549999999999998</v>
      </c>
      <c r="O315" s="4" t="e">
        <f>(C315-(C315*#REF!))-((C315-(C315*#REF!))*#REF!)</f>
        <v>#REF!</v>
      </c>
      <c r="P315" s="7"/>
      <c r="Q315" s="7"/>
      <c r="R315" s="5">
        <f t="shared" si="158"/>
        <v>0</v>
      </c>
      <c r="S315" s="4">
        <f t="shared" si="159"/>
        <v>0</v>
      </c>
      <c r="T315" s="13">
        <f t="shared" si="132"/>
        <v>2358.9929999999999</v>
      </c>
      <c r="U315" s="13">
        <f t="shared" si="141"/>
        <v>1179.4965</v>
      </c>
      <c r="V315" s="14">
        <f>U315/C315</f>
        <v>0.35000000000000003</v>
      </c>
      <c r="W315" s="14"/>
      <c r="X315" s="19">
        <f t="shared" si="160"/>
        <v>1179.4965</v>
      </c>
      <c r="Y315" s="19">
        <f t="shared" si="161"/>
        <v>2358.9929999999999</v>
      </c>
      <c r="Z315" s="15" t="e">
        <f t="shared" si="150"/>
        <v>#DIV/0!</v>
      </c>
      <c r="AA315" s="22" t="s">
        <v>1623</v>
      </c>
      <c r="AG315" s="94" t="s">
        <v>52</v>
      </c>
      <c r="AH315" s="89" t="str">
        <f>VLOOKUP(AG315,Sheet1!$B$3:$D$36,2,FALSE)</f>
        <v>Furniture</v>
      </c>
      <c r="AI315" s="89" t="s">
        <v>1617</v>
      </c>
      <c r="AJ315" s="1" t="str">
        <f t="shared" si="133"/>
        <v xml:space="preserve"> Vortex Cush-1-seater</v>
      </c>
      <c r="AK315" s="1" t="str">
        <f t="shared" si="134"/>
        <v>w102 x d70 x h75</v>
      </c>
      <c r="AL315" s="1" t="str">
        <f t="shared" si="135"/>
        <v>fabric</v>
      </c>
      <c r="AM315" s="1" t="str">
        <f t="shared" si="136"/>
        <v>fabric</v>
      </c>
      <c r="AN315" s="1" t="str">
        <f t="shared" si="162"/>
        <v>fabric</v>
      </c>
      <c r="AQ315" s="1" t="str">
        <f t="shared" si="137"/>
        <v>A</v>
      </c>
      <c r="AR315" s="1" t="str">
        <f>VLOOKUP(TRIM(AI315),Sheet1!$D$3:$E$36,2,FALSE)</f>
        <v>12</v>
      </c>
      <c r="AS315" s="90" t="str">
        <f t="shared" si="138"/>
        <v>01</v>
      </c>
      <c r="AT315" s="1" t="str">
        <f t="shared" si="139"/>
        <v>01</v>
      </c>
      <c r="AU315" s="90" t="s">
        <v>1225</v>
      </c>
      <c r="AV315" s="90"/>
      <c r="AW315" s="90"/>
      <c r="AX315" s="95" t="str">
        <f>AQ315&amp;AR315&amp;AS315&amp;"-"&amp;AT315&amp;AU315&amp;BA315</f>
        <v>A1201-0139</v>
      </c>
      <c r="AY315" s="99" t="str">
        <f>AQ315&amp;AR315&amp;AS315&amp;"-"&amp;AT315&amp;BA315</f>
        <v>A1201-01</v>
      </c>
      <c r="AZ315" s="90"/>
      <c r="BA315" s="1" t="str">
        <f t="shared" si="140"/>
        <v/>
      </c>
      <c r="BC315" s="1">
        <f t="shared" si="156"/>
        <v>1</v>
      </c>
      <c r="BD315" s="90">
        <f t="shared" si="157"/>
        <v>1</v>
      </c>
      <c r="BE315" s="1">
        <f t="shared" si="143"/>
        <v>1</v>
      </c>
      <c r="BF315" s="1">
        <f t="shared" si="144"/>
        <v>1</v>
      </c>
      <c r="BI315"/>
      <c r="BJ315"/>
      <c r="BL315"/>
    </row>
    <row r="316" spans="1:64" ht="11.25" customHeight="1">
      <c r="A316" s="26" t="s">
        <v>1624</v>
      </c>
      <c r="B316" s="27" t="s">
        <v>1625</v>
      </c>
      <c r="C316" s="28">
        <v>1359.99</v>
      </c>
      <c r="D316" s="28">
        <f t="shared" si="131"/>
        <v>679.995</v>
      </c>
      <c r="E316" s="22" t="s">
        <v>1610</v>
      </c>
      <c r="F316" s="22" t="s">
        <v>1626</v>
      </c>
      <c r="G316" s="22" t="s">
        <v>1627</v>
      </c>
      <c r="H316" s="22" t="s">
        <v>1628</v>
      </c>
      <c r="I316" s="23" t="s">
        <v>807</v>
      </c>
      <c r="J316" s="22" t="s">
        <v>50</v>
      </c>
      <c r="K316" s="23">
        <v>202</v>
      </c>
      <c r="L316" s="23">
        <v>67</v>
      </c>
      <c r="M316" s="23">
        <v>64</v>
      </c>
      <c r="N316" s="3">
        <f t="shared" si="142"/>
        <v>0.86617599999999995</v>
      </c>
      <c r="O316" s="4" t="e">
        <f>(C316-(C316*#REF!))-((C316-(C316*#REF!))*#REF!)</f>
        <v>#REF!</v>
      </c>
      <c r="P316" s="7"/>
      <c r="Q316" s="7"/>
      <c r="R316" s="5">
        <f t="shared" si="158"/>
        <v>0</v>
      </c>
      <c r="S316" s="4">
        <f t="shared" si="159"/>
        <v>0</v>
      </c>
      <c r="T316" s="13">
        <f t="shared" si="132"/>
        <v>951.99299999999994</v>
      </c>
      <c r="U316" s="13">
        <f t="shared" si="141"/>
        <v>475.99649999999997</v>
      </c>
      <c r="V316" s="14">
        <f>U316/C316</f>
        <v>0.35</v>
      </c>
      <c r="W316" s="14"/>
      <c r="X316" s="19">
        <f t="shared" si="160"/>
        <v>475.99649999999997</v>
      </c>
      <c r="Y316" s="19">
        <f t="shared" si="161"/>
        <v>951.99299999999994</v>
      </c>
      <c r="Z316" s="15" t="e">
        <f t="shared" si="150"/>
        <v>#DIV/0!</v>
      </c>
      <c r="AA316" s="22" t="s">
        <v>1629</v>
      </c>
      <c r="AG316" s="94" t="s">
        <v>52</v>
      </c>
      <c r="AH316" s="89" t="str">
        <f>VLOOKUP(AG316,Sheet1!$B$3:$D$36,2,FALSE)</f>
        <v>Furniture</v>
      </c>
      <c r="AI316" s="89" t="s">
        <v>1617</v>
      </c>
      <c r="AJ316" s="1" t="str">
        <f t="shared" si="133"/>
        <v xml:space="preserve"> Vortex 2-seater</v>
      </c>
      <c r="AK316" s="1" t="str">
        <f t="shared" si="134"/>
        <v>w202 x d67 x h64 x sh43 x ah64</v>
      </c>
      <c r="AL316" s="1" t="str">
        <f t="shared" si="135"/>
        <v>natural teak</v>
      </c>
      <c r="AM316" s="1" t="str">
        <f t="shared" si="136"/>
        <v>natural teak</v>
      </c>
      <c r="AN316" s="1" t="str">
        <f t="shared" si="162"/>
        <v>natural teak</v>
      </c>
      <c r="AQ316" s="1" t="str">
        <f t="shared" si="137"/>
        <v>A</v>
      </c>
      <c r="AR316" s="1" t="str">
        <f>VLOOKUP(TRIM(AI316),Sheet1!$D$3:$E$36,2,FALSE)</f>
        <v>12</v>
      </c>
      <c r="AS316" s="90" t="str">
        <f t="shared" si="138"/>
        <v>01</v>
      </c>
      <c r="AT316" s="1" t="str">
        <f t="shared" si="139"/>
        <v>01</v>
      </c>
      <c r="AU316" s="90" t="s">
        <v>55</v>
      </c>
      <c r="AV316" s="90"/>
      <c r="AW316" s="90"/>
      <c r="AX316" s="95" t="str">
        <f>AQ316&amp;AR316&amp;AS316&amp;"-"&amp;AT316&amp;AU316&amp;BA316</f>
        <v>A1201-0110</v>
      </c>
      <c r="AY316" s="99" t="str">
        <f>AQ316&amp;AR316&amp;AS316&amp;"-"&amp;AT316&amp;BA316</f>
        <v>A1201-01</v>
      </c>
      <c r="AZ316" s="90"/>
      <c r="BA316" s="1" t="str">
        <f t="shared" si="140"/>
        <v/>
      </c>
      <c r="BC316" s="1">
        <f t="shared" si="156"/>
        <v>1</v>
      </c>
      <c r="BD316" s="90">
        <f t="shared" si="157"/>
        <v>1</v>
      </c>
      <c r="BE316" s="1">
        <f t="shared" si="143"/>
        <v>1</v>
      </c>
      <c r="BF316" s="1">
        <f t="shared" si="144"/>
        <v>1</v>
      </c>
      <c r="BI316"/>
      <c r="BJ316"/>
      <c r="BL316"/>
    </row>
    <row r="317" spans="1:64" ht="11.25" customHeight="1">
      <c r="A317" s="26" t="s">
        <v>1630</v>
      </c>
      <c r="B317" s="27" t="s">
        <v>1631</v>
      </c>
      <c r="C317" s="28">
        <v>3674.99</v>
      </c>
      <c r="D317" s="28">
        <f t="shared" si="131"/>
        <v>1837.4949999999999</v>
      </c>
      <c r="E317" s="22" t="s">
        <v>1610</v>
      </c>
      <c r="F317" s="22" t="s">
        <v>1632</v>
      </c>
      <c r="G317" s="22" t="s">
        <v>1633</v>
      </c>
      <c r="H317" s="22" t="s">
        <v>1634</v>
      </c>
      <c r="I317" s="23" t="s">
        <v>1223</v>
      </c>
      <c r="J317" s="22" t="s">
        <v>670</v>
      </c>
      <c r="K317" s="23">
        <v>202</v>
      </c>
      <c r="L317" s="23">
        <v>70</v>
      </c>
      <c r="M317" s="23">
        <v>75</v>
      </c>
      <c r="N317" s="3">
        <f t="shared" si="142"/>
        <v>1.0605</v>
      </c>
      <c r="O317" s="4" t="e">
        <f>(C317-(C317*#REF!))-((C317-(C317*#REF!))*#REF!)</f>
        <v>#REF!</v>
      </c>
      <c r="P317" s="7"/>
      <c r="Q317" s="7"/>
      <c r="R317" s="5">
        <f t="shared" si="158"/>
        <v>0</v>
      </c>
      <c r="S317" s="4">
        <f t="shared" si="159"/>
        <v>0</v>
      </c>
      <c r="T317" s="13">
        <f t="shared" si="132"/>
        <v>2572.4929999999999</v>
      </c>
      <c r="U317" s="13">
        <f t="shared" si="141"/>
        <v>1286.2465</v>
      </c>
      <c r="V317" s="14">
        <f>U317/C317</f>
        <v>0.35000000000000003</v>
      </c>
      <c r="W317" s="14"/>
      <c r="X317" s="19">
        <f t="shared" si="160"/>
        <v>1286.2465</v>
      </c>
      <c r="Y317" s="19">
        <f t="shared" si="161"/>
        <v>2572.4929999999999</v>
      </c>
      <c r="Z317" s="15" t="e">
        <f t="shared" si="150"/>
        <v>#DIV/0!</v>
      </c>
      <c r="AA317" s="22" t="s">
        <v>1635</v>
      </c>
      <c r="AG317" s="94" t="s">
        <v>52</v>
      </c>
      <c r="AH317" s="89" t="str">
        <f>VLOOKUP(AG317,Sheet1!$B$3:$D$36,2,FALSE)</f>
        <v>Furniture</v>
      </c>
      <c r="AI317" s="89" t="s">
        <v>1617</v>
      </c>
      <c r="AJ317" s="1" t="str">
        <f t="shared" si="133"/>
        <v xml:space="preserve"> Vortex Cush-2-seater</v>
      </c>
      <c r="AK317" s="1" t="str">
        <f t="shared" si="134"/>
        <v>w202 x d70 x h75</v>
      </c>
      <c r="AL317" s="1" t="str">
        <f t="shared" si="135"/>
        <v>fabric</v>
      </c>
      <c r="AM317" s="1" t="str">
        <f t="shared" si="136"/>
        <v>fabric</v>
      </c>
      <c r="AN317" s="1" t="str">
        <f t="shared" si="162"/>
        <v>fabric</v>
      </c>
      <c r="AQ317" s="1" t="str">
        <f t="shared" si="137"/>
        <v>A</v>
      </c>
      <c r="AR317" s="1" t="str">
        <f>VLOOKUP(TRIM(AI317),Sheet1!$D$3:$E$36,2,FALSE)</f>
        <v>12</v>
      </c>
      <c r="AS317" s="90" t="str">
        <f t="shared" si="138"/>
        <v>01</v>
      </c>
      <c r="AT317" s="1" t="str">
        <f t="shared" si="139"/>
        <v>01</v>
      </c>
      <c r="AU317" s="90" t="s">
        <v>1225</v>
      </c>
      <c r="AV317" s="90"/>
      <c r="AW317" s="90"/>
      <c r="AX317" s="95" t="str">
        <f>AQ317&amp;AR317&amp;AS317&amp;"-"&amp;AT317&amp;AU317&amp;BA317</f>
        <v>A1201-0139</v>
      </c>
      <c r="AY317" s="99" t="str">
        <f>AQ317&amp;AR317&amp;AS317&amp;"-"&amp;AT317&amp;BA317</f>
        <v>A1201-01</v>
      </c>
      <c r="AZ317" s="90"/>
      <c r="BA317" s="1" t="str">
        <f t="shared" si="140"/>
        <v/>
      </c>
      <c r="BC317" s="1">
        <f t="shared" si="156"/>
        <v>1</v>
      </c>
      <c r="BD317" s="90">
        <f t="shared" si="157"/>
        <v>1</v>
      </c>
      <c r="BE317" s="1">
        <f t="shared" si="143"/>
        <v>1</v>
      </c>
      <c r="BF317" s="1">
        <f t="shared" si="144"/>
        <v>1</v>
      </c>
      <c r="BI317"/>
      <c r="BJ317"/>
      <c r="BL317"/>
    </row>
    <row r="318" spans="1:64" ht="11.25" customHeight="1">
      <c r="A318" s="26" t="s">
        <v>1636</v>
      </c>
      <c r="B318" s="27" t="s">
        <v>1637</v>
      </c>
      <c r="C318" s="28">
        <v>1359.99</v>
      </c>
      <c r="D318" s="28">
        <f t="shared" si="131"/>
        <v>679.995</v>
      </c>
      <c r="E318" s="22" t="s">
        <v>1610</v>
      </c>
      <c r="F318" s="22" t="s">
        <v>1638</v>
      </c>
      <c r="G318" s="22" t="s">
        <v>1639</v>
      </c>
      <c r="H318" s="22" t="s">
        <v>1640</v>
      </c>
      <c r="I318" s="23" t="s">
        <v>807</v>
      </c>
      <c r="J318" s="22" t="s">
        <v>50</v>
      </c>
      <c r="K318" s="23">
        <v>250</v>
      </c>
      <c r="L318" s="23">
        <v>67</v>
      </c>
      <c r="M318" s="23">
        <v>64</v>
      </c>
      <c r="N318" s="3">
        <f t="shared" si="142"/>
        <v>1.0720000000000001</v>
      </c>
      <c r="O318" s="4" t="e">
        <f>(C318-(C318*#REF!))-((C318-(C318*#REF!))*#REF!)</f>
        <v>#REF!</v>
      </c>
      <c r="P318" s="7"/>
      <c r="Q318" s="7"/>
      <c r="R318" s="5">
        <f t="shared" si="158"/>
        <v>0</v>
      </c>
      <c r="S318" s="4">
        <f t="shared" si="159"/>
        <v>0</v>
      </c>
      <c r="T318" s="13">
        <f t="shared" si="132"/>
        <v>951.99299999999994</v>
      </c>
      <c r="U318" s="13">
        <f t="shared" si="141"/>
        <v>475.99649999999997</v>
      </c>
      <c r="V318" s="14">
        <f>U318/C318</f>
        <v>0.35</v>
      </c>
      <c r="W318" s="14"/>
      <c r="X318" s="19">
        <f t="shared" si="160"/>
        <v>475.99649999999997</v>
      </c>
      <c r="Y318" s="19">
        <f t="shared" si="161"/>
        <v>951.99299999999994</v>
      </c>
      <c r="Z318" s="15" t="e">
        <f t="shared" si="150"/>
        <v>#DIV/0!</v>
      </c>
      <c r="AA318" s="22" t="s">
        <v>1641</v>
      </c>
      <c r="AG318" s="94" t="s">
        <v>52</v>
      </c>
      <c r="AH318" s="89" t="str">
        <f>VLOOKUP(AG318,Sheet1!$B$3:$D$36,2,FALSE)</f>
        <v>Furniture</v>
      </c>
      <c r="AI318" s="89" t="s">
        <v>1617</v>
      </c>
      <c r="AJ318" s="1" t="str">
        <f t="shared" si="133"/>
        <v xml:space="preserve"> Vortex 3-seater</v>
      </c>
      <c r="AK318" s="1" t="str">
        <f t="shared" si="134"/>
        <v>w250 x d67 x h64 x sh43 x ah64</v>
      </c>
      <c r="AL318" s="1" t="str">
        <f t="shared" si="135"/>
        <v>natural teak</v>
      </c>
      <c r="AM318" s="1" t="str">
        <f t="shared" si="136"/>
        <v>natural teak</v>
      </c>
      <c r="AN318" s="1" t="str">
        <f t="shared" si="162"/>
        <v>natural teak</v>
      </c>
      <c r="AQ318" s="1" t="str">
        <f t="shared" si="137"/>
        <v>A</v>
      </c>
      <c r="AR318" s="1" t="str">
        <f>VLOOKUP(TRIM(AI318),Sheet1!$D$3:$E$36,2,FALSE)</f>
        <v>12</v>
      </c>
      <c r="AS318" s="90" t="str">
        <f t="shared" si="138"/>
        <v>01</v>
      </c>
      <c r="AT318" s="1" t="str">
        <f t="shared" si="139"/>
        <v>01</v>
      </c>
      <c r="AU318" s="90" t="s">
        <v>55</v>
      </c>
      <c r="AV318" s="90"/>
      <c r="AW318" s="90"/>
      <c r="AX318" s="95" t="str">
        <f>AQ318&amp;AR318&amp;AS318&amp;"-"&amp;AT318&amp;AU318&amp;BA318</f>
        <v>A1201-0110</v>
      </c>
      <c r="AY318" s="99" t="str">
        <f>AQ318&amp;AR318&amp;AS318&amp;"-"&amp;AT318&amp;BA318</f>
        <v>A1201-01</v>
      </c>
      <c r="AZ318" s="90"/>
      <c r="BA318" s="1" t="str">
        <f t="shared" si="140"/>
        <v/>
      </c>
      <c r="BC318" s="1">
        <f t="shared" si="156"/>
        <v>1</v>
      </c>
      <c r="BD318" s="90">
        <f t="shared" si="157"/>
        <v>1</v>
      </c>
      <c r="BE318" s="1">
        <f t="shared" si="143"/>
        <v>1</v>
      </c>
      <c r="BF318" s="1">
        <f t="shared" si="144"/>
        <v>1</v>
      </c>
      <c r="BI318"/>
      <c r="BJ318"/>
      <c r="BL318"/>
    </row>
    <row r="319" spans="1:64" ht="11.25" customHeight="1">
      <c r="A319" s="26" t="s">
        <v>1642</v>
      </c>
      <c r="B319" s="27" t="s">
        <v>1643</v>
      </c>
      <c r="C319" s="28">
        <v>3674.99</v>
      </c>
      <c r="D319" s="28">
        <f t="shared" si="131"/>
        <v>1837.4949999999999</v>
      </c>
      <c r="E319" s="22" t="s">
        <v>1610</v>
      </c>
      <c r="F319" s="22" t="s">
        <v>1644</v>
      </c>
      <c r="G319" s="22" t="s">
        <v>1645</v>
      </c>
      <c r="H319" s="22" t="s">
        <v>1646</v>
      </c>
      <c r="I319" s="23" t="s">
        <v>1223</v>
      </c>
      <c r="J319" s="22" t="s">
        <v>670</v>
      </c>
      <c r="K319" s="23">
        <v>250</v>
      </c>
      <c r="L319" s="23">
        <v>67</v>
      </c>
      <c r="M319" s="23">
        <v>64</v>
      </c>
      <c r="N319" s="3">
        <f t="shared" si="142"/>
        <v>1.0720000000000001</v>
      </c>
      <c r="O319" s="4" t="e">
        <f>(C319-(C319*#REF!))-((C319-(C319*#REF!))*#REF!)</f>
        <v>#REF!</v>
      </c>
      <c r="P319" s="7"/>
      <c r="Q319" s="7"/>
      <c r="R319" s="5">
        <f t="shared" si="158"/>
        <v>0</v>
      </c>
      <c r="S319" s="4">
        <f t="shared" si="159"/>
        <v>0</v>
      </c>
      <c r="T319" s="13">
        <f t="shared" si="132"/>
        <v>2572.4929999999999</v>
      </c>
      <c r="U319" s="13">
        <f t="shared" si="141"/>
        <v>1286.2465</v>
      </c>
      <c r="V319" s="14">
        <f>U319/C319</f>
        <v>0.35000000000000003</v>
      </c>
      <c r="W319" s="14"/>
      <c r="X319" s="19">
        <f t="shared" si="160"/>
        <v>1286.2465</v>
      </c>
      <c r="Y319" s="19">
        <f t="shared" si="161"/>
        <v>2572.4929999999999</v>
      </c>
      <c r="Z319" s="15" t="e">
        <f t="shared" si="150"/>
        <v>#DIV/0!</v>
      </c>
      <c r="AA319" s="22" t="s">
        <v>1647</v>
      </c>
      <c r="AG319" s="94" t="s">
        <v>52</v>
      </c>
      <c r="AH319" s="89" t="str">
        <f>VLOOKUP(AG319,Sheet1!$B$3:$D$36,2,FALSE)</f>
        <v>Furniture</v>
      </c>
      <c r="AI319" s="89" t="s">
        <v>1617</v>
      </c>
      <c r="AJ319" s="1" t="str">
        <f t="shared" si="133"/>
        <v xml:space="preserve"> Vortex Cush-3-seater</v>
      </c>
      <c r="AK319" s="1" t="str">
        <f t="shared" si="134"/>
        <v>w250 x d67 x h64</v>
      </c>
      <c r="AL319" s="1" t="str">
        <f t="shared" si="135"/>
        <v>fabric</v>
      </c>
      <c r="AM319" s="1" t="str">
        <f t="shared" si="136"/>
        <v>fabric</v>
      </c>
      <c r="AN319" s="1" t="str">
        <f t="shared" si="162"/>
        <v>fabric</v>
      </c>
      <c r="AQ319" s="1" t="str">
        <f t="shared" si="137"/>
        <v>A</v>
      </c>
      <c r="AR319" s="1" t="str">
        <f>VLOOKUP(TRIM(AI319),Sheet1!$D$3:$E$36,2,FALSE)</f>
        <v>12</v>
      </c>
      <c r="AS319" s="90" t="str">
        <f t="shared" si="138"/>
        <v>01</v>
      </c>
      <c r="AT319" s="1" t="str">
        <f t="shared" si="139"/>
        <v>01</v>
      </c>
      <c r="AU319" s="90" t="s">
        <v>1225</v>
      </c>
      <c r="AV319" s="90"/>
      <c r="AW319" s="90"/>
      <c r="AX319" s="95" t="str">
        <f>AQ319&amp;AR319&amp;AS319&amp;"-"&amp;AT319&amp;AU319&amp;BA319</f>
        <v>A1201-0139</v>
      </c>
      <c r="AY319" s="99" t="str">
        <f>AQ319&amp;AR319&amp;AS319&amp;"-"&amp;AT319&amp;BA319</f>
        <v>A1201-01</v>
      </c>
      <c r="AZ319" s="90"/>
      <c r="BA319" s="1" t="str">
        <f t="shared" si="140"/>
        <v/>
      </c>
      <c r="BC319" s="1">
        <f t="shared" si="156"/>
        <v>1</v>
      </c>
      <c r="BD319" s="90">
        <f t="shared" si="157"/>
        <v>1</v>
      </c>
      <c r="BE319" s="1">
        <f t="shared" si="143"/>
        <v>1</v>
      </c>
      <c r="BF319" s="1">
        <f t="shared" si="144"/>
        <v>1</v>
      </c>
      <c r="BI319"/>
      <c r="BJ319"/>
      <c r="BL319"/>
    </row>
    <row r="320" spans="1:64" ht="11.25" customHeight="1">
      <c r="A320" s="26" t="s">
        <v>1648</v>
      </c>
      <c r="B320" s="27" t="s">
        <v>1649</v>
      </c>
      <c r="C320" s="28">
        <v>1279.99</v>
      </c>
      <c r="D320" s="28">
        <f t="shared" si="131"/>
        <v>639.995</v>
      </c>
      <c r="E320" s="22" t="s">
        <v>1610</v>
      </c>
      <c r="F320" s="22" t="s">
        <v>1650</v>
      </c>
      <c r="G320" s="22" t="s">
        <v>1651</v>
      </c>
      <c r="H320" s="22" t="s">
        <v>1652</v>
      </c>
      <c r="I320" s="23" t="s">
        <v>807</v>
      </c>
      <c r="J320" s="22" t="s">
        <v>50</v>
      </c>
      <c r="K320" s="23">
        <v>106</v>
      </c>
      <c r="L320" s="23">
        <v>86</v>
      </c>
      <c r="M320" s="23">
        <v>73</v>
      </c>
      <c r="N320" s="3">
        <f t="shared" si="142"/>
        <v>0.66546799999999995</v>
      </c>
      <c r="O320" s="4" t="e">
        <f>(C320-(C320*#REF!))-((C320-(C320*#REF!))*#REF!)</f>
        <v>#REF!</v>
      </c>
      <c r="P320" s="7"/>
      <c r="Q320" s="7"/>
      <c r="R320" s="5">
        <f t="shared" si="158"/>
        <v>0</v>
      </c>
      <c r="S320" s="4">
        <f t="shared" si="159"/>
        <v>0</v>
      </c>
      <c r="T320" s="13">
        <f t="shared" si="132"/>
        <v>895.99299999999994</v>
      </c>
      <c r="U320" s="13">
        <f t="shared" si="141"/>
        <v>447.99649999999997</v>
      </c>
      <c r="V320" s="14">
        <f>U320/C320</f>
        <v>0.35</v>
      </c>
      <c r="W320" s="14"/>
      <c r="X320" s="19">
        <f t="shared" si="160"/>
        <v>447.99649999999997</v>
      </c>
      <c r="Y320" s="19">
        <f t="shared" si="161"/>
        <v>895.99299999999994</v>
      </c>
      <c r="Z320" s="15" t="e">
        <f t="shared" si="150"/>
        <v>#DIV/0!</v>
      </c>
      <c r="AA320" s="22" t="s">
        <v>1653</v>
      </c>
      <c r="AG320" s="94" t="s">
        <v>52</v>
      </c>
      <c r="AH320" s="89" t="str">
        <f>VLOOKUP(AG320,Sheet1!$B$3:$D$36,2,FALSE)</f>
        <v>Furniture</v>
      </c>
      <c r="AI320" s="89" t="s">
        <v>1617</v>
      </c>
      <c r="AJ320" s="1" t="str">
        <f t="shared" si="133"/>
        <v xml:space="preserve"> Eclipse 1-seater</v>
      </c>
      <c r="AK320" s="1" t="str">
        <f t="shared" si="134"/>
        <v>w106 x d86 x h73 x sh43 x ah73</v>
      </c>
      <c r="AL320" s="1" t="str">
        <f t="shared" si="135"/>
        <v>natural teak</v>
      </c>
      <c r="AM320" s="1" t="str">
        <f t="shared" si="136"/>
        <v>natural teak</v>
      </c>
      <c r="AN320" s="1" t="str">
        <f t="shared" si="162"/>
        <v>natural teak</v>
      </c>
      <c r="AQ320" s="1" t="str">
        <f t="shared" si="137"/>
        <v>A</v>
      </c>
      <c r="AR320" s="1" t="str">
        <f>VLOOKUP(TRIM(AI320),Sheet1!$D$3:$E$36,2,FALSE)</f>
        <v>12</v>
      </c>
      <c r="AS320" s="90" t="str">
        <f t="shared" si="138"/>
        <v>01</v>
      </c>
      <c r="AT320" s="1" t="str">
        <f t="shared" si="139"/>
        <v>01</v>
      </c>
      <c r="AU320" s="90" t="s">
        <v>55</v>
      </c>
      <c r="AV320" s="90"/>
      <c r="AW320" s="90"/>
      <c r="AX320" s="95" t="str">
        <f>AQ320&amp;AR320&amp;AS320&amp;"-"&amp;AT320&amp;AU320&amp;BA320</f>
        <v>A1201-0110</v>
      </c>
      <c r="AY320" s="99" t="str">
        <f>AQ320&amp;AR320&amp;AS320&amp;"-"&amp;AT320&amp;BA320</f>
        <v>A1201-01</v>
      </c>
      <c r="AZ320" s="90"/>
      <c r="BA320" s="1" t="str">
        <f t="shared" si="140"/>
        <v/>
      </c>
      <c r="BC320" s="1">
        <f t="shared" si="156"/>
        <v>1</v>
      </c>
      <c r="BD320" s="90">
        <f t="shared" si="157"/>
        <v>1</v>
      </c>
      <c r="BE320" s="1">
        <f t="shared" si="143"/>
        <v>1</v>
      </c>
      <c r="BF320" s="1">
        <f t="shared" si="144"/>
        <v>1</v>
      </c>
      <c r="BI320"/>
      <c r="BJ320"/>
      <c r="BL320"/>
    </row>
    <row r="321" spans="1:64" ht="11.25" customHeight="1">
      <c r="A321" s="26" t="s">
        <v>1654</v>
      </c>
      <c r="B321" s="27" t="s">
        <v>1655</v>
      </c>
      <c r="C321" s="28">
        <v>2049.9899999999998</v>
      </c>
      <c r="D321" s="28">
        <f t="shared" si="131"/>
        <v>1024.9949999999999</v>
      </c>
      <c r="E321" s="22" t="s">
        <v>1610</v>
      </c>
      <c r="F321" s="22" t="s">
        <v>1656</v>
      </c>
      <c r="G321" s="22" t="s">
        <v>1657</v>
      </c>
      <c r="H321" s="22" t="s">
        <v>1658</v>
      </c>
      <c r="I321" s="23" t="s">
        <v>807</v>
      </c>
      <c r="J321" s="22" t="s">
        <v>50</v>
      </c>
      <c r="K321" s="23">
        <v>206</v>
      </c>
      <c r="L321" s="23">
        <v>86</v>
      </c>
      <c r="M321" s="23">
        <v>73</v>
      </c>
      <c r="N321" s="3">
        <f t="shared" si="142"/>
        <v>1.2932680000000001</v>
      </c>
      <c r="O321" s="4" t="e">
        <f>(C321-(C321*#REF!))-((C321-(C321*#REF!))*#REF!)</f>
        <v>#REF!</v>
      </c>
      <c r="P321" s="7"/>
      <c r="Q321" s="7"/>
      <c r="R321" s="5">
        <f t="shared" si="158"/>
        <v>0</v>
      </c>
      <c r="S321" s="4">
        <f t="shared" si="159"/>
        <v>0</v>
      </c>
      <c r="T321" s="13">
        <f t="shared" si="132"/>
        <v>1434.9929999999999</v>
      </c>
      <c r="U321" s="13">
        <f t="shared" si="141"/>
        <v>717.49649999999997</v>
      </c>
      <c r="V321" s="14">
        <f>U321/C321</f>
        <v>0.35000000000000003</v>
      </c>
      <c r="W321" s="14"/>
      <c r="X321" s="19">
        <f t="shared" si="160"/>
        <v>717.49649999999997</v>
      </c>
      <c r="Y321" s="19">
        <f t="shared" si="161"/>
        <v>1434.9929999999999</v>
      </c>
      <c r="Z321" s="15" t="e">
        <f t="shared" si="150"/>
        <v>#DIV/0!</v>
      </c>
      <c r="AA321" s="22" t="s">
        <v>1659</v>
      </c>
      <c r="AG321" s="94" t="s">
        <v>52</v>
      </c>
      <c r="AH321" s="89" t="str">
        <f>VLOOKUP(AG321,Sheet1!$B$3:$D$36,2,FALSE)</f>
        <v>Furniture</v>
      </c>
      <c r="AI321" s="89" t="s">
        <v>1617</v>
      </c>
      <c r="AJ321" s="1" t="str">
        <f t="shared" si="133"/>
        <v xml:space="preserve"> Eclipse 2-seater</v>
      </c>
      <c r="AK321" s="1" t="str">
        <f t="shared" si="134"/>
        <v>w206 x d86 x h73 x sh43 x ah73</v>
      </c>
      <c r="AL321" s="1" t="str">
        <f t="shared" si="135"/>
        <v>natural teak</v>
      </c>
      <c r="AM321" s="1" t="str">
        <f t="shared" si="136"/>
        <v>natural teak</v>
      </c>
      <c r="AN321" s="1" t="str">
        <f t="shared" si="162"/>
        <v>natural teak</v>
      </c>
      <c r="AQ321" s="1" t="str">
        <f t="shared" si="137"/>
        <v>A</v>
      </c>
      <c r="AR321" s="1" t="str">
        <f>VLOOKUP(TRIM(AI321),Sheet1!$D$3:$E$36,2,FALSE)</f>
        <v>12</v>
      </c>
      <c r="AS321" s="90" t="str">
        <f t="shared" si="138"/>
        <v>01</v>
      </c>
      <c r="AT321" s="1" t="str">
        <f t="shared" si="139"/>
        <v>01</v>
      </c>
      <c r="AU321" s="90" t="s">
        <v>55</v>
      </c>
      <c r="AV321" s="90"/>
      <c r="AW321" s="90"/>
      <c r="AX321" s="95" t="str">
        <f>AQ321&amp;AR321&amp;AS321&amp;"-"&amp;AT321&amp;AU321&amp;BA321</f>
        <v>A1201-0110</v>
      </c>
      <c r="AY321" s="99" t="str">
        <f>AQ321&amp;AR321&amp;AS321&amp;"-"&amp;AT321&amp;BA321</f>
        <v>A1201-01</v>
      </c>
      <c r="AZ321" s="90"/>
      <c r="BA321" s="1" t="str">
        <f t="shared" si="140"/>
        <v/>
      </c>
      <c r="BC321" s="1">
        <f t="shared" si="156"/>
        <v>1</v>
      </c>
      <c r="BD321" s="90">
        <f t="shared" si="157"/>
        <v>1</v>
      </c>
      <c r="BE321" s="1">
        <f t="shared" si="143"/>
        <v>1</v>
      </c>
      <c r="BF321" s="1">
        <f t="shared" si="144"/>
        <v>1</v>
      </c>
      <c r="BI321"/>
      <c r="BJ321"/>
      <c r="BL321"/>
    </row>
    <row r="322" spans="1:64" ht="11.25" customHeight="1">
      <c r="A322" s="26" t="s">
        <v>1660</v>
      </c>
      <c r="B322" s="27" t="s">
        <v>1661</v>
      </c>
      <c r="C322" s="28">
        <v>1279.99</v>
      </c>
      <c r="D322" s="28">
        <f t="shared" si="131"/>
        <v>639.995</v>
      </c>
      <c r="E322" s="22" t="s">
        <v>1610</v>
      </c>
      <c r="F322" s="22" t="s">
        <v>1662</v>
      </c>
      <c r="G322" s="22" t="s">
        <v>1663</v>
      </c>
      <c r="H322" s="22" t="s">
        <v>1664</v>
      </c>
      <c r="I322" s="23" t="s">
        <v>807</v>
      </c>
      <c r="J322" s="22" t="s">
        <v>50</v>
      </c>
      <c r="K322" s="23">
        <v>250</v>
      </c>
      <c r="L322" s="23">
        <v>86</v>
      </c>
      <c r="M322" s="23">
        <v>73</v>
      </c>
      <c r="N322" s="3">
        <f t="shared" si="142"/>
        <v>1.5694999999999999</v>
      </c>
      <c r="O322" s="4" t="e">
        <f>(C322-(C322*#REF!))-((C322-(C322*#REF!))*#REF!)</f>
        <v>#REF!</v>
      </c>
      <c r="P322" s="7"/>
      <c r="Q322" s="7"/>
      <c r="R322" s="5">
        <f t="shared" si="158"/>
        <v>0</v>
      </c>
      <c r="S322" s="4">
        <f t="shared" si="159"/>
        <v>0</v>
      </c>
      <c r="T322" s="13">
        <f t="shared" si="132"/>
        <v>895.99299999999994</v>
      </c>
      <c r="U322" s="13">
        <f t="shared" si="141"/>
        <v>447.99649999999997</v>
      </c>
      <c r="V322" s="14">
        <f>U322/C322</f>
        <v>0.35</v>
      </c>
      <c r="W322" s="14"/>
      <c r="X322" s="19">
        <f t="shared" si="160"/>
        <v>447.99649999999997</v>
      </c>
      <c r="Y322" s="19">
        <f t="shared" si="161"/>
        <v>895.99299999999994</v>
      </c>
      <c r="Z322" s="15" t="e">
        <f t="shared" si="150"/>
        <v>#DIV/0!</v>
      </c>
      <c r="AA322" s="22" t="s">
        <v>1665</v>
      </c>
      <c r="AG322" s="94" t="s">
        <v>52</v>
      </c>
      <c r="AH322" s="89" t="str">
        <f>VLOOKUP(AG322,Sheet1!$B$3:$D$36,2,FALSE)</f>
        <v>Furniture</v>
      </c>
      <c r="AI322" s="89" t="s">
        <v>1617</v>
      </c>
      <c r="AJ322" s="1" t="str">
        <f t="shared" si="133"/>
        <v xml:space="preserve"> Eclipse 3-seater</v>
      </c>
      <c r="AK322" s="1" t="str">
        <f t="shared" si="134"/>
        <v>w250 x d86 x h73 x sh43 x ah73</v>
      </c>
      <c r="AL322" s="1" t="str">
        <f t="shared" si="135"/>
        <v>natural teak</v>
      </c>
      <c r="AM322" s="1" t="str">
        <f t="shared" si="136"/>
        <v>natural teak</v>
      </c>
      <c r="AN322" s="1" t="str">
        <f t="shared" si="162"/>
        <v>natural teak</v>
      </c>
      <c r="AQ322" s="1" t="str">
        <f t="shared" si="137"/>
        <v>A</v>
      </c>
      <c r="AR322" s="1" t="str">
        <f>VLOOKUP(TRIM(AI322),Sheet1!$D$3:$E$36,2,FALSE)</f>
        <v>12</v>
      </c>
      <c r="AS322" s="90" t="str">
        <f t="shared" si="138"/>
        <v>01</v>
      </c>
      <c r="AT322" s="1" t="str">
        <f t="shared" si="139"/>
        <v>01</v>
      </c>
      <c r="AU322" s="90" t="s">
        <v>55</v>
      </c>
      <c r="AV322" s="90"/>
      <c r="AW322" s="90"/>
      <c r="AX322" s="95" t="str">
        <f>AQ322&amp;AR322&amp;AS322&amp;"-"&amp;AT322&amp;AU322&amp;BA322</f>
        <v>A1201-0110</v>
      </c>
      <c r="AY322" s="99" t="str">
        <f>AQ322&amp;AR322&amp;AS322&amp;"-"&amp;AT322&amp;BA322</f>
        <v>A1201-01</v>
      </c>
      <c r="AZ322" s="90"/>
      <c r="BA322" s="1" t="str">
        <f t="shared" si="140"/>
        <v/>
      </c>
      <c r="BC322" s="1">
        <f t="shared" si="156"/>
        <v>1</v>
      </c>
      <c r="BD322" s="90">
        <f t="shared" si="157"/>
        <v>1</v>
      </c>
      <c r="BE322" s="1">
        <f t="shared" si="143"/>
        <v>1</v>
      </c>
      <c r="BF322" s="1">
        <f t="shared" si="144"/>
        <v>1</v>
      </c>
      <c r="BI322"/>
      <c r="BJ322"/>
      <c r="BL322"/>
    </row>
    <row r="323" spans="1:64" ht="11.25" customHeight="1">
      <c r="A323" s="26" t="s">
        <v>1666</v>
      </c>
      <c r="B323" s="27" t="s">
        <v>1667</v>
      </c>
      <c r="C323" s="28">
        <v>3594.99</v>
      </c>
      <c r="D323" s="28">
        <f t="shared" si="131"/>
        <v>1797.4949999999999</v>
      </c>
      <c r="E323" s="22" t="s">
        <v>1610</v>
      </c>
      <c r="F323" s="22" t="s">
        <v>1668</v>
      </c>
      <c r="G323" s="22" t="s">
        <v>1669</v>
      </c>
      <c r="H323" s="22" t="s">
        <v>1670</v>
      </c>
      <c r="I323" s="23" t="s">
        <v>1671</v>
      </c>
      <c r="J323" s="22" t="s">
        <v>670</v>
      </c>
      <c r="K323" s="23">
        <v>105</v>
      </c>
      <c r="L323" s="23">
        <v>90</v>
      </c>
      <c r="M323" s="23">
        <v>67</v>
      </c>
      <c r="N323" s="3">
        <f t="shared" si="142"/>
        <v>0.63314999999999999</v>
      </c>
      <c r="O323" s="4" t="e">
        <f>(C323-(C323*#REF!))-((C323-(C323*#REF!))*#REF!)</f>
        <v>#REF!</v>
      </c>
      <c r="P323" s="7"/>
      <c r="Q323" s="7"/>
      <c r="R323" s="5">
        <f t="shared" si="158"/>
        <v>0</v>
      </c>
      <c r="S323" s="4">
        <f t="shared" si="159"/>
        <v>0</v>
      </c>
      <c r="T323" s="13">
        <f t="shared" si="132"/>
        <v>2516.4929999999999</v>
      </c>
      <c r="U323" s="13">
        <f t="shared" si="141"/>
        <v>1258.2465</v>
      </c>
      <c r="V323" s="14">
        <f>U323/C323</f>
        <v>0.35000000000000003</v>
      </c>
      <c r="W323" s="14"/>
      <c r="X323" s="19">
        <f t="shared" si="160"/>
        <v>1258.2465</v>
      </c>
      <c r="Y323" s="19">
        <f t="shared" si="161"/>
        <v>2516.4929999999999</v>
      </c>
      <c r="Z323" s="15" t="e">
        <f t="shared" si="150"/>
        <v>#DIV/0!</v>
      </c>
      <c r="AA323" s="22" t="s">
        <v>1672</v>
      </c>
      <c r="AG323" s="94" t="s">
        <v>52</v>
      </c>
      <c r="AH323" s="89" t="str">
        <f>VLOOKUP(AG323,Sheet1!$B$3:$D$36,2,FALSE)</f>
        <v>Furniture</v>
      </c>
      <c r="AI323" s="89" t="s">
        <v>1617</v>
      </c>
      <c r="AJ323" s="1" t="str">
        <f t="shared" si="133"/>
        <v xml:space="preserve"> Nebula sofa-1-seater</v>
      </c>
      <c r="AK323" s="1" t="str">
        <f t="shared" si="134"/>
        <v>w105 x d90 x h67 x sh42</v>
      </c>
      <c r="AL323" s="1" t="str">
        <f t="shared" si="135"/>
        <v>leather brown</v>
      </c>
      <c r="AM323" s="1" t="str">
        <f t="shared" si="136"/>
        <v>leather brown</v>
      </c>
      <c r="AN323" s="1" t="str">
        <f t="shared" si="162"/>
        <v>leather brown</v>
      </c>
      <c r="AQ323" s="1" t="str">
        <f t="shared" si="137"/>
        <v>A</v>
      </c>
      <c r="AR323" s="1" t="str">
        <f>VLOOKUP(TRIM(AI323),Sheet1!$D$3:$E$36,2,FALSE)</f>
        <v>12</v>
      </c>
      <c r="AS323" s="90" t="str">
        <f t="shared" si="138"/>
        <v>01</v>
      </c>
      <c r="AT323" s="1" t="str">
        <f t="shared" si="139"/>
        <v>01</v>
      </c>
      <c r="AU323" s="90" t="s">
        <v>1673</v>
      </c>
      <c r="AV323" s="90"/>
      <c r="AW323" s="90"/>
      <c r="AX323" s="95" t="str">
        <f>AQ323&amp;AR323&amp;AS323&amp;"-"&amp;AT323&amp;AU323&amp;BA323</f>
        <v>A1201-0142</v>
      </c>
      <c r="AY323" s="99" t="str">
        <f>AQ323&amp;AR323&amp;AS323&amp;"-"&amp;AT323&amp;BA323</f>
        <v>A1201-01</v>
      </c>
      <c r="AZ323" s="90"/>
      <c r="BA323" s="1" t="str">
        <f t="shared" si="140"/>
        <v/>
      </c>
      <c r="BC323" s="1">
        <f t="shared" si="156"/>
        <v>1</v>
      </c>
      <c r="BD323" s="90">
        <f t="shared" si="157"/>
        <v>1</v>
      </c>
      <c r="BE323" s="1">
        <f t="shared" si="143"/>
        <v>1</v>
      </c>
      <c r="BF323" s="1">
        <f t="shared" si="144"/>
        <v>1</v>
      </c>
      <c r="BI323"/>
      <c r="BJ323"/>
      <c r="BL323"/>
    </row>
    <row r="324" spans="1:64" ht="11.25" customHeight="1">
      <c r="A324" s="26" t="s">
        <v>1674</v>
      </c>
      <c r="B324" s="27" t="s">
        <v>1675</v>
      </c>
      <c r="C324" s="28">
        <v>5084.99</v>
      </c>
      <c r="D324" s="28">
        <f t="shared" si="131"/>
        <v>2542.4949999999999</v>
      </c>
      <c r="E324" s="22" t="s">
        <v>1610</v>
      </c>
      <c r="F324" s="22" t="s">
        <v>1676</v>
      </c>
      <c r="G324" s="22" t="s">
        <v>1677</v>
      </c>
      <c r="H324" s="22" t="s">
        <v>1678</v>
      </c>
      <c r="I324" s="23" t="s">
        <v>1671</v>
      </c>
      <c r="J324" s="22" t="s">
        <v>670</v>
      </c>
      <c r="K324" s="23">
        <v>205</v>
      </c>
      <c r="L324" s="23">
        <v>90</v>
      </c>
      <c r="M324" s="23">
        <v>67</v>
      </c>
      <c r="N324" s="3">
        <f t="shared" si="142"/>
        <v>1.2361500000000001</v>
      </c>
      <c r="O324" s="4" t="e">
        <f>(C324-(C324*#REF!))-((C324-(C324*#REF!))*#REF!)</f>
        <v>#REF!</v>
      </c>
      <c r="P324" s="7"/>
      <c r="Q324" s="7"/>
      <c r="R324" s="5">
        <f t="shared" si="158"/>
        <v>0</v>
      </c>
      <c r="S324" s="4">
        <f t="shared" si="159"/>
        <v>0</v>
      </c>
      <c r="T324" s="13">
        <f t="shared" si="132"/>
        <v>3559.4929999999999</v>
      </c>
      <c r="U324" s="13">
        <f t="shared" si="141"/>
        <v>1779.7465</v>
      </c>
      <c r="V324" s="14">
        <f>U324/C324</f>
        <v>0.35000000000000003</v>
      </c>
      <c r="W324" s="14"/>
      <c r="X324" s="19">
        <f t="shared" si="160"/>
        <v>1779.7465</v>
      </c>
      <c r="Y324" s="19">
        <f t="shared" si="161"/>
        <v>3559.4929999999999</v>
      </c>
      <c r="Z324" s="15" t="e">
        <f t="shared" si="150"/>
        <v>#DIV/0!</v>
      </c>
      <c r="AA324" s="22" t="s">
        <v>1679</v>
      </c>
      <c r="AG324" s="94" t="s">
        <v>52</v>
      </c>
      <c r="AH324" s="89" t="str">
        <f>VLOOKUP(AG324,Sheet1!$B$3:$D$36,2,FALSE)</f>
        <v>Furniture</v>
      </c>
      <c r="AI324" s="89" t="s">
        <v>1617</v>
      </c>
      <c r="AJ324" s="1" t="str">
        <f t="shared" si="133"/>
        <v xml:space="preserve"> Nebula sofa-2-seater</v>
      </c>
      <c r="AK324" s="1" t="str">
        <f t="shared" si="134"/>
        <v>w205 x d90 x h67 x sh42</v>
      </c>
      <c r="AL324" s="1" t="str">
        <f t="shared" si="135"/>
        <v>leather brown</v>
      </c>
      <c r="AM324" s="1" t="str">
        <f t="shared" si="136"/>
        <v>leather brown</v>
      </c>
      <c r="AN324" s="1" t="str">
        <f t="shared" si="162"/>
        <v>leather brown</v>
      </c>
      <c r="AQ324" s="1" t="str">
        <f t="shared" si="137"/>
        <v>A</v>
      </c>
      <c r="AR324" s="1" t="str">
        <f>VLOOKUP(TRIM(AI324),Sheet1!$D$3:$E$36,2,FALSE)</f>
        <v>12</v>
      </c>
      <c r="AS324" s="90" t="str">
        <f t="shared" si="138"/>
        <v>01</v>
      </c>
      <c r="AT324" s="1" t="str">
        <f t="shared" si="139"/>
        <v>01</v>
      </c>
      <c r="AU324" s="90" t="s">
        <v>1673</v>
      </c>
      <c r="AV324" s="90"/>
      <c r="AW324" s="90"/>
      <c r="AX324" s="95" t="str">
        <f>AQ324&amp;AR324&amp;AS324&amp;"-"&amp;AT324&amp;AU324&amp;BA324</f>
        <v>A1201-0142</v>
      </c>
      <c r="AY324" s="99" t="str">
        <f>AQ324&amp;AR324&amp;AS324&amp;"-"&amp;AT324&amp;BA324</f>
        <v>A1201-01</v>
      </c>
      <c r="AZ324" s="90"/>
      <c r="BA324" s="1" t="str">
        <f t="shared" si="140"/>
        <v/>
      </c>
      <c r="BC324" s="1">
        <f t="shared" si="156"/>
        <v>1</v>
      </c>
      <c r="BD324" s="90">
        <f t="shared" si="157"/>
        <v>1</v>
      </c>
      <c r="BE324" s="1">
        <f t="shared" si="143"/>
        <v>1</v>
      </c>
      <c r="BF324" s="1">
        <f t="shared" si="144"/>
        <v>1</v>
      </c>
      <c r="BI324"/>
      <c r="BJ324"/>
      <c r="BL324"/>
    </row>
    <row r="325" spans="1:64" ht="11.25" customHeight="1">
      <c r="A325" s="26" t="s">
        <v>1680</v>
      </c>
      <c r="B325" s="27" t="s">
        <v>1681</v>
      </c>
      <c r="C325" s="28">
        <v>5979.99</v>
      </c>
      <c r="D325" s="28">
        <f t="shared" ref="D325:D388" si="163">C325*$D$1</f>
        <v>2989.9949999999999</v>
      </c>
      <c r="E325" s="22" t="s">
        <v>1610</v>
      </c>
      <c r="F325" s="22" t="s">
        <v>1682</v>
      </c>
      <c r="G325" s="22" t="s">
        <v>1683</v>
      </c>
      <c r="H325" s="22" t="s">
        <v>1684</v>
      </c>
      <c r="I325" s="23" t="s">
        <v>1671</v>
      </c>
      <c r="J325" s="22" t="s">
        <v>670</v>
      </c>
      <c r="K325" s="23">
        <v>270</v>
      </c>
      <c r="L325" s="23">
        <v>90</v>
      </c>
      <c r="M325" s="23">
        <v>67</v>
      </c>
      <c r="N325" s="3">
        <f t="shared" si="142"/>
        <v>1.6281000000000001</v>
      </c>
      <c r="O325" s="4" t="e">
        <f>(C325-(C325*#REF!))-((C325-(C325*#REF!))*#REF!)</f>
        <v>#REF!</v>
      </c>
      <c r="P325" s="7"/>
      <c r="Q325" s="7"/>
      <c r="R325" s="5">
        <f t="shared" si="158"/>
        <v>0</v>
      </c>
      <c r="S325" s="4">
        <f t="shared" si="159"/>
        <v>0</v>
      </c>
      <c r="T325" s="13">
        <f t="shared" ref="T325:T388" si="164">C325-(C325*$T$1)</f>
        <v>4185.9930000000004</v>
      </c>
      <c r="U325" s="13">
        <f t="shared" si="141"/>
        <v>2092.9965000000002</v>
      </c>
      <c r="V325" s="14">
        <f>U325/C325</f>
        <v>0.35000000000000003</v>
      </c>
      <c r="W325" s="14"/>
      <c r="X325" s="19">
        <f t="shared" si="160"/>
        <v>2092.9965000000002</v>
      </c>
      <c r="Y325" s="19">
        <f t="shared" si="161"/>
        <v>4185.9930000000004</v>
      </c>
      <c r="Z325" s="15" t="e">
        <f t="shared" si="150"/>
        <v>#DIV/0!</v>
      </c>
      <c r="AA325" s="22" t="s">
        <v>1685</v>
      </c>
      <c r="AG325" s="94" t="s">
        <v>52</v>
      </c>
      <c r="AH325" s="89" t="str">
        <f>VLOOKUP(AG325,Sheet1!$B$3:$D$36,2,FALSE)</f>
        <v>Furniture</v>
      </c>
      <c r="AI325" s="89" t="s">
        <v>1617</v>
      </c>
      <c r="AJ325" s="1" t="str">
        <f t="shared" ref="AJ325:AJ388" si="165">G325</f>
        <v xml:space="preserve"> Nebula sofa-3-seater</v>
      </c>
      <c r="AK325" s="1" t="str">
        <f t="shared" ref="AK325:AK388" si="166">TRIM(H325)</f>
        <v>w270 x d90 x h67 x sh42</v>
      </c>
      <c r="AL325" s="1" t="str">
        <f t="shared" ref="AL325:AL388" si="167">I325</f>
        <v>leather brown</v>
      </c>
      <c r="AM325" s="1" t="str">
        <f t="shared" ref="AM325:AM388" si="168">I325</f>
        <v>leather brown</v>
      </c>
      <c r="AN325" s="1" t="str">
        <f t="shared" si="162"/>
        <v>leather brown</v>
      </c>
      <c r="AQ325" s="1" t="str">
        <f t="shared" ref="AQ325:AQ388" si="169">IF(TRIM(AG325)="01","A",IF(TRIM(AG325)="02","B",IF(TRIM(AG325)="03","C",IF(TRIM(AG325)="04","D",IF(TRIM(AG325)="05","E","F")))))</f>
        <v>A</v>
      </c>
      <c r="AR325" s="1" t="str">
        <f>VLOOKUP(TRIM(AI325),Sheet1!$D$3:$E$36,2,FALSE)</f>
        <v>12</v>
      </c>
      <c r="AS325" s="90" t="str">
        <f t="shared" ref="AS325:AS388" si="170">IF(LEN(BD325)=1,"0"&amp;BD325,BD325)</f>
        <v>01</v>
      </c>
      <c r="AT325" s="1" t="str">
        <f t="shared" ref="AT325:AT388" si="171">IF(LEN(BF325)=1,"0"&amp;BF325,BF325)</f>
        <v>01</v>
      </c>
      <c r="AU325" s="90" t="s">
        <v>1673</v>
      </c>
      <c r="AV325" s="90"/>
      <c r="AW325" s="90"/>
      <c r="AX325" s="95" t="str">
        <f>AQ325&amp;AR325&amp;AS325&amp;"-"&amp;AT325&amp;AU325&amp;BA325</f>
        <v>A1201-0142</v>
      </c>
      <c r="AY325" s="99" t="str">
        <f>AQ325&amp;AR325&amp;AS325&amp;"-"&amp;AT325&amp;BA325</f>
        <v>A1201-01</v>
      </c>
      <c r="AZ325" s="90"/>
      <c r="BA325" s="1" t="str">
        <f t="shared" ref="BA325:BA388" si="172">IF(AO325="","",UPPER(LEFT(AO325,3)))</f>
        <v/>
      </c>
      <c r="BC325" s="1">
        <f t="shared" si="156"/>
        <v>1</v>
      </c>
      <c r="BD325" s="90">
        <f t="shared" si="157"/>
        <v>1</v>
      </c>
      <c r="BE325" s="1">
        <f t="shared" si="143"/>
        <v>1</v>
      </c>
      <c r="BF325" s="1">
        <f t="shared" si="144"/>
        <v>1</v>
      </c>
      <c r="BI325"/>
      <c r="BJ325"/>
      <c r="BL325"/>
    </row>
    <row r="326" spans="1:64" s="63" customFormat="1" ht="15.75">
      <c r="A326" s="65" t="s">
        <v>1686</v>
      </c>
      <c r="B326" s="66"/>
      <c r="C326" s="67"/>
      <c r="D326" s="75"/>
      <c r="E326" s="68"/>
      <c r="F326" s="69"/>
      <c r="G326" s="68"/>
      <c r="H326" s="68"/>
      <c r="I326" s="65"/>
      <c r="J326" s="68"/>
      <c r="K326" s="65"/>
      <c r="L326" s="65"/>
      <c r="M326" s="65"/>
      <c r="N326" s="68"/>
      <c r="O326" s="68"/>
      <c r="P326" s="76"/>
      <c r="Q326" s="76"/>
      <c r="R326" s="77"/>
      <c r="S326" s="68"/>
      <c r="T326" s="78"/>
      <c r="U326" s="78"/>
      <c r="V326" s="75"/>
      <c r="W326" s="75"/>
      <c r="X326" s="75"/>
      <c r="Y326" s="75"/>
      <c r="Z326" s="79"/>
      <c r="AA326" s="68"/>
      <c r="AB326" s="66"/>
      <c r="AC326" s="66"/>
      <c r="AD326" s="66"/>
      <c r="AE326" s="66"/>
      <c r="AF326" s="66"/>
      <c r="AG326" s="93"/>
      <c r="AH326" s="89"/>
      <c r="AI326" s="89"/>
      <c r="AJ326" s="1"/>
      <c r="AK326" s="1"/>
      <c r="AL326" s="1"/>
      <c r="AM326" s="1"/>
      <c r="AQ326" s="1"/>
      <c r="AR326" s="1"/>
      <c r="AS326" s="90"/>
      <c r="AT326" s="1"/>
      <c r="AU326" s="90"/>
      <c r="AV326" s="90"/>
      <c r="AW326" s="90"/>
      <c r="AX326" s="95"/>
      <c r="AY326" s="99" t="str">
        <f>AQ326&amp;AR326&amp;AS326&amp;"-"&amp;AT326&amp;BA326</f>
        <v>-</v>
      </c>
      <c r="AZ326" s="90"/>
      <c r="BA326" s="1"/>
      <c r="BC326" s="1"/>
      <c r="BD326" s="90"/>
      <c r="BE326" s="1"/>
      <c r="BF326" s="1"/>
      <c r="BI326"/>
      <c r="BJ326"/>
      <c r="BK326" s="1"/>
      <c r="BL326"/>
    </row>
    <row r="327" spans="1:64" ht="11.25" customHeight="1">
      <c r="A327" s="26" t="s">
        <v>1687</v>
      </c>
      <c r="B327" s="27" t="s">
        <v>1688</v>
      </c>
      <c r="C327" s="28">
        <v>2189.9899999999998</v>
      </c>
      <c r="D327" s="28">
        <f t="shared" si="163"/>
        <v>1094.9949999999999</v>
      </c>
      <c r="E327" s="22" t="s">
        <v>1686</v>
      </c>
      <c r="F327" s="22" t="s">
        <v>1689</v>
      </c>
      <c r="G327" s="22" t="s">
        <v>1690</v>
      </c>
      <c r="H327" s="22" t="s">
        <v>1691</v>
      </c>
      <c r="I327" s="23" t="s">
        <v>807</v>
      </c>
      <c r="J327" s="22" t="s">
        <v>50</v>
      </c>
      <c r="K327" s="23">
        <v>92</v>
      </c>
      <c r="L327" s="23">
        <v>87</v>
      </c>
      <c r="M327" s="23">
        <v>66</v>
      </c>
      <c r="N327" s="3">
        <f t="shared" si="142"/>
        <v>0.52826399999999996</v>
      </c>
      <c r="O327" s="4" t="e">
        <f>(C327-(C327*#REF!))-((C327-(C327*#REF!))*#REF!)</f>
        <v>#REF!</v>
      </c>
      <c r="P327" s="7">
        <v>2755166.5439385073</v>
      </c>
      <c r="Q327" s="7">
        <v>0</v>
      </c>
      <c r="R327" s="5">
        <f t="shared" ref="R327:R360" si="173">P327+Q327</f>
        <v>2755166.5439385073</v>
      </c>
      <c r="S327" s="4">
        <f t="shared" ref="S327:S360" si="174">R327/15000</f>
        <v>183.67776959590049</v>
      </c>
      <c r="T327" s="13">
        <f t="shared" si="164"/>
        <v>1532.9929999999999</v>
      </c>
      <c r="U327" s="13">
        <f t="shared" ref="U326:U389" si="175">T327-(T327*$U$1)</f>
        <v>766.49649999999997</v>
      </c>
      <c r="V327" s="14">
        <f>U327/C327</f>
        <v>0.35000000000000003</v>
      </c>
      <c r="W327" s="14"/>
      <c r="X327" s="19">
        <f t="shared" ref="X327:X360" si="176">IF(ISBLANK(W327),U327, W327)</f>
        <v>766.49649999999997</v>
      </c>
      <c r="Y327" s="19">
        <f t="shared" ref="Y327:Y360" si="177">X327*2</f>
        <v>1532.9929999999999</v>
      </c>
      <c r="Z327" s="15">
        <f t="shared" si="150"/>
        <v>4.1730499106469301</v>
      </c>
      <c r="AA327" s="22" t="s">
        <v>1692</v>
      </c>
      <c r="AG327" s="94" t="s">
        <v>52</v>
      </c>
      <c r="AH327" s="89" t="str">
        <f>VLOOKUP(AG327,Sheet1!$B$3:$D$36,2,FALSE)</f>
        <v>Furniture</v>
      </c>
      <c r="AI327" s="89" t="s">
        <v>1693</v>
      </c>
      <c r="AJ327" s="1" t="str">
        <f t="shared" si="165"/>
        <v xml:space="preserve"> Prism Chair-single</v>
      </c>
      <c r="AK327" s="1" t="str">
        <f t="shared" si="166"/>
        <v>w92 x d87 x h66 x sh34</v>
      </c>
      <c r="AL327" s="1" t="str">
        <f t="shared" si="167"/>
        <v>natural teak</v>
      </c>
      <c r="AM327" s="1" t="str">
        <f t="shared" si="168"/>
        <v>natural teak</v>
      </c>
      <c r="AN327" s="1" t="str">
        <f t="shared" ref="AN327:AN360" si="178">SUBSTITUTE(AL327,"indoor","")</f>
        <v>natural teak</v>
      </c>
      <c r="AQ327" s="1" t="str">
        <f t="shared" si="169"/>
        <v>A</v>
      </c>
      <c r="AR327" s="1" t="str">
        <f>VLOOKUP(TRIM(AI327),Sheet1!$D$3:$E$36,2,FALSE)</f>
        <v>13</v>
      </c>
      <c r="AS327" s="90" t="str">
        <f t="shared" si="170"/>
        <v>01</v>
      </c>
      <c r="AT327" s="1" t="str">
        <f t="shared" si="171"/>
        <v>01</v>
      </c>
      <c r="AU327" s="90" t="s">
        <v>55</v>
      </c>
      <c r="AV327" s="90"/>
      <c r="AW327" s="90"/>
      <c r="AX327" s="95" t="str">
        <f>AQ327&amp;AR327&amp;AS327&amp;"-"&amp;AT327&amp;AU327&amp;BA327</f>
        <v>A1301-0110</v>
      </c>
      <c r="AY327" s="99" t="str">
        <f>AQ327&amp;AR327&amp;AS327&amp;"-"&amp;AT327&amp;BA327</f>
        <v>A1301-01</v>
      </c>
      <c r="AZ327" s="90"/>
      <c r="BA327" s="1" t="str">
        <f t="shared" si="172"/>
        <v/>
      </c>
      <c r="BC327" s="1">
        <f t="shared" si="156"/>
        <v>1</v>
      </c>
      <c r="BD327" s="90">
        <f t="shared" si="157"/>
        <v>1</v>
      </c>
      <c r="BE327" s="1">
        <f t="shared" si="143"/>
        <v>1</v>
      </c>
      <c r="BF327" s="1">
        <f t="shared" si="144"/>
        <v>1</v>
      </c>
      <c r="BI327"/>
      <c r="BJ327"/>
      <c r="BL327"/>
    </row>
    <row r="328" spans="1:64" ht="11.25" customHeight="1">
      <c r="A328" s="26" t="s">
        <v>1694</v>
      </c>
      <c r="B328" s="27" t="s">
        <v>1695</v>
      </c>
      <c r="C328" s="28">
        <v>724.99</v>
      </c>
      <c r="D328" s="28">
        <f t="shared" si="163"/>
        <v>362.495</v>
      </c>
      <c r="E328" s="22" t="s">
        <v>1686</v>
      </c>
      <c r="F328" s="22" t="s">
        <v>1696</v>
      </c>
      <c r="G328" s="22" t="s">
        <v>1697</v>
      </c>
      <c r="I328" s="23" t="s">
        <v>1223</v>
      </c>
      <c r="J328" s="22" t="s">
        <v>1698</v>
      </c>
      <c r="N328" s="3">
        <f t="shared" ref="N328:N360" si="179">(IF(ISBLANK(K328),(L328*L328*M328),(K328*L328*M328)))/1000000</f>
        <v>0</v>
      </c>
      <c r="O328" s="4" t="e">
        <f>(C328-(C328*#REF!))-((C328-(C328*#REF!))*#REF!)</f>
        <v>#REF!</v>
      </c>
      <c r="P328" s="7"/>
      <c r="Q328" s="7"/>
      <c r="R328" s="5">
        <f t="shared" si="173"/>
        <v>0</v>
      </c>
      <c r="S328" s="4">
        <f t="shared" si="174"/>
        <v>0</v>
      </c>
      <c r="T328" s="13">
        <f t="shared" si="164"/>
        <v>507.49300000000005</v>
      </c>
      <c r="U328" s="13">
        <f t="shared" si="175"/>
        <v>253.74650000000003</v>
      </c>
      <c r="V328" s="14">
        <f>U328/C328</f>
        <v>0.35000000000000003</v>
      </c>
      <c r="W328" s="14"/>
      <c r="X328" s="19">
        <f t="shared" si="176"/>
        <v>253.74650000000003</v>
      </c>
      <c r="Y328" s="19">
        <f t="shared" si="177"/>
        <v>507.49300000000005</v>
      </c>
      <c r="Z328" s="15" t="e">
        <f t="shared" si="150"/>
        <v>#DIV/0!</v>
      </c>
      <c r="AA328" s="22" t="s">
        <v>1699</v>
      </c>
      <c r="AG328" s="94" t="s">
        <v>52</v>
      </c>
      <c r="AH328" s="89" t="str">
        <f>VLOOKUP(AG328,Sheet1!$B$3:$D$36,2,FALSE)</f>
        <v>Furniture</v>
      </c>
      <c r="AI328" s="89" t="s">
        <v>1693</v>
      </c>
      <c r="AJ328" s="1" t="str">
        <f t="shared" si="165"/>
        <v xml:space="preserve"> Prism cushion-single</v>
      </c>
      <c r="AK328" s="1" t="str">
        <f t="shared" si="166"/>
        <v/>
      </c>
      <c r="AL328" s="1" t="str">
        <f t="shared" si="167"/>
        <v>fabric</v>
      </c>
      <c r="AM328" s="1" t="str">
        <f t="shared" si="168"/>
        <v>fabric</v>
      </c>
      <c r="AN328" s="1" t="str">
        <f t="shared" si="178"/>
        <v>fabric</v>
      </c>
      <c r="AQ328" s="1" t="str">
        <f t="shared" si="169"/>
        <v>A</v>
      </c>
      <c r="AR328" s="1" t="str">
        <f>VLOOKUP(TRIM(AI328),Sheet1!$D$3:$E$36,2,FALSE)</f>
        <v>13</v>
      </c>
      <c r="AS328" s="90" t="str">
        <f t="shared" si="170"/>
        <v>01</v>
      </c>
      <c r="AT328" s="1" t="str">
        <f t="shared" si="171"/>
        <v>01</v>
      </c>
      <c r="AU328" s="90" t="s">
        <v>1225</v>
      </c>
      <c r="AV328" s="90"/>
      <c r="AW328" s="90"/>
      <c r="AX328" s="95" t="str">
        <f>AQ328&amp;AR328&amp;AS328&amp;"-"&amp;AT328&amp;AU328&amp;BA328</f>
        <v>A1301-0139</v>
      </c>
      <c r="AY328" s="99" t="str">
        <f>AQ328&amp;AR328&amp;AS328&amp;"-"&amp;AT328&amp;BA328</f>
        <v>A1301-01</v>
      </c>
      <c r="AZ328" s="90"/>
      <c r="BA328" s="1" t="str">
        <f t="shared" si="172"/>
        <v/>
      </c>
      <c r="BC328" s="1">
        <f t="shared" si="156"/>
        <v>1</v>
      </c>
      <c r="BD328" s="90">
        <f t="shared" si="157"/>
        <v>1</v>
      </c>
      <c r="BE328" s="1">
        <f t="shared" si="143"/>
        <v>1</v>
      </c>
      <c r="BF328" s="1">
        <f t="shared" si="144"/>
        <v>1</v>
      </c>
      <c r="BI328"/>
      <c r="BJ328"/>
      <c r="BL328"/>
    </row>
    <row r="329" spans="1:64" ht="11.25" customHeight="1">
      <c r="A329" s="26" t="s">
        <v>1700</v>
      </c>
      <c r="B329" s="27" t="s">
        <v>1701</v>
      </c>
      <c r="C329" s="28">
        <v>3259.99</v>
      </c>
      <c r="D329" s="28">
        <f t="shared" si="163"/>
        <v>1629.9949999999999</v>
      </c>
      <c r="E329" s="22" t="s">
        <v>1686</v>
      </c>
      <c r="F329" s="22" t="s">
        <v>1702</v>
      </c>
      <c r="G329" s="22" t="s">
        <v>1703</v>
      </c>
      <c r="H329" s="22" t="s">
        <v>1704</v>
      </c>
      <c r="I329" s="23" t="s">
        <v>807</v>
      </c>
      <c r="J329" s="22" t="s">
        <v>50</v>
      </c>
      <c r="K329" s="23">
        <v>188</v>
      </c>
      <c r="L329" s="23">
        <v>87</v>
      </c>
      <c r="M329" s="23">
        <v>66</v>
      </c>
      <c r="N329" s="3">
        <f t="shared" si="179"/>
        <v>1.079496</v>
      </c>
      <c r="O329" s="4" t="e">
        <f>(C329-(C329*#REF!))-((C329-(C329*#REF!))*#REF!)</f>
        <v>#REF!</v>
      </c>
      <c r="P329" s="7">
        <v>4262379.414430107</v>
      </c>
      <c r="Q329" s="7">
        <v>0</v>
      </c>
      <c r="R329" s="5">
        <f t="shared" si="173"/>
        <v>4262379.414430107</v>
      </c>
      <c r="S329" s="4">
        <f t="shared" si="174"/>
        <v>284.1586276286738</v>
      </c>
      <c r="T329" s="13">
        <f t="shared" si="164"/>
        <v>2281.9929999999999</v>
      </c>
      <c r="U329" s="13">
        <f t="shared" si="175"/>
        <v>1140.9965</v>
      </c>
      <c r="V329" s="14">
        <f>U329/C329</f>
        <v>0.35000000000000003</v>
      </c>
      <c r="W329" s="14"/>
      <c r="X329" s="19">
        <f t="shared" si="176"/>
        <v>1140.9965</v>
      </c>
      <c r="Y329" s="19">
        <f t="shared" si="177"/>
        <v>2281.9929999999999</v>
      </c>
      <c r="Z329" s="15">
        <f t="shared" si="150"/>
        <v>4.0153505438905936</v>
      </c>
      <c r="AA329" s="22" t="s">
        <v>1705</v>
      </c>
      <c r="AG329" s="94" t="s">
        <v>52</v>
      </c>
      <c r="AH329" s="89" t="str">
        <f>VLOOKUP(AG329,Sheet1!$B$3:$D$36,2,FALSE)</f>
        <v>Furniture</v>
      </c>
      <c r="AI329" s="89" t="s">
        <v>1693</v>
      </c>
      <c r="AJ329" s="1" t="str">
        <f t="shared" si="165"/>
        <v xml:space="preserve"> Prism chair-double</v>
      </c>
      <c r="AK329" s="1" t="str">
        <f t="shared" si="166"/>
        <v>w188 x d87 x h66 x sh34</v>
      </c>
      <c r="AL329" s="1" t="str">
        <f t="shared" si="167"/>
        <v>natural teak</v>
      </c>
      <c r="AM329" s="1" t="str">
        <f t="shared" si="168"/>
        <v>natural teak</v>
      </c>
      <c r="AN329" s="1" t="str">
        <f t="shared" si="178"/>
        <v>natural teak</v>
      </c>
      <c r="AQ329" s="1" t="str">
        <f t="shared" si="169"/>
        <v>A</v>
      </c>
      <c r="AR329" s="1" t="str">
        <f>VLOOKUP(TRIM(AI329),Sheet1!$D$3:$E$36,2,FALSE)</f>
        <v>13</v>
      </c>
      <c r="AS329" s="90" t="str">
        <f t="shared" si="170"/>
        <v>01</v>
      </c>
      <c r="AT329" s="1" t="str">
        <f t="shared" si="171"/>
        <v>01</v>
      </c>
      <c r="AU329" s="90" t="s">
        <v>55</v>
      </c>
      <c r="AV329" s="90"/>
      <c r="AW329" s="90"/>
      <c r="AX329" s="95" t="str">
        <f>AQ329&amp;AR329&amp;AS329&amp;"-"&amp;AT329&amp;AU329&amp;BA329</f>
        <v>A1301-0110</v>
      </c>
      <c r="AY329" s="99" t="str">
        <f>AQ329&amp;AR329&amp;AS329&amp;"-"&amp;AT329&amp;BA329</f>
        <v>A1301-01</v>
      </c>
      <c r="AZ329" s="90"/>
      <c r="BA329" s="1" t="str">
        <f t="shared" si="172"/>
        <v/>
      </c>
      <c r="BC329" s="1">
        <f t="shared" si="156"/>
        <v>1</v>
      </c>
      <c r="BD329" s="90">
        <f t="shared" si="157"/>
        <v>1</v>
      </c>
      <c r="BE329" s="1">
        <f t="shared" si="143"/>
        <v>1</v>
      </c>
      <c r="BF329" s="1">
        <f t="shared" si="144"/>
        <v>1</v>
      </c>
      <c r="BI329"/>
      <c r="BJ329"/>
      <c r="BL329"/>
    </row>
    <row r="330" spans="1:64" ht="11.25" customHeight="1">
      <c r="A330" s="26" t="s">
        <v>1706</v>
      </c>
      <c r="B330" s="27" t="s">
        <v>1707</v>
      </c>
      <c r="C330" s="28">
        <v>1359.99</v>
      </c>
      <c r="D330" s="28">
        <f t="shared" si="163"/>
        <v>679.995</v>
      </c>
      <c r="E330" s="22" t="s">
        <v>1686</v>
      </c>
      <c r="F330" s="22" t="s">
        <v>1708</v>
      </c>
      <c r="G330" s="22" t="s">
        <v>1709</v>
      </c>
      <c r="I330" s="23" t="s">
        <v>1223</v>
      </c>
      <c r="J330" s="22" t="s">
        <v>1698</v>
      </c>
      <c r="N330" s="3">
        <f t="shared" si="179"/>
        <v>0</v>
      </c>
      <c r="O330" s="4" t="e">
        <f>(C330-(C330*#REF!))-((C330-(C330*#REF!))*#REF!)</f>
        <v>#REF!</v>
      </c>
      <c r="P330" s="7"/>
      <c r="Q330" s="7"/>
      <c r="R330" s="5">
        <f t="shared" si="173"/>
        <v>0</v>
      </c>
      <c r="S330" s="4">
        <f t="shared" si="174"/>
        <v>0</v>
      </c>
      <c r="T330" s="13">
        <f t="shared" si="164"/>
        <v>951.99299999999994</v>
      </c>
      <c r="U330" s="13">
        <f t="shared" si="175"/>
        <v>475.99649999999997</v>
      </c>
      <c r="V330" s="14">
        <f>U330/C330</f>
        <v>0.35</v>
      </c>
      <c r="W330" s="14"/>
      <c r="X330" s="19">
        <f t="shared" si="176"/>
        <v>475.99649999999997</v>
      </c>
      <c r="Y330" s="19">
        <f t="shared" si="177"/>
        <v>951.99299999999994</v>
      </c>
      <c r="Z330" s="15" t="e">
        <f t="shared" si="150"/>
        <v>#DIV/0!</v>
      </c>
      <c r="AA330" s="22" t="s">
        <v>1710</v>
      </c>
      <c r="AG330" s="94" t="s">
        <v>52</v>
      </c>
      <c r="AH330" s="89" t="str">
        <f>VLOOKUP(AG330,Sheet1!$B$3:$D$36,2,FALSE)</f>
        <v>Furniture</v>
      </c>
      <c r="AI330" s="89" t="s">
        <v>1693</v>
      </c>
      <c r="AJ330" s="1" t="str">
        <f t="shared" si="165"/>
        <v xml:space="preserve"> Prism cushion-double</v>
      </c>
      <c r="AK330" s="1" t="str">
        <f t="shared" si="166"/>
        <v/>
      </c>
      <c r="AL330" s="1" t="str">
        <f t="shared" si="167"/>
        <v>fabric</v>
      </c>
      <c r="AM330" s="1" t="str">
        <f t="shared" si="168"/>
        <v>fabric</v>
      </c>
      <c r="AN330" s="1" t="str">
        <f t="shared" si="178"/>
        <v>fabric</v>
      </c>
      <c r="AQ330" s="1" t="str">
        <f t="shared" si="169"/>
        <v>A</v>
      </c>
      <c r="AR330" s="1" t="str">
        <f>VLOOKUP(TRIM(AI330),Sheet1!$D$3:$E$36,2,FALSE)</f>
        <v>13</v>
      </c>
      <c r="AS330" s="90" t="str">
        <f t="shared" si="170"/>
        <v>01</v>
      </c>
      <c r="AT330" s="1" t="str">
        <f t="shared" si="171"/>
        <v>01</v>
      </c>
      <c r="AU330" s="90" t="s">
        <v>1225</v>
      </c>
      <c r="AV330" s="90"/>
      <c r="AW330" s="90"/>
      <c r="AX330" s="95" t="str">
        <f>AQ330&amp;AR330&amp;AS330&amp;"-"&amp;AT330&amp;AU330&amp;BA330</f>
        <v>A1301-0139</v>
      </c>
      <c r="AY330" s="99" t="str">
        <f>AQ330&amp;AR330&amp;AS330&amp;"-"&amp;AT330&amp;BA330</f>
        <v>A1301-01</v>
      </c>
      <c r="AZ330" s="90"/>
      <c r="BA330" s="1" t="str">
        <f t="shared" si="172"/>
        <v/>
      </c>
      <c r="BC330" s="1">
        <f t="shared" si="156"/>
        <v>1</v>
      </c>
      <c r="BD330" s="90">
        <f t="shared" si="157"/>
        <v>1</v>
      </c>
      <c r="BE330" s="1">
        <f t="shared" si="143"/>
        <v>1</v>
      </c>
      <c r="BF330" s="1">
        <f t="shared" si="144"/>
        <v>1</v>
      </c>
      <c r="BI330"/>
      <c r="BJ330"/>
      <c r="BL330"/>
    </row>
    <row r="331" spans="1:64" ht="11.25" customHeight="1">
      <c r="A331" s="26" t="s">
        <v>1711</v>
      </c>
      <c r="B331" s="27" t="s">
        <v>1712</v>
      </c>
      <c r="C331" s="28">
        <v>4139.99</v>
      </c>
      <c r="D331" s="28">
        <f t="shared" si="163"/>
        <v>2069.9949999999999</v>
      </c>
      <c r="E331" s="22" t="s">
        <v>1686</v>
      </c>
      <c r="F331" s="22" t="s">
        <v>1713</v>
      </c>
      <c r="G331" s="22" t="s">
        <v>1714</v>
      </c>
      <c r="H331" s="22" t="s">
        <v>1715</v>
      </c>
      <c r="I331" s="23" t="s">
        <v>807</v>
      </c>
      <c r="J331" s="22" t="s">
        <v>50</v>
      </c>
      <c r="K331" s="23">
        <v>300</v>
      </c>
      <c r="L331" s="23">
        <v>87</v>
      </c>
      <c r="M331" s="23">
        <v>66</v>
      </c>
      <c r="N331" s="3">
        <f t="shared" si="179"/>
        <v>1.7225999999999999</v>
      </c>
      <c r="O331" s="4" t="e">
        <f>(C331-(C331*#REF!))-((C331-(C331*#REF!))*#REF!)</f>
        <v>#REF!</v>
      </c>
      <c r="P331" s="7"/>
      <c r="Q331" s="7"/>
      <c r="R331" s="5">
        <f t="shared" si="173"/>
        <v>0</v>
      </c>
      <c r="S331" s="4">
        <f t="shared" si="174"/>
        <v>0</v>
      </c>
      <c r="T331" s="13">
        <f t="shared" si="164"/>
        <v>2897.9929999999999</v>
      </c>
      <c r="U331" s="13">
        <f t="shared" si="175"/>
        <v>1448.9965</v>
      </c>
      <c r="V331" s="14">
        <f>U331/C331</f>
        <v>0.35000000000000003</v>
      </c>
      <c r="W331" s="14"/>
      <c r="X331" s="19">
        <f t="shared" si="176"/>
        <v>1448.9965</v>
      </c>
      <c r="Y331" s="19">
        <f t="shared" si="177"/>
        <v>2897.9929999999999</v>
      </c>
      <c r="Z331" s="15" t="e">
        <f t="shared" si="150"/>
        <v>#DIV/0!</v>
      </c>
      <c r="AA331" s="22" t="s">
        <v>1716</v>
      </c>
      <c r="AG331" s="94" t="s">
        <v>52</v>
      </c>
      <c r="AH331" s="89" t="str">
        <f>VLOOKUP(AG331,Sheet1!$B$3:$D$36,2,FALSE)</f>
        <v>Furniture</v>
      </c>
      <c r="AI331" s="89" t="s">
        <v>1693</v>
      </c>
      <c r="AJ331" s="1" t="str">
        <f t="shared" si="165"/>
        <v xml:space="preserve"> Prism chair-triple</v>
      </c>
      <c r="AK331" s="1" t="str">
        <f t="shared" si="166"/>
        <v>w300 x d87 x h66 x sh34</v>
      </c>
      <c r="AL331" s="1" t="str">
        <f t="shared" si="167"/>
        <v>natural teak</v>
      </c>
      <c r="AM331" s="1" t="str">
        <f t="shared" si="168"/>
        <v>natural teak</v>
      </c>
      <c r="AN331" s="1" t="str">
        <f t="shared" si="178"/>
        <v>natural teak</v>
      </c>
      <c r="AQ331" s="1" t="str">
        <f t="shared" si="169"/>
        <v>A</v>
      </c>
      <c r="AR331" s="1" t="str">
        <f>VLOOKUP(TRIM(AI331),Sheet1!$D$3:$E$36,2,FALSE)</f>
        <v>13</v>
      </c>
      <c r="AS331" s="90" t="str">
        <f t="shared" si="170"/>
        <v>01</v>
      </c>
      <c r="AT331" s="1" t="str">
        <f t="shared" si="171"/>
        <v>01</v>
      </c>
      <c r="AU331" s="90" t="s">
        <v>55</v>
      </c>
      <c r="AV331" s="90"/>
      <c r="AW331" s="90"/>
      <c r="AX331" s="95" t="str">
        <f>AQ331&amp;AR331&amp;AS331&amp;"-"&amp;AT331&amp;AU331&amp;BA331</f>
        <v>A1301-0110</v>
      </c>
      <c r="AY331" s="99" t="str">
        <f>AQ331&amp;AR331&amp;AS331&amp;"-"&amp;AT331&amp;BA331</f>
        <v>A1301-01</v>
      </c>
      <c r="AZ331" s="90"/>
      <c r="BA331" s="1" t="str">
        <f t="shared" si="172"/>
        <v/>
      </c>
      <c r="BC331" s="1">
        <f t="shared" si="156"/>
        <v>1</v>
      </c>
      <c r="BD331" s="90">
        <f t="shared" si="157"/>
        <v>1</v>
      </c>
      <c r="BE331" s="1">
        <f t="shared" si="143"/>
        <v>1</v>
      </c>
      <c r="BF331" s="1">
        <f t="shared" si="144"/>
        <v>1</v>
      </c>
      <c r="BI331"/>
      <c r="BJ331"/>
      <c r="BL331"/>
    </row>
    <row r="332" spans="1:64" ht="11.25" customHeight="1">
      <c r="A332" s="26" t="s">
        <v>1717</v>
      </c>
      <c r="B332" s="27" t="s">
        <v>1718</v>
      </c>
      <c r="C332" s="28">
        <v>2379.9899999999998</v>
      </c>
      <c r="D332" s="28">
        <f t="shared" si="163"/>
        <v>1189.9949999999999</v>
      </c>
      <c r="E332" s="22" t="s">
        <v>1686</v>
      </c>
      <c r="F332" s="22" t="s">
        <v>1708</v>
      </c>
      <c r="G332" s="22" t="s">
        <v>1719</v>
      </c>
      <c r="I332" s="23" t="s">
        <v>1223</v>
      </c>
      <c r="J332" s="22" t="s">
        <v>1698</v>
      </c>
      <c r="N332" s="3">
        <f t="shared" si="179"/>
        <v>0</v>
      </c>
      <c r="O332" s="4" t="e">
        <f>(C332-(C332*#REF!))-((C332-(C332*#REF!))*#REF!)</f>
        <v>#REF!</v>
      </c>
      <c r="P332" s="7"/>
      <c r="Q332" s="7"/>
      <c r="R332" s="5">
        <f t="shared" si="173"/>
        <v>0</v>
      </c>
      <c r="S332" s="4">
        <f t="shared" si="174"/>
        <v>0</v>
      </c>
      <c r="T332" s="13">
        <f t="shared" si="164"/>
        <v>1665.9929999999999</v>
      </c>
      <c r="U332" s="13">
        <f t="shared" si="175"/>
        <v>832.99649999999997</v>
      </c>
      <c r="V332" s="14">
        <f>U332/C332</f>
        <v>0.35000000000000003</v>
      </c>
      <c r="W332" s="14"/>
      <c r="X332" s="19">
        <f t="shared" si="176"/>
        <v>832.99649999999997</v>
      </c>
      <c r="Y332" s="19">
        <f t="shared" si="177"/>
        <v>1665.9929999999999</v>
      </c>
      <c r="Z332" s="15" t="e">
        <f t="shared" si="150"/>
        <v>#DIV/0!</v>
      </c>
      <c r="AA332" s="22" t="s">
        <v>1720</v>
      </c>
      <c r="AG332" s="94" t="s">
        <v>52</v>
      </c>
      <c r="AH332" s="89" t="str">
        <f>VLOOKUP(AG332,Sheet1!$B$3:$D$36,2,FALSE)</f>
        <v>Furniture</v>
      </c>
      <c r="AI332" s="89" t="s">
        <v>1693</v>
      </c>
      <c r="AJ332" s="1" t="str">
        <f t="shared" si="165"/>
        <v xml:space="preserve"> Prism cushion-triple</v>
      </c>
      <c r="AK332" s="1" t="str">
        <f t="shared" si="166"/>
        <v/>
      </c>
      <c r="AL332" s="1" t="str">
        <f t="shared" si="167"/>
        <v>fabric</v>
      </c>
      <c r="AM332" s="1" t="str">
        <f t="shared" si="168"/>
        <v>fabric</v>
      </c>
      <c r="AN332" s="1" t="str">
        <f t="shared" si="178"/>
        <v>fabric</v>
      </c>
      <c r="AQ332" s="1" t="str">
        <f t="shared" si="169"/>
        <v>A</v>
      </c>
      <c r="AR332" s="1" t="str">
        <f>VLOOKUP(TRIM(AI332),Sheet1!$D$3:$E$36,2,FALSE)</f>
        <v>13</v>
      </c>
      <c r="AS332" s="90" t="str">
        <f t="shared" si="170"/>
        <v>01</v>
      </c>
      <c r="AT332" s="1" t="str">
        <f t="shared" si="171"/>
        <v>01</v>
      </c>
      <c r="AU332" s="90" t="s">
        <v>1225</v>
      </c>
      <c r="AV332" s="90"/>
      <c r="AW332" s="90"/>
      <c r="AX332" s="95" t="str">
        <f>AQ332&amp;AR332&amp;AS332&amp;"-"&amp;AT332&amp;AU332&amp;BA332</f>
        <v>A1301-0139</v>
      </c>
      <c r="AY332" s="99" t="str">
        <f>AQ332&amp;AR332&amp;AS332&amp;"-"&amp;AT332&amp;BA332</f>
        <v>A1301-01</v>
      </c>
      <c r="AZ332" s="90"/>
      <c r="BA332" s="1" t="str">
        <f t="shared" si="172"/>
        <v/>
      </c>
      <c r="BC332" s="1">
        <f t="shared" si="156"/>
        <v>1</v>
      </c>
      <c r="BD332" s="90">
        <f t="shared" si="157"/>
        <v>1</v>
      </c>
      <c r="BE332" s="1">
        <f t="shared" si="143"/>
        <v>1</v>
      </c>
      <c r="BF332" s="1">
        <f t="shared" si="144"/>
        <v>1</v>
      </c>
      <c r="BI332"/>
      <c r="BJ332"/>
      <c r="BL332"/>
    </row>
    <row r="333" spans="1:64" ht="11.25" customHeight="1">
      <c r="A333" s="26" t="s">
        <v>1721</v>
      </c>
      <c r="B333" s="27" t="s">
        <v>1722</v>
      </c>
      <c r="C333" s="28">
        <v>2259.9899999999998</v>
      </c>
      <c r="D333" s="28">
        <f t="shared" si="163"/>
        <v>1129.9949999999999</v>
      </c>
      <c r="E333" s="22" t="s">
        <v>1686</v>
      </c>
      <c r="F333" s="22" t="s">
        <v>1723</v>
      </c>
      <c r="G333" s="22" t="s">
        <v>1724</v>
      </c>
      <c r="H333" s="22" t="s">
        <v>1725</v>
      </c>
      <c r="I333" s="23" t="s">
        <v>815</v>
      </c>
      <c r="J333" s="22" t="s">
        <v>50</v>
      </c>
      <c r="K333" s="23">
        <v>62</v>
      </c>
      <c r="L333" s="23">
        <v>76</v>
      </c>
      <c r="M333" s="23">
        <v>87</v>
      </c>
      <c r="N333" s="3">
        <f t="shared" si="179"/>
        <v>0.40994399999999998</v>
      </c>
      <c r="O333" s="4" t="e">
        <f>(C333-(C333*#REF!))-((C333-(C333*#REF!))*#REF!)</f>
        <v>#REF!</v>
      </c>
      <c r="P333" s="7">
        <v>4774103.6010238109</v>
      </c>
      <c r="Q333" s="7">
        <v>0</v>
      </c>
      <c r="R333" s="5">
        <f t="shared" si="173"/>
        <v>4774103.6010238109</v>
      </c>
      <c r="S333" s="4">
        <f t="shared" si="174"/>
        <v>318.27357340158738</v>
      </c>
      <c r="T333" s="13">
        <f t="shared" si="164"/>
        <v>1581.9929999999999</v>
      </c>
      <c r="U333" s="13">
        <f t="shared" si="175"/>
        <v>790.99649999999997</v>
      </c>
      <c r="V333" s="14">
        <f>U333/C333</f>
        <v>0.35000000000000003</v>
      </c>
      <c r="W333" s="14"/>
      <c r="X333" s="19">
        <f t="shared" si="176"/>
        <v>790.99649999999997</v>
      </c>
      <c r="Y333" s="19">
        <f t="shared" si="177"/>
        <v>1581.9929999999999</v>
      </c>
      <c r="Z333" s="15">
        <f t="shared" si="150"/>
        <v>2.4852723132056771</v>
      </c>
      <c r="AA333" s="22" t="s">
        <v>1726</v>
      </c>
      <c r="AG333" s="94" t="s">
        <v>52</v>
      </c>
      <c r="AH333" s="89" t="str">
        <f>VLOOKUP(AG333,Sheet1!$B$3:$D$36,2,FALSE)</f>
        <v>Furniture</v>
      </c>
      <c r="AI333" s="89" t="s">
        <v>1693</v>
      </c>
      <c r="AJ333" s="1" t="str">
        <f t="shared" si="165"/>
        <v xml:space="preserve"> Aurora chair</v>
      </c>
      <c r="AK333" s="1" t="str">
        <f t="shared" si="166"/>
        <v>w62 x d76 x h87 x sh34</v>
      </c>
      <c r="AL333" s="1" t="str">
        <f t="shared" si="167"/>
        <v>bare</v>
      </c>
      <c r="AM333" s="1" t="str">
        <f t="shared" si="168"/>
        <v>bare</v>
      </c>
      <c r="AN333" s="1" t="str">
        <f t="shared" si="178"/>
        <v>bare</v>
      </c>
      <c r="AQ333" s="1" t="str">
        <f t="shared" si="169"/>
        <v>A</v>
      </c>
      <c r="AR333" s="1" t="str">
        <f>VLOOKUP(TRIM(AI333),Sheet1!$D$3:$E$36,2,FALSE)</f>
        <v>13</v>
      </c>
      <c r="AS333" s="90" t="str">
        <f t="shared" si="170"/>
        <v>01</v>
      </c>
      <c r="AT333" s="1" t="str">
        <f t="shared" si="171"/>
        <v>01</v>
      </c>
      <c r="AU333" s="90" t="s">
        <v>817</v>
      </c>
      <c r="AV333" s="90"/>
      <c r="AW333" s="90"/>
      <c r="AX333" s="95" t="str">
        <f>AQ333&amp;AR333&amp;AS333&amp;"-"&amp;AT333&amp;AU333&amp;BA333</f>
        <v>A1301-0103</v>
      </c>
      <c r="AY333" s="99" t="str">
        <f>AQ333&amp;AR333&amp;AS333&amp;"-"&amp;AT333&amp;BA333</f>
        <v>A1301-01</v>
      </c>
      <c r="AZ333" s="90"/>
      <c r="BA333" s="1" t="str">
        <f t="shared" si="172"/>
        <v/>
      </c>
      <c r="BC333" s="1">
        <f t="shared" si="156"/>
        <v>1</v>
      </c>
      <c r="BD333" s="90">
        <f t="shared" si="157"/>
        <v>1</v>
      </c>
      <c r="BE333" s="1">
        <f t="shared" ref="BE333:BE396" si="180">IF(AK332&lt;&gt;AK333,1,"")</f>
        <v>1</v>
      </c>
      <c r="BF333" s="1">
        <f t="shared" ref="BF333:BF396" si="181">IF(BE333=1,1,BF332+1)</f>
        <v>1</v>
      </c>
      <c r="BI333"/>
      <c r="BJ333"/>
      <c r="BL333"/>
    </row>
    <row r="334" spans="1:64" ht="11.25" customHeight="1">
      <c r="A334" s="26" t="s">
        <v>1727</v>
      </c>
      <c r="B334" s="27" t="s">
        <v>1728</v>
      </c>
      <c r="C334" s="28">
        <v>2499.9899999999998</v>
      </c>
      <c r="D334" s="28">
        <f t="shared" si="163"/>
        <v>1249.9949999999999</v>
      </c>
      <c r="E334" s="22" t="s">
        <v>1686</v>
      </c>
      <c r="F334" s="22" t="s">
        <v>1729</v>
      </c>
      <c r="G334" s="22" t="s">
        <v>1730</v>
      </c>
      <c r="H334" s="22" t="s">
        <v>1731</v>
      </c>
      <c r="I334" s="23" t="s">
        <v>807</v>
      </c>
      <c r="J334" s="22" t="s">
        <v>646</v>
      </c>
      <c r="K334" s="23">
        <v>200</v>
      </c>
      <c r="L334" s="23">
        <v>109</v>
      </c>
      <c r="M334" s="23">
        <v>84</v>
      </c>
      <c r="N334" s="3">
        <f t="shared" si="179"/>
        <v>1.8311999999999999</v>
      </c>
      <c r="O334" s="4" t="e">
        <f>(C334-(C334*#REF!))-((C334-(C334*#REF!))*#REF!)</f>
        <v>#REF!</v>
      </c>
      <c r="P334" s="7"/>
      <c r="Q334" s="7"/>
      <c r="R334" s="5">
        <f t="shared" si="173"/>
        <v>0</v>
      </c>
      <c r="S334" s="4">
        <f t="shared" si="174"/>
        <v>0</v>
      </c>
      <c r="T334" s="13">
        <f t="shared" si="164"/>
        <v>1749.9929999999999</v>
      </c>
      <c r="U334" s="13">
        <f t="shared" si="175"/>
        <v>874.99649999999997</v>
      </c>
      <c r="V334" s="14">
        <f>U334/C334</f>
        <v>0.35000000000000003</v>
      </c>
      <c r="W334" s="14"/>
      <c r="X334" s="19">
        <f t="shared" si="176"/>
        <v>874.99649999999997</v>
      </c>
      <c r="Y334" s="19">
        <f t="shared" si="177"/>
        <v>1749.9929999999999</v>
      </c>
      <c r="Z334" s="15" t="e">
        <f t="shared" si="150"/>
        <v>#DIV/0!</v>
      </c>
      <c r="AA334" s="22" t="s">
        <v>1732</v>
      </c>
      <c r="AG334" s="94" t="s">
        <v>52</v>
      </c>
      <c r="AH334" s="89" t="str">
        <f>VLOOKUP(AG334,Sheet1!$B$3:$D$36,2,FALSE)</f>
        <v>Furniture</v>
      </c>
      <c r="AI334" s="89" t="s">
        <v>1693</v>
      </c>
      <c r="AJ334" s="1" t="str">
        <f t="shared" si="165"/>
        <v xml:space="preserve"> Celestia sofa</v>
      </c>
      <c r="AK334" s="1" t="str">
        <f t="shared" si="166"/>
        <v>w200 x d109 x h84 x sh43 x ah61</v>
      </c>
      <c r="AL334" s="1" t="str">
        <f t="shared" si="167"/>
        <v>natural teak</v>
      </c>
      <c r="AM334" s="1" t="str">
        <f t="shared" si="168"/>
        <v>natural teak</v>
      </c>
      <c r="AN334" s="1" t="str">
        <f t="shared" si="178"/>
        <v>natural teak</v>
      </c>
      <c r="AQ334" s="1" t="str">
        <f t="shared" si="169"/>
        <v>A</v>
      </c>
      <c r="AR334" s="1" t="str">
        <f>VLOOKUP(TRIM(AI334),Sheet1!$D$3:$E$36,2,FALSE)</f>
        <v>13</v>
      </c>
      <c r="AS334" s="90" t="str">
        <f t="shared" si="170"/>
        <v>01</v>
      </c>
      <c r="AT334" s="1" t="str">
        <f t="shared" si="171"/>
        <v>01</v>
      </c>
      <c r="AU334" s="90" t="s">
        <v>55</v>
      </c>
      <c r="AV334" s="90"/>
      <c r="AW334" s="90"/>
      <c r="AX334" s="95" t="str">
        <f>AQ334&amp;AR334&amp;AS334&amp;"-"&amp;AT334&amp;AU334&amp;BA334</f>
        <v>A1301-0110</v>
      </c>
      <c r="AY334" s="99" t="str">
        <f>AQ334&amp;AR334&amp;AS334&amp;"-"&amp;AT334&amp;BA334</f>
        <v>A1301-01</v>
      </c>
      <c r="AZ334" s="90"/>
      <c r="BA334" s="1" t="str">
        <f t="shared" si="172"/>
        <v/>
      </c>
      <c r="BC334" s="1">
        <f t="shared" si="156"/>
        <v>1</v>
      </c>
      <c r="BD334" s="90">
        <f t="shared" si="157"/>
        <v>1</v>
      </c>
      <c r="BE334" s="1">
        <f t="shared" si="180"/>
        <v>1</v>
      </c>
      <c r="BF334" s="1">
        <f t="shared" si="181"/>
        <v>1</v>
      </c>
      <c r="BI334"/>
      <c r="BJ334"/>
      <c r="BL334"/>
    </row>
    <row r="335" spans="1:64" ht="11.25" customHeight="1">
      <c r="A335" s="26">
        <v>21422</v>
      </c>
      <c r="B335" s="27" t="s">
        <v>1733</v>
      </c>
      <c r="C335" s="28">
        <v>289.99</v>
      </c>
      <c r="D335" s="28">
        <f t="shared" si="163"/>
        <v>144.995</v>
      </c>
      <c r="E335" s="22" t="s">
        <v>1686</v>
      </c>
      <c r="F335" s="22" t="s">
        <v>1734</v>
      </c>
      <c r="G335" s="22" t="s">
        <v>1735</v>
      </c>
      <c r="H335" s="22" t="s">
        <v>1736</v>
      </c>
      <c r="I335" s="23" t="s">
        <v>1196</v>
      </c>
      <c r="J335" s="22" t="s">
        <v>1698</v>
      </c>
      <c r="K335" s="23">
        <v>70</v>
      </c>
      <c r="L335" s="23">
        <v>66</v>
      </c>
      <c r="M335" s="23">
        <v>77</v>
      </c>
      <c r="N335" s="3">
        <f t="shared" si="179"/>
        <v>0.35574</v>
      </c>
      <c r="O335" s="4" t="e">
        <f>(C335-(C335*#REF!))-((C335-(C335*#REF!))*#REF!)</f>
        <v>#REF!</v>
      </c>
      <c r="P335" s="7"/>
      <c r="Q335" s="7"/>
      <c r="R335" s="5">
        <f t="shared" si="173"/>
        <v>0</v>
      </c>
      <c r="S335" s="4">
        <f t="shared" si="174"/>
        <v>0</v>
      </c>
      <c r="T335" s="13">
        <f t="shared" si="164"/>
        <v>202.99299999999999</v>
      </c>
      <c r="U335" s="13">
        <f t="shared" si="175"/>
        <v>101.4965</v>
      </c>
      <c r="V335" s="14">
        <f>U335/C335</f>
        <v>0.35</v>
      </c>
      <c r="W335" s="14"/>
      <c r="X335" s="19">
        <f t="shared" si="176"/>
        <v>101.4965</v>
      </c>
      <c r="Y335" s="19">
        <f t="shared" si="177"/>
        <v>202.99299999999999</v>
      </c>
      <c r="Z335" s="15" t="e">
        <f t="shared" si="150"/>
        <v>#DIV/0!</v>
      </c>
      <c r="AA335" s="22" t="s">
        <v>1737</v>
      </c>
      <c r="AG335" s="94" t="s">
        <v>52</v>
      </c>
      <c r="AH335" s="89" t="str">
        <f>VLOOKUP(AG335,Sheet1!$B$3:$D$36,2,FALSE)</f>
        <v>Furniture</v>
      </c>
      <c r="AI335" s="89" t="s">
        <v>1693</v>
      </c>
      <c r="AJ335" s="1" t="str">
        <f t="shared" si="165"/>
        <v xml:space="preserve"> Stardust Chair</v>
      </c>
      <c r="AK335" s="1" t="str">
        <f t="shared" si="166"/>
        <v>w70 x d66 x h77 x sh42 x ah63</v>
      </c>
      <c r="AL335" s="1" t="str">
        <f t="shared" si="167"/>
        <v>kubu grey</v>
      </c>
      <c r="AM335" s="1" t="str">
        <f t="shared" si="168"/>
        <v>kubu grey</v>
      </c>
      <c r="AN335" s="1" t="str">
        <f t="shared" si="178"/>
        <v>kubu grey</v>
      </c>
      <c r="AQ335" s="1" t="str">
        <f t="shared" si="169"/>
        <v>A</v>
      </c>
      <c r="AR335" s="1" t="str">
        <f>VLOOKUP(TRIM(AI335),Sheet1!$D$3:$E$36,2,FALSE)</f>
        <v>13</v>
      </c>
      <c r="AS335" s="90" t="str">
        <f t="shared" si="170"/>
        <v>01</v>
      </c>
      <c r="AT335" s="1" t="str">
        <f t="shared" si="171"/>
        <v>01</v>
      </c>
      <c r="AU335" s="90" t="s">
        <v>1198</v>
      </c>
      <c r="AV335" s="90"/>
      <c r="AW335" s="90"/>
      <c r="AX335" s="95" t="str">
        <f>AQ335&amp;AR335&amp;AS335&amp;"-"&amp;AT335&amp;AU335&amp;BA335</f>
        <v>A1301-0107</v>
      </c>
      <c r="AY335" s="99" t="str">
        <f>AQ335&amp;AR335&amp;AS335&amp;"-"&amp;AT335&amp;BA335</f>
        <v>A1301-01</v>
      </c>
      <c r="AZ335" s="90"/>
      <c r="BA335" s="1" t="str">
        <f t="shared" si="172"/>
        <v/>
      </c>
      <c r="BC335" s="1">
        <f t="shared" si="156"/>
        <v>1</v>
      </c>
      <c r="BD335" s="90">
        <f t="shared" si="157"/>
        <v>1</v>
      </c>
      <c r="BE335" s="1">
        <f t="shared" si="180"/>
        <v>1</v>
      </c>
      <c r="BF335" s="1">
        <f t="shared" si="181"/>
        <v>1</v>
      </c>
      <c r="BI335"/>
      <c r="BJ335"/>
      <c r="BL335"/>
    </row>
    <row r="336" spans="1:64" ht="11.25" customHeight="1">
      <c r="A336" s="26" t="s">
        <v>1738</v>
      </c>
      <c r="B336" s="27" t="s">
        <v>1739</v>
      </c>
      <c r="C336" s="28">
        <v>164.99</v>
      </c>
      <c r="D336" s="28">
        <f t="shared" si="163"/>
        <v>82.495000000000005</v>
      </c>
      <c r="E336" s="22" t="s">
        <v>1686</v>
      </c>
      <c r="F336" s="22" t="s">
        <v>1740</v>
      </c>
      <c r="G336" s="22" t="s">
        <v>1741</v>
      </c>
      <c r="I336" s="23" t="s">
        <v>1223</v>
      </c>
      <c r="J336" s="22" t="s">
        <v>1698</v>
      </c>
      <c r="N336" s="3">
        <f t="shared" si="179"/>
        <v>0</v>
      </c>
      <c r="O336" s="4" t="e">
        <f>(C336-(C336*#REF!))-((C336-(C336*#REF!))*#REF!)</f>
        <v>#REF!</v>
      </c>
      <c r="P336" s="7"/>
      <c r="Q336" s="7"/>
      <c r="R336" s="5">
        <f t="shared" si="173"/>
        <v>0</v>
      </c>
      <c r="S336" s="4">
        <f t="shared" si="174"/>
        <v>0</v>
      </c>
      <c r="T336" s="13">
        <f t="shared" si="164"/>
        <v>115.49300000000001</v>
      </c>
      <c r="U336" s="13">
        <f t="shared" si="175"/>
        <v>57.746500000000005</v>
      </c>
      <c r="V336" s="14">
        <f>U336/C336</f>
        <v>0.35000000000000003</v>
      </c>
      <c r="W336" s="14"/>
      <c r="X336" s="19">
        <f t="shared" si="176"/>
        <v>57.746500000000005</v>
      </c>
      <c r="Y336" s="19">
        <f t="shared" si="177"/>
        <v>115.49300000000001</v>
      </c>
      <c r="Z336" s="15" t="e">
        <f t="shared" si="150"/>
        <v>#DIV/0!</v>
      </c>
      <c r="AA336" s="22" t="s">
        <v>1742</v>
      </c>
      <c r="AG336" s="94" t="s">
        <v>52</v>
      </c>
      <c r="AH336" s="89" t="str">
        <f>VLOOKUP(AG336,Sheet1!$B$3:$D$36,2,FALSE)</f>
        <v>Furniture</v>
      </c>
      <c r="AI336" s="89" t="s">
        <v>1693</v>
      </c>
      <c r="AJ336" s="1" t="str">
        <f t="shared" si="165"/>
        <v xml:space="preserve"> Stardust cushion</v>
      </c>
      <c r="AK336" s="1" t="str">
        <f t="shared" si="166"/>
        <v/>
      </c>
      <c r="AL336" s="1" t="str">
        <f t="shared" si="167"/>
        <v>fabric</v>
      </c>
      <c r="AM336" s="1" t="str">
        <f t="shared" si="168"/>
        <v>fabric</v>
      </c>
      <c r="AN336" s="1" t="str">
        <f t="shared" si="178"/>
        <v>fabric</v>
      </c>
      <c r="AQ336" s="1" t="str">
        <f t="shared" si="169"/>
        <v>A</v>
      </c>
      <c r="AR336" s="1" t="str">
        <f>VLOOKUP(TRIM(AI336),Sheet1!$D$3:$E$36,2,FALSE)</f>
        <v>13</v>
      </c>
      <c r="AS336" s="90" t="str">
        <f t="shared" si="170"/>
        <v>01</v>
      </c>
      <c r="AT336" s="1" t="str">
        <f t="shared" si="171"/>
        <v>01</v>
      </c>
      <c r="AU336" s="90" t="s">
        <v>1225</v>
      </c>
      <c r="AV336" s="90"/>
      <c r="AW336" s="90"/>
      <c r="AX336" s="95" t="str">
        <f>AQ336&amp;AR336&amp;AS336&amp;"-"&amp;AT336&amp;AU336&amp;BA336</f>
        <v>A1301-0139</v>
      </c>
      <c r="AY336" s="99" t="str">
        <f>AQ336&amp;AR336&amp;AS336&amp;"-"&amp;AT336&amp;BA336</f>
        <v>A1301-01</v>
      </c>
      <c r="AZ336" s="90"/>
      <c r="BA336" s="1" t="str">
        <f t="shared" si="172"/>
        <v/>
      </c>
      <c r="BC336" s="1">
        <f t="shared" si="156"/>
        <v>1</v>
      </c>
      <c r="BD336" s="90">
        <f t="shared" si="157"/>
        <v>1</v>
      </c>
      <c r="BE336" s="1">
        <f t="shared" si="180"/>
        <v>1</v>
      </c>
      <c r="BF336" s="1">
        <f t="shared" si="181"/>
        <v>1</v>
      </c>
      <c r="BI336"/>
      <c r="BJ336"/>
      <c r="BL336"/>
    </row>
    <row r="337" spans="1:64" ht="11.25" customHeight="1">
      <c r="A337" s="26" t="s">
        <v>1743</v>
      </c>
      <c r="B337" s="27" t="s">
        <v>1744</v>
      </c>
      <c r="C337" s="28">
        <v>2359.9899999999998</v>
      </c>
      <c r="D337" s="28">
        <f t="shared" si="163"/>
        <v>1179.9949999999999</v>
      </c>
      <c r="E337" s="22" t="s">
        <v>1686</v>
      </c>
      <c r="F337" s="22" t="s">
        <v>1745</v>
      </c>
      <c r="G337" s="22" t="s">
        <v>1746</v>
      </c>
      <c r="H337" s="22" t="s">
        <v>1747</v>
      </c>
      <c r="I337" s="23" t="s">
        <v>815</v>
      </c>
      <c r="J337" s="22" t="s">
        <v>853</v>
      </c>
      <c r="K337" s="23">
        <v>88</v>
      </c>
      <c r="L337" s="23">
        <v>78</v>
      </c>
      <c r="M337" s="23">
        <v>74</v>
      </c>
      <c r="N337" s="3">
        <f t="shared" si="179"/>
        <v>0.50793600000000005</v>
      </c>
      <c r="O337" s="4" t="e">
        <f>(C337-(C337*#REF!))-((C337-(C337*#REF!))*#REF!)</f>
        <v>#REF!</v>
      </c>
      <c r="P337" s="7"/>
      <c r="Q337" s="7"/>
      <c r="R337" s="5">
        <f t="shared" si="173"/>
        <v>0</v>
      </c>
      <c r="S337" s="4">
        <f t="shared" si="174"/>
        <v>0</v>
      </c>
      <c r="T337" s="13">
        <f t="shared" si="164"/>
        <v>1651.9929999999999</v>
      </c>
      <c r="U337" s="13">
        <f t="shared" si="175"/>
        <v>825.99649999999997</v>
      </c>
      <c r="V337" s="14">
        <f>U337/C337</f>
        <v>0.35000000000000003</v>
      </c>
      <c r="W337" s="14"/>
      <c r="X337" s="19">
        <f t="shared" si="176"/>
        <v>825.99649999999997</v>
      </c>
      <c r="Y337" s="19">
        <f t="shared" si="177"/>
        <v>1651.9929999999999</v>
      </c>
      <c r="Z337" s="15" t="e">
        <f t="shared" si="150"/>
        <v>#DIV/0!</v>
      </c>
      <c r="AA337" s="22" t="s">
        <v>1748</v>
      </c>
      <c r="AG337" s="94" t="s">
        <v>52</v>
      </c>
      <c r="AH337" s="89" t="str">
        <f>VLOOKUP(AG337,Sheet1!$B$3:$D$36,2,FALSE)</f>
        <v>Furniture</v>
      </c>
      <c r="AI337" s="89" t="s">
        <v>1693</v>
      </c>
      <c r="AJ337" s="1" t="str">
        <f t="shared" si="165"/>
        <v xml:space="preserve"> Comet Chair-single</v>
      </c>
      <c r="AK337" s="1" t="str">
        <f t="shared" si="166"/>
        <v>w88 x d78 x h74 x sh37</v>
      </c>
      <c r="AL337" s="1" t="str">
        <f t="shared" si="167"/>
        <v>bare</v>
      </c>
      <c r="AM337" s="1" t="str">
        <f t="shared" si="168"/>
        <v>bare</v>
      </c>
      <c r="AN337" s="1" t="str">
        <f t="shared" si="178"/>
        <v>bare</v>
      </c>
      <c r="AQ337" s="1" t="str">
        <f t="shared" si="169"/>
        <v>A</v>
      </c>
      <c r="AR337" s="1" t="str">
        <f>VLOOKUP(TRIM(AI337),Sheet1!$D$3:$E$36,2,FALSE)</f>
        <v>13</v>
      </c>
      <c r="AS337" s="90" t="str">
        <f t="shared" si="170"/>
        <v>01</v>
      </c>
      <c r="AT337" s="1" t="str">
        <f t="shared" si="171"/>
        <v>01</v>
      </c>
      <c r="AU337" s="90" t="s">
        <v>817</v>
      </c>
      <c r="AV337" s="90"/>
      <c r="AW337" s="90"/>
      <c r="AX337" s="95" t="str">
        <f>AQ337&amp;AR337&amp;AS337&amp;"-"&amp;AT337&amp;AU337&amp;BA337</f>
        <v>A1301-0103</v>
      </c>
      <c r="AY337" s="99" t="str">
        <f>AQ337&amp;AR337&amp;AS337&amp;"-"&amp;AT337&amp;BA337</f>
        <v>A1301-01</v>
      </c>
      <c r="AZ337" s="90"/>
      <c r="BA337" s="1" t="str">
        <f t="shared" si="172"/>
        <v/>
      </c>
      <c r="BC337" s="1">
        <f t="shared" si="156"/>
        <v>1</v>
      </c>
      <c r="BD337" s="90">
        <f t="shared" si="157"/>
        <v>1</v>
      </c>
      <c r="BE337" s="1">
        <f t="shared" si="180"/>
        <v>1</v>
      </c>
      <c r="BF337" s="1">
        <f t="shared" si="181"/>
        <v>1</v>
      </c>
      <c r="BI337"/>
      <c r="BJ337"/>
      <c r="BL337"/>
    </row>
    <row r="338" spans="1:64" ht="11.25" customHeight="1">
      <c r="A338" s="26" t="s">
        <v>1749</v>
      </c>
      <c r="B338" s="27" t="s">
        <v>1750</v>
      </c>
      <c r="C338" s="28">
        <v>874.99</v>
      </c>
      <c r="D338" s="28">
        <f t="shared" si="163"/>
        <v>437.495</v>
      </c>
      <c r="E338" s="22" t="s">
        <v>1686</v>
      </c>
      <c r="F338" s="22" t="s">
        <v>1751</v>
      </c>
      <c r="G338" s="22" t="s">
        <v>1752</v>
      </c>
      <c r="I338" s="23" t="s">
        <v>1223</v>
      </c>
      <c r="J338" s="22" t="s">
        <v>1698</v>
      </c>
      <c r="N338" s="3">
        <f t="shared" si="179"/>
        <v>0</v>
      </c>
      <c r="O338" s="4" t="e">
        <f>(C338-(C338*#REF!))-((C338-(C338*#REF!))*#REF!)</f>
        <v>#REF!</v>
      </c>
      <c r="P338" s="7"/>
      <c r="Q338" s="7"/>
      <c r="R338" s="5">
        <f t="shared" si="173"/>
        <v>0</v>
      </c>
      <c r="S338" s="4">
        <f t="shared" si="174"/>
        <v>0</v>
      </c>
      <c r="T338" s="13">
        <f t="shared" si="164"/>
        <v>612.49299999999994</v>
      </c>
      <c r="U338" s="13">
        <f t="shared" si="175"/>
        <v>306.24649999999997</v>
      </c>
      <c r="V338" s="14">
        <f>U338/C338</f>
        <v>0.35</v>
      </c>
      <c r="W338" s="14"/>
      <c r="X338" s="19">
        <f t="shared" si="176"/>
        <v>306.24649999999997</v>
      </c>
      <c r="Y338" s="19">
        <f t="shared" si="177"/>
        <v>612.49299999999994</v>
      </c>
      <c r="Z338" s="15" t="e">
        <f t="shared" si="150"/>
        <v>#DIV/0!</v>
      </c>
      <c r="AA338" s="22" t="s">
        <v>1753</v>
      </c>
      <c r="AG338" s="94" t="s">
        <v>52</v>
      </c>
      <c r="AH338" s="89" t="str">
        <f>VLOOKUP(AG338,Sheet1!$B$3:$D$36,2,FALSE)</f>
        <v>Furniture</v>
      </c>
      <c r="AI338" s="89" t="s">
        <v>1693</v>
      </c>
      <c r="AJ338" s="1" t="str">
        <f t="shared" si="165"/>
        <v xml:space="preserve"> Comet cushion</v>
      </c>
      <c r="AK338" s="1" t="str">
        <f t="shared" si="166"/>
        <v/>
      </c>
      <c r="AL338" s="1" t="str">
        <f t="shared" si="167"/>
        <v>fabric</v>
      </c>
      <c r="AM338" s="1" t="str">
        <f t="shared" si="168"/>
        <v>fabric</v>
      </c>
      <c r="AN338" s="1" t="str">
        <f t="shared" si="178"/>
        <v>fabric</v>
      </c>
      <c r="AQ338" s="1" t="str">
        <f t="shared" si="169"/>
        <v>A</v>
      </c>
      <c r="AR338" s="1" t="str">
        <f>VLOOKUP(TRIM(AI338),Sheet1!$D$3:$E$36,2,FALSE)</f>
        <v>13</v>
      </c>
      <c r="AS338" s="90" t="str">
        <f t="shared" si="170"/>
        <v>01</v>
      </c>
      <c r="AT338" s="1" t="str">
        <f t="shared" si="171"/>
        <v>01</v>
      </c>
      <c r="AU338" s="90" t="s">
        <v>1225</v>
      </c>
      <c r="AV338" s="90"/>
      <c r="AW338" s="90"/>
      <c r="AX338" s="95" t="str">
        <f>AQ338&amp;AR338&amp;AS338&amp;"-"&amp;AT338&amp;AU338&amp;BA338</f>
        <v>A1301-0139</v>
      </c>
      <c r="AY338" s="99" t="str">
        <f>AQ338&amp;AR338&amp;AS338&amp;"-"&amp;AT338&amp;BA338</f>
        <v>A1301-01</v>
      </c>
      <c r="AZ338" s="90"/>
      <c r="BA338" s="1" t="str">
        <f t="shared" si="172"/>
        <v/>
      </c>
      <c r="BC338" s="1">
        <f t="shared" si="156"/>
        <v>1</v>
      </c>
      <c r="BD338" s="90">
        <f t="shared" si="157"/>
        <v>1</v>
      </c>
      <c r="BE338" s="1">
        <f t="shared" si="180"/>
        <v>1</v>
      </c>
      <c r="BF338" s="1">
        <f t="shared" si="181"/>
        <v>1</v>
      </c>
      <c r="BI338"/>
      <c r="BJ338"/>
      <c r="BL338"/>
    </row>
    <row r="339" spans="1:64" ht="11.25" customHeight="1">
      <c r="A339" s="26" t="s">
        <v>1754</v>
      </c>
      <c r="B339" s="27" t="s">
        <v>1755</v>
      </c>
      <c r="C339" s="28">
        <v>3709.99</v>
      </c>
      <c r="D339" s="28">
        <f t="shared" si="163"/>
        <v>1854.9949999999999</v>
      </c>
      <c r="E339" s="22" t="s">
        <v>1686</v>
      </c>
      <c r="F339" s="22" t="s">
        <v>1756</v>
      </c>
      <c r="G339" s="22" t="s">
        <v>1757</v>
      </c>
      <c r="H339" s="22" t="s">
        <v>1758</v>
      </c>
      <c r="I339" s="23" t="s">
        <v>815</v>
      </c>
      <c r="J339" s="22" t="s">
        <v>853</v>
      </c>
      <c r="K339" s="23">
        <v>178</v>
      </c>
      <c r="L339" s="23">
        <v>78</v>
      </c>
      <c r="M339" s="23">
        <v>74</v>
      </c>
      <c r="N339" s="3">
        <f t="shared" si="179"/>
        <v>1.0274160000000001</v>
      </c>
      <c r="O339" s="4" t="e">
        <f>(C339-(C339*#REF!))-((C339-(C339*#REF!))*#REF!)</f>
        <v>#REF!</v>
      </c>
      <c r="P339" s="7"/>
      <c r="Q339" s="7"/>
      <c r="R339" s="5">
        <f t="shared" si="173"/>
        <v>0</v>
      </c>
      <c r="S339" s="4">
        <f t="shared" si="174"/>
        <v>0</v>
      </c>
      <c r="T339" s="13">
        <f t="shared" si="164"/>
        <v>2596.9929999999999</v>
      </c>
      <c r="U339" s="13">
        <f t="shared" si="175"/>
        <v>1298.4965</v>
      </c>
      <c r="V339" s="14">
        <f>U339/C339</f>
        <v>0.35000000000000003</v>
      </c>
      <c r="W339" s="14"/>
      <c r="X339" s="19">
        <f t="shared" si="176"/>
        <v>1298.4965</v>
      </c>
      <c r="Y339" s="19">
        <f t="shared" si="177"/>
        <v>2596.9929999999999</v>
      </c>
      <c r="Z339" s="15" t="e">
        <f t="shared" si="150"/>
        <v>#DIV/0!</v>
      </c>
      <c r="AA339" s="22" t="s">
        <v>1759</v>
      </c>
      <c r="AG339" s="94" t="s">
        <v>52</v>
      </c>
      <c r="AH339" s="89" t="str">
        <f>VLOOKUP(AG339,Sheet1!$B$3:$D$36,2,FALSE)</f>
        <v>Furniture</v>
      </c>
      <c r="AI339" s="89" t="s">
        <v>1693</v>
      </c>
      <c r="AJ339" s="1" t="str">
        <f t="shared" si="165"/>
        <v xml:space="preserve"> Comet Chair-double</v>
      </c>
      <c r="AK339" s="1" t="str">
        <f t="shared" si="166"/>
        <v>w178 x d78 x h74 x sh37</v>
      </c>
      <c r="AL339" s="1" t="str">
        <f t="shared" si="167"/>
        <v>bare</v>
      </c>
      <c r="AM339" s="1" t="str">
        <f t="shared" si="168"/>
        <v>bare</v>
      </c>
      <c r="AN339" s="1" t="str">
        <f t="shared" si="178"/>
        <v>bare</v>
      </c>
      <c r="AQ339" s="1" t="str">
        <f t="shared" si="169"/>
        <v>A</v>
      </c>
      <c r="AR339" s="1" t="str">
        <f>VLOOKUP(TRIM(AI339),Sheet1!$D$3:$E$36,2,FALSE)</f>
        <v>13</v>
      </c>
      <c r="AS339" s="90" t="str">
        <f t="shared" si="170"/>
        <v>01</v>
      </c>
      <c r="AT339" s="1" t="str">
        <f t="shared" si="171"/>
        <v>01</v>
      </c>
      <c r="AU339" s="90" t="s">
        <v>817</v>
      </c>
      <c r="AV339" s="90"/>
      <c r="AW339" s="90"/>
      <c r="AX339" s="95" t="str">
        <f>AQ339&amp;AR339&amp;AS339&amp;"-"&amp;AT339&amp;AU339&amp;BA339</f>
        <v>A1301-0103</v>
      </c>
      <c r="AY339" s="99" t="str">
        <f>AQ339&amp;AR339&amp;AS339&amp;"-"&amp;AT339&amp;BA339</f>
        <v>A1301-01</v>
      </c>
      <c r="AZ339" s="90"/>
      <c r="BA339" s="1" t="str">
        <f t="shared" si="172"/>
        <v/>
      </c>
      <c r="BC339" s="1">
        <f t="shared" si="156"/>
        <v>1</v>
      </c>
      <c r="BD339" s="90">
        <f t="shared" si="157"/>
        <v>1</v>
      </c>
      <c r="BE339" s="1">
        <f t="shared" si="180"/>
        <v>1</v>
      </c>
      <c r="BF339" s="1">
        <f t="shared" si="181"/>
        <v>1</v>
      </c>
      <c r="BI339"/>
      <c r="BJ339"/>
      <c r="BL339"/>
    </row>
    <row r="340" spans="1:64" ht="11.25" customHeight="1">
      <c r="A340" s="26" t="s">
        <v>1760</v>
      </c>
      <c r="B340" s="27" t="s">
        <v>1761</v>
      </c>
      <c r="C340" s="28">
        <v>1744.99</v>
      </c>
      <c r="D340" s="28">
        <f t="shared" si="163"/>
        <v>872.495</v>
      </c>
      <c r="E340" s="22" t="s">
        <v>1686</v>
      </c>
      <c r="F340" s="22" t="s">
        <v>1751</v>
      </c>
      <c r="G340" s="22" t="s">
        <v>1752</v>
      </c>
      <c r="I340" s="23" t="s">
        <v>1223</v>
      </c>
      <c r="J340" s="22" t="s">
        <v>1698</v>
      </c>
      <c r="N340" s="3">
        <f t="shared" si="179"/>
        <v>0</v>
      </c>
      <c r="O340" s="4" t="e">
        <f>(C340-(C340*#REF!))-((C340-(C340*#REF!))*#REF!)</f>
        <v>#REF!</v>
      </c>
      <c r="P340" s="7"/>
      <c r="Q340" s="7"/>
      <c r="R340" s="5">
        <f t="shared" si="173"/>
        <v>0</v>
      </c>
      <c r="S340" s="4">
        <f t="shared" si="174"/>
        <v>0</v>
      </c>
      <c r="T340" s="13">
        <f t="shared" si="164"/>
        <v>1221.4929999999999</v>
      </c>
      <c r="U340" s="13">
        <f t="shared" si="175"/>
        <v>610.74649999999997</v>
      </c>
      <c r="V340" s="14">
        <f>U340/C340</f>
        <v>0.35</v>
      </c>
      <c r="W340" s="14"/>
      <c r="X340" s="19">
        <f t="shared" si="176"/>
        <v>610.74649999999997</v>
      </c>
      <c r="Y340" s="19">
        <f t="shared" si="177"/>
        <v>1221.4929999999999</v>
      </c>
      <c r="Z340" s="15" t="e">
        <f t="shared" si="150"/>
        <v>#DIV/0!</v>
      </c>
      <c r="AA340" s="22" t="s">
        <v>1753</v>
      </c>
      <c r="AG340" s="94" t="s">
        <v>52</v>
      </c>
      <c r="AH340" s="89" t="str">
        <f>VLOOKUP(AG340,Sheet1!$B$3:$D$36,2,FALSE)</f>
        <v>Furniture</v>
      </c>
      <c r="AI340" s="89" t="s">
        <v>1693</v>
      </c>
      <c r="AJ340" s="1" t="str">
        <f t="shared" si="165"/>
        <v xml:space="preserve"> Comet cushion</v>
      </c>
      <c r="AK340" s="1" t="str">
        <f t="shared" si="166"/>
        <v/>
      </c>
      <c r="AL340" s="1" t="str">
        <f t="shared" si="167"/>
        <v>fabric</v>
      </c>
      <c r="AM340" s="1" t="str">
        <f t="shared" si="168"/>
        <v>fabric</v>
      </c>
      <c r="AN340" s="1" t="str">
        <f t="shared" si="178"/>
        <v>fabric</v>
      </c>
      <c r="AQ340" s="1" t="str">
        <f t="shared" si="169"/>
        <v>A</v>
      </c>
      <c r="AR340" s="1" t="str">
        <f>VLOOKUP(TRIM(AI340),Sheet1!$D$3:$E$36,2,FALSE)</f>
        <v>13</v>
      </c>
      <c r="AS340" s="90" t="str">
        <f t="shared" si="170"/>
        <v>01</v>
      </c>
      <c r="AT340" s="1" t="str">
        <f t="shared" si="171"/>
        <v>01</v>
      </c>
      <c r="AU340" s="90" t="s">
        <v>1225</v>
      </c>
      <c r="AV340" s="90"/>
      <c r="AW340" s="90"/>
      <c r="AX340" s="95" t="str">
        <f>AQ340&amp;AR340&amp;AS340&amp;"-"&amp;AT340&amp;AU340&amp;BA340</f>
        <v>A1301-0139</v>
      </c>
      <c r="AY340" s="99" t="str">
        <f>AQ340&amp;AR340&amp;AS340&amp;"-"&amp;AT340&amp;BA340</f>
        <v>A1301-01</v>
      </c>
      <c r="AZ340" s="90"/>
      <c r="BA340" s="1" t="str">
        <f t="shared" si="172"/>
        <v/>
      </c>
      <c r="BC340" s="1">
        <f t="shared" si="156"/>
        <v>1</v>
      </c>
      <c r="BD340" s="90">
        <f t="shared" si="157"/>
        <v>1</v>
      </c>
      <c r="BE340" s="1">
        <f t="shared" si="180"/>
        <v>1</v>
      </c>
      <c r="BF340" s="1">
        <f t="shared" si="181"/>
        <v>1</v>
      </c>
      <c r="BI340"/>
      <c r="BJ340"/>
      <c r="BL340"/>
    </row>
    <row r="341" spans="1:64" ht="11.25" customHeight="1">
      <c r="A341" s="26" t="s">
        <v>1762</v>
      </c>
      <c r="B341" s="27" t="s">
        <v>1763</v>
      </c>
      <c r="C341" s="28">
        <v>5259.99</v>
      </c>
      <c r="D341" s="28">
        <f t="shared" si="163"/>
        <v>2629.9949999999999</v>
      </c>
      <c r="E341" s="22" t="s">
        <v>1686</v>
      </c>
      <c r="F341" s="22" t="s">
        <v>1764</v>
      </c>
      <c r="G341" s="22" t="s">
        <v>1765</v>
      </c>
      <c r="H341" s="22" t="s">
        <v>1766</v>
      </c>
      <c r="I341" s="23" t="s">
        <v>815</v>
      </c>
      <c r="J341" s="22" t="s">
        <v>853</v>
      </c>
      <c r="K341" s="23">
        <v>248</v>
      </c>
      <c r="L341" s="23">
        <v>110</v>
      </c>
      <c r="M341" s="23">
        <v>74</v>
      </c>
      <c r="N341" s="3">
        <f t="shared" si="179"/>
        <v>2.0187200000000001</v>
      </c>
      <c r="O341" s="4" t="e">
        <f>(C341-(C341*#REF!))-((C341-(C341*#REF!))*#REF!)</f>
        <v>#REF!</v>
      </c>
      <c r="P341" s="7"/>
      <c r="Q341" s="7"/>
      <c r="R341" s="5">
        <f t="shared" si="173"/>
        <v>0</v>
      </c>
      <c r="S341" s="4">
        <f t="shared" si="174"/>
        <v>0</v>
      </c>
      <c r="T341" s="13">
        <f t="shared" si="164"/>
        <v>3681.9929999999999</v>
      </c>
      <c r="U341" s="13">
        <f t="shared" si="175"/>
        <v>1840.9965</v>
      </c>
      <c r="V341" s="14">
        <f>U341/C341</f>
        <v>0.35000000000000003</v>
      </c>
      <c r="W341" s="14"/>
      <c r="X341" s="19">
        <f t="shared" si="176"/>
        <v>1840.9965</v>
      </c>
      <c r="Y341" s="19">
        <f t="shared" si="177"/>
        <v>3681.9929999999999</v>
      </c>
      <c r="Z341" s="15" t="e">
        <f t="shared" si="150"/>
        <v>#DIV/0!</v>
      </c>
      <c r="AA341" s="22" t="s">
        <v>1767</v>
      </c>
      <c r="AG341" s="94" t="s">
        <v>52</v>
      </c>
      <c r="AH341" s="89" t="str">
        <f>VLOOKUP(AG341,Sheet1!$B$3:$D$36,2,FALSE)</f>
        <v>Furniture</v>
      </c>
      <c r="AI341" s="89" t="s">
        <v>1693</v>
      </c>
      <c r="AJ341" s="1" t="str">
        <f t="shared" si="165"/>
        <v xml:space="preserve"> Comet Chair-triple</v>
      </c>
      <c r="AK341" s="1" t="str">
        <f t="shared" si="166"/>
        <v>w248 x d110 x h74 x sh37</v>
      </c>
      <c r="AL341" s="1" t="str">
        <f t="shared" si="167"/>
        <v>bare</v>
      </c>
      <c r="AM341" s="1" t="str">
        <f t="shared" si="168"/>
        <v>bare</v>
      </c>
      <c r="AN341" s="1" t="str">
        <f t="shared" si="178"/>
        <v>bare</v>
      </c>
      <c r="AQ341" s="1" t="str">
        <f t="shared" si="169"/>
        <v>A</v>
      </c>
      <c r="AR341" s="1" t="str">
        <f>VLOOKUP(TRIM(AI341),Sheet1!$D$3:$E$36,2,FALSE)</f>
        <v>13</v>
      </c>
      <c r="AS341" s="90" t="str">
        <f t="shared" si="170"/>
        <v>01</v>
      </c>
      <c r="AT341" s="1" t="str">
        <f t="shared" si="171"/>
        <v>01</v>
      </c>
      <c r="AU341" s="90" t="s">
        <v>817</v>
      </c>
      <c r="AV341" s="90"/>
      <c r="AW341" s="90"/>
      <c r="AX341" s="95" t="str">
        <f>AQ341&amp;AR341&amp;AS341&amp;"-"&amp;AT341&amp;AU341&amp;BA341</f>
        <v>A1301-0103</v>
      </c>
      <c r="AY341" s="99" t="str">
        <f>AQ341&amp;AR341&amp;AS341&amp;"-"&amp;AT341&amp;BA341</f>
        <v>A1301-01</v>
      </c>
      <c r="AZ341" s="90"/>
      <c r="BA341" s="1" t="str">
        <f t="shared" si="172"/>
        <v/>
      </c>
      <c r="BC341" s="1">
        <f t="shared" si="156"/>
        <v>1</v>
      </c>
      <c r="BD341" s="90">
        <f t="shared" si="157"/>
        <v>1</v>
      </c>
      <c r="BE341" s="1">
        <f t="shared" si="180"/>
        <v>1</v>
      </c>
      <c r="BF341" s="1">
        <f t="shared" si="181"/>
        <v>1</v>
      </c>
      <c r="BI341"/>
      <c r="BJ341"/>
      <c r="BL341"/>
    </row>
    <row r="342" spans="1:64" ht="11.25" customHeight="1">
      <c r="A342" s="26" t="s">
        <v>1768</v>
      </c>
      <c r="B342" s="27" t="s">
        <v>1769</v>
      </c>
      <c r="C342" s="28">
        <v>2569.9899999999998</v>
      </c>
      <c r="D342" s="28">
        <f t="shared" si="163"/>
        <v>1284.9949999999999</v>
      </c>
      <c r="E342" s="22" t="s">
        <v>1686</v>
      </c>
      <c r="F342" s="22" t="s">
        <v>1751</v>
      </c>
      <c r="G342" s="22" t="s">
        <v>1752</v>
      </c>
      <c r="I342" s="23" t="s">
        <v>1223</v>
      </c>
      <c r="J342" s="22" t="s">
        <v>1698</v>
      </c>
      <c r="N342" s="3">
        <f t="shared" si="179"/>
        <v>0</v>
      </c>
      <c r="O342" s="4" t="e">
        <f>(C342-(C342*#REF!))-((C342-(C342*#REF!))*#REF!)</f>
        <v>#REF!</v>
      </c>
      <c r="P342" s="7"/>
      <c r="Q342" s="7"/>
      <c r="R342" s="5">
        <f t="shared" si="173"/>
        <v>0</v>
      </c>
      <c r="S342" s="4">
        <f t="shared" si="174"/>
        <v>0</v>
      </c>
      <c r="T342" s="13">
        <f t="shared" si="164"/>
        <v>1798.9929999999999</v>
      </c>
      <c r="U342" s="13">
        <f t="shared" si="175"/>
        <v>899.49649999999997</v>
      </c>
      <c r="V342" s="14">
        <f>U342/C342</f>
        <v>0.35000000000000003</v>
      </c>
      <c r="W342" s="14"/>
      <c r="X342" s="19">
        <f t="shared" si="176"/>
        <v>899.49649999999997</v>
      </c>
      <c r="Y342" s="19">
        <f t="shared" si="177"/>
        <v>1798.9929999999999</v>
      </c>
      <c r="Z342" s="15" t="e">
        <f t="shared" si="150"/>
        <v>#DIV/0!</v>
      </c>
      <c r="AA342" s="22" t="s">
        <v>1770</v>
      </c>
      <c r="AG342" s="94" t="s">
        <v>52</v>
      </c>
      <c r="AH342" s="89" t="str">
        <f>VLOOKUP(AG342,Sheet1!$B$3:$D$36,2,FALSE)</f>
        <v>Furniture</v>
      </c>
      <c r="AI342" s="89" t="s">
        <v>1693</v>
      </c>
      <c r="AJ342" s="1" t="str">
        <f t="shared" si="165"/>
        <v xml:space="preserve"> Comet cushion</v>
      </c>
      <c r="AK342" s="1" t="str">
        <f t="shared" si="166"/>
        <v/>
      </c>
      <c r="AL342" s="1" t="str">
        <f t="shared" si="167"/>
        <v>fabric</v>
      </c>
      <c r="AM342" s="1" t="str">
        <f t="shared" si="168"/>
        <v>fabric</v>
      </c>
      <c r="AN342" s="1" t="str">
        <f t="shared" si="178"/>
        <v>fabric</v>
      </c>
      <c r="AQ342" s="1" t="str">
        <f t="shared" si="169"/>
        <v>A</v>
      </c>
      <c r="AR342" s="1" t="str">
        <f>VLOOKUP(TRIM(AI342),Sheet1!$D$3:$E$36,2,FALSE)</f>
        <v>13</v>
      </c>
      <c r="AS342" s="90" t="str">
        <f t="shared" si="170"/>
        <v>01</v>
      </c>
      <c r="AT342" s="1" t="str">
        <f t="shared" si="171"/>
        <v>01</v>
      </c>
      <c r="AU342" s="90" t="s">
        <v>1225</v>
      </c>
      <c r="AV342" s="90"/>
      <c r="AW342" s="90"/>
      <c r="AX342" s="95" t="str">
        <f>AQ342&amp;AR342&amp;AS342&amp;"-"&amp;AT342&amp;AU342&amp;BA342</f>
        <v>A1301-0139</v>
      </c>
      <c r="AY342" s="99" t="str">
        <f>AQ342&amp;AR342&amp;AS342&amp;"-"&amp;AT342&amp;BA342</f>
        <v>A1301-01</v>
      </c>
      <c r="AZ342" s="90"/>
      <c r="BA342" s="1" t="str">
        <f t="shared" si="172"/>
        <v/>
      </c>
      <c r="BC342" s="1">
        <f t="shared" si="156"/>
        <v>1</v>
      </c>
      <c r="BD342" s="90">
        <f t="shared" si="157"/>
        <v>1</v>
      </c>
      <c r="BE342" s="1">
        <f t="shared" si="180"/>
        <v>1</v>
      </c>
      <c r="BF342" s="1">
        <f t="shared" si="181"/>
        <v>1</v>
      </c>
      <c r="BI342"/>
      <c r="BJ342"/>
      <c r="BL342"/>
    </row>
    <row r="343" spans="1:64" ht="11.25" customHeight="1">
      <c r="A343" s="26" t="s">
        <v>1771</v>
      </c>
      <c r="B343" s="27" t="s">
        <v>1772</v>
      </c>
      <c r="C343" s="28">
        <v>519.99</v>
      </c>
      <c r="D343" s="28">
        <f t="shared" si="163"/>
        <v>259.995</v>
      </c>
      <c r="E343" s="22" t="s">
        <v>1686</v>
      </c>
      <c r="F343" s="22" t="s">
        <v>1773</v>
      </c>
      <c r="G343" s="22" t="s">
        <v>1774</v>
      </c>
      <c r="H343" s="22" t="s">
        <v>1775</v>
      </c>
      <c r="I343" s="23" t="s">
        <v>815</v>
      </c>
      <c r="J343" s="22" t="s">
        <v>853</v>
      </c>
      <c r="K343" s="23">
        <v>68</v>
      </c>
      <c r="L343" s="23">
        <v>50</v>
      </c>
      <c r="M343" s="23">
        <v>21</v>
      </c>
      <c r="N343" s="3">
        <f t="shared" si="179"/>
        <v>7.1400000000000005E-2</v>
      </c>
      <c r="O343" s="4" t="e">
        <f>(C343-(C343*#REF!))-((C343-(C343*#REF!))*#REF!)</f>
        <v>#REF!</v>
      </c>
      <c r="P343" s="7"/>
      <c r="Q343" s="7"/>
      <c r="R343" s="5">
        <f t="shared" si="173"/>
        <v>0</v>
      </c>
      <c r="S343" s="4">
        <f t="shared" si="174"/>
        <v>0</v>
      </c>
      <c r="T343" s="13">
        <f t="shared" si="164"/>
        <v>363.99300000000005</v>
      </c>
      <c r="U343" s="13">
        <f t="shared" si="175"/>
        <v>181.99650000000003</v>
      </c>
      <c r="V343" s="14">
        <f>U343/C343</f>
        <v>0.35000000000000003</v>
      </c>
      <c r="W343" s="14"/>
      <c r="X343" s="19">
        <f t="shared" si="176"/>
        <v>181.99650000000003</v>
      </c>
      <c r="Y343" s="19">
        <f t="shared" si="177"/>
        <v>363.99300000000005</v>
      </c>
      <c r="Z343" s="15" t="e">
        <f t="shared" si="150"/>
        <v>#DIV/0!</v>
      </c>
      <c r="AA343" s="22" t="s">
        <v>1776</v>
      </c>
      <c r="AG343" s="94" t="s">
        <v>52</v>
      </c>
      <c r="AH343" s="89" t="str">
        <f>VLOOKUP(AG343,Sheet1!$B$3:$D$36,2,FALSE)</f>
        <v>Furniture</v>
      </c>
      <c r="AI343" s="89" t="s">
        <v>1693</v>
      </c>
      <c r="AJ343" s="1" t="str">
        <f t="shared" si="165"/>
        <v xml:space="preserve"> Comet Chair-ottoman</v>
      </c>
      <c r="AK343" s="1" t="str">
        <f t="shared" si="166"/>
        <v>w68 x d50 x h21 x sh37</v>
      </c>
      <c r="AL343" s="1" t="str">
        <f t="shared" si="167"/>
        <v>bare</v>
      </c>
      <c r="AM343" s="1" t="str">
        <f t="shared" si="168"/>
        <v>bare</v>
      </c>
      <c r="AN343" s="1" t="str">
        <f t="shared" si="178"/>
        <v>bare</v>
      </c>
      <c r="AQ343" s="1" t="str">
        <f t="shared" si="169"/>
        <v>A</v>
      </c>
      <c r="AR343" s="1" t="str">
        <f>VLOOKUP(TRIM(AI343),Sheet1!$D$3:$E$36,2,FALSE)</f>
        <v>13</v>
      </c>
      <c r="AS343" s="90" t="str">
        <f t="shared" si="170"/>
        <v>01</v>
      </c>
      <c r="AT343" s="1" t="str">
        <f t="shared" si="171"/>
        <v>01</v>
      </c>
      <c r="AU343" s="90" t="s">
        <v>817</v>
      </c>
      <c r="AV343" s="90"/>
      <c r="AW343" s="90"/>
      <c r="AX343" s="95" t="str">
        <f>AQ343&amp;AR343&amp;AS343&amp;"-"&amp;AT343&amp;AU343&amp;BA343</f>
        <v>A1301-0103</v>
      </c>
      <c r="AY343" s="99" t="str">
        <f>AQ343&amp;AR343&amp;AS343&amp;"-"&amp;AT343&amp;BA343</f>
        <v>A1301-01</v>
      </c>
      <c r="AZ343" s="90"/>
      <c r="BA343" s="1" t="str">
        <f t="shared" si="172"/>
        <v/>
      </c>
      <c r="BC343" s="1">
        <f t="shared" si="156"/>
        <v>1</v>
      </c>
      <c r="BD343" s="90">
        <f t="shared" si="157"/>
        <v>1</v>
      </c>
      <c r="BE343" s="1">
        <f t="shared" si="180"/>
        <v>1</v>
      </c>
      <c r="BF343" s="1">
        <f t="shared" si="181"/>
        <v>1</v>
      </c>
      <c r="BI343"/>
      <c r="BJ343"/>
      <c r="BL343"/>
    </row>
    <row r="344" spans="1:64" ht="11.25" customHeight="1">
      <c r="A344" s="26" t="s">
        <v>1777</v>
      </c>
      <c r="B344" s="27" t="s">
        <v>1778</v>
      </c>
      <c r="C344" s="28">
        <v>714.99</v>
      </c>
      <c r="D344" s="28">
        <f t="shared" si="163"/>
        <v>357.495</v>
      </c>
      <c r="E344" s="22" t="s">
        <v>1686</v>
      </c>
      <c r="F344" s="22" t="s">
        <v>1751</v>
      </c>
      <c r="G344" s="22" t="s">
        <v>1752</v>
      </c>
      <c r="I344" s="23" t="s">
        <v>1223</v>
      </c>
      <c r="J344" s="22" t="s">
        <v>1698</v>
      </c>
      <c r="N344" s="3">
        <f t="shared" si="179"/>
        <v>0</v>
      </c>
      <c r="O344" s="4" t="e">
        <f>(C344-(C344*#REF!))-((C344-(C344*#REF!))*#REF!)</f>
        <v>#REF!</v>
      </c>
      <c r="P344" s="7"/>
      <c r="Q344" s="7"/>
      <c r="R344" s="5">
        <f t="shared" si="173"/>
        <v>0</v>
      </c>
      <c r="S344" s="4">
        <f t="shared" si="174"/>
        <v>0</v>
      </c>
      <c r="T344" s="13">
        <f t="shared" si="164"/>
        <v>500.49300000000005</v>
      </c>
      <c r="U344" s="13">
        <f t="shared" si="175"/>
        <v>250.24650000000003</v>
      </c>
      <c r="V344" s="14">
        <f>U344/C344</f>
        <v>0.35000000000000003</v>
      </c>
      <c r="W344" s="14"/>
      <c r="X344" s="19">
        <f t="shared" si="176"/>
        <v>250.24650000000003</v>
      </c>
      <c r="Y344" s="19">
        <f t="shared" si="177"/>
        <v>500.49300000000005</v>
      </c>
      <c r="Z344" s="15" t="e">
        <f t="shared" si="150"/>
        <v>#DIV/0!</v>
      </c>
      <c r="AA344" s="22" t="s">
        <v>1779</v>
      </c>
      <c r="AG344" s="94" t="s">
        <v>52</v>
      </c>
      <c r="AH344" s="89" t="str">
        <f>VLOOKUP(AG344,Sheet1!$B$3:$D$36,2,FALSE)</f>
        <v>Furniture</v>
      </c>
      <c r="AI344" s="89" t="s">
        <v>1693</v>
      </c>
      <c r="AJ344" s="1" t="str">
        <f t="shared" si="165"/>
        <v xml:space="preserve"> Comet cushion</v>
      </c>
      <c r="AK344" s="1" t="str">
        <f t="shared" si="166"/>
        <v/>
      </c>
      <c r="AL344" s="1" t="str">
        <f t="shared" si="167"/>
        <v>fabric</v>
      </c>
      <c r="AM344" s="1" t="str">
        <f t="shared" si="168"/>
        <v>fabric</v>
      </c>
      <c r="AN344" s="1" t="str">
        <f t="shared" si="178"/>
        <v>fabric</v>
      </c>
      <c r="AQ344" s="1" t="str">
        <f t="shared" si="169"/>
        <v>A</v>
      </c>
      <c r="AR344" s="1" t="str">
        <f>VLOOKUP(TRIM(AI344),Sheet1!$D$3:$E$36,2,FALSE)</f>
        <v>13</v>
      </c>
      <c r="AS344" s="90" t="str">
        <f t="shared" si="170"/>
        <v>01</v>
      </c>
      <c r="AT344" s="1" t="str">
        <f t="shared" si="171"/>
        <v>01</v>
      </c>
      <c r="AU344" s="90" t="s">
        <v>1225</v>
      </c>
      <c r="AV344" s="90"/>
      <c r="AW344" s="90"/>
      <c r="AX344" s="95" t="str">
        <f>AQ344&amp;AR344&amp;AS344&amp;"-"&amp;AT344&amp;AU344&amp;BA344</f>
        <v>A1301-0139</v>
      </c>
      <c r="AY344" s="99" t="str">
        <f>AQ344&amp;AR344&amp;AS344&amp;"-"&amp;AT344&amp;BA344</f>
        <v>A1301-01</v>
      </c>
      <c r="AZ344" s="90"/>
      <c r="BA344" s="1" t="str">
        <f t="shared" si="172"/>
        <v/>
      </c>
      <c r="BC344" s="1">
        <f t="shared" si="156"/>
        <v>1</v>
      </c>
      <c r="BD344" s="90">
        <f t="shared" si="157"/>
        <v>1</v>
      </c>
      <c r="BE344" s="1">
        <f t="shared" si="180"/>
        <v>1</v>
      </c>
      <c r="BF344" s="1">
        <f t="shared" si="181"/>
        <v>1</v>
      </c>
      <c r="BI344"/>
      <c r="BJ344"/>
      <c r="BL344"/>
    </row>
    <row r="345" spans="1:64" ht="11.25" customHeight="1">
      <c r="A345" s="26" t="s">
        <v>1780</v>
      </c>
      <c r="B345" s="27" t="s">
        <v>1781</v>
      </c>
      <c r="C345" s="28">
        <v>420.99</v>
      </c>
      <c r="D345" s="28">
        <f t="shared" si="163"/>
        <v>210.495</v>
      </c>
      <c r="E345" s="22" t="s">
        <v>1686</v>
      </c>
      <c r="F345" s="22" t="s">
        <v>1782</v>
      </c>
      <c r="G345" s="22" t="s">
        <v>1783</v>
      </c>
      <c r="H345" s="22" t="s">
        <v>1784</v>
      </c>
      <c r="I345" s="23" t="s">
        <v>1785</v>
      </c>
      <c r="J345" s="22" t="s">
        <v>646</v>
      </c>
      <c r="K345" s="23">
        <v>76</v>
      </c>
      <c r="L345" s="23">
        <v>80</v>
      </c>
      <c r="M345" s="23">
        <v>90</v>
      </c>
      <c r="N345" s="3">
        <f t="shared" si="179"/>
        <v>0.54720000000000002</v>
      </c>
      <c r="O345" s="4" t="e">
        <f>(C345-(C345*#REF!))-((C345-(C345*#REF!))*#REF!)</f>
        <v>#REF!</v>
      </c>
      <c r="P345" s="7">
        <f>Q345*0.3</f>
        <v>255000</v>
      </c>
      <c r="Q345" s="7">
        <v>850000</v>
      </c>
      <c r="R345" s="5">
        <f t="shared" si="173"/>
        <v>1105000</v>
      </c>
      <c r="S345" s="4">
        <f t="shared" si="174"/>
        <v>73.666666666666671</v>
      </c>
      <c r="T345" s="13">
        <f t="shared" si="164"/>
        <v>294.69299999999998</v>
      </c>
      <c r="U345" s="13">
        <f t="shared" si="175"/>
        <v>147.34649999999999</v>
      </c>
      <c r="V345" s="14">
        <f>U345/C345</f>
        <v>0.35</v>
      </c>
      <c r="X345" s="19">
        <f t="shared" si="176"/>
        <v>147.34649999999999</v>
      </c>
      <c r="Y345" s="19">
        <f t="shared" si="177"/>
        <v>294.69299999999998</v>
      </c>
      <c r="Z345" s="15">
        <v>2</v>
      </c>
      <c r="AA345" s="22" t="s">
        <v>1786</v>
      </c>
      <c r="AG345" s="94" t="s">
        <v>52</v>
      </c>
      <c r="AH345" s="89" t="str">
        <f>VLOOKUP(AG345,Sheet1!$B$3:$D$36,2,FALSE)</f>
        <v>Furniture</v>
      </c>
      <c r="AI345" s="89" t="s">
        <v>1693</v>
      </c>
      <c r="AJ345" s="1" t="str">
        <f t="shared" si="165"/>
        <v xml:space="preserve"> Galaxy Chair-abaca</v>
      </c>
      <c r="AK345" s="1" t="str">
        <f t="shared" si="166"/>
        <v>w76 x d80 x h90 x sh31</v>
      </c>
      <c r="AL345" s="1" t="str">
        <f t="shared" si="167"/>
        <v>teak branches &amp; abaca</v>
      </c>
      <c r="AM345" s="1" t="str">
        <f t="shared" si="168"/>
        <v>teak branches &amp; abaca</v>
      </c>
      <c r="AN345" s="1" t="str">
        <f t="shared" si="178"/>
        <v>teak branches &amp; abaca</v>
      </c>
      <c r="AQ345" s="1" t="str">
        <f t="shared" si="169"/>
        <v>A</v>
      </c>
      <c r="AR345" s="1" t="str">
        <f>VLOOKUP(TRIM(AI345),Sheet1!$D$3:$E$36,2,FALSE)</f>
        <v>13</v>
      </c>
      <c r="AS345" s="90" t="str">
        <f t="shared" si="170"/>
        <v>01</v>
      </c>
      <c r="AT345" s="1" t="str">
        <f t="shared" si="171"/>
        <v>01</v>
      </c>
      <c r="AU345" s="90" t="s">
        <v>664</v>
      </c>
      <c r="AV345" s="90"/>
      <c r="AW345" s="90"/>
      <c r="AX345" s="95" t="str">
        <f>AQ345&amp;AR345&amp;AS345&amp;"-"&amp;AT345&amp;AU345&amp;BA345</f>
        <v>A1301-0127</v>
      </c>
      <c r="AY345" s="99" t="str">
        <f>AQ345&amp;AR345&amp;AS345&amp;"-"&amp;AT345&amp;BA345</f>
        <v>A1301-01</v>
      </c>
      <c r="AZ345" s="90"/>
      <c r="BA345" s="1" t="str">
        <f t="shared" si="172"/>
        <v/>
      </c>
      <c r="BC345" s="1">
        <f t="shared" si="156"/>
        <v>1</v>
      </c>
      <c r="BD345" s="90">
        <f t="shared" si="157"/>
        <v>1</v>
      </c>
      <c r="BE345" s="1">
        <f t="shared" si="180"/>
        <v>1</v>
      </c>
      <c r="BF345" s="1">
        <f t="shared" si="181"/>
        <v>1</v>
      </c>
      <c r="BI345"/>
      <c r="BJ345"/>
      <c r="BL345"/>
    </row>
    <row r="346" spans="1:64" ht="11.25" customHeight="1">
      <c r="A346" s="26" t="s">
        <v>1787</v>
      </c>
      <c r="B346" s="27" t="s">
        <v>1788</v>
      </c>
      <c r="C346" s="28">
        <v>1879.99</v>
      </c>
      <c r="D346" s="28">
        <f t="shared" si="163"/>
        <v>939.995</v>
      </c>
      <c r="E346" s="22" t="s">
        <v>1686</v>
      </c>
      <c r="F346" s="22" t="s">
        <v>1789</v>
      </c>
      <c r="G346" s="22" t="s">
        <v>1790</v>
      </c>
      <c r="H346" s="22" t="s">
        <v>1791</v>
      </c>
      <c r="I346" s="23" t="s">
        <v>807</v>
      </c>
      <c r="J346" s="22" t="s">
        <v>50</v>
      </c>
      <c r="K346" s="23">
        <v>92</v>
      </c>
      <c r="L346" s="23">
        <v>89</v>
      </c>
      <c r="M346" s="23">
        <v>66</v>
      </c>
      <c r="N346" s="3">
        <f t="shared" si="179"/>
        <v>0.540408</v>
      </c>
      <c r="O346" s="4" t="e">
        <f>(C346-(C346*#REF!))-((C346-(C346*#REF!))*#REF!)</f>
        <v>#REF!</v>
      </c>
      <c r="P346" s="7">
        <v>2866791.4549196283</v>
      </c>
      <c r="Q346" s="7">
        <v>0</v>
      </c>
      <c r="R346" s="5">
        <f t="shared" si="173"/>
        <v>2866791.4549196283</v>
      </c>
      <c r="S346" s="4">
        <f t="shared" si="174"/>
        <v>191.11943032797521</v>
      </c>
      <c r="T346" s="13">
        <f t="shared" si="164"/>
        <v>1315.9929999999999</v>
      </c>
      <c r="U346" s="13">
        <f t="shared" si="175"/>
        <v>657.99649999999997</v>
      </c>
      <c r="V346" s="14">
        <f>U346/C346</f>
        <v>0.35</v>
      </c>
      <c r="W346" s="14"/>
      <c r="X346" s="19">
        <f t="shared" si="176"/>
        <v>657.99649999999997</v>
      </c>
      <c r="Y346" s="19">
        <f t="shared" si="177"/>
        <v>1315.9929999999999</v>
      </c>
      <c r="Z346" s="15">
        <f t="shared" ref="Z346:Z386" si="182">U346/S346</f>
        <v>3.4428550716733972</v>
      </c>
      <c r="AA346" s="22" t="s">
        <v>1792</v>
      </c>
      <c r="AG346" s="94" t="s">
        <v>52</v>
      </c>
      <c r="AH346" s="89" t="str">
        <f>VLOOKUP(AG346,Sheet1!$B$3:$D$36,2,FALSE)</f>
        <v>Furniture</v>
      </c>
      <c r="AI346" s="89" t="s">
        <v>1693</v>
      </c>
      <c r="AJ346" s="1" t="str">
        <f t="shared" si="165"/>
        <v xml:space="preserve"> Nebula Chair-single</v>
      </c>
      <c r="AK346" s="1" t="str">
        <f t="shared" si="166"/>
        <v>w92 x d89 x h66 x sh41</v>
      </c>
      <c r="AL346" s="1" t="str">
        <f t="shared" si="167"/>
        <v>natural teak</v>
      </c>
      <c r="AM346" s="1" t="str">
        <f t="shared" si="168"/>
        <v>natural teak</v>
      </c>
      <c r="AN346" s="1" t="str">
        <f t="shared" si="178"/>
        <v>natural teak</v>
      </c>
      <c r="AQ346" s="1" t="str">
        <f t="shared" si="169"/>
        <v>A</v>
      </c>
      <c r="AR346" s="1" t="str">
        <f>VLOOKUP(TRIM(AI346),Sheet1!$D$3:$E$36,2,FALSE)</f>
        <v>13</v>
      </c>
      <c r="AS346" s="90" t="str">
        <f t="shared" si="170"/>
        <v>01</v>
      </c>
      <c r="AT346" s="1" t="str">
        <f t="shared" si="171"/>
        <v>01</v>
      </c>
      <c r="AU346" s="90" t="s">
        <v>55</v>
      </c>
      <c r="AV346" s="90"/>
      <c r="AW346" s="90"/>
      <c r="AX346" s="95" t="str">
        <f>AQ346&amp;AR346&amp;AS346&amp;"-"&amp;AT346&amp;AU346&amp;BA346</f>
        <v>A1301-0110</v>
      </c>
      <c r="AY346" s="99" t="str">
        <f>AQ346&amp;AR346&amp;AS346&amp;"-"&amp;AT346&amp;BA346</f>
        <v>A1301-01</v>
      </c>
      <c r="AZ346" s="90"/>
      <c r="BA346" s="1" t="str">
        <f t="shared" si="172"/>
        <v/>
      </c>
      <c r="BC346" s="1">
        <f t="shared" si="156"/>
        <v>1</v>
      </c>
      <c r="BD346" s="90">
        <f t="shared" si="157"/>
        <v>1</v>
      </c>
      <c r="BE346" s="1">
        <f t="shared" si="180"/>
        <v>1</v>
      </c>
      <c r="BF346" s="1">
        <f t="shared" si="181"/>
        <v>1</v>
      </c>
      <c r="BI346"/>
      <c r="BJ346"/>
      <c r="BL346"/>
    </row>
    <row r="347" spans="1:64" ht="11.25" customHeight="1">
      <c r="A347" s="26" t="s">
        <v>1793</v>
      </c>
      <c r="B347" s="27" t="s">
        <v>1788</v>
      </c>
      <c r="C347" s="28">
        <v>1599.99</v>
      </c>
      <c r="D347" s="28">
        <f t="shared" si="163"/>
        <v>799.995</v>
      </c>
      <c r="E347" s="22" t="s">
        <v>1686</v>
      </c>
      <c r="F347" s="22" t="s">
        <v>1794</v>
      </c>
      <c r="G347" s="22" t="s">
        <v>1795</v>
      </c>
      <c r="H347" s="22" t="s">
        <v>1791</v>
      </c>
      <c r="I347" s="23" t="s">
        <v>1796</v>
      </c>
      <c r="J347" s="22" t="s">
        <v>50</v>
      </c>
      <c r="K347" s="23">
        <v>92</v>
      </c>
      <c r="L347" s="23">
        <v>89</v>
      </c>
      <c r="M347" s="23">
        <v>66</v>
      </c>
      <c r="N347" s="3">
        <f t="shared" si="179"/>
        <v>0.540408</v>
      </c>
      <c r="O347" s="4" t="e">
        <f>(C347-(C347*#REF!))-((C347-(C347*#REF!))*#REF!)</f>
        <v>#REF!</v>
      </c>
      <c r="P347" s="7">
        <v>1883818.2049196286</v>
      </c>
      <c r="Q347" s="7">
        <v>0</v>
      </c>
      <c r="R347" s="5">
        <f t="shared" si="173"/>
        <v>1883818.2049196286</v>
      </c>
      <c r="S347" s="4">
        <f t="shared" si="174"/>
        <v>125.58788032797524</v>
      </c>
      <c r="T347" s="13">
        <f t="shared" si="164"/>
        <v>1119.9929999999999</v>
      </c>
      <c r="U347" s="13">
        <f t="shared" si="175"/>
        <v>559.99649999999997</v>
      </c>
      <c r="V347" s="14">
        <f>U347/C347</f>
        <v>0.35</v>
      </c>
      <c r="W347" s="14"/>
      <c r="X347" s="19">
        <f t="shared" si="176"/>
        <v>559.99649999999997</v>
      </c>
      <c r="Y347" s="19">
        <f t="shared" si="177"/>
        <v>1119.9929999999999</v>
      </c>
      <c r="Z347" s="15">
        <f t="shared" si="182"/>
        <v>4.4590011276371415</v>
      </c>
      <c r="AA347" s="22" t="s">
        <v>1797</v>
      </c>
      <c r="AG347" s="94" t="s">
        <v>52</v>
      </c>
      <c r="AH347" s="89" t="str">
        <f>VLOOKUP(AG347,Sheet1!$B$3:$D$36,2,FALSE)</f>
        <v>Furniture</v>
      </c>
      <c r="AI347" s="89" t="s">
        <v>1693</v>
      </c>
      <c r="AJ347" s="1" t="str">
        <f t="shared" si="165"/>
        <v xml:space="preserve"> Nebula Chair-double</v>
      </c>
      <c r="AK347" s="1" t="str">
        <f t="shared" si="166"/>
        <v>w92 x d89 x h66 x sh41</v>
      </c>
      <c r="AL347" s="1" t="str">
        <f t="shared" si="167"/>
        <v>teak railway</v>
      </c>
      <c r="AM347" s="1" t="str">
        <f t="shared" si="168"/>
        <v>teak railway</v>
      </c>
      <c r="AN347" s="1" t="str">
        <f t="shared" si="178"/>
        <v>teak railway</v>
      </c>
      <c r="AQ347" s="1" t="str">
        <f t="shared" si="169"/>
        <v>A</v>
      </c>
      <c r="AR347" s="1" t="str">
        <f>VLOOKUP(TRIM(AI347),Sheet1!$D$3:$E$36,2,FALSE)</f>
        <v>13</v>
      </c>
      <c r="AS347" s="90" t="str">
        <f t="shared" si="170"/>
        <v>01</v>
      </c>
      <c r="AT347" s="1" t="str">
        <f t="shared" si="171"/>
        <v>02</v>
      </c>
      <c r="AU347" s="90" t="s">
        <v>756</v>
      </c>
      <c r="AV347" s="90"/>
      <c r="AW347" s="90"/>
      <c r="AX347" s="95" t="str">
        <f>AQ347&amp;AR347&amp;AS347&amp;"-"&amp;AT347&amp;AU347&amp;BA347</f>
        <v>A1301-0231</v>
      </c>
      <c r="AY347" s="99" t="str">
        <f>AQ347&amp;AR347&amp;AS347&amp;"-"&amp;AT347&amp;BA347</f>
        <v>A1301-02</v>
      </c>
      <c r="AZ347" s="90"/>
      <c r="BA347" s="1" t="str">
        <f t="shared" si="172"/>
        <v/>
      </c>
      <c r="BC347" s="1">
        <f t="shared" si="156"/>
        <v>1</v>
      </c>
      <c r="BD347" s="90">
        <f t="shared" si="157"/>
        <v>1</v>
      </c>
      <c r="BE347" s="1" t="str">
        <f t="shared" si="180"/>
        <v/>
      </c>
      <c r="BF347" s="1">
        <f t="shared" si="181"/>
        <v>2</v>
      </c>
      <c r="BI347"/>
      <c r="BJ347"/>
      <c r="BL347"/>
    </row>
    <row r="348" spans="1:64" ht="11.25" customHeight="1">
      <c r="A348" s="26" t="s">
        <v>1798</v>
      </c>
      <c r="B348" s="27" t="s">
        <v>1799</v>
      </c>
      <c r="C348" s="28">
        <v>1154.99</v>
      </c>
      <c r="D348" s="28">
        <f t="shared" si="163"/>
        <v>577.495</v>
      </c>
      <c r="E348" s="22" t="s">
        <v>1686</v>
      </c>
      <c r="F348" s="22" t="s">
        <v>1800</v>
      </c>
      <c r="G348" s="22" t="s">
        <v>1801</v>
      </c>
      <c r="I348" s="23" t="s">
        <v>1223</v>
      </c>
      <c r="J348" s="22" t="s">
        <v>1698</v>
      </c>
      <c r="N348" s="3">
        <f t="shared" si="179"/>
        <v>0</v>
      </c>
      <c r="O348" s="4" t="e">
        <f>(C348-(C348*#REF!))-((C348-(C348*#REF!))*#REF!)</f>
        <v>#REF!</v>
      </c>
      <c r="P348" s="7">
        <f>2152475.95873731-Q348</f>
        <v>51806.518737310078</v>
      </c>
      <c r="Q348" s="7">
        <v>2100669.4399999999</v>
      </c>
      <c r="R348" s="5">
        <f t="shared" si="173"/>
        <v>2152475.95873731</v>
      </c>
      <c r="S348" s="4">
        <f t="shared" si="174"/>
        <v>143.49839724915401</v>
      </c>
      <c r="T348" s="13">
        <f t="shared" si="164"/>
        <v>808.49299999999994</v>
      </c>
      <c r="U348" s="13">
        <f t="shared" si="175"/>
        <v>404.24649999999997</v>
      </c>
      <c r="V348" s="14">
        <f>U348/C348</f>
        <v>0.35</v>
      </c>
      <c r="W348" s="14"/>
      <c r="X348" s="19">
        <f t="shared" si="176"/>
        <v>404.24649999999997</v>
      </c>
      <c r="Y348" s="19">
        <f t="shared" si="177"/>
        <v>808.49299999999994</v>
      </c>
      <c r="Z348" s="15">
        <f t="shared" si="182"/>
        <v>2.8170802444442158</v>
      </c>
      <c r="AA348" s="22" t="s">
        <v>1802</v>
      </c>
      <c r="AG348" s="94" t="s">
        <v>52</v>
      </c>
      <c r="AH348" s="89" t="str">
        <f>VLOOKUP(AG348,Sheet1!$B$3:$D$36,2,FALSE)</f>
        <v>Furniture</v>
      </c>
      <c r="AI348" s="89" t="s">
        <v>1693</v>
      </c>
      <c r="AJ348" s="1" t="str">
        <f t="shared" si="165"/>
        <v xml:space="preserve"> Nebula cushion</v>
      </c>
      <c r="AK348" s="1" t="str">
        <f t="shared" si="166"/>
        <v/>
      </c>
      <c r="AL348" s="1" t="str">
        <f t="shared" si="167"/>
        <v>fabric</v>
      </c>
      <c r="AM348" s="1" t="str">
        <f t="shared" si="168"/>
        <v>fabric</v>
      </c>
      <c r="AN348" s="1" t="str">
        <f t="shared" si="178"/>
        <v>fabric</v>
      </c>
      <c r="AQ348" s="1" t="str">
        <f t="shared" si="169"/>
        <v>A</v>
      </c>
      <c r="AR348" s="1" t="str">
        <f>VLOOKUP(TRIM(AI348),Sheet1!$D$3:$E$36,2,FALSE)</f>
        <v>13</v>
      </c>
      <c r="AS348" s="90" t="str">
        <f t="shared" si="170"/>
        <v>01</v>
      </c>
      <c r="AT348" s="1" t="str">
        <f t="shared" si="171"/>
        <v>01</v>
      </c>
      <c r="AU348" s="90" t="s">
        <v>1225</v>
      </c>
      <c r="AV348" s="90"/>
      <c r="AW348" s="90"/>
      <c r="AX348" s="95" t="str">
        <f>AQ348&amp;AR348&amp;AS348&amp;"-"&amp;AT348&amp;AU348&amp;BA348</f>
        <v>A1301-0139</v>
      </c>
      <c r="AY348" s="99" t="str">
        <f>AQ348&amp;AR348&amp;AS348&amp;"-"&amp;AT348&amp;BA348</f>
        <v>A1301-01</v>
      </c>
      <c r="AZ348" s="90"/>
      <c r="BA348" s="1" t="str">
        <f t="shared" si="172"/>
        <v/>
      </c>
      <c r="BC348" s="1">
        <f t="shared" si="156"/>
        <v>1</v>
      </c>
      <c r="BD348" s="90">
        <f t="shared" si="157"/>
        <v>1</v>
      </c>
      <c r="BE348" s="1">
        <f t="shared" si="180"/>
        <v>1</v>
      </c>
      <c r="BF348" s="1">
        <f t="shared" si="181"/>
        <v>1</v>
      </c>
      <c r="BI348"/>
      <c r="BJ348"/>
      <c r="BL348"/>
    </row>
    <row r="349" spans="1:64" ht="11.25" customHeight="1">
      <c r="A349" s="26" t="s">
        <v>1803</v>
      </c>
      <c r="B349" s="27" t="s">
        <v>1804</v>
      </c>
      <c r="C349" s="28">
        <v>2549.9899999999998</v>
      </c>
      <c r="D349" s="28">
        <f t="shared" si="163"/>
        <v>1274.9949999999999</v>
      </c>
      <c r="E349" s="22" t="s">
        <v>1686</v>
      </c>
      <c r="F349" s="22" t="s">
        <v>1805</v>
      </c>
      <c r="G349" s="22" t="s">
        <v>1806</v>
      </c>
      <c r="H349" s="22" t="s">
        <v>1807</v>
      </c>
      <c r="I349" s="23" t="s">
        <v>807</v>
      </c>
      <c r="J349" s="22" t="s">
        <v>50</v>
      </c>
      <c r="K349" s="23">
        <v>188</v>
      </c>
      <c r="L349" s="23">
        <v>89</v>
      </c>
      <c r="M349" s="23">
        <v>66</v>
      </c>
      <c r="N349" s="3">
        <f t="shared" si="179"/>
        <v>1.104312</v>
      </c>
      <c r="O349" s="4" t="e">
        <f>(C349-(C349*#REF!))-((C349-(C349*#REF!))*#REF!)</f>
        <v>#REF!</v>
      </c>
      <c r="P349" s="7">
        <v>4562805.6522448929</v>
      </c>
      <c r="Q349" s="7">
        <v>0</v>
      </c>
      <c r="R349" s="5">
        <f t="shared" si="173"/>
        <v>4562805.6522448929</v>
      </c>
      <c r="S349" s="4">
        <f t="shared" si="174"/>
        <v>304.18704348299286</v>
      </c>
      <c r="T349" s="13">
        <f t="shared" si="164"/>
        <v>1784.9929999999999</v>
      </c>
      <c r="U349" s="13">
        <f t="shared" si="175"/>
        <v>892.49649999999997</v>
      </c>
      <c r="V349" s="14">
        <f>U349/C349</f>
        <v>0.35000000000000003</v>
      </c>
      <c r="W349" s="14"/>
      <c r="X349" s="19">
        <f t="shared" si="176"/>
        <v>892.49649999999997</v>
      </c>
      <c r="Y349" s="19">
        <f t="shared" si="177"/>
        <v>1784.9929999999999</v>
      </c>
      <c r="Z349" s="15">
        <f t="shared" si="182"/>
        <v>2.9340385105846876</v>
      </c>
      <c r="AA349" s="22" t="s">
        <v>1808</v>
      </c>
      <c r="AG349" s="94" t="s">
        <v>52</v>
      </c>
      <c r="AH349" s="89" t="str">
        <f>VLOOKUP(AG349,Sheet1!$B$3:$D$36,2,FALSE)</f>
        <v>Furniture</v>
      </c>
      <c r="AI349" s="89" t="s">
        <v>1693</v>
      </c>
      <c r="AJ349" s="1" t="str">
        <f t="shared" si="165"/>
        <v xml:space="preserve"> Nebula sofa-double</v>
      </c>
      <c r="AK349" s="1" t="str">
        <f t="shared" si="166"/>
        <v>w188 x d89 x h66 x sh41</v>
      </c>
      <c r="AL349" s="1" t="str">
        <f t="shared" si="167"/>
        <v>natural teak</v>
      </c>
      <c r="AM349" s="1" t="str">
        <f t="shared" si="168"/>
        <v>natural teak</v>
      </c>
      <c r="AN349" s="1" t="str">
        <f t="shared" si="178"/>
        <v>natural teak</v>
      </c>
      <c r="AQ349" s="1" t="str">
        <f t="shared" si="169"/>
        <v>A</v>
      </c>
      <c r="AR349" s="1" t="str">
        <f>VLOOKUP(TRIM(AI349),Sheet1!$D$3:$E$36,2,FALSE)</f>
        <v>13</v>
      </c>
      <c r="AS349" s="90" t="str">
        <f t="shared" si="170"/>
        <v>01</v>
      </c>
      <c r="AT349" s="1" t="str">
        <f t="shared" si="171"/>
        <v>01</v>
      </c>
      <c r="AU349" s="90" t="s">
        <v>55</v>
      </c>
      <c r="AV349" s="90"/>
      <c r="AW349" s="90"/>
      <c r="AX349" s="95" t="str">
        <f>AQ349&amp;AR349&amp;AS349&amp;"-"&amp;AT349&amp;AU349&amp;BA349</f>
        <v>A1301-0110</v>
      </c>
      <c r="AY349" s="99" t="str">
        <f>AQ349&amp;AR349&amp;AS349&amp;"-"&amp;AT349&amp;BA349</f>
        <v>A1301-01</v>
      </c>
      <c r="AZ349" s="90"/>
      <c r="BA349" s="1" t="str">
        <f t="shared" si="172"/>
        <v/>
      </c>
      <c r="BC349" s="1">
        <f t="shared" si="156"/>
        <v>1</v>
      </c>
      <c r="BD349" s="90">
        <f t="shared" si="157"/>
        <v>1</v>
      </c>
      <c r="BE349" s="1">
        <f t="shared" si="180"/>
        <v>1</v>
      </c>
      <c r="BF349" s="1">
        <f t="shared" si="181"/>
        <v>1</v>
      </c>
      <c r="BI349"/>
      <c r="BJ349"/>
      <c r="BL349"/>
    </row>
    <row r="350" spans="1:64" ht="11.25" customHeight="1">
      <c r="A350" s="26" t="s">
        <v>1809</v>
      </c>
      <c r="B350" s="27" t="s">
        <v>1804</v>
      </c>
      <c r="C350" s="28">
        <v>2259.9899999999998</v>
      </c>
      <c r="D350" s="28">
        <f t="shared" si="163"/>
        <v>1129.9949999999999</v>
      </c>
      <c r="E350" s="22" t="s">
        <v>1686</v>
      </c>
      <c r="F350" s="22" t="s">
        <v>1810</v>
      </c>
      <c r="G350" s="22" t="s">
        <v>1806</v>
      </c>
      <c r="H350" s="22" t="s">
        <v>1807</v>
      </c>
      <c r="I350" s="23" t="s">
        <v>1796</v>
      </c>
      <c r="J350" s="22" t="s">
        <v>50</v>
      </c>
      <c r="K350" s="23">
        <v>188</v>
      </c>
      <c r="L350" s="23">
        <v>89</v>
      </c>
      <c r="M350" s="23">
        <v>66</v>
      </c>
      <c r="N350" s="3">
        <f t="shared" si="179"/>
        <v>1.104312</v>
      </c>
      <c r="O350" s="4" t="e">
        <f>(C350-(C350*#REF!))-((C350-(C350*#REF!))*#REF!)</f>
        <v>#REF!</v>
      </c>
      <c r="P350" s="7">
        <v>2786100.6522448929</v>
      </c>
      <c r="Q350" s="7">
        <v>0</v>
      </c>
      <c r="R350" s="5">
        <f t="shared" si="173"/>
        <v>2786100.6522448929</v>
      </c>
      <c r="S350" s="4">
        <f t="shared" si="174"/>
        <v>185.74004348299286</v>
      </c>
      <c r="T350" s="13">
        <f t="shared" si="164"/>
        <v>1581.9929999999999</v>
      </c>
      <c r="U350" s="13">
        <f t="shared" si="175"/>
        <v>790.99649999999997</v>
      </c>
      <c r="V350" s="14">
        <f>U350/C350</f>
        <v>0.35000000000000003</v>
      </c>
      <c r="W350" s="14"/>
      <c r="X350" s="19">
        <f t="shared" si="176"/>
        <v>790.99649999999997</v>
      </c>
      <c r="Y350" s="19">
        <f t="shared" si="177"/>
        <v>1581.9929999999999</v>
      </c>
      <c r="Z350" s="15">
        <f t="shared" si="182"/>
        <v>4.2586212707139097</v>
      </c>
      <c r="AA350" s="22" t="s">
        <v>1811</v>
      </c>
      <c r="AG350" s="94" t="s">
        <v>52</v>
      </c>
      <c r="AH350" s="89" t="str">
        <f>VLOOKUP(AG350,Sheet1!$B$3:$D$36,2,FALSE)</f>
        <v>Furniture</v>
      </c>
      <c r="AI350" s="89" t="s">
        <v>1693</v>
      </c>
      <c r="AJ350" s="1" t="str">
        <f t="shared" si="165"/>
        <v xml:space="preserve"> Nebula sofa-double</v>
      </c>
      <c r="AK350" s="1" t="str">
        <f t="shared" si="166"/>
        <v>w188 x d89 x h66 x sh41</v>
      </c>
      <c r="AL350" s="1" t="str">
        <f t="shared" si="167"/>
        <v>teak railway</v>
      </c>
      <c r="AM350" s="1" t="str">
        <f t="shared" si="168"/>
        <v>teak railway</v>
      </c>
      <c r="AN350" s="1" t="str">
        <f t="shared" si="178"/>
        <v>teak railway</v>
      </c>
      <c r="AQ350" s="1" t="str">
        <f t="shared" si="169"/>
        <v>A</v>
      </c>
      <c r="AR350" s="1" t="str">
        <f>VLOOKUP(TRIM(AI350),Sheet1!$D$3:$E$36,2,FALSE)</f>
        <v>13</v>
      </c>
      <c r="AS350" s="90" t="str">
        <f t="shared" si="170"/>
        <v>02</v>
      </c>
      <c r="AT350" s="1" t="str">
        <f t="shared" si="171"/>
        <v>02</v>
      </c>
      <c r="AU350" s="90" t="s">
        <v>756</v>
      </c>
      <c r="AV350" s="90"/>
      <c r="AW350" s="90"/>
      <c r="AX350" s="95" t="str">
        <f>AQ350&amp;AR350&amp;AS350&amp;"-"&amp;AT350&amp;AU350&amp;BA350</f>
        <v>A1302-0231</v>
      </c>
      <c r="AY350" s="99" t="str">
        <f>AQ350&amp;AR350&amp;AS350&amp;"-"&amp;AT350&amp;BA350</f>
        <v>A1302-02</v>
      </c>
      <c r="AZ350" s="90"/>
      <c r="BA350" s="1" t="str">
        <f t="shared" si="172"/>
        <v/>
      </c>
      <c r="BC350" s="1" t="str">
        <f t="shared" si="156"/>
        <v/>
      </c>
      <c r="BD350" s="90">
        <f t="shared" si="157"/>
        <v>2</v>
      </c>
      <c r="BE350" s="1" t="str">
        <f t="shared" si="180"/>
        <v/>
      </c>
      <c r="BF350" s="1">
        <f t="shared" si="181"/>
        <v>2</v>
      </c>
      <c r="BI350"/>
      <c r="BJ350"/>
      <c r="BL350"/>
    </row>
    <row r="351" spans="1:64" ht="11.25" customHeight="1">
      <c r="A351" s="26" t="s">
        <v>1812</v>
      </c>
      <c r="B351" s="27" t="s">
        <v>1813</v>
      </c>
      <c r="C351" s="28">
        <v>2464.9899999999998</v>
      </c>
      <c r="D351" s="28">
        <f t="shared" si="163"/>
        <v>1232.4949999999999</v>
      </c>
      <c r="E351" s="22" t="s">
        <v>1686</v>
      </c>
      <c r="F351" s="22" t="s">
        <v>1800</v>
      </c>
      <c r="G351" s="22" t="s">
        <v>1801</v>
      </c>
      <c r="I351" s="23" t="s">
        <v>1223</v>
      </c>
      <c r="J351" s="22" t="s">
        <v>1698</v>
      </c>
      <c r="N351" s="3">
        <f t="shared" si="179"/>
        <v>0</v>
      </c>
      <c r="O351" s="4" t="e">
        <f>(C351-(C351*#REF!))-((C351-(C351*#REF!))*#REF!)</f>
        <v>#REF!</v>
      </c>
      <c r="P351" s="7">
        <f>4894832.41214428-Q351</f>
        <v>119014.97547761351</v>
      </c>
      <c r="Q351" s="7">
        <v>4775817.4366666665</v>
      </c>
      <c r="R351" s="5">
        <f t="shared" si="173"/>
        <v>4894832.41214428</v>
      </c>
      <c r="S351" s="4">
        <f t="shared" si="174"/>
        <v>326.32216080961865</v>
      </c>
      <c r="T351" s="13">
        <f t="shared" si="164"/>
        <v>1725.4929999999999</v>
      </c>
      <c r="U351" s="13">
        <f t="shared" si="175"/>
        <v>862.74649999999997</v>
      </c>
      <c r="V351" s="14">
        <f>U351/C351</f>
        <v>0.35000000000000003</v>
      </c>
      <c r="W351" s="14"/>
      <c r="X351" s="19">
        <f t="shared" si="176"/>
        <v>862.74649999999997</v>
      </c>
      <c r="Y351" s="19">
        <f t="shared" si="177"/>
        <v>1725.4929999999999</v>
      </c>
      <c r="Z351" s="15">
        <f t="shared" si="182"/>
        <v>2.643848943202296</v>
      </c>
      <c r="AA351" s="22" t="s">
        <v>1814</v>
      </c>
      <c r="AG351" s="94" t="s">
        <v>52</v>
      </c>
      <c r="AH351" s="89" t="str">
        <f>VLOOKUP(AG351,Sheet1!$B$3:$D$36,2,FALSE)</f>
        <v>Furniture</v>
      </c>
      <c r="AI351" s="89" t="s">
        <v>1693</v>
      </c>
      <c r="AJ351" s="1" t="str">
        <f t="shared" si="165"/>
        <v xml:space="preserve"> Nebula cushion</v>
      </c>
      <c r="AK351" s="1" t="str">
        <f t="shared" si="166"/>
        <v/>
      </c>
      <c r="AL351" s="1" t="str">
        <f t="shared" si="167"/>
        <v>fabric</v>
      </c>
      <c r="AM351" s="1" t="str">
        <f t="shared" si="168"/>
        <v>fabric</v>
      </c>
      <c r="AN351" s="1" t="str">
        <f t="shared" si="178"/>
        <v>fabric</v>
      </c>
      <c r="AQ351" s="1" t="str">
        <f t="shared" si="169"/>
        <v>A</v>
      </c>
      <c r="AR351" s="1" t="str">
        <f>VLOOKUP(TRIM(AI351),Sheet1!$D$3:$E$36,2,FALSE)</f>
        <v>13</v>
      </c>
      <c r="AS351" s="90" t="str">
        <f t="shared" si="170"/>
        <v>01</v>
      </c>
      <c r="AT351" s="1" t="str">
        <f t="shared" si="171"/>
        <v>01</v>
      </c>
      <c r="AU351" s="90" t="s">
        <v>1225</v>
      </c>
      <c r="AV351" s="90"/>
      <c r="AW351" s="90"/>
      <c r="AX351" s="95" t="str">
        <f>AQ351&amp;AR351&amp;AS351&amp;"-"&amp;AT351&amp;AU351&amp;BA351</f>
        <v>A1301-0139</v>
      </c>
      <c r="AY351" s="99" t="str">
        <f>AQ351&amp;AR351&amp;AS351&amp;"-"&amp;AT351&amp;BA351</f>
        <v>A1301-01</v>
      </c>
      <c r="AZ351" s="90"/>
      <c r="BA351" s="1" t="str">
        <f t="shared" si="172"/>
        <v/>
      </c>
      <c r="BC351" s="1">
        <f t="shared" si="156"/>
        <v>1</v>
      </c>
      <c r="BD351" s="90">
        <f t="shared" si="157"/>
        <v>1</v>
      </c>
      <c r="BE351" s="1">
        <f t="shared" si="180"/>
        <v>1</v>
      </c>
      <c r="BF351" s="1">
        <f t="shared" si="181"/>
        <v>1</v>
      </c>
      <c r="BI351"/>
      <c r="BJ351"/>
      <c r="BL351"/>
    </row>
    <row r="352" spans="1:64" ht="11.25" customHeight="1">
      <c r="A352" s="26" t="s">
        <v>1815</v>
      </c>
      <c r="B352" s="27" t="s">
        <v>1816</v>
      </c>
      <c r="C352" s="28">
        <v>3419.99</v>
      </c>
      <c r="D352" s="28">
        <f t="shared" si="163"/>
        <v>1709.9949999999999</v>
      </c>
      <c r="E352" s="22" t="s">
        <v>1686</v>
      </c>
      <c r="F352" s="22" t="s">
        <v>1817</v>
      </c>
      <c r="G352" s="22" t="s">
        <v>1818</v>
      </c>
      <c r="H352" s="22" t="s">
        <v>1819</v>
      </c>
      <c r="I352" s="23" t="s">
        <v>807</v>
      </c>
      <c r="J352" s="22" t="s">
        <v>50</v>
      </c>
      <c r="K352" s="23">
        <v>300</v>
      </c>
      <c r="L352" s="23">
        <v>89</v>
      </c>
      <c r="M352" s="23">
        <v>66</v>
      </c>
      <c r="N352" s="3">
        <f t="shared" si="179"/>
        <v>1.7622</v>
      </c>
      <c r="O352" s="4" t="e">
        <f>(C352-(C352*#REF!))-((C352-(C352*#REF!))*#REF!)</f>
        <v>#REF!</v>
      </c>
      <c r="P352" s="7">
        <v>4283509.4287039703</v>
      </c>
      <c r="Q352" s="7">
        <v>0</v>
      </c>
      <c r="R352" s="5">
        <f t="shared" si="173"/>
        <v>4283509.4287039703</v>
      </c>
      <c r="S352" s="4">
        <f t="shared" si="174"/>
        <v>285.56729524693134</v>
      </c>
      <c r="T352" s="13">
        <f t="shared" si="164"/>
        <v>2393.9929999999999</v>
      </c>
      <c r="U352" s="13">
        <f t="shared" si="175"/>
        <v>1196.9965</v>
      </c>
      <c r="V352" s="14">
        <f>U352/C352</f>
        <v>0.35000000000000003</v>
      </c>
      <c r="W352" s="14"/>
      <c r="X352" s="19">
        <f t="shared" si="176"/>
        <v>1196.9965</v>
      </c>
      <c r="Y352" s="19">
        <f t="shared" si="177"/>
        <v>2393.9929999999999</v>
      </c>
      <c r="Z352" s="15">
        <f t="shared" si="182"/>
        <v>4.191644211095503</v>
      </c>
      <c r="AA352" s="22" t="s">
        <v>1820</v>
      </c>
      <c r="AG352" s="94" t="s">
        <v>52</v>
      </c>
      <c r="AH352" s="89" t="str">
        <f>VLOOKUP(AG352,Sheet1!$B$3:$D$36,2,FALSE)</f>
        <v>Furniture</v>
      </c>
      <c r="AI352" s="89" t="s">
        <v>1693</v>
      </c>
      <c r="AJ352" s="1" t="str">
        <f t="shared" si="165"/>
        <v xml:space="preserve"> Nebula sofa-triple</v>
      </c>
      <c r="AK352" s="1" t="str">
        <f t="shared" si="166"/>
        <v>w300 x d89 x h66 x sh41</v>
      </c>
      <c r="AL352" s="1" t="str">
        <f t="shared" si="167"/>
        <v>natural teak</v>
      </c>
      <c r="AM352" s="1" t="str">
        <f t="shared" si="168"/>
        <v>natural teak</v>
      </c>
      <c r="AN352" s="1" t="str">
        <f t="shared" si="178"/>
        <v>natural teak</v>
      </c>
      <c r="AQ352" s="1" t="str">
        <f t="shared" si="169"/>
        <v>A</v>
      </c>
      <c r="AR352" s="1" t="str">
        <f>VLOOKUP(TRIM(AI352),Sheet1!$D$3:$E$36,2,FALSE)</f>
        <v>13</v>
      </c>
      <c r="AS352" s="90" t="str">
        <f t="shared" si="170"/>
        <v>01</v>
      </c>
      <c r="AT352" s="1" t="str">
        <f t="shared" si="171"/>
        <v>01</v>
      </c>
      <c r="AU352" s="90" t="s">
        <v>55</v>
      </c>
      <c r="AV352" s="90"/>
      <c r="AW352" s="90"/>
      <c r="AX352" s="95" t="str">
        <f>AQ352&amp;AR352&amp;AS352&amp;"-"&amp;AT352&amp;AU352&amp;BA352</f>
        <v>A1301-0110</v>
      </c>
      <c r="AY352" s="99" t="str">
        <f>AQ352&amp;AR352&amp;AS352&amp;"-"&amp;AT352&amp;BA352</f>
        <v>A1301-01</v>
      </c>
      <c r="AZ352" s="90"/>
      <c r="BA352" s="1" t="str">
        <f t="shared" si="172"/>
        <v/>
      </c>
      <c r="BC352" s="1">
        <f t="shared" si="156"/>
        <v>1</v>
      </c>
      <c r="BD352" s="90">
        <f t="shared" si="157"/>
        <v>1</v>
      </c>
      <c r="BE352" s="1">
        <f t="shared" si="180"/>
        <v>1</v>
      </c>
      <c r="BF352" s="1">
        <f t="shared" si="181"/>
        <v>1</v>
      </c>
      <c r="BI352"/>
      <c r="BJ352"/>
      <c r="BL352"/>
    </row>
    <row r="353" spans="1:64" ht="11.25" customHeight="1">
      <c r="A353" s="26" t="s">
        <v>1821</v>
      </c>
      <c r="B353" s="27" t="s">
        <v>1822</v>
      </c>
      <c r="C353" s="28">
        <v>1219.99</v>
      </c>
      <c r="D353" s="28">
        <f t="shared" si="163"/>
        <v>609.995</v>
      </c>
      <c r="E353" s="22" t="s">
        <v>1686</v>
      </c>
      <c r="F353" s="22" t="s">
        <v>1823</v>
      </c>
      <c r="G353" s="22" t="s">
        <v>1824</v>
      </c>
      <c r="H353" s="22" t="s">
        <v>1825</v>
      </c>
      <c r="I353" s="23" t="s">
        <v>807</v>
      </c>
      <c r="J353" s="22" t="s">
        <v>50</v>
      </c>
      <c r="K353" s="23">
        <v>84</v>
      </c>
      <c r="L353" s="23">
        <v>91</v>
      </c>
      <c r="M353" s="23">
        <v>70</v>
      </c>
      <c r="N353" s="3">
        <f t="shared" si="179"/>
        <v>0.53508</v>
      </c>
      <c r="O353" s="4" t="e">
        <f>(C353-(C353*#REF!))-((C353-(C353*#REF!))*#REF!)</f>
        <v>#REF!</v>
      </c>
      <c r="P353" s="7"/>
      <c r="Q353" s="7"/>
      <c r="R353" s="5">
        <f t="shared" si="173"/>
        <v>0</v>
      </c>
      <c r="S353" s="4">
        <f t="shared" si="174"/>
        <v>0</v>
      </c>
      <c r="T353" s="13">
        <f t="shared" si="164"/>
        <v>853.99299999999994</v>
      </c>
      <c r="U353" s="13">
        <f t="shared" si="175"/>
        <v>426.99649999999997</v>
      </c>
      <c r="V353" s="14">
        <f>U353/C353</f>
        <v>0.35</v>
      </c>
      <c r="W353" s="14"/>
      <c r="X353" s="19">
        <f t="shared" si="176"/>
        <v>426.99649999999997</v>
      </c>
      <c r="Y353" s="19">
        <f t="shared" si="177"/>
        <v>853.99299999999994</v>
      </c>
      <c r="Z353" s="15" t="e">
        <f t="shared" si="182"/>
        <v>#DIV/0!</v>
      </c>
      <c r="AA353" s="22" t="s">
        <v>1826</v>
      </c>
      <c r="AG353" s="94" t="s">
        <v>52</v>
      </c>
      <c r="AH353" s="89" t="str">
        <f>VLOOKUP(AG353,Sheet1!$B$3:$D$36,2,FALSE)</f>
        <v>Furniture</v>
      </c>
      <c r="AI353" s="89" t="s">
        <v>1693</v>
      </c>
      <c r="AJ353" s="1" t="str">
        <f t="shared" si="165"/>
        <v xml:space="preserve"> Solaris Chair-2arms</v>
      </c>
      <c r="AK353" s="1" t="str">
        <f t="shared" si="166"/>
        <v>w84 x d91 x h70 x sh45</v>
      </c>
      <c r="AL353" s="1" t="str">
        <f t="shared" si="167"/>
        <v>natural teak</v>
      </c>
      <c r="AM353" s="1" t="str">
        <f t="shared" si="168"/>
        <v>natural teak</v>
      </c>
      <c r="AN353" s="1" t="str">
        <f t="shared" si="178"/>
        <v>natural teak</v>
      </c>
      <c r="AQ353" s="1" t="str">
        <f t="shared" si="169"/>
        <v>A</v>
      </c>
      <c r="AR353" s="1" t="str">
        <f>VLOOKUP(TRIM(AI353),Sheet1!$D$3:$E$36,2,FALSE)</f>
        <v>13</v>
      </c>
      <c r="AS353" s="90" t="str">
        <f t="shared" si="170"/>
        <v>01</v>
      </c>
      <c r="AT353" s="1" t="str">
        <f t="shared" si="171"/>
        <v>01</v>
      </c>
      <c r="AU353" s="90" t="s">
        <v>55</v>
      </c>
      <c r="AV353" s="90"/>
      <c r="AW353" s="90"/>
      <c r="AX353" s="95" t="str">
        <f>AQ353&amp;AR353&amp;AS353&amp;"-"&amp;AT353&amp;AU353&amp;BA353</f>
        <v>A1301-0110</v>
      </c>
      <c r="AY353" s="99" t="str">
        <f>AQ353&amp;AR353&amp;AS353&amp;"-"&amp;AT353&amp;BA353</f>
        <v>A1301-01</v>
      </c>
      <c r="AZ353" s="90"/>
      <c r="BA353" s="1" t="str">
        <f t="shared" si="172"/>
        <v/>
      </c>
      <c r="BC353" s="1">
        <f t="shared" si="156"/>
        <v>1</v>
      </c>
      <c r="BD353" s="90">
        <f t="shared" si="157"/>
        <v>1</v>
      </c>
      <c r="BE353" s="1">
        <f t="shared" si="180"/>
        <v>1</v>
      </c>
      <c r="BF353" s="1">
        <f t="shared" si="181"/>
        <v>1</v>
      </c>
      <c r="BI353"/>
      <c r="BJ353"/>
      <c r="BL353"/>
    </row>
    <row r="354" spans="1:64" ht="11.25" customHeight="1">
      <c r="A354" s="26" t="s">
        <v>1827</v>
      </c>
      <c r="B354" s="27" t="s">
        <v>1828</v>
      </c>
      <c r="C354" s="28">
        <v>1019.99</v>
      </c>
      <c r="D354" s="28">
        <f t="shared" si="163"/>
        <v>509.995</v>
      </c>
      <c r="E354" s="22" t="s">
        <v>1686</v>
      </c>
      <c r="F354" s="22" t="s">
        <v>1829</v>
      </c>
      <c r="G354" s="22" t="s">
        <v>1830</v>
      </c>
      <c r="I354" s="23" t="s">
        <v>1223</v>
      </c>
      <c r="J354" s="22" t="s">
        <v>1698</v>
      </c>
      <c r="N354" s="3">
        <f t="shared" si="179"/>
        <v>0</v>
      </c>
      <c r="O354" s="4" t="e">
        <f>(C354-(C354*#REF!))-((C354-(C354*#REF!))*#REF!)</f>
        <v>#REF!</v>
      </c>
      <c r="P354" s="7"/>
      <c r="Q354" s="7"/>
      <c r="R354" s="5">
        <f t="shared" si="173"/>
        <v>0</v>
      </c>
      <c r="S354" s="4">
        <f t="shared" si="174"/>
        <v>0</v>
      </c>
      <c r="T354" s="13">
        <f t="shared" si="164"/>
        <v>713.99299999999994</v>
      </c>
      <c r="U354" s="13">
        <f t="shared" si="175"/>
        <v>356.99649999999997</v>
      </c>
      <c r="V354" s="14">
        <f>U354/C354</f>
        <v>0.35</v>
      </c>
      <c r="W354" s="14"/>
      <c r="X354" s="19">
        <f t="shared" si="176"/>
        <v>356.99649999999997</v>
      </c>
      <c r="Y354" s="19">
        <f t="shared" si="177"/>
        <v>713.99299999999994</v>
      </c>
      <c r="Z354" s="15" t="e">
        <f t="shared" si="182"/>
        <v>#DIV/0!</v>
      </c>
      <c r="AA354" s="22" t="s">
        <v>1831</v>
      </c>
      <c r="AG354" s="94" t="s">
        <v>52</v>
      </c>
      <c r="AH354" s="89" t="str">
        <f>VLOOKUP(AG354,Sheet1!$B$3:$D$36,2,FALSE)</f>
        <v>Furniture</v>
      </c>
      <c r="AI354" s="89" t="s">
        <v>1693</v>
      </c>
      <c r="AJ354" s="1" t="str">
        <f t="shared" si="165"/>
        <v xml:space="preserve"> Solaris cushion-2arms</v>
      </c>
      <c r="AK354" s="1" t="str">
        <f t="shared" si="166"/>
        <v/>
      </c>
      <c r="AL354" s="1" t="str">
        <f t="shared" si="167"/>
        <v>fabric</v>
      </c>
      <c r="AM354" s="1" t="str">
        <f t="shared" si="168"/>
        <v>fabric</v>
      </c>
      <c r="AN354" s="1" t="str">
        <f t="shared" si="178"/>
        <v>fabric</v>
      </c>
      <c r="AQ354" s="1" t="str">
        <f t="shared" si="169"/>
        <v>A</v>
      </c>
      <c r="AR354" s="1" t="str">
        <f>VLOOKUP(TRIM(AI354),Sheet1!$D$3:$E$36,2,FALSE)</f>
        <v>13</v>
      </c>
      <c r="AS354" s="90" t="str">
        <f t="shared" si="170"/>
        <v>01</v>
      </c>
      <c r="AT354" s="1" t="str">
        <f t="shared" si="171"/>
        <v>01</v>
      </c>
      <c r="AU354" s="90" t="s">
        <v>1225</v>
      </c>
      <c r="AV354" s="90"/>
      <c r="AW354" s="90"/>
      <c r="AX354" s="95" t="str">
        <f>AQ354&amp;AR354&amp;AS354&amp;"-"&amp;AT354&amp;AU354&amp;BA354</f>
        <v>A1301-0139</v>
      </c>
      <c r="AY354" s="99" t="str">
        <f>AQ354&amp;AR354&amp;AS354&amp;"-"&amp;AT354&amp;BA354</f>
        <v>A1301-01</v>
      </c>
      <c r="AZ354" s="90"/>
      <c r="BA354" s="1" t="str">
        <f t="shared" si="172"/>
        <v/>
      </c>
      <c r="BC354" s="1">
        <f t="shared" si="156"/>
        <v>1</v>
      </c>
      <c r="BD354" s="90">
        <f t="shared" si="157"/>
        <v>1</v>
      </c>
      <c r="BE354" s="1">
        <f t="shared" si="180"/>
        <v>1</v>
      </c>
      <c r="BF354" s="1">
        <f t="shared" si="181"/>
        <v>1</v>
      </c>
      <c r="BI354"/>
      <c r="BJ354"/>
      <c r="BL354"/>
    </row>
    <row r="355" spans="1:64" ht="11.25" customHeight="1">
      <c r="A355" s="26" t="s">
        <v>1832</v>
      </c>
      <c r="B355" s="27" t="s">
        <v>1833</v>
      </c>
      <c r="C355" s="28">
        <v>709.99</v>
      </c>
      <c r="D355" s="28">
        <f t="shared" si="163"/>
        <v>354.995</v>
      </c>
      <c r="E355" s="22" t="s">
        <v>1686</v>
      </c>
      <c r="F355" s="22" t="s">
        <v>1834</v>
      </c>
      <c r="G355" s="22" t="s">
        <v>1835</v>
      </c>
      <c r="H355" s="22" t="s">
        <v>1836</v>
      </c>
      <c r="I355" s="23" t="s">
        <v>807</v>
      </c>
      <c r="J355" s="22" t="s">
        <v>50</v>
      </c>
      <c r="K355" s="23">
        <v>70</v>
      </c>
      <c r="L355" s="23">
        <v>84</v>
      </c>
      <c r="M355" s="23">
        <v>70</v>
      </c>
      <c r="N355" s="3">
        <f t="shared" si="179"/>
        <v>0.41160000000000002</v>
      </c>
      <c r="O355" s="4" t="e">
        <f>(C355-(C355*#REF!))-((C355-(C355*#REF!))*#REF!)</f>
        <v>#REF!</v>
      </c>
      <c r="P355" s="7"/>
      <c r="Q355" s="7"/>
      <c r="R355" s="5">
        <f t="shared" si="173"/>
        <v>0</v>
      </c>
      <c r="S355" s="4">
        <f t="shared" si="174"/>
        <v>0</v>
      </c>
      <c r="T355" s="13">
        <f t="shared" si="164"/>
        <v>496.99300000000005</v>
      </c>
      <c r="U355" s="13">
        <f t="shared" si="175"/>
        <v>248.49650000000003</v>
      </c>
      <c r="V355" s="14">
        <f>U355/C355</f>
        <v>0.35000000000000003</v>
      </c>
      <c r="W355" s="14"/>
      <c r="X355" s="19">
        <f t="shared" si="176"/>
        <v>248.49650000000003</v>
      </c>
      <c r="Y355" s="19">
        <f t="shared" si="177"/>
        <v>496.99300000000005</v>
      </c>
      <c r="Z355" s="15" t="e">
        <f t="shared" si="182"/>
        <v>#DIV/0!</v>
      </c>
      <c r="AA355" s="22" t="s">
        <v>1837</v>
      </c>
      <c r="AG355" s="94" t="s">
        <v>52</v>
      </c>
      <c r="AH355" s="89" t="str">
        <f>VLOOKUP(AG355,Sheet1!$B$3:$D$36,2,FALSE)</f>
        <v>Furniture</v>
      </c>
      <c r="AI355" s="89" t="s">
        <v>1693</v>
      </c>
      <c r="AJ355" s="1" t="str">
        <f t="shared" si="165"/>
        <v xml:space="preserve"> Solaris Chair-noarm</v>
      </c>
      <c r="AK355" s="1" t="str">
        <f t="shared" si="166"/>
        <v>w70 x d84 x h70 x sh45</v>
      </c>
      <c r="AL355" s="1" t="str">
        <f t="shared" si="167"/>
        <v>natural teak</v>
      </c>
      <c r="AM355" s="1" t="str">
        <f t="shared" si="168"/>
        <v>natural teak</v>
      </c>
      <c r="AN355" s="1" t="str">
        <f t="shared" si="178"/>
        <v>natural teak</v>
      </c>
      <c r="AQ355" s="1" t="str">
        <f t="shared" si="169"/>
        <v>A</v>
      </c>
      <c r="AR355" s="1" t="str">
        <f>VLOOKUP(TRIM(AI355),Sheet1!$D$3:$E$36,2,FALSE)</f>
        <v>13</v>
      </c>
      <c r="AS355" s="90" t="str">
        <f t="shared" si="170"/>
        <v>01</v>
      </c>
      <c r="AT355" s="1" t="str">
        <f t="shared" si="171"/>
        <v>01</v>
      </c>
      <c r="AU355" s="90" t="s">
        <v>55</v>
      </c>
      <c r="AV355" s="90"/>
      <c r="AW355" s="90"/>
      <c r="AX355" s="95" t="str">
        <f>AQ355&amp;AR355&amp;AS355&amp;"-"&amp;AT355&amp;AU355&amp;BA355</f>
        <v>A1301-0110</v>
      </c>
      <c r="AY355" s="99" t="str">
        <f>AQ355&amp;AR355&amp;AS355&amp;"-"&amp;AT355&amp;BA355</f>
        <v>A1301-01</v>
      </c>
      <c r="AZ355" s="90"/>
      <c r="BA355" s="1" t="str">
        <f t="shared" si="172"/>
        <v/>
      </c>
      <c r="BC355" s="1">
        <f t="shared" si="156"/>
        <v>1</v>
      </c>
      <c r="BD355" s="90">
        <f t="shared" si="157"/>
        <v>1</v>
      </c>
      <c r="BE355" s="1">
        <f t="shared" si="180"/>
        <v>1</v>
      </c>
      <c r="BF355" s="1">
        <f t="shared" si="181"/>
        <v>1</v>
      </c>
      <c r="BI355"/>
      <c r="BJ355"/>
      <c r="BL355"/>
    </row>
    <row r="356" spans="1:64" ht="11.25" customHeight="1">
      <c r="A356" s="26" t="s">
        <v>1838</v>
      </c>
      <c r="B356" s="27" t="s">
        <v>1839</v>
      </c>
      <c r="C356" s="28">
        <v>1019.99</v>
      </c>
      <c r="D356" s="28">
        <f t="shared" si="163"/>
        <v>509.995</v>
      </c>
      <c r="E356" s="22" t="s">
        <v>1686</v>
      </c>
      <c r="F356" s="22" t="s">
        <v>1829</v>
      </c>
      <c r="G356" s="22" t="s">
        <v>1840</v>
      </c>
      <c r="I356" s="23" t="s">
        <v>1223</v>
      </c>
      <c r="J356" s="22" t="s">
        <v>1698</v>
      </c>
      <c r="N356" s="3">
        <f t="shared" si="179"/>
        <v>0</v>
      </c>
      <c r="O356" s="4" t="e">
        <f>(C356-(C356*#REF!))-((C356-(C356*#REF!))*#REF!)</f>
        <v>#REF!</v>
      </c>
      <c r="P356" s="7"/>
      <c r="Q356" s="7"/>
      <c r="R356" s="5">
        <f t="shared" si="173"/>
        <v>0</v>
      </c>
      <c r="S356" s="4">
        <f t="shared" si="174"/>
        <v>0</v>
      </c>
      <c r="T356" s="13">
        <f t="shared" si="164"/>
        <v>713.99299999999994</v>
      </c>
      <c r="U356" s="13">
        <f t="shared" si="175"/>
        <v>356.99649999999997</v>
      </c>
      <c r="V356" s="14">
        <f>U356/C356</f>
        <v>0.35</v>
      </c>
      <c r="W356" s="14"/>
      <c r="X356" s="19">
        <f t="shared" si="176"/>
        <v>356.99649999999997</v>
      </c>
      <c r="Y356" s="19">
        <f t="shared" si="177"/>
        <v>713.99299999999994</v>
      </c>
      <c r="Z356" s="15" t="e">
        <f t="shared" si="182"/>
        <v>#DIV/0!</v>
      </c>
      <c r="AA356" s="22" t="s">
        <v>1841</v>
      </c>
      <c r="AG356" s="94" t="s">
        <v>52</v>
      </c>
      <c r="AH356" s="89" t="str">
        <f>VLOOKUP(AG356,Sheet1!$B$3:$D$36,2,FALSE)</f>
        <v>Furniture</v>
      </c>
      <c r="AI356" s="89" t="s">
        <v>1693</v>
      </c>
      <c r="AJ356" s="1" t="str">
        <f t="shared" si="165"/>
        <v xml:space="preserve"> Solaris cushion-noarm</v>
      </c>
      <c r="AK356" s="1" t="str">
        <f t="shared" si="166"/>
        <v/>
      </c>
      <c r="AL356" s="1" t="str">
        <f t="shared" si="167"/>
        <v>fabric</v>
      </c>
      <c r="AM356" s="1" t="str">
        <f t="shared" si="168"/>
        <v>fabric</v>
      </c>
      <c r="AN356" s="1" t="str">
        <f t="shared" si="178"/>
        <v>fabric</v>
      </c>
      <c r="AQ356" s="1" t="str">
        <f t="shared" si="169"/>
        <v>A</v>
      </c>
      <c r="AR356" s="1" t="str">
        <f>VLOOKUP(TRIM(AI356),Sheet1!$D$3:$E$36,2,FALSE)</f>
        <v>13</v>
      </c>
      <c r="AS356" s="90" t="str">
        <f t="shared" si="170"/>
        <v>01</v>
      </c>
      <c r="AT356" s="1" t="str">
        <f t="shared" si="171"/>
        <v>01</v>
      </c>
      <c r="AU356" s="90" t="s">
        <v>1225</v>
      </c>
      <c r="AV356" s="90"/>
      <c r="AW356" s="90"/>
      <c r="AX356" s="95" t="str">
        <f>AQ356&amp;AR356&amp;AS356&amp;"-"&amp;AT356&amp;AU356&amp;BA356</f>
        <v>A1301-0139</v>
      </c>
      <c r="AY356" s="99" t="str">
        <f>AQ356&amp;AR356&amp;AS356&amp;"-"&amp;AT356&amp;BA356</f>
        <v>A1301-01</v>
      </c>
      <c r="AZ356" s="90"/>
      <c r="BA356" s="1" t="str">
        <f t="shared" si="172"/>
        <v/>
      </c>
      <c r="BC356" s="1">
        <f t="shared" si="156"/>
        <v>1</v>
      </c>
      <c r="BD356" s="90">
        <f t="shared" si="157"/>
        <v>1</v>
      </c>
      <c r="BE356" s="1">
        <f t="shared" si="180"/>
        <v>1</v>
      </c>
      <c r="BF356" s="1">
        <f t="shared" si="181"/>
        <v>1</v>
      </c>
      <c r="BI356"/>
      <c r="BJ356"/>
      <c r="BL356"/>
    </row>
    <row r="357" spans="1:64" ht="11.25" customHeight="1">
      <c r="A357" s="26" t="s">
        <v>1842</v>
      </c>
      <c r="B357" s="27" t="s">
        <v>1843</v>
      </c>
      <c r="C357" s="28">
        <v>1199.99</v>
      </c>
      <c r="D357" s="28">
        <f t="shared" si="163"/>
        <v>599.995</v>
      </c>
      <c r="E357" s="22" t="s">
        <v>1686</v>
      </c>
      <c r="F357" s="22" t="s">
        <v>1844</v>
      </c>
      <c r="G357" s="22" t="s">
        <v>1845</v>
      </c>
      <c r="H357" s="22" t="s">
        <v>1846</v>
      </c>
      <c r="I357" s="23" t="s">
        <v>807</v>
      </c>
      <c r="J357" s="22" t="s">
        <v>646</v>
      </c>
      <c r="K357" s="23">
        <v>88</v>
      </c>
      <c r="L357" s="23">
        <v>74</v>
      </c>
      <c r="M357" s="23">
        <v>93</v>
      </c>
      <c r="N357" s="3">
        <f t="shared" si="179"/>
        <v>0.60561600000000004</v>
      </c>
      <c r="O357" s="4" t="e">
        <f>(C357-(C357*#REF!))-((C357-(C357*#REF!))*#REF!)</f>
        <v>#REF!</v>
      </c>
      <c r="P357" s="7">
        <f>1892510.21675478-Q357</f>
        <v>374510.21675477992</v>
      </c>
      <c r="Q357" s="7">
        <v>1518000</v>
      </c>
      <c r="R357" s="5">
        <f t="shared" si="173"/>
        <v>1892510.2167547799</v>
      </c>
      <c r="S357" s="4">
        <f t="shared" si="174"/>
        <v>126.16734778365199</v>
      </c>
      <c r="T357" s="13">
        <f t="shared" si="164"/>
        <v>839.99299999999994</v>
      </c>
      <c r="U357" s="13">
        <f t="shared" si="175"/>
        <v>419.99649999999997</v>
      </c>
      <c r="V357" s="14">
        <f>U357/C357</f>
        <v>0.35</v>
      </c>
      <c r="W357" s="14"/>
      <c r="X357" s="19">
        <f t="shared" si="176"/>
        <v>419.99649999999997</v>
      </c>
      <c r="Y357" s="19">
        <f t="shared" si="177"/>
        <v>839.99299999999994</v>
      </c>
      <c r="Z357" s="15">
        <f t="shared" si="182"/>
        <v>3.3288842745604628</v>
      </c>
      <c r="AA357" s="22" t="s">
        <v>1847</v>
      </c>
      <c r="AG357" s="94" t="s">
        <v>52</v>
      </c>
      <c r="AH357" s="89" t="str">
        <f>VLOOKUP(AG357,Sheet1!$B$3:$D$36,2,FALSE)</f>
        <v>Furniture</v>
      </c>
      <c r="AI357" s="89" t="s">
        <v>1693</v>
      </c>
      <c r="AJ357" s="1" t="str">
        <f t="shared" si="165"/>
        <v xml:space="preserve"> Zenith Chair-bear</v>
      </c>
      <c r="AK357" s="1" t="str">
        <f t="shared" si="166"/>
        <v>w88 x d74 x h93 x sh43</v>
      </c>
      <c r="AL357" s="1" t="str">
        <f t="shared" si="167"/>
        <v>natural teak</v>
      </c>
      <c r="AM357" s="1" t="str">
        <f t="shared" si="168"/>
        <v>natural teak</v>
      </c>
      <c r="AN357" s="1" t="str">
        <f t="shared" si="178"/>
        <v>natural teak</v>
      </c>
      <c r="AQ357" s="1" t="str">
        <f t="shared" si="169"/>
        <v>A</v>
      </c>
      <c r="AR357" s="1" t="str">
        <f>VLOOKUP(TRIM(AI357),Sheet1!$D$3:$E$36,2,FALSE)</f>
        <v>13</v>
      </c>
      <c r="AS357" s="90" t="str">
        <f t="shared" si="170"/>
        <v>01</v>
      </c>
      <c r="AT357" s="1" t="str">
        <f t="shared" si="171"/>
        <v>01</v>
      </c>
      <c r="AU357" s="90" t="s">
        <v>55</v>
      </c>
      <c r="AV357" s="90"/>
      <c r="AW357" s="90"/>
      <c r="AX357" s="95" t="str">
        <f>AQ357&amp;AR357&amp;AS357&amp;"-"&amp;AT357&amp;AU357&amp;BA357</f>
        <v>A1301-0110</v>
      </c>
      <c r="AY357" s="99" t="str">
        <f>AQ357&amp;AR357&amp;AS357&amp;"-"&amp;AT357&amp;BA357</f>
        <v>A1301-01</v>
      </c>
      <c r="AZ357" s="90"/>
      <c r="BA357" s="1" t="str">
        <f t="shared" si="172"/>
        <v/>
      </c>
      <c r="BC357" s="1">
        <f t="shared" si="156"/>
        <v>1</v>
      </c>
      <c r="BD357" s="90">
        <f t="shared" si="157"/>
        <v>1</v>
      </c>
      <c r="BE357" s="1">
        <f t="shared" si="180"/>
        <v>1</v>
      </c>
      <c r="BF357" s="1">
        <f t="shared" si="181"/>
        <v>1</v>
      </c>
      <c r="BI357"/>
      <c r="BJ357"/>
      <c r="BL357"/>
    </row>
    <row r="358" spans="1:64" ht="11.25" customHeight="1">
      <c r="A358" s="26" t="s">
        <v>1848</v>
      </c>
      <c r="B358" s="27" t="s">
        <v>1849</v>
      </c>
      <c r="C358" s="28">
        <v>579.99</v>
      </c>
      <c r="D358" s="28">
        <f t="shared" si="163"/>
        <v>289.995</v>
      </c>
      <c r="E358" s="22" t="s">
        <v>1686</v>
      </c>
      <c r="F358" s="22" t="s">
        <v>1850</v>
      </c>
      <c r="G358" s="22" t="s">
        <v>1851</v>
      </c>
      <c r="H358" s="22" t="s">
        <v>1852</v>
      </c>
      <c r="I358" s="23" t="s">
        <v>807</v>
      </c>
      <c r="J358" s="22" t="s">
        <v>646</v>
      </c>
      <c r="K358" s="23">
        <v>65</v>
      </c>
      <c r="L358" s="23">
        <v>51</v>
      </c>
      <c r="M358" s="23">
        <v>70</v>
      </c>
      <c r="N358" s="3">
        <f t="shared" si="179"/>
        <v>0.23205000000000001</v>
      </c>
      <c r="O358" s="4" t="e">
        <f>(C358-(C358*#REF!))-((C358-(C358*#REF!))*#REF!)</f>
        <v>#REF!</v>
      </c>
      <c r="P358" s="7"/>
      <c r="Q358" s="7"/>
      <c r="R358" s="5">
        <f t="shared" si="173"/>
        <v>0</v>
      </c>
      <c r="S358" s="4">
        <f t="shared" si="174"/>
        <v>0</v>
      </c>
      <c r="T358" s="13">
        <f t="shared" si="164"/>
        <v>405.99300000000005</v>
      </c>
      <c r="U358" s="13">
        <f t="shared" si="175"/>
        <v>202.99650000000003</v>
      </c>
      <c r="V358" s="14">
        <f>U358/C358</f>
        <v>0.35000000000000003</v>
      </c>
      <c r="W358" s="14"/>
      <c r="X358" s="19">
        <f t="shared" si="176"/>
        <v>202.99650000000003</v>
      </c>
      <c r="Y358" s="19">
        <f t="shared" si="177"/>
        <v>405.99300000000005</v>
      </c>
      <c r="Z358" s="15" t="e">
        <f t="shared" si="182"/>
        <v>#DIV/0!</v>
      </c>
      <c r="AA358" s="22" t="s">
        <v>1853</v>
      </c>
      <c r="AG358" s="94" t="s">
        <v>52</v>
      </c>
      <c r="AH358" s="89" t="str">
        <f>VLOOKUP(AG358,Sheet1!$B$3:$D$36,2,FALSE)</f>
        <v>Furniture</v>
      </c>
      <c r="AI358" s="89" t="s">
        <v>1693</v>
      </c>
      <c r="AJ358" s="1" t="str">
        <f t="shared" si="165"/>
        <v xml:space="preserve"> Zenith Chair-lounge</v>
      </c>
      <c r="AK358" s="1" t="str">
        <f t="shared" si="166"/>
        <v>w65 x d51 x h70 x sh40</v>
      </c>
      <c r="AL358" s="1" t="str">
        <f t="shared" si="167"/>
        <v>natural teak</v>
      </c>
      <c r="AM358" s="1" t="str">
        <f t="shared" si="168"/>
        <v>natural teak</v>
      </c>
      <c r="AN358" s="1" t="str">
        <f t="shared" si="178"/>
        <v>natural teak</v>
      </c>
      <c r="AQ358" s="1" t="str">
        <f t="shared" si="169"/>
        <v>A</v>
      </c>
      <c r="AR358" s="1" t="str">
        <f>VLOOKUP(TRIM(AI358),Sheet1!$D$3:$E$36,2,FALSE)</f>
        <v>13</v>
      </c>
      <c r="AS358" s="90" t="str">
        <f t="shared" si="170"/>
        <v>01</v>
      </c>
      <c r="AT358" s="1" t="str">
        <f t="shared" si="171"/>
        <v>01</v>
      </c>
      <c r="AU358" s="90" t="s">
        <v>55</v>
      </c>
      <c r="AV358" s="90"/>
      <c r="AW358" s="90"/>
      <c r="AX358" s="95" t="str">
        <f>AQ358&amp;AR358&amp;AS358&amp;"-"&amp;AT358&amp;AU358&amp;BA358</f>
        <v>A1301-0110</v>
      </c>
      <c r="AY358" s="99" t="str">
        <f>AQ358&amp;AR358&amp;AS358&amp;"-"&amp;AT358&amp;BA358</f>
        <v>A1301-01</v>
      </c>
      <c r="AZ358" s="90"/>
      <c r="BA358" s="1" t="str">
        <f t="shared" si="172"/>
        <v/>
      </c>
      <c r="BC358" s="1">
        <f t="shared" si="156"/>
        <v>1</v>
      </c>
      <c r="BD358" s="90">
        <f t="shared" si="157"/>
        <v>1</v>
      </c>
      <c r="BE358" s="1">
        <f t="shared" si="180"/>
        <v>1</v>
      </c>
      <c r="BF358" s="1">
        <f t="shared" si="181"/>
        <v>1</v>
      </c>
      <c r="BI358"/>
      <c r="BJ358"/>
      <c r="BL358"/>
    </row>
    <row r="359" spans="1:64" ht="11.25" customHeight="1">
      <c r="A359" s="26" t="s">
        <v>1854</v>
      </c>
      <c r="B359" s="27" t="s">
        <v>1855</v>
      </c>
      <c r="C359" s="28">
        <v>1159.99</v>
      </c>
      <c r="D359" s="28">
        <f t="shared" si="163"/>
        <v>579.995</v>
      </c>
      <c r="E359" s="22" t="s">
        <v>1686</v>
      </c>
      <c r="F359" s="22" t="s">
        <v>1856</v>
      </c>
      <c r="G359" s="22" t="s">
        <v>1857</v>
      </c>
      <c r="H359" s="22" t="s">
        <v>1858</v>
      </c>
      <c r="I359" s="23" t="s">
        <v>807</v>
      </c>
      <c r="J359" s="22" t="s">
        <v>646</v>
      </c>
      <c r="K359" s="23">
        <v>88</v>
      </c>
      <c r="L359" s="23">
        <v>74</v>
      </c>
      <c r="M359" s="23">
        <v>90</v>
      </c>
      <c r="N359" s="3">
        <f t="shared" si="179"/>
        <v>0.58608000000000005</v>
      </c>
      <c r="O359" s="4" t="e">
        <f>(C359-(C359*#REF!))-((C359-(C359*#REF!))*#REF!)</f>
        <v>#REF!</v>
      </c>
      <c r="P359" s="7">
        <f>1767230.90249614-Q359</f>
        <v>567230.90249613998</v>
      </c>
      <c r="Q359" s="7">
        <v>1200000</v>
      </c>
      <c r="R359" s="5">
        <f t="shared" si="173"/>
        <v>1767230.90249614</v>
      </c>
      <c r="S359" s="4">
        <f t="shared" si="174"/>
        <v>117.81539349974267</v>
      </c>
      <c r="T359" s="13">
        <f t="shared" si="164"/>
        <v>811.99299999999994</v>
      </c>
      <c r="U359" s="13">
        <f t="shared" si="175"/>
        <v>405.99649999999997</v>
      </c>
      <c r="V359" s="14">
        <f>U359/C359</f>
        <v>0.35</v>
      </c>
      <c r="W359" s="14"/>
      <c r="X359" s="19">
        <f t="shared" si="176"/>
        <v>405.99649999999997</v>
      </c>
      <c r="Y359" s="19">
        <f t="shared" si="177"/>
        <v>811.99299999999994</v>
      </c>
      <c r="Z359" s="15">
        <f t="shared" si="182"/>
        <v>3.4460395024771251</v>
      </c>
      <c r="AA359" s="22" t="s">
        <v>1859</v>
      </c>
      <c r="AG359" s="94" t="s">
        <v>52</v>
      </c>
      <c r="AH359" s="89" t="str">
        <f>VLOOKUP(AG359,Sheet1!$B$3:$D$36,2,FALSE)</f>
        <v>Furniture</v>
      </c>
      <c r="AI359" s="89" t="s">
        <v>1693</v>
      </c>
      <c r="AJ359" s="1" t="str">
        <f t="shared" si="165"/>
        <v xml:space="preserve"> Celestial Chair-bear</v>
      </c>
      <c r="AK359" s="1" t="str">
        <f t="shared" si="166"/>
        <v>w88 x d74 x h90 x sh45</v>
      </c>
      <c r="AL359" s="1" t="str">
        <f t="shared" si="167"/>
        <v>natural teak</v>
      </c>
      <c r="AM359" s="1" t="str">
        <f t="shared" si="168"/>
        <v>natural teak</v>
      </c>
      <c r="AN359" s="1" t="str">
        <f t="shared" si="178"/>
        <v>natural teak</v>
      </c>
      <c r="AQ359" s="1" t="str">
        <f t="shared" si="169"/>
        <v>A</v>
      </c>
      <c r="AR359" s="1" t="str">
        <f>VLOOKUP(TRIM(AI359),Sheet1!$D$3:$E$36,2,FALSE)</f>
        <v>13</v>
      </c>
      <c r="AS359" s="90" t="str">
        <f t="shared" si="170"/>
        <v>01</v>
      </c>
      <c r="AT359" s="1" t="str">
        <f t="shared" si="171"/>
        <v>01</v>
      </c>
      <c r="AU359" s="90" t="s">
        <v>55</v>
      </c>
      <c r="AV359" s="90"/>
      <c r="AW359" s="90"/>
      <c r="AX359" s="95" t="str">
        <f>AQ359&amp;AR359&amp;AS359&amp;"-"&amp;AT359&amp;AU359&amp;BA359</f>
        <v>A1301-0110</v>
      </c>
      <c r="AY359" s="99" t="str">
        <f>AQ359&amp;AR359&amp;AS359&amp;"-"&amp;AT359&amp;BA359</f>
        <v>A1301-01</v>
      </c>
      <c r="AZ359" s="90"/>
      <c r="BA359" s="1" t="str">
        <f t="shared" si="172"/>
        <v/>
      </c>
      <c r="BC359" s="1">
        <f t="shared" si="156"/>
        <v>1</v>
      </c>
      <c r="BD359" s="90">
        <f t="shared" si="157"/>
        <v>1</v>
      </c>
      <c r="BE359" s="1">
        <f t="shared" si="180"/>
        <v>1</v>
      </c>
      <c r="BF359" s="1">
        <f t="shared" si="181"/>
        <v>1</v>
      </c>
      <c r="BI359"/>
      <c r="BJ359"/>
      <c r="BL359"/>
    </row>
    <row r="360" spans="1:64" ht="11.25" customHeight="1">
      <c r="A360" s="26" t="s">
        <v>1860</v>
      </c>
      <c r="B360" s="27" t="s">
        <v>1861</v>
      </c>
      <c r="C360" s="28">
        <v>609.99</v>
      </c>
      <c r="D360" s="28">
        <f t="shared" si="163"/>
        <v>304.995</v>
      </c>
      <c r="E360" s="22" t="s">
        <v>1686</v>
      </c>
      <c r="F360" s="22" t="s">
        <v>1862</v>
      </c>
      <c r="G360" s="22" t="s">
        <v>1863</v>
      </c>
      <c r="H360" s="22" t="s">
        <v>1864</v>
      </c>
      <c r="I360" s="23" t="s">
        <v>807</v>
      </c>
      <c r="J360" s="22" t="s">
        <v>646</v>
      </c>
      <c r="K360" s="23">
        <v>70</v>
      </c>
      <c r="L360" s="23">
        <v>45</v>
      </c>
      <c r="M360" s="23">
        <v>70</v>
      </c>
      <c r="N360" s="3">
        <f t="shared" si="179"/>
        <v>0.2205</v>
      </c>
      <c r="O360" s="4" t="e">
        <f>(C360-(C360*#REF!))-((C360-(C360*#REF!))*#REF!)</f>
        <v>#REF!</v>
      </c>
      <c r="P360" s="7"/>
      <c r="Q360" s="7"/>
      <c r="R360" s="5">
        <f t="shared" si="173"/>
        <v>0</v>
      </c>
      <c r="S360" s="4">
        <f t="shared" si="174"/>
        <v>0</v>
      </c>
      <c r="T360" s="13">
        <f t="shared" si="164"/>
        <v>426.99300000000005</v>
      </c>
      <c r="U360" s="13">
        <f t="shared" si="175"/>
        <v>213.49650000000003</v>
      </c>
      <c r="V360" s="14">
        <f>U360/C360</f>
        <v>0.35000000000000003</v>
      </c>
      <c r="W360" s="14"/>
      <c r="X360" s="19">
        <f t="shared" si="176"/>
        <v>213.49650000000003</v>
      </c>
      <c r="Y360" s="19">
        <f t="shared" si="177"/>
        <v>426.99300000000005</v>
      </c>
      <c r="Z360" s="15" t="e">
        <f t="shared" si="182"/>
        <v>#DIV/0!</v>
      </c>
      <c r="AA360" s="22" t="s">
        <v>1865</v>
      </c>
      <c r="AG360" s="94" t="s">
        <v>52</v>
      </c>
      <c r="AH360" s="89" t="str">
        <f>VLOOKUP(AG360,Sheet1!$B$3:$D$36,2,FALSE)</f>
        <v>Furniture</v>
      </c>
      <c r="AI360" s="89" t="s">
        <v>1693</v>
      </c>
      <c r="AJ360" s="1" t="str">
        <f t="shared" si="165"/>
        <v xml:space="preserve"> Celestial Chair-lounge</v>
      </c>
      <c r="AK360" s="1" t="str">
        <f t="shared" si="166"/>
        <v>w70 x d45 x h70 x sh42</v>
      </c>
      <c r="AL360" s="1" t="str">
        <f t="shared" si="167"/>
        <v>natural teak</v>
      </c>
      <c r="AM360" s="1" t="str">
        <f t="shared" si="168"/>
        <v>natural teak</v>
      </c>
      <c r="AN360" s="1" t="str">
        <f t="shared" si="178"/>
        <v>natural teak</v>
      </c>
      <c r="AQ360" s="1" t="str">
        <f t="shared" si="169"/>
        <v>A</v>
      </c>
      <c r="AR360" s="1" t="str">
        <f>VLOOKUP(TRIM(AI360),Sheet1!$D$3:$E$36,2,FALSE)</f>
        <v>13</v>
      </c>
      <c r="AS360" s="90" t="str">
        <f t="shared" si="170"/>
        <v>01</v>
      </c>
      <c r="AT360" s="1" t="str">
        <f t="shared" si="171"/>
        <v>01</v>
      </c>
      <c r="AU360" s="90" t="s">
        <v>55</v>
      </c>
      <c r="AV360" s="90"/>
      <c r="AW360" s="90"/>
      <c r="AX360" s="95" t="str">
        <f>AQ360&amp;AR360&amp;AS360&amp;"-"&amp;AT360&amp;AU360&amp;BA360</f>
        <v>A1301-0110</v>
      </c>
      <c r="AY360" s="99" t="str">
        <f>AQ360&amp;AR360&amp;AS360&amp;"-"&amp;AT360&amp;BA360</f>
        <v>A1301-01</v>
      </c>
      <c r="AZ360" s="90"/>
      <c r="BA360" s="1" t="str">
        <f t="shared" si="172"/>
        <v/>
      </c>
      <c r="BC360" s="1">
        <f t="shared" si="156"/>
        <v>1</v>
      </c>
      <c r="BD360" s="90">
        <f t="shared" si="157"/>
        <v>1</v>
      </c>
      <c r="BE360" s="1">
        <f t="shared" si="180"/>
        <v>1</v>
      </c>
      <c r="BF360" s="1">
        <f t="shared" si="181"/>
        <v>1</v>
      </c>
      <c r="BI360"/>
      <c r="BJ360"/>
      <c r="BL360"/>
    </row>
    <row r="361" spans="1:64" s="63" customFormat="1" ht="15.75">
      <c r="A361" s="65" t="s">
        <v>1866</v>
      </c>
      <c r="B361" s="66"/>
      <c r="C361" s="67"/>
      <c r="D361" s="75"/>
      <c r="E361" s="68"/>
      <c r="F361" s="69"/>
      <c r="G361" s="68"/>
      <c r="H361" s="68"/>
      <c r="I361" s="65"/>
      <c r="J361" s="68"/>
      <c r="K361" s="65"/>
      <c r="L361" s="65"/>
      <c r="M361" s="65"/>
      <c r="N361" s="68"/>
      <c r="O361" s="68"/>
      <c r="P361" s="76"/>
      <c r="Q361" s="76"/>
      <c r="R361" s="77"/>
      <c r="S361" s="68"/>
      <c r="T361" s="78"/>
      <c r="U361" s="78"/>
      <c r="V361" s="75"/>
      <c r="W361" s="75"/>
      <c r="X361" s="75"/>
      <c r="Y361" s="75"/>
      <c r="Z361" s="79"/>
      <c r="AA361" s="68"/>
      <c r="AB361" s="66"/>
      <c r="AC361" s="66"/>
      <c r="AD361" s="66"/>
      <c r="AE361" s="66"/>
      <c r="AF361" s="66"/>
      <c r="AG361" s="93"/>
      <c r="AH361" s="89"/>
      <c r="AI361" s="89"/>
      <c r="AJ361" s="1"/>
      <c r="AK361" s="1"/>
      <c r="AL361" s="1"/>
      <c r="AM361" s="1"/>
      <c r="AQ361" s="1"/>
      <c r="AR361" s="1"/>
      <c r="AS361" s="90"/>
      <c r="AT361" s="1"/>
      <c r="AU361" s="90"/>
      <c r="AV361" s="90"/>
      <c r="AW361" s="90"/>
      <c r="AX361" s="95"/>
      <c r="AY361" s="99" t="str">
        <f>AQ361&amp;AR361&amp;AS361&amp;"-"&amp;AT361&amp;BA361</f>
        <v>-</v>
      </c>
      <c r="AZ361" s="90"/>
      <c r="BA361" s="1"/>
      <c r="BC361" s="1"/>
      <c r="BD361" s="90"/>
      <c r="BE361" s="1"/>
      <c r="BF361" s="1"/>
      <c r="BI361"/>
      <c r="BJ361"/>
      <c r="BK361" s="1"/>
      <c r="BL361"/>
    </row>
    <row r="362" spans="1:64" ht="11.25" customHeight="1">
      <c r="A362" s="26">
        <v>22565</v>
      </c>
      <c r="B362" s="27" t="s">
        <v>1867</v>
      </c>
      <c r="C362" s="28">
        <v>986.99</v>
      </c>
      <c r="D362" s="28">
        <f t="shared" si="163"/>
        <v>493.495</v>
      </c>
      <c r="E362" s="22" t="s">
        <v>1866</v>
      </c>
      <c r="F362" s="22" t="s">
        <v>1868</v>
      </c>
      <c r="G362" s="22" t="s">
        <v>1867</v>
      </c>
      <c r="H362" s="22" t="s">
        <v>1869</v>
      </c>
      <c r="I362" s="23" t="s">
        <v>1196</v>
      </c>
      <c r="J362" s="22" t="s">
        <v>670</v>
      </c>
      <c r="K362" s="23">
        <v>200</v>
      </c>
      <c r="L362" s="23">
        <v>200</v>
      </c>
      <c r="M362" s="23">
        <v>41</v>
      </c>
      <c r="N362" s="3">
        <f t="shared" ref="N362:N455" si="183">(IF(ISBLANK(K362),(L362*L362*M362),(K362*L362*M362)))/1000000</f>
        <v>1.64</v>
      </c>
      <c r="O362" s="4" t="e">
        <f>(C362-(C362*#REF!))-((C362-(C362*#REF!))*#REF!)</f>
        <v>#REF!</v>
      </c>
      <c r="P362" s="7"/>
      <c r="Q362" s="7"/>
      <c r="R362" s="5">
        <f t="shared" ref="R362:R373" si="184">P362+Q362</f>
        <v>0</v>
      </c>
      <c r="S362" s="4">
        <f t="shared" ref="S362:S373" si="185">R362/15000</f>
        <v>0</v>
      </c>
      <c r="T362" s="13">
        <f t="shared" si="164"/>
        <v>690.89300000000003</v>
      </c>
      <c r="U362" s="13">
        <f t="shared" si="175"/>
        <v>345.44650000000001</v>
      </c>
      <c r="V362" s="14">
        <f>U362/C362</f>
        <v>0.35000000000000003</v>
      </c>
      <c r="W362" s="14"/>
      <c r="X362" s="19">
        <f t="shared" ref="X362:X373" si="186">IF(ISBLANK(W362),U362, W362)</f>
        <v>345.44650000000001</v>
      </c>
      <c r="Y362" s="19">
        <f t="shared" ref="Y362:Y373" si="187">X362*2</f>
        <v>690.89300000000003</v>
      </c>
      <c r="Z362" s="15" t="e">
        <f t="shared" si="182"/>
        <v>#DIV/0!</v>
      </c>
      <c r="AA362" s="22" t="s">
        <v>1870</v>
      </c>
      <c r="AG362" s="94" t="s">
        <v>1871</v>
      </c>
      <c r="AH362" s="89" t="str">
        <f>VLOOKUP(AG362,Sheet1!$B$3:$D$36,2,FALSE)</f>
        <v>Sun &amp; Shades</v>
      </c>
      <c r="AI362" s="89" t="str">
        <f>VLOOKUP(AG362,Sheet1!$B$3:$D$36,3,FALSE)</f>
        <v>Sunbed</v>
      </c>
      <c r="AJ362" s="1" t="str">
        <f t="shared" si="165"/>
        <v>Square sunbed</v>
      </c>
      <c r="AK362" s="1" t="str">
        <f t="shared" si="166"/>
        <v>w200 x d200 x h41</v>
      </c>
      <c r="AL362" s="1" t="str">
        <f t="shared" si="167"/>
        <v>kubu grey</v>
      </c>
      <c r="AM362" s="1" t="str">
        <f t="shared" si="168"/>
        <v>kubu grey</v>
      </c>
      <c r="AN362" s="1" t="str">
        <f t="shared" ref="AN362:AN365" si="188">SUBSTITUTE(AL362,"indoor","")</f>
        <v>kubu grey</v>
      </c>
      <c r="AQ362" s="1" t="str">
        <f t="shared" si="169"/>
        <v>D</v>
      </c>
      <c r="AR362" s="1" t="str">
        <f>VLOOKUP(TRIM(AI362),Sheet1!$D$3:$E$36,2,FALSE)</f>
        <v>01</v>
      </c>
      <c r="AS362" s="90" t="str">
        <f t="shared" si="170"/>
        <v>01</v>
      </c>
      <c r="AT362" s="1" t="str">
        <f t="shared" si="171"/>
        <v>01</v>
      </c>
      <c r="AU362" s="90" t="s">
        <v>1198</v>
      </c>
      <c r="AV362" s="90"/>
      <c r="AW362" s="90"/>
      <c r="AX362" s="95" t="str">
        <f>AQ362&amp;AR362&amp;AS362&amp;"-"&amp;AT362&amp;AU362&amp;BA362</f>
        <v>D0101-0107</v>
      </c>
      <c r="AY362" s="99" t="str">
        <f>AQ362&amp;AR362&amp;AS362&amp;"-"&amp;AT362&amp;BA362</f>
        <v>D0101-01</v>
      </c>
      <c r="AZ362" s="90"/>
      <c r="BA362" s="1" t="str">
        <f t="shared" si="172"/>
        <v/>
      </c>
      <c r="BC362" s="1">
        <f t="shared" ref="BC361:BC424" si="189">IF(AJ361&lt;&gt;AJ362,1,"")</f>
        <v>1</v>
      </c>
      <c r="BD362" s="90">
        <f t="shared" ref="BD361:BD424" si="190">IF(BC362=1,1,BD361+1)</f>
        <v>1</v>
      </c>
      <c r="BE362" s="1">
        <f t="shared" si="180"/>
        <v>1</v>
      </c>
      <c r="BF362" s="1">
        <f t="shared" si="181"/>
        <v>1</v>
      </c>
      <c r="BI362"/>
      <c r="BJ362"/>
      <c r="BL362"/>
    </row>
    <row r="363" spans="1:64" ht="11.25" customHeight="1">
      <c r="A363" s="26">
        <v>22567</v>
      </c>
      <c r="B363" s="27" t="s">
        <v>1872</v>
      </c>
      <c r="C363" s="28">
        <v>798.99</v>
      </c>
      <c r="D363" s="28">
        <f t="shared" si="163"/>
        <v>399.495</v>
      </c>
      <c r="E363" s="22" t="s">
        <v>1866</v>
      </c>
      <c r="F363" s="22" t="s">
        <v>1873</v>
      </c>
      <c r="G363" s="22" t="s">
        <v>1874</v>
      </c>
      <c r="H363" s="22" t="s">
        <v>1875</v>
      </c>
      <c r="I363" s="23" t="s">
        <v>1876</v>
      </c>
      <c r="J363" s="22" t="s">
        <v>670</v>
      </c>
      <c r="K363" s="23">
        <v>200</v>
      </c>
      <c r="L363" s="23">
        <v>200</v>
      </c>
      <c r="M363" s="23">
        <v>41</v>
      </c>
      <c r="N363" s="3">
        <f t="shared" si="183"/>
        <v>1.64</v>
      </c>
      <c r="O363" s="4" t="e">
        <f>(C363-(C363*#REF!))-((C363-(C363*#REF!))*#REF!)</f>
        <v>#REF!</v>
      </c>
      <c r="P363" s="7"/>
      <c r="Q363" s="7"/>
      <c r="R363" s="5">
        <f t="shared" si="184"/>
        <v>0</v>
      </c>
      <c r="S363" s="4">
        <f t="shared" si="185"/>
        <v>0</v>
      </c>
      <c r="T363" s="13">
        <f t="shared" si="164"/>
        <v>559.29300000000001</v>
      </c>
      <c r="U363" s="13">
        <f t="shared" si="175"/>
        <v>279.6465</v>
      </c>
      <c r="V363" s="14">
        <f>U363/C363</f>
        <v>0.35</v>
      </c>
      <c r="W363" s="14"/>
      <c r="X363" s="19">
        <f t="shared" si="186"/>
        <v>279.6465</v>
      </c>
      <c r="Y363" s="19">
        <f t="shared" si="187"/>
        <v>559.29300000000001</v>
      </c>
      <c r="Z363" s="15" t="e">
        <f t="shared" si="182"/>
        <v>#DIV/0!</v>
      </c>
      <c r="AA363" s="22" t="s">
        <v>1877</v>
      </c>
      <c r="AG363" s="94" t="s">
        <v>1871</v>
      </c>
      <c r="AH363" s="89" t="str">
        <f>VLOOKUP(AG363,Sheet1!$B$3:$D$36,2,FALSE)</f>
        <v>Sun &amp; Shades</v>
      </c>
      <c r="AI363" s="89" t="str">
        <f>VLOOKUP(AG363,Sheet1!$B$3:$D$36,3,FALSE)</f>
        <v>Sunbed</v>
      </c>
      <c r="AJ363" s="1" t="str">
        <f t="shared" si="165"/>
        <v>Square umbrella</v>
      </c>
      <c r="AK363" s="1" t="str">
        <f t="shared" si="166"/>
        <v>w200 x d200 x h41</v>
      </c>
      <c r="AL363" s="1" t="str">
        <f t="shared" si="167"/>
        <v>rattan</v>
      </c>
      <c r="AM363" s="1" t="str">
        <f t="shared" si="168"/>
        <v>rattan</v>
      </c>
      <c r="AN363" s="1" t="str">
        <f t="shared" si="188"/>
        <v>rattan</v>
      </c>
      <c r="AQ363" s="1" t="str">
        <f t="shared" si="169"/>
        <v>D</v>
      </c>
      <c r="AR363" s="1" t="str">
        <f>VLOOKUP(TRIM(AI363),Sheet1!$D$3:$E$36,2,FALSE)</f>
        <v>01</v>
      </c>
      <c r="AS363" s="90" t="str">
        <f t="shared" si="170"/>
        <v>01</v>
      </c>
      <c r="AT363" s="1" t="str">
        <f t="shared" si="171"/>
        <v>02</v>
      </c>
      <c r="AU363" s="90" t="s">
        <v>1878</v>
      </c>
      <c r="AV363" s="90"/>
      <c r="AW363" s="90"/>
      <c r="AX363" s="95" t="str">
        <f>AQ363&amp;AR363&amp;AS363&amp;"-"&amp;AT363&amp;AU363&amp;BA363</f>
        <v>D0101-0216</v>
      </c>
      <c r="AY363" s="99" t="str">
        <f>AQ363&amp;AR363&amp;AS363&amp;"-"&amp;AT363&amp;BA363</f>
        <v>D0101-02</v>
      </c>
      <c r="AZ363" s="90"/>
      <c r="BA363" s="1" t="str">
        <f t="shared" si="172"/>
        <v/>
      </c>
      <c r="BC363" s="1">
        <f t="shared" si="189"/>
        <v>1</v>
      </c>
      <c r="BD363" s="90">
        <f t="shared" si="190"/>
        <v>1</v>
      </c>
      <c r="BE363" s="1" t="str">
        <f t="shared" si="180"/>
        <v/>
      </c>
      <c r="BF363" s="1">
        <f t="shared" si="181"/>
        <v>2</v>
      </c>
      <c r="BI363"/>
      <c r="BJ363"/>
      <c r="BL363"/>
    </row>
    <row r="364" spans="1:64" ht="11.25" customHeight="1">
      <c r="A364" s="26" t="s">
        <v>1879</v>
      </c>
      <c r="B364" s="27" t="s">
        <v>1880</v>
      </c>
      <c r="C364" s="28">
        <v>269.99</v>
      </c>
      <c r="D364" s="28">
        <f t="shared" si="163"/>
        <v>134.995</v>
      </c>
      <c r="E364" s="22" t="s">
        <v>1866</v>
      </c>
      <c r="F364" s="22" t="s">
        <v>1881</v>
      </c>
      <c r="G364" s="22" t="s">
        <v>1882</v>
      </c>
      <c r="J364" s="22" t="s">
        <v>646</v>
      </c>
      <c r="N364" s="3">
        <f t="shared" si="183"/>
        <v>0</v>
      </c>
      <c r="O364" s="4" t="e">
        <f>(C364-(C364*#REF!))-((C364-(C364*#REF!))*#REF!)</f>
        <v>#REF!</v>
      </c>
      <c r="P364" s="7">
        <f>281482.847140516-Q364</f>
        <v>31482.84714051598</v>
      </c>
      <c r="Q364" s="7">
        <v>250000</v>
      </c>
      <c r="R364" s="5">
        <f t="shared" si="184"/>
        <v>281482.84714051598</v>
      </c>
      <c r="S364" s="4">
        <f t="shared" si="185"/>
        <v>18.765523142701067</v>
      </c>
      <c r="T364" s="13">
        <f t="shared" si="164"/>
        <v>188.99299999999999</v>
      </c>
      <c r="U364" s="13">
        <f t="shared" si="175"/>
        <v>94.496499999999997</v>
      </c>
      <c r="V364" s="14">
        <f>U364/C364</f>
        <v>0.35</v>
      </c>
      <c r="W364" s="14"/>
      <c r="X364" s="19">
        <f t="shared" si="186"/>
        <v>94.496499999999997</v>
      </c>
      <c r="Y364" s="19">
        <f t="shared" si="187"/>
        <v>188.99299999999999</v>
      </c>
      <c r="Z364" s="15">
        <f t="shared" si="182"/>
        <v>5.0356443186479893</v>
      </c>
      <c r="AA364" s="22" t="s">
        <v>1883</v>
      </c>
      <c r="AG364" s="94" t="s">
        <v>1871</v>
      </c>
      <c r="AH364" s="89" t="str">
        <f>VLOOKUP(AG364,Sheet1!$B$3:$D$36,2,FALSE)</f>
        <v>Sun &amp; Shades</v>
      </c>
      <c r="AI364" s="89" t="str">
        <f>VLOOKUP(AG364,Sheet1!$B$3:$D$36,3,FALSE)</f>
        <v>Sunbed</v>
      </c>
      <c r="AJ364" s="1" t="str">
        <f t="shared" si="165"/>
        <v>Stick umbrella</v>
      </c>
      <c r="AK364" s="1" t="str">
        <f t="shared" si="166"/>
        <v/>
      </c>
      <c r="AL364" s="1">
        <f t="shared" si="167"/>
        <v>0</v>
      </c>
      <c r="AM364" s="1">
        <f t="shared" si="168"/>
        <v>0</v>
      </c>
      <c r="AN364" s="1" t="str">
        <f t="shared" si="188"/>
        <v>0</v>
      </c>
      <c r="AQ364" s="1" t="str">
        <f t="shared" si="169"/>
        <v>D</v>
      </c>
      <c r="AR364" s="1" t="str">
        <f>VLOOKUP(TRIM(AI364),Sheet1!$D$3:$E$36,2,FALSE)</f>
        <v>01</v>
      </c>
      <c r="AS364" s="90" t="str">
        <f t="shared" si="170"/>
        <v>01</v>
      </c>
      <c r="AT364" s="1" t="str">
        <f t="shared" si="171"/>
        <v>01</v>
      </c>
      <c r="AU364" s="90"/>
      <c r="AV364" s="90"/>
      <c r="AW364" s="90"/>
      <c r="AX364" s="95" t="str">
        <f>AQ364&amp;AR364&amp;AS364&amp;"-"&amp;AT364&amp;AU364&amp;BA364</f>
        <v>D0101-01</v>
      </c>
      <c r="AY364" s="99" t="str">
        <f>AQ364&amp;AR364&amp;AS364&amp;"-"&amp;AT364&amp;BA364</f>
        <v>D0101-01</v>
      </c>
      <c r="AZ364" s="90"/>
      <c r="BA364" s="1" t="str">
        <f t="shared" si="172"/>
        <v/>
      </c>
      <c r="BC364" s="1">
        <f t="shared" si="189"/>
        <v>1</v>
      </c>
      <c r="BD364" s="90">
        <f t="shared" si="190"/>
        <v>1</v>
      </c>
      <c r="BE364" s="1">
        <f t="shared" si="180"/>
        <v>1</v>
      </c>
      <c r="BF364" s="1">
        <f t="shared" si="181"/>
        <v>1</v>
      </c>
      <c r="BI364"/>
      <c r="BJ364"/>
      <c r="BL364"/>
    </row>
    <row r="365" spans="1:64" ht="11.25" customHeight="1">
      <c r="A365" s="26" t="s">
        <v>1884</v>
      </c>
      <c r="B365" s="27" t="s">
        <v>993</v>
      </c>
      <c r="C365" s="28">
        <v>99.99</v>
      </c>
      <c r="D365" s="28">
        <f t="shared" si="163"/>
        <v>49.994999999999997</v>
      </c>
      <c r="E365" s="22" t="s">
        <v>1866</v>
      </c>
      <c r="F365" s="22" t="s">
        <v>1885</v>
      </c>
      <c r="G365" s="22" t="s">
        <v>1886</v>
      </c>
      <c r="H365" s="22" t="s">
        <v>1887</v>
      </c>
      <c r="I365" s="23" t="s">
        <v>1888</v>
      </c>
      <c r="J365" s="22" t="s">
        <v>670</v>
      </c>
      <c r="K365" s="23">
        <v>30</v>
      </c>
      <c r="L365" s="23">
        <v>88</v>
      </c>
      <c r="M365" s="23">
        <v>2</v>
      </c>
      <c r="N365" s="3">
        <f t="shared" si="183"/>
        <v>5.28E-3</v>
      </c>
      <c r="O365" s="4" t="e">
        <f>(C365-(C365*#REF!))-((C365-(C365*#REF!))*#REF!)</f>
        <v>#REF!</v>
      </c>
      <c r="P365" s="7"/>
      <c r="Q365" s="7"/>
      <c r="R365" s="5">
        <f t="shared" si="184"/>
        <v>0</v>
      </c>
      <c r="S365" s="4">
        <f t="shared" si="185"/>
        <v>0</v>
      </c>
      <c r="T365" s="13">
        <f t="shared" si="164"/>
        <v>69.992999999999995</v>
      </c>
      <c r="U365" s="13">
        <f t="shared" si="175"/>
        <v>34.996499999999997</v>
      </c>
      <c r="V365" s="14">
        <f>U365/C365</f>
        <v>0.35</v>
      </c>
      <c r="W365" s="14"/>
      <c r="X365" s="19">
        <f t="shared" si="186"/>
        <v>34.996499999999997</v>
      </c>
      <c r="Y365" s="19">
        <f t="shared" si="187"/>
        <v>69.992999999999995</v>
      </c>
      <c r="Z365" s="15" t="e">
        <f t="shared" si="182"/>
        <v>#DIV/0!</v>
      </c>
      <c r="AA365" s="22" t="s">
        <v>1889</v>
      </c>
      <c r="AG365" s="94" t="s">
        <v>1871</v>
      </c>
      <c r="AH365" s="89" t="str">
        <f>VLOOKUP(AG365,Sheet1!$B$3:$D$36,2,FALSE)</f>
        <v>Sun &amp; Shades</v>
      </c>
      <c r="AI365" s="89" t="str">
        <f>VLOOKUP(AG365,Sheet1!$B$3:$D$36,3,FALSE)</f>
        <v>Sunbed</v>
      </c>
      <c r="AJ365" s="1" t="str">
        <f t="shared" si="165"/>
        <v>Top Bluestone</v>
      </c>
      <c r="AK365" s="1" t="str">
        <f t="shared" si="166"/>
        <v>w30x d88x h2</v>
      </c>
      <c r="AL365" s="1" t="str">
        <f t="shared" si="167"/>
        <v>bluestone</v>
      </c>
      <c r="AM365" s="1" t="str">
        <f t="shared" si="168"/>
        <v>bluestone</v>
      </c>
      <c r="AN365" s="1" t="str">
        <f t="shared" si="188"/>
        <v>bluestone</v>
      </c>
      <c r="AQ365" s="1" t="str">
        <f t="shared" si="169"/>
        <v>D</v>
      </c>
      <c r="AR365" s="1" t="str">
        <f>VLOOKUP(TRIM(AI365),Sheet1!$D$3:$E$36,2,FALSE)</f>
        <v>01</v>
      </c>
      <c r="AS365" s="90" t="str">
        <f t="shared" si="170"/>
        <v>01</v>
      </c>
      <c r="AT365" s="1" t="str">
        <f t="shared" si="171"/>
        <v>01</v>
      </c>
      <c r="AU365" s="90" t="s">
        <v>1871</v>
      </c>
      <c r="AV365" s="90"/>
      <c r="AW365" s="90"/>
      <c r="AX365" s="95" t="str">
        <f>AQ365&amp;AR365&amp;AS365&amp;"-"&amp;AT365&amp;AU365&amp;BA365</f>
        <v>D0101-0104</v>
      </c>
      <c r="AY365" s="99" t="str">
        <f>AQ365&amp;AR365&amp;AS365&amp;"-"&amp;AT365&amp;BA365</f>
        <v>D0101-01</v>
      </c>
      <c r="AZ365" s="90"/>
      <c r="BA365" s="1" t="str">
        <f t="shared" si="172"/>
        <v/>
      </c>
      <c r="BC365" s="1">
        <f t="shared" si="189"/>
        <v>1</v>
      </c>
      <c r="BD365" s="90">
        <f t="shared" si="190"/>
        <v>1</v>
      </c>
      <c r="BE365" s="1">
        <f t="shared" si="180"/>
        <v>1</v>
      </c>
      <c r="BF365" s="1">
        <f t="shared" si="181"/>
        <v>1</v>
      </c>
      <c r="BI365"/>
      <c r="BJ365"/>
      <c r="BL365"/>
    </row>
    <row r="366" spans="1:64" ht="11.25" customHeight="1">
      <c r="A366" s="26" t="s">
        <v>1890</v>
      </c>
      <c r="B366" s="27" t="s">
        <v>1891</v>
      </c>
      <c r="C366" s="28">
        <v>1259.99</v>
      </c>
      <c r="D366" s="28">
        <f t="shared" si="163"/>
        <v>629.995</v>
      </c>
      <c r="E366" s="22" t="s">
        <v>1866</v>
      </c>
      <c r="F366" s="22" t="s">
        <v>1892</v>
      </c>
      <c r="G366" s="22" t="s">
        <v>1893</v>
      </c>
      <c r="H366" s="22" t="s">
        <v>1894</v>
      </c>
      <c r="I366" s="23" t="s">
        <v>1517</v>
      </c>
      <c r="J366" s="22" t="s">
        <v>50</v>
      </c>
      <c r="K366" s="23">
        <v>200</v>
      </c>
      <c r="L366" s="23">
        <v>80</v>
      </c>
      <c r="M366" s="23">
        <v>32</v>
      </c>
      <c r="N366" s="3">
        <f t="shared" si="183"/>
        <v>0.51200000000000001</v>
      </c>
      <c r="O366" s="4" t="e">
        <f>(C366-(C366*#REF!))-((C366-(C366*#REF!))*#REF!)</f>
        <v>#REF!</v>
      </c>
      <c r="P366" s="7">
        <v>2463694.1711876956</v>
      </c>
      <c r="Q366" s="7">
        <v>0</v>
      </c>
      <c r="R366" s="5">
        <f t="shared" si="184"/>
        <v>2463694.1711876956</v>
      </c>
      <c r="S366" s="4">
        <f t="shared" si="185"/>
        <v>164.24627807917972</v>
      </c>
      <c r="T366" s="13">
        <f t="shared" si="164"/>
        <v>881.99299999999994</v>
      </c>
      <c r="U366" s="13">
        <f t="shared" si="175"/>
        <v>440.99649999999997</v>
      </c>
      <c r="V366" s="14">
        <f>U366/C366</f>
        <v>0.35</v>
      </c>
      <c r="W366" s="14"/>
      <c r="X366" s="19">
        <f t="shared" si="186"/>
        <v>440.99649999999997</v>
      </c>
      <c r="Y366" s="19">
        <f t="shared" si="187"/>
        <v>881.99299999999994</v>
      </c>
      <c r="Z366" s="15">
        <f t="shared" si="182"/>
        <v>2.6849710395714705</v>
      </c>
      <c r="AA366" s="22" t="s">
        <v>1895</v>
      </c>
      <c r="AG366" s="94" t="s">
        <v>1871</v>
      </c>
      <c r="AH366" s="89" t="str">
        <f>VLOOKUP(AG366,Sheet1!$B$3:$D$36,2,FALSE)</f>
        <v>Sun &amp; Shades</v>
      </c>
      <c r="AI366" s="89" t="str">
        <f>VLOOKUP(AG366,Sheet1!$B$3:$D$36,3,FALSE)</f>
        <v>Sunbed</v>
      </c>
      <c r="AJ366" s="1" t="str">
        <f t="shared" si="165"/>
        <v>Riquewihr sunbed with wheels single</v>
      </c>
      <c r="AK366" s="1" t="str">
        <f t="shared" si="166"/>
        <v>w200 x d80 x h32</v>
      </c>
      <c r="AL366" s="1" t="str">
        <f t="shared" si="167"/>
        <v>natural teak outdoor</v>
      </c>
      <c r="AM366" s="1" t="str">
        <f t="shared" si="168"/>
        <v>natural teak outdoor</v>
      </c>
      <c r="AN366" s="1" t="str">
        <f>SUBSTITUTE(AL366,"outdoor","")</f>
        <v xml:space="preserve">natural teak </v>
      </c>
      <c r="AO366" s="1" t="s">
        <v>59</v>
      </c>
      <c r="AQ366" s="1" t="str">
        <f t="shared" si="169"/>
        <v>D</v>
      </c>
      <c r="AR366" s="1" t="str">
        <f>VLOOKUP(TRIM(AI366),Sheet1!$D$3:$E$36,2,FALSE)</f>
        <v>01</v>
      </c>
      <c r="AS366" s="90" t="str">
        <f t="shared" si="170"/>
        <v>01</v>
      </c>
      <c r="AT366" s="1" t="str">
        <f t="shared" si="171"/>
        <v>01</v>
      </c>
      <c r="AU366" s="90" t="s">
        <v>55</v>
      </c>
      <c r="AV366" s="90"/>
      <c r="AW366" s="90"/>
      <c r="AX366" s="95" t="str">
        <f>AQ366&amp;AR366&amp;AS366&amp;"-"&amp;AT366&amp;AU366&amp;BA366</f>
        <v>D0101-0110OUT</v>
      </c>
      <c r="AY366" s="99" t="str">
        <f>AQ366&amp;AR366&amp;AS366&amp;"-"&amp;AT366&amp;BA366</f>
        <v>D0101-01OUT</v>
      </c>
      <c r="AZ366" s="90"/>
      <c r="BA366" s="1" t="str">
        <f t="shared" si="172"/>
        <v>OUT</v>
      </c>
      <c r="BC366" s="1">
        <f t="shared" si="189"/>
        <v>1</v>
      </c>
      <c r="BD366" s="90">
        <f t="shared" si="190"/>
        <v>1</v>
      </c>
      <c r="BE366" s="1">
        <f t="shared" si="180"/>
        <v>1</v>
      </c>
      <c r="BF366" s="1">
        <f t="shared" si="181"/>
        <v>1</v>
      </c>
      <c r="BI366"/>
      <c r="BJ366"/>
      <c r="BL366"/>
    </row>
    <row r="367" spans="1:64" ht="11.25" customHeight="1">
      <c r="A367" s="26" t="s">
        <v>1896</v>
      </c>
      <c r="B367" s="27" t="s">
        <v>1897</v>
      </c>
      <c r="C367" s="28">
        <v>1209.99</v>
      </c>
      <c r="D367" s="28">
        <f t="shared" si="163"/>
        <v>604.995</v>
      </c>
      <c r="E367" s="22" t="s">
        <v>1866</v>
      </c>
      <c r="F367" s="22" t="s">
        <v>1898</v>
      </c>
      <c r="G367" s="22" t="s">
        <v>1899</v>
      </c>
      <c r="I367" s="23" t="s">
        <v>1223</v>
      </c>
      <c r="J367" s="22" t="s">
        <v>1698</v>
      </c>
      <c r="N367" s="3">
        <f t="shared" si="183"/>
        <v>0</v>
      </c>
      <c r="O367" s="4" t="e">
        <f>(C367-(C367*#REF!))-((C367-(C367*#REF!))*#REF!)</f>
        <v>#REF!</v>
      </c>
      <c r="P367" s="7"/>
      <c r="Q367" s="7"/>
      <c r="R367" s="5">
        <f t="shared" si="184"/>
        <v>0</v>
      </c>
      <c r="S367" s="4">
        <f t="shared" si="185"/>
        <v>0</v>
      </c>
      <c r="T367" s="13">
        <f t="shared" si="164"/>
        <v>846.99299999999994</v>
      </c>
      <c r="U367" s="13">
        <f t="shared" si="175"/>
        <v>423.49649999999997</v>
      </c>
      <c r="V367" s="14">
        <f>U367/C367</f>
        <v>0.35</v>
      </c>
      <c r="W367" s="14"/>
      <c r="X367" s="19">
        <f t="shared" si="186"/>
        <v>423.49649999999997</v>
      </c>
      <c r="Y367" s="19">
        <f t="shared" si="187"/>
        <v>846.99299999999994</v>
      </c>
      <c r="Z367" s="15" t="e">
        <f t="shared" si="182"/>
        <v>#DIV/0!</v>
      </c>
      <c r="AA367" s="22" t="s">
        <v>1900</v>
      </c>
      <c r="AG367" s="94" t="s">
        <v>1871</v>
      </c>
      <c r="AH367" s="89" t="str">
        <f>VLOOKUP(AG367,Sheet1!$B$3:$D$36,2,FALSE)</f>
        <v>Sun &amp; Shades</v>
      </c>
      <c r="AI367" s="89" t="str">
        <f>VLOOKUP(AG367,Sheet1!$B$3:$D$36,3,FALSE)</f>
        <v>Sunbed</v>
      </c>
      <c r="AJ367" s="1" t="str">
        <f t="shared" si="165"/>
        <v>Riquewihr sunbed - cushion</v>
      </c>
      <c r="AK367" s="1" t="str">
        <f t="shared" si="166"/>
        <v/>
      </c>
      <c r="AL367" s="1" t="str">
        <f t="shared" si="167"/>
        <v>fabric</v>
      </c>
      <c r="AM367" s="1" t="str">
        <f t="shared" si="168"/>
        <v>fabric</v>
      </c>
      <c r="AN367" s="1" t="str">
        <f t="shared" ref="AN367" si="191">SUBSTITUTE(AL367,"indoor","")</f>
        <v>fabric</v>
      </c>
      <c r="AQ367" s="1" t="str">
        <f t="shared" si="169"/>
        <v>D</v>
      </c>
      <c r="AR367" s="1" t="str">
        <f>VLOOKUP(TRIM(AI367),Sheet1!$D$3:$E$36,2,FALSE)</f>
        <v>01</v>
      </c>
      <c r="AS367" s="90" t="str">
        <f t="shared" si="170"/>
        <v>01</v>
      </c>
      <c r="AT367" s="1" t="str">
        <f t="shared" si="171"/>
        <v>01</v>
      </c>
      <c r="AU367" s="90" t="s">
        <v>1225</v>
      </c>
      <c r="AV367" s="90"/>
      <c r="AW367" s="90"/>
      <c r="AX367" s="95" t="str">
        <f>AQ367&amp;AR367&amp;AS367&amp;"-"&amp;AT367&amp;AU367&amp;BA367</f>
        <v>D0101-0139</v>
      </c>
      <c r="AY367" s="99" t="str">
        <f>AQ367&amp;AR367&amp;AS367&amp;"-"&amp;AT367&amp;BA367</f>
        <v>D0101-01</v>
      </c>
      <c r="AZ367" s="90"/>
      <c r="BA367" s="1" t="str">
        <f t="shared" si="172"/>
        <v/>
      </c>
      <c r="BC367" s="1">
        <f t="shared" si="189"/>
        <v>1</v>
      </c>
      <c r="BD367" s="90">
        <f t="shared" si="190"/>
        <v>1</v>
      </c>
      <c r="BE367" s="1">
        <f t="shared" si="180"/>
        <v>1</v>
      </c>
      <c r="BF367" s="1">
        <f t="shared" si="181"/>
        <v>1</v>
      </c>
      <c r="BI367"/>
      <c r="BJ367"/>
      <c r="BL367"/>
    </row>
    <row r="368" spans="1:64" ht="11.25" customHeight="1">
      <c r="A368" s="26" t="s">
        <v>1901</v>
      </c>
      <c r="B368" s="27" t="s">
        <v>1902</v>
      </c>
      <c r="C368" s="28">
        <v>2929.99</v>
      </c>
      <c r="D368" s="28">
        <f t="shared" si="163"/>
        <v>1464.9949999999999</v>
      </c>
      <c r="E368" s="22" t="s">
        <v>1866</v>
      </c>
      <c r="F368" s="22" t="s">
        <v>1903</v>
      </c>
      <c r="G368" s="22" t="s">
        <v>1904</v>
      </c>
      <c r="H368" s="22" t="s">
        <v>1905</v>
      </c>
      <c r="I368" s="23" t="s">
        <v>1517</v>
      </c>
      <c r="J368" s="22" t="s">
        <v>50</v>
      </c>
      <c r="K368" s="23">
        <v>200</v>
      </c>
      <c r="L368" s="23">
        <v>200</v>
      </c>
      <c r="M368" s="23">
        <v>32</v>
      </c>
      <c r="N368" s="3">
        <f t="shared" si="183"/>
        <v>1.28</v>
      </c>
      <c r="O368" s="4" t="e">
        <f>(C368-(C368*#REF!))-((C368-(C368*#REF!))*#REF!)</f>
        <v>#REF!</v>
      </c>
      <c r="P368" s="7">
        <v>4086217.8357164836</v>
      </c>
      <c r="Q368" s="7">
        <v>0</v>
      </c>
      <c r="R368" s="5">
        <f t="shared" si="184"/>
        <v>4086217.8357164836</v>
      </c>
      <c r="S368" s="4">
        <f t="shared" si="185"/>
        <v>272.41452238109889</v>
      </c>
      <c r="T368" s="13">
        <f t="shared" si="164"/>
        <v>2050.9929999999999</v>
      </c>
      <c r="U368" s="13">
        <f t="shared" si="175"/>
        <v>1025.4965</v>
      </c>
      <c r="V368" s="14">
        <f>U368/C368</f>
        <v>0.35000000000000003</v>
      </c>
      <c r="W368" s="14"/>
      <c r="X368" s="19">
        <f t="shared" si="186"/>
        <v>1025.4965</v>
      </c>
      <c r="Y368" s="19">
        <f t="shared" si="187"/>
        <v>2050.9929999999999</v>
      </c>
      <c r="Z368" s="15">
        <f t="shared" si="182"/>
        <v>3.7644707449383494</v>
      </c>
      <c r="AA368" s="22" t="s">
        <v>1906</v>
      </c>
      <c r="AG368" s="94" t="s">
        <v>1871</v>
      </c>
      <c r="AH368" s="89" t="str">
        <f>VLOOKUP(AG368,Sheet1!$B$3:$D$36,2,FALSE)</f>
        <v>Sun &amp; Shades</v>
      </c>
      <c r="AI368" s="89" t="str">
        <f>VLOOKUP(AG368,Sheet1!$B$3:$D$36,3,FALSE)</f>
        <v>Sunbed</v>
      </c>
      <c r="AJ368" s="1" t="str">
        <f t="shared" si="165"/>
        <v>Riquewihr sunbed with wheels double</v>
      </c>
      <c r="AK368" s="1" t="str">
        <f t="shared" si="166"/>
        <v>w200 x d200 x h32</v>
      </c>
      <c r="AL368" s="1" t="str">
        <f t="shared" si="167"/>
        <v>natural teak outdoor</v>
      </c>
      <c r="AM368" s="1" t="str">
        <f t="shared" si="168"/>
        <v>natural teak outdoor</v>
      </c>
      <c r="AN368" s="1" t="str">
        <f>SUBSTITUTE(AL368,"outdoor","")</f>
        <v xml:space="preserve">natural teak </v>
      </c>
      <c r="AO368" s="1" t="s">
        <v>59</v>
      </c>
      <c r="AQ368" s="1" t="str">
        <f t="shared" si="169"/>
        <v>D</v>
      </c>
      <c r="AR368" s="1" t="str">
        <f>VLOOKUP(TRIM(AI368),Sheet1!$D$3:$E$36,2,FALSE)</f>
        <v>01</v>
      </c>
      <c r="AS368" s="90" t="str">
        <f t="shared" si="170"/>
        <v>01</v>
      </c>
      <c r="AT368" s="1" t="str">
        <f t="shared" si="171"/>
        <v>01</v>
      </c>
      <c r="AU368" s="90" t="s">
        <v>55</v>
      </c>
      <c r="AV368" s="90"/>
      <c r="AW368" s="90"/>
      <c r="AX368" s="95" t="str">
        <f>AQ368&amp;AR368&amp;AS368&amp;"-"&amp;AT368&amp;AU368&amp;BA368</f>
        <v>D0101-0110OUT</v>
      </c>
      <c r="AY368" s="99" t="str">
        <f>AQ368&amp;AR368&amp;AS368&amp;"-"&amp;AT368&amp;BA368</f>
        <v>D0101-01OUT</v>
      </c>
      <c r="AZ368" s="90"/>
      <c r="BA368" s="1" t="str">
        <f t="shared" si="172"/>
        <v>OUT</v>
      </c>
      <c r="BC368" s="1">
        <f t="shared" si="189"/>
        <v>1</v>
      </c>
      <c r="BD368" s="90">
        <f t="shared" si="190"/>
        <v>1</v>
      </c>
      <c r="BE368" s="1">
        <f t="shared" si="180"/>
        <v>1</v>
      </c>
      <c r="BF368" s="1">
        <f t="shared" si="181"/>
        <v>1</v>
      </c>
      <c r="BI368"/>
      <c r="BJ368"/>
      <c r="BL368"/>
    </row>
    <row r="369" spans="1:64" ht="11.25" customHeight="1">
      <c r="A369" s="26" t="s">
        <v>1907</v>
      </c>
      <c r="B369" s="27" t="s">
        <v>1908</v>
      </c>
      <c r="C369" s="28">
        <v>2569.9899999999998</v>
      </c>
      <c r="D369" s="28">
        <f t="shared" si="163"/>
        <v>1284.9949999999999</v>
      </c>
      <c r="E369" s="22" t="s">
        <v>1866</v>
      </c>
      <c r="F369" s="22" t="s">
        <v>1909</v>
      </c>
      <c r="G369" s="22" t="s">
        <v>1910</v>
      </c>
      <c r="I369" s="23" t="s">
        <v>1223</v>
      </c>
      <c r="J369" s="22" t="s">
        <v>1698</v>
      </c>
      <c r="N369" s="3">
        <f t="shared" si="183"/>
        <v>0</v>
      </c>
      <c r="O369" s="4" t="e">
        <f>(C369-(C369*#REF!))-((C369-(C369*#REF!))*#REF!)</f>
        <v>#REF!</v>
      </c>
      <c r="P369" s="7"/>
      <c r="Q369" s="7"/>
      <c r="R369" s="5">
        <f t="shared" si="184"/>
        <v>0</v>
      </c>
      <c r="S369" s="4">
        <f t="shared" si="185"/>
        <v>0</v>
      </c>
      <c r="T369" s="13">
        <f t="shared" si="164"/>
        <v>1798.9929999999999</v>
      </c>
      <c r="U369" s="13">
        <f t="shared" si="175"/>
        <v>899.49649999999997</v>
      </c>
      <c r="V369" s="14">
        <f>U369/C369</f>
        <v>0.35000000000000003</v>
      </c>
      <c r="W369" s="14"/>
      <c r="X369" s="19">
        <f t="shared" si="186"/>
        <v>899.49649999999997</v>
      </c>
      <c r="Y369" s="19">
        <f t="shared" si="187"/>
        <v>1798.9929999999999</v>
      </c>
      <c r="Z369" s="15" t="e">
        <f t="shared" si="182"/>
        <v>#DIV/0!</v>
      </c>
      <c r="AA369" s="22" t="s">
        <v>1911</v>
      </c>
      <c r="AG369" s="94" t="s">
        <v>1871</v>
      </c>
      <c r="AH369" s="89" t="str">
        <f>VLOOKUP(AG369,Sheet1!$B$3:$D$36,2,FALSE)</f>
        <v>Sun &amp; Shades</v>
      </c>
      <c r="AI369" s="89" t="str">
        <f>VLOOKUP(AG369,Sheet1!$B$3:$D$36,3,FALSE)</f>
        <v>Sunbed</v>
      </c>
      <c r="AJ369" s="1" t="str">
        <f t="shared" si="165"/>
        <v xml:space="preserve">Riquewihr sunbed - cushion </v>
      </c>
      <c r="AK369" s="1" t="str">
        <f t="shared" si="166"/>
        <v/>
      </c>
      <c r="AL369" s="1" t="str">
        <f t="shared" si="167"/>
        <v>fabric</v>
      </c>
      <c r="AM369" s="1" t="str">
        <f t="shared" si="168"/>
        <v>fabric</v>
      </c>
      <c r="AN369" s="1" t="str">
        <f t="shared" ref="AN369:AN373" si="192">SUBSTITUTE(AL369,"indoor","")</f>
        <v>fabric</v>
      </c>
      <c r="AQ369" s="1" t="str">
        <f t="shared" si="169"/>
        <v>D</v>
      </c>
      <c r="AR369" s="1" t="str">
        <f>VLOOKUP(TRIM(AI369),Sheet1!$D$3:$E$36,2,FALSE)</f>
        <v>01</v>
      </c>
      <c r="AS369" s="90" t="str">
        <f t="shared" si="170"/>
        <v>01</v>
      </c>
      <c r="AT369" s="1" t="str">
        <f t="shared" si="171"/>
        <v>01</v>
      </c>
      <c r="AU369" s="90" t="s">
        <v>1225</v>
      </c>
      <c r="AV369" s="90"/>
      <c r="AW369" s="90"/>
      <c r="AX369" s="95" t="str">
        <f>AQ369&amp;AR369&amp;AS369&amp;"-"&amp;AT369&amp;AU369&amp;BA369</f>
        <v>D0101-0139</v>
      </c>
      <c r="AY369" s="99" t="str">
        <f>AQ369&amp;AR369&amp;AS369&amp;"-"&amp;AT369&amp;BA369</f>
        <v>D0101-01</v>
      </c>
      <c r="AZ369" s="90"/>
      <c r="BA369" s="1" t="str">
        <f t="shared" si="172"/>
        <v/>
      </c>
      <c r="BC369" s="1">
        <f t="shared" si="189"/>
        <v>1</v>
      </c>
      <c r="BD369" s="90">
        <f t="shared" si="190"/>
        <v>1</v>
      </c>
      <c r="BE369" s="1">
        <f t="shared" si="180"/>
        <v>1</v>
      </c>
      <c r="BF369" s="1">
        <f t="shared" si="181"/>
        <v>1</v>
      </c>
      <c r="BI369"/>
      <c r="BJ369"/>
      <c r="BL369"/>
    </row>
    <row r="370" spans="1:64" ht="11.25" customHeight="1">
      <c r="A370" s="26" t="s">
        <v>1912</v>
      </c>
      <c r="B370" s="27" t="s">
        <v>1913</v>
      </c>
      <c r="C370" s="28">
        <v>2119.9899999999998</v>
      </c>
      <c r="D370" s="28">
        <f t="shared" si="163"/>
        <v>1059.9949999999999</v>
      </c>
      <c r="E370" s="22" t="s">
        <v>1866</v>
      </c>
      <c r="F370" s="22" t="s">
        <v>1914</v>
      </c>
      <c r="G370" s="22" t="s">
        <v>1915</v>
      </c>
      <c r="H370" s="22" t="s">
        <v>1916</v>
      </c>
      <c r="I370" s="23" t="s">
        <v>1917</v>
      </c>
      <c r="J370" s="22" t="s">
        <v>50</v>
      </c>
      <c r="K370" s="23">
        <v>200</v>
      </c>
      <c r="L370" s="23">
        <v>80</v>
      </c>
      <c r="M370" s="23">
        <v>45</v>
      </c>
      <c r="N370" s="3">
        <f t="shared" si="183"/>
        <v>0.72</v>
      </c>
      <c r="O370" s="4" t="e">
        <f>(C370-(C370*#REF!))-((C370-(C370*#REF!))*#REF!)</f>
        <v>#REF!</v>
      </c>
      <c r="P370" s="7">
        <v>3590351.9575761152</v>
      </c>
      <c r="Q370" s="7">
        <v>0</v>
      </c>
      <c r="R370" s="5">
        <f t="shared" si="184"/>
        <v>3590351.9575761152</v>
      </c>
      <c r="S370" s="4">
        <f t="shared" si="185"/>
        <v>239.35679717174102</v>
      </c>
      <c r="T370" s="13">
        <f t="shared" si="164"/>
        <v>1483.9929999999999</v>
      </c>
      <c r="U370" s="13">
        <f t="shared" si="175"/>
        <v>741.99649999999997</v>
      </c>
      <c r="V370" s="14">
        <f>U370/C370</f>
        <v>0.35000000000000003</v>
      </c>
      <c r="W370" s="14"/>
      <c r="X370" s="19">
        <f t="shared" si="186"/>
        <v>741.99649999999997</v>
      </c>
      <c r="Y370" s="19">
        <f t="shared" si="187"/>
        <v>1483.9929999999999</v>
      </c>
      <c r="Z370" s="15">
        <f t="shared" si="182"/>
        <v>3.0999600126985727</v>
      </c>
      <c r="AA370" s="22" t="s">
        <v>1918</v>
      </c>
      <c r="AG370" s="94" t="s">
        <v>1871</v>
      </c>
      <c r="AH370" s="89" t="str">
        <f>VLOOKUP(AG370,Sheet1!$B$3:$D$36,2,FALSE)</f>
        <v>Sun &amp; Shades</v>
      </c>
      <c r="AI370" s="89" t="str">
        <f>VLOOKUP(AG370,Sheet1!$B$3:$D$36,3,FALSE)</f>
        <v>Sunbed</v>
      </c>
      <c r="AJ370" s="1" t="str">
        <f t="shared" si="165"/>
        <v>Sunbed Rustic on wheels</v>
      </c>
      <c r="AK370" s="1" t="str">
        <f t="shared" si="166"/>
        <v>w200 x d80 x h45</v>
      </c>
      <c r="AL370" s="1" t="str">
        <f t="shared" si="167"/>
        <v>rustic teak</v>
      </c>
      <c r="AM370" s="1" t="str">
        <f t="shared" si="168"/>
        <v>rustic teak</v>
      </c>
      <c r="AN370" s="1" t="str">
        <f t="shared" si="192"/>
        <v>rustic teak</v>
      </c>
      <c r="AQ370" s="1" t="str">
        <f t="shared" si="169"/>
        <v>D</v>
      </c>
      <c r="AR370" s="1" t="str">
        <f>VLOOKUP(TRIM(AI370),Sheet1!$D$3:$E$36,2,FALSE)</f>
        <v>01</v>
      </c>
      <c r="AS370" s="90" t="str">
        <f t="shared" si="170"/>
        <v>01</v>
      </c>
      <c r="AT370" s="1" t="str">
        <f t="shared" si="171"/>
        <v>01</v>
      </c>
      <c r="AU370" s="90" t="s">
        <v>728</v>
      </c>
      <c r="AV370" s="90"/>
      <c r="AW370" s="90"/>
      <c r="AX370" s="95" t="str">
        <f>AQ370&amp;AR370&amp;AS370&amp;"-"&amp;AT370&amp;AU370&amp;BA370</f>
        <v>D0101-0120</v>
      </c>
      <c r="AY370" s="99" t="str">
        <f>AQ370&amp;AR370&amp;AS370&amp;"-"&amp;AT370&amp;BA370</f>
        <v>D0101-01</v>
      </c>
      <c r="AZ370" s="90"/>
      <c r="BA370" s="1" t="str">
        <f t="shared" si="172"/>
        <v/>
      </c>
      <c r="BC370" s="1">
        <f t="shared" si="189"/>
        <v>1</v>
      </c>
      <c r="BD370" s="90">
        <f t="shared" si="190"/>
        <v>1</v>
      </c>
      <c r="BE370" s="1">
        <f t="shared" si="180"/>
        <v>1</v>
      </c>
      <c r="BF370" s="1">
        <f t="shared" si="181"/>
        <v>1</v>
      </c>
      <c r="BI370"/>
      <c r="BJ370"/>
      <c r="BL370"/>
    </row>
    <row r="371" spans="1:64" ht="11.25" customHeight="1">
      <c r="A371" s="26" t="s">
        <v>1919</v>
      </c>
      <c r="B371" s="27" t="s">
        <v>1920</v>
      </c>
      <c r="C371" s="28">
        <v>859.99</v>
      </c>
      <c r="D371" s="28">
        <f t="shared" si="163"/>
        <v>429.995</v>
      </c>
      <c r="E371" s="22" t="s">
        <v>1866</v>
      </c>
      <c r="F371" s="22" t="s">
        <v>1921</v>
      </c>
      <c r="G371" s="22" t="s">
        <v>1922</v>
      </c>
      <c r="I371" s="23" t="s">
        <v>1223</v>
      </c>
      <c r="J371" s="22" t="s">
        <v>1698</v>
      </c>
      <c r="N371" s="3">
        <f t="shared" si="183"/>
        <v>0</v>
      </c>
      <c r="O371" s="4" t="e">
        <f>(C371-(C371*#REF!))-((C371-(C371*#REF!))*#REF!)</f>
        <v>#REF!</v>
      </c>
      <c r="P371" s="7"/>
      <c r="Q371" s="7"/>
      <c r="R371" s="5">
        <f t="shared" si="184"/>
        <v>0</v>
      </c>
      <c r="S371" s="4">
        <f t="shared" si="185"/>
        <v>0</v>
      </c>
      <c r="T371" s="13">
        <f t="shared" si="164"/>
        <v>601.99299999999994</v>
      </c>
      <c r="U371" s="13">
        <f t="shared" si="175"/>
        <v>300.99649999999997</v>
      </c>
      <c r="V371" s="14">
        <f>U371/C371</f>
        <v>0.35</v>
      </c>
      <c r="W371" s="14"/>
      <c r="X371" s="19">
        <f t="shared" si="186"/>
        <v>300.99649999999997</v>
      </c>
      <c r="Y371" s="19">
        <f t="shared" si="187"/>
        <v>601.99299999999994</v>
      </c>
      <c r="Z371" s="15" t="e">
        <f t="shared" si="182"/>
        <v>#DIV/0!</v>
      </c>
      <c r="AA371" s="22" t="s">
        <v>1923</v>
      </c>
      <c r="AG371" s="94" t="s">
        <v>1871</v>
      </c>
      <c r="AH371" s="89" t="str">
        <f>VLOOKUP(AG371,Sheet1!$B$3:$D$36,2,FALSE)</f>
        <v>Sun &amp; Shades</v>
      </c>
      <c r="AI371" s="89" t="str">
        <f>VLOOKUP(AG371,Sheet1!$B$3:$D$36,3,FALSE)</f>
        <v>Sunbed</v>
      </c>
      <c r="AJ371" s="1" t="str">
        <f t="shared" si="165"/>
        <v>Sunbed Rustic - Cushion on wheels</v>
      </c>
      <c r="AK371" s="1" t="str">
        <f t="shared" si="166"/>
        <v/>
      </c>
      <c r="AL371" s="1" t="str">
        <f t="shared" si="167"/>
        <v>fabric</v>
      </c>
      <c r="AM371" s="1" t="str">
        <f t="shared" si="168"/>
        <v>fabric</v>
      </c>
      <c r="AN371" s="1" t="str">
        <f t="shared" si="192"/>
        <v>fabric</v>
      </c>
      <c r="AQ371" s="1" t="str">
        <f t="shared" si="169"/>
        <v>D</v>
      </c>
      <c r="AR371" s="1" t="str">
        <f>VLOOKUP(TRIM(AI371),Sheet1!$D$3:$E$36,2,FALSE)</f>
        <v>01</v>
      </c>
      <c r="AS371" s="90" t="str">
        <f t="shared" si="170"/>
        <v>01</v>
      </c>
      <c r="AT371" s="1" t="str">
        <f t="shared" si="171"/>
        <v>01</v>
      </c>
      <c r="AU371" s="90" t="s">
        <v>1225</v>
      </c>
      <c r="AV371" s="90"/>
      <c r="AW371" s="90"/>
      <c r="AX371" s="95" t="str">
        <f>AQ371&amp;AR371&amp;AS371&amp;"-"&amp;AT371&amp;AU371&amp;BA371</f>
        <v>D0101-0139</v>
      </c>
      <c r="AY371" s="99" t="str">
        <f>AQ371&amp;AR371&amp;AS371&amp;"-"&amp;AT371&amp;BA371</f>
        <v>D0101-01</v>
      </c>
      <c r="AZ371" s="90"/>
      <c r="BA371" s="1" t="str">
        <f t="shared" si="172"/>
        <v/>
      </c>
      <c r="BC371" s="1">
        <f t="shared" si="189"/>
        <v>1</v>
      </c>
      <c r="BD371" s="90">
        <f t="shared" si="190"/>
        <v>1</v>
      </c>
      <c r="BE371" s="1">
        <f t="shared" si="180"/>
        <v>1</v>
      </c>
      <c r="BF371" s="1">
        <f t="shared" si="181"/>
        <v>1</v>
      </c>
      <c r="BI371"/>
      <c r="BJ371"/>
      <c r="BL371"/>
    </row>
    <row r="372" spans="1:64" ht="11.25" customHeight="1">
      <c r="A372" s="26">
        <v>22004</v>
      </c>
      <c r="B372" s="27" t="s">
        <v>1924</v>
      </c>
      <c r="C372" s="28">
        <v>625.99</v>
      </c>
      <c r="D372" s="28">
        <f t="shared" si="163"/>
        <v>312.995</v>
      </c>
      <c r="E372" s="22" t="s">
        <v>1866</v>
      </c>
      <c r="F372" s="22" t="s">
        <v>1925</v>
      </c>
      <c r="G372" s="22" t="s">
        <v>1926</v>
      </c>
      <c r="H372" s="22" t="s">
        <v>1927</v>
      </c>
      <c r="I372" s="23" t="s">
        <v>1196</v>
      </c>
      <c r="J372" s="22" t="s">
        <v>1698</v>
      </c>
      <c r="K372" s="23">
        <v>213</v>
      </c>
      <c r="L372" s="23">
        <v>152.5</v>
      </c>
      <c r="M372" s="23">
        <v>5</v>
      </c>
      <c r="N372" s="3">
        <f t="shared" si="183"/>
        <v>0.16241249999999999</v>
      </c>
      <c r="O372" s="4" t="e">
        <f>(C372-(C372*#REF!))-((C372-(C372*#REF!))*#REF!)</f>
        <v>#REF!</v>
      </c>
      <c r="P372" s="7"/>
      <c r="Q372" s="7"/>
      <c r="R372" s="5">
        <f t="shared" si="184"/>
        <v>0</v>
      </c>
      <c r="S372" s="4">
        <f t="shared" si="185"/>
        <v>0</v>
      </c>
      <c r="T372" s="13">
        <f t="shared" si="164"/>
        <v>438.19299999999998</v>
      </c>
      <c r="U372" s="13">
        <f t="shared" si="175"/>
        <v>219.09649999999999</v>
      </c>
      <c r="V372" s="14">
        <f>U372/C372</f>
        <v>0.35</v>
      </c>
      <c r="W372" s="14"/>
      <c r="X372" s="19">
        <f t="shared" si="186"/>
        <v>219.09649999999999</v>
      </c>
      <c r="Y372" s="19">
        <f t="shared" si="187"/>
        <v>438.19299999999998</v>
      </c>
      <c r="Z372" s="15" t="e">
        <f t="shared" si="182"/>
        <v>#DIV/0!</v>
      </c>
      <c r="AA372" s="22" t="s">
        <v>1928</v>
      </c>
      <c r="AG372" s="94" t="s">
        <v>1871</v>
      </c>
      <c r="AH372" s="89" t="str">
        <f>VLOOKUP(AG372,Sheet1!$B$3:$D$36,2,FALSE)</f>
        <v>Sun &amp; Shades</v>
      </c>
      <c r="AI372" s="89" t="str">
        <f>VLOOKUP(AG372,Sheet1!$B$3:$D$36,3,FALSE)</f>
        <v>Sunbed</v>
      </c>
      <c r="AJ372" s="1" t="str">
        <f t="shared" si="165"/>
        <v>Gasadalur Phoenix hammock</v>
      </c>
      <c r="AK372" s="1" t="str">
        <f t="shared" si="166"/>
        <v>w213 x d152.5 x h5</v>
      </c>
      <c r="AL372" s="1" t="str">
        <f t="shared" si="167"/>
        <v>kubu grey</v>
      </c>
      <c r="AM372" s="1" t="str">
        <f t="shared" si="168"/>
        <v>kubu grey</v>
      </c>
      <c r="AN372" s="1" t="str">
        <f t="shared" si="192"/>
        <v>kubu grey</v>
      </c>
      <c r="AQ372" s="1" t="str">
        <f t="shared" si="169"/>
        <v>D</v>
      </c>
      <c r="AR372" s="1" t="str">
        <f>VLOOKUP(TRIM(AI372),Sheet1!$D$3:$E$36,2,FALSE)</f>
        <v>01</v>
      </c>
      <c r="AS372" s="90" t="str">
        <f t="shared" si="170"/>
        <v>01</v>
      </c>
      <c r="AT372" s="1" t="str">
        <f t="shared" si="171"/>
        <v>01</v>
      </c>
      <c r="AU372" s="90" t="s">
        <v>1198</v>
      </c>
      <c r="AV372" s="90"/>
      <c r="AW372" s="90"/>
      <c r="AX372" s="95" t="str">
        <f>AQ372&amp;AR372&amp;AS372&amp;"-"&amp;AT372&amp;AU372&amp;BA372</f>
        <v>D0101-0107</v>
      </c>
      <c r="AY372" s="99" t="str">
        <f>AQ372&amp;AR372&amp;AS372&amp;"-"&amp;AT372&amp;BA372</f>
        <v>D0101-01</v>
      </c>
      <c r="AZ372" s="90"/>
      <c r="BA372" s="1" t="str">
        <f t="shared" si="172"/>
        <v/>
      </c>
      <c r="BC372" s="1">
        <f t="shared" si="189"/>
        <v>1</v>
      </c>
      <c r="BD372" s="90">
        <f t="shared" si="190"/>
        <v>1</v>
      </c>
      <c r="BE372" s="1">
        <f t="shared" si="180"/>
        <v>1</v>
      </c>
      <c r="BF372" s="1">
        <f t="shared" si="181"/>
        <v>1</v>
      </c>
      <c r="BI372"/>
      <c r="BJ372"/>
      <c r="BL372"/>
    </row>
    <row r="373" spans="1:64" ht="11.25" customHeight="1">
      <c r="A373" s="26" t="s">
        <v>1929</v>
      </c>
      <c r="B373" s="27" t="s">
        <v>1930</v>
      </c>
      <c r="C373" s="28">
        <v>1499.99</v>
      </c>
      <c r="D373" s="28">
        <f t="shared" si="163"/>
        <v>749.995</v>
      </c>
      <c r="E373" s="22" t="s">
        <v>1866</v>
      </c>
      <c r="F373" s="22" t="s">
        <v>1931</v>
      </c>
      <c r="G373" s="22" t="s">
        <v>1932</v>
      </c>
      <c r="I373" s="23" t="s">
        <v>1223</v>
      </c>
      <c r="J373" s="22" t="s">
        <v>1698</v>
      </c>
      <c r="N373" s="3">
        <f t="shared" si="183"/>
        <v>0</v>
      </c>
      <c r="O373" s="4" t="e">
        <f>(C373-(C373*#REF!))-((C373-(C373*#REF!))*#REF!)</f>
        <v>#REF!</v>
      </c>
      <c r="P373" s="7"/>
      <c r="Q373" s="7"/>
      <c r="R373" s="5">
        <f t="shared" si="184"/>
        <v>0</v>
      </c>
      <c r="S373" s="4">
        <f t="shared" si="185"/>
        <v>0</v>
      </c>
      <c r="T373" s="13">
        <f t="shared" si="164"/>
        <v>1049.9929999999999</v>
      </c>
      <c r="U373" s="13">
        <f t="shared" si="175"/>
        <v>524.99649999999997</v>
      </c>
      <c r="V373" s="14">
        <f>U373/C373</f>
        <v>0.35</v>
      </c>
      <c r="W373" s="14"/>
      <c r="X373" s="19">
        <f t="shared" si="186"/>
        <v>524.99649999999997</v>
      </c>
      <c r="Y373" s="19">
        <f t="shared" si="187"/>
        <v>1049.9929999999999</v>
      </c>
      <c r="Z373" s="15" t="e">
        <f t="shared" si="182"/>
        <v>#DIV/0!</v>
      </c>
      <c r="AA373" s="22" t="s">
        <v>1933</v>
      </c>
      <c r="AG373" s="94" t="s">
        <v>1871</v>
      </c>
      <c r="AH373" s="89" t="str">
        <f>VLOOKUP(AG373,Sheet1!$B$3:$D$36,2,FALSE)</f>
        <v>Sun &amp; Shades</v>
      </c>
      <c r="AI373" s="89" t="str">
        <f>VLOOKUP(AG373,Sheet1!$B$3:$D$36,3,FALSE)</f>
        <v>Sunbed</v>
      </c>
      <c r="AJ373" s="1" t="str">
        <f t="shared" si="165"/>
        <v>Gasadalur Hammock - cushion</v>
      </c>
      <c r="AK373" s="1" t="str">
        <f t="shared" si="166"/>
        <v/>
      </c>
      <c r="AL373" s="1" t="str">
        <f t="shared" si="167"/>
        <v>fabric</v>
      </c>
      <c r="AM373" s="1" t="str">
        <f t="shared" si="168"/>
        <v>fabric</v>
      </c>
      <c r="AN373" s="1" t="str">
        <f t="shared" si="192"/>
        <v>fabric</v>
      </c>
      <c r="AQ373" s="1" t="str">
        <f t="shared" si="169"/>
        <v>D</v>
      </c>
      <c r="AR373" s="1" t="str">
        <f>VLOOKUP(TRIM(AI373),Sheet1!$D$3:$E$36,2,FALSE)</f>
        <v>01</v>
      </c>
      <c r="AS373" s="90" t="str">
        <f t="shared" si="170"/>
        <v>01</v>
      </c>
      <c r="AT373" s="1" t="str">
        <f t="shared" si="171"/>
        <v>01</v>
      </c>
      <c r="AU373" s="90" t="s">
        <v>1225</v>
      </c>
      <c r="AV373" s="90"/>
      <c r="AW373" s="90"/>
      <c r="AX373" s="95" t="str">
        <f>AQ373&amp;AR373&amp;AS373&amp;"-"&amp;AT373&amp;AU373&amp;BA373</f>
        <v>D0101-0139</v>
      </c>
      <c r="AY373" s="99" t="str">
        <f>AQ373&amp;AR373&amp;AS373&amp;"-"&amp;AT373&amp;BA373</f>
        <v>D0101-01</v>
      </c>
      <c r="AZ373" s="90"/>
      <c r="BA373" s="1" t="str">
        <f t="shared" si="172"/>
        <v/>
      </c>
      <c r="BC373" s="1">
        <f t="shared" si="189"/>
        <v>1</v>
      </c>
      <c r="BD373" s="90">
        <f t="shared" si="190"/>
        <v>1</v>
      </c>
      <c r="BE373" s="1">
        <f t="shared" si="180"/>
        <v>1</v>
      </c>
      <c r="BF373" s="1">
        <f t="shared" si="181"/>
        <v>1</v>
      </c>
      <c r="BI373"/>
      <c r="BJ373"/>
      <c r="BL373"/>
    </row>
    <row r="374" spans="1:64" s="63" customFormat="1" ht="15.75">
      <c r="A374" s="65" t="s">
        <v>1934</v>
      </c>
      <c r="B374" s="66"/>
      <c r="C374" s="67"/>
      <c r="D374" s="75"/>
      <c r="E374" s="68"/>
      <c r="F374" s="69"/>
      <c r="G374" s="68"/>
      <c r="H374" s="68"/>
      <c r="I374" s="65"/>
      <c r="J374" s="68"/>
      <c r="K374" s="65"/>
      <c r="L374" s="65"/>
      <c r="M374" s="65"/>
      <c r="N374" s="68"/>
      <c r="O374" s="68"/>
      <c r="P374" s="76"/>
      <c r="Q374" s="76"/>
      <c r="R374" s="77"/>
      <c r="S374" s="68"/>
      <c r="T374" s="78"/>
      <c r="U374" s="78"/>
      <c r="V374" s="75"/>
      <c r="W374" s="75"/>
      <c r="X374" s="75"/>
      <c r="Y374" s="75"/>
      <c r="Z374" s="79"/>
      <c r="AA374" s="68"/>
      <c r="AB374" s="66"/>
      <c r="AC374" s="66"/>
      <c r="AD374" s="66"/>
      <c r="AE374" s="66"/>
      <c r="AF374" s="66"/>
      <c r="AG374" s="93"/>
      <c r="AH374" s="89"/>
      <c r="AI374" s="89"/>
      <c r="AJ374" s="1"/>
      <c r="AK374" s="1"/>
      <c r="AL374" s="1"/>
      <c r="AM374" s="1"/>
      <c r="AQ374" s="1"/>
      <c r="AR374" s="1"/>
      <c r="AS374" s="90"/>
      <c r="AT374" s="1"/>
      <c r="AU374" s="90"/>
      <c r="AV374" s="90"/>
      <c r="AW374" s="90"/>
      <c r="AX374" s="95"/>
      <c r="AY374" s="99" t="str">
        <f>AQ374&amp;AR374&amp;AS374&amp;"-"&amp;AT374&amp;BA374</f>
        <v>-</v>
      </c>
      <c r="AZ374" s="90"/>
      <c r="BA374" s="1"/>
      <c r="BC374" s="1"/>
      <c r="BD374" s="90"/>
      <c r="BE374" s="1"/>
      <c r="BF374" s="1"/>
      <c r="BI374"/>
      <c r="BJ374"/>
      <c r="BK374" s="1"/>
      <c r="BL374"/>
    </row>
    <row r="375" spans="1:64" ht="11.25" customHeight="1">
      <c r="A375" s="26" t="s">
        <v>1935</v>
      </c>
      <c r="B375" s="27" t="s">
        <v>1936</v>
      </c>
      <c r="C375" s="28">
        <v>7239.99</v>
      </c>
      <c r="D375" s="28">
        <f t="shared" si="163"/>
        <v>3619.9949999999999</v>
      </c>
      <c r="E375" s="22" t="s">
        <v>1934</v>
      </c>
      <c r="F375" s="22" t="s">
        <v>1937</v>
      </c>
      <c r="G375" s="22" t="s">
        <v>1938</v>
      </c>
      <c r="H375" s="22" t="s">
        <v>1939</v>
      </c>
      <c r="I375" s="23" t="s">
        <v>58</v>
      </c>
      <c r="J375" s="22" t="s">
        <v>50</v>
      </c>
      <c r="K375" s="23">
        <v>230</v>
      </c>
      <c r="L375" s="23">
        <v>200</v>
      </c>
      <c r="M375" s="23">
        <v>250</v>
      </c>
      <c r="N375" s="3">
        <f t="shared" si="183"/>
        <v>11.5</v>
      </c>
      <c r="O375" s="4" t="e">
        <f>(C375-(C375*#REF!))-((C375-(C375*#REF!))*#REF!)</f>
        <v>#REF!</v>
      </c>
      <c r="P375" s="7"/>
      <c r="Q375" s="7"/>
      <c r="R375" s="5">
        <f t="shared" ref="R375:R383" si="193">P375+Q375</f>
        <v>0</v>
      </c>
      <c r="S375" s="4">
        <f t="shared" ref="S375:S383" si="194">R375/15000</f>
        <v>0</v>
      </c>
      <c r="T375" s="13">
        <f t="shared" si="164"/>
        <v>5067.9930000000004</v>
      </c>
      <c r="U375" s="13">
        <f t="shared" si="175"/>
        <v>2533.9965000000002</v>
      </c>
      <c r="V375" s="14">
        <f>U375/C375</f>
        <v>0.35000000000000003</v>
      </c>
      <c r="W375" s="14"/>
      <c r="X375" s="19">
        <f t="shared" ref="X375:X383" si="195">IF(ISBLANK(W375),U375, W375)</f>
        <v>2533.9965000000002</v>
      </c>
      <c r="Y375" s="19">
        <f t="shared" ref="Y375:Y383" si="196">X375*2</f>
        <v>5067.9930000000004</v>
      </c>
      <c r="Z375" s="15" t="e">
        <f t="shared" si="182"/>
        <v>#DIV/0!</v>
      </c>
      <c r="AA375" s="22" t="s">
        <v>1940</v>
      </c>
      <c r="AG375" s="94" t="s">
        <v>1871</v>
      </c>
      <c r="AH375" s="89" t="str">
        <f>VLOOKUP(AG375,Sheet1!$B$3:$D$36,2,FALSE)</f>
        <v>Sun &amp; Shades</v>
      </c>
      <c r="AI375" s="89" t="s">
        <v>1941</v>
      </c>
      <c r="AJ375" s="1" t="str">
        <f t="shared" si="165"/>
        <v>Zephyr gazebo</v>
      </c>
      <c r="AK375" s="1" t="str">
        <f t="shared" si="166"/>
        <v>w230 x d200 x h250</v>
      </c>
      <c r="AL375" s="1" t="str">
        <f t="shared" si="167"/>
        <v>Natural teak outdoor</v>
      </c>
      <c r="AM375" s="1" t="str">
        <f t="shared" si="168"/>
        <v>Natural teak outdoor</v>
      </c>
      <c r="AN375" s="1" t="str">
        <f t="shared" ref="AN375:AN377" si="197">SUBSTITUTE(AL375,"outdoor","")</f>
        <v xml:space="preserve">Natural teak </v>
      </c>
      <c r="AO375" s="1" t="s">
        <v>59</v>
      </c>
      <c r="AQ375" s="1" t="str">
        <f t="shared" si="169"/>
        <v>D</v>
      </c>
      <c r="AR375" s="1" t="str">
        <f>VLOOKUP(TRIM(AI375),Sheet1!$D$3:$E$36,2,FALSE)</f>
        <v>02</v>
      </c>
      <c r="AS375" s="90" t="str">
        <f t="shared" si="170"/>
        <v>01</v>
      </c>
      <c r="AT375" s="1" t="str">
        <f t="shared" si="171"/>
        <v>01</v>
      </c>
      <c r="AU375" s="90" t="s">
        <v>55</v>
      </c>
      <c r="AV375" s="90"/>
      <c r="AW375" s="90"/>
      <c r="AX375" s="95" t="str">
        <f>AQ375&amp;AR375&amp;AS375&amp;"-"&amp;AT375&amp;AU375&amp;BA375</f>
        <v>D0201-0110OUT</v>
      </c>
      <c r="AY375" s="99" t="str">
        <f>AQ375&amp;AR375&amp;AS375&amp;"-"&amp;AT375&amp;BA375</f>
        <v>D0201-01OUT</v>
      </c>
      <c r="AZ375" s="90"/>
      <c r="BA375" s="1" t="str">
        <f t="shared" si="172"/>
        <v>OUT</v>
      </c>
      <c r="BC375" s="1">
        <f t="shared" si="189"/>
        <v>1</v>
      </c>
      <c r="BD375" s="90">
        <f t="shared" si="190"/>
        <v>1</v>
      </c>
      <c r="BE375" s="1">
        <f t="shared" si="180"/>
        <v>1</v>
      </c>
      <c r="BF375" s="1">
        <f t="shared" si="181"/>
        <v>1</v>
      </c>
      <c r="BI375"/>
      <c r="BJ375"/>
      <c r="BL375"/>
    </row>
    <row r="376" spans="1:64" ht="11.25" customHeight="1">
      <c r="A376" s="26" t="s">
        <v>1942</v>
      </c>
      <c r="B376" s="27" t="s">
        <v>1943</v>
      </c>
      <c r="C376" s="28">
        <v>1049.99</v>
      </c>
      <c r="D376" s="28">
        <f t="shared" si="163"/>
        <v>524.995</v>
      </c>
      <c r="E376" s="22" t="s">
        <v>1934</v>
      </c>
      <c r="F376" s="22" t="s">
        <v>1944</v>
      </c>
      <c r="G376" s="22" t="s">
        <v>1945</v>
      </c>
      <c r="H376" s="22" t="s">
        <v>1946</v>
      </c>
      <c r="I376" s="23" t="s">
        <v>58</v>
      </c>
      <c r="J376" s="22" t="s">
        <v>50</v>
      </c>
      <c r="N376" s="3">
        <f t="shared" si="183"/>
        <v>0</v>
      </c>
      <c r="O376" s="4" t="e">
        <f>(C376-(C376*#REF!))-((C376-(C376*#REF!))*#REF!)</f>
        <v>#REF!</v>
      </c>
      <c r="P376" s="7"/>
      <c r="Q376" s="7"/>
      <c r="R376" s="5">
        <f t="shared" si="193"/>
        <v>0</v>
      </c>
      <c r="S376" s="4">
        <f t="shared" si="194"/>
        <v>0</v>
      </c>
      <c r="T376" s="13">
        <f t="shared" si="164"/>
        <v>734.99299999999994</v>
      </c>
      <c r="U376" s="13">
        <f t="shared" si="175"/>
        <v>367.49649999999997</v>
      </c>
      <c r="V376" s="14">
        <f>U376/C376</f>
        <v>0.35</v>
      </c>
      <c r="W376" s="14"/>
      <c r="X376" s="19">
        <f t="shared" si="195"/>
        <v>367.49649999999997</v>
      </c>
      <c r="Y376" s="19">
        <f t="shared" si="196"/>
        <v>734.99299999999994</v>
      </c>
      <c r="Z376" s="15" t="e">
        <f t="shared" si="182"/>
        <v>#DIV/0!</v>
      </c>
      <c r="AA376" s="22" t="s">
        <v>1947</v>
      </c>
      <c r="AG376" s="94" t="s">
        <v>1871</v>
      </c>
      <c r="AH376" s="89" t="str">
        <f>VLOOKUP(AG376,Sheet1!$B$3:$D$36,2,FALSE)</f>
        <v>Sun &amp; Shades</v>
      </c>
      <c r="AI376" s="89" t="s">
        <v>1941</v>
      </c>
      <c r="AJ376" s="1" t="str">
        <f t="shared" si="165"/>
        <v>Zephyr gazebo - Stairs</v>
      </c>
      <c r="AK376" s="1" t="str">
        <f t="shared" si="166"/>
        <v>-</v>
      </c>
      <c r="AL376" s="1" t="str">
        <f t="shared" si="167"/>
        <v>Natural teak outdoor</v>
      </c>
      <c r="AM376" s="1" t="str">
        <f t="shared" si="168"/>
        <v>Natural teak outdoor</v>
      </c>
      <c r="AN376" s="1" t="str">
        <f t="shared" si="197"/>
        <v xml:space="preserve">Natural teak </v>
      </c>
      <c r="AO376" s="1" t="s">
        <v>59</v>
      </c>
      <c r="AQ376" s="1" t="str">
        <f t="shared" si="169"/>
        <v>D</v>
      </c>
      <c r="AR376" s="1" t="str">
        <f>VLOOKUP(TRIM(AI376),Sheet1!$D$3:$E$36,2,FALSE)</f>
        <v>02</v>
      </c>
      <c r="AS376" s="90" t="str">
        <f t="shared" si="170"/>
        <v>01</v>
      </c>
      <c r="AT376" s="1" t="str">
        <f t="shared" si="171"/>
        <v>01</v>
      </c>
      <c r="AU376" s="90" t="s">
        <v>55</v>
      </c>
      <c r="AV376" s="90"/>
      <c r="AW376" s="90"/>
      <c r="AX376" s="95" t="str">
        <f>AQ376&amp;AR376&amp;AS376&amp;"-"&amp;AT376&amp;AU376&amp;BA376</f>
        <v>D0201-0110OUT</v>
      </c>
      <c r="AY376" s="99" t="str">
        <f>AQ376&amp;AR376&amp;AS376&amp;"-"&amp;AT376&amp;BA376</f>
        <v>D0201-01OUT</v>
      </c>
      <c r="AZ376" s="90"/>
      <c r="BA376" s="1" t="str">
        <f t="shared" si="172"/>
        <v>OUT</v>
      </c>
      <c r="BC376" s="1">
        <f t="shared" si="189"/>
        <v>1</v>
      </c>
      <c r="BD376" s="90">
        <f t="shared" si="190"/>
        <v>1</v>
      </c>
      <c r="BE376" s="1">
        <f t="shared" si="180"/>
        <v>1</v>
      </c>
      <c r="BF376" s="1">
        <f t="shared" si="181"/>
        <v>1</v>
      </c>
      <c r="BI376"/>
      <c r="BJ376"/>
      <c r="BL376"/>
    </row>
    <row r="377" spans="1:64" ht="11.25" customHeight="1">
      <c r="A377" s="26" t="s">
        <v>1948</v>
      </c>
      <c r="B377" s="27" t="s">
        <v>1949</v>
      </c>
      <c r="C377" s="28">
        <v>3539.99</v>
      </c>
      <c r="D377" s="28">
        <f t="shared" si="163"/>
        <v>1769.9949999999999</v>
      </c>
      <c r="E377" s="22" t="s">
        <v>1934</v>
      </c>
      <c r="F377" s="22" t="s">
        <v>1950</v>
      </c>
      <c r="G377" s="22" t="s">
        <v>1951</v>
      </c>
      <c r="H377" s="22" t="s">
        <v>1952</v>
      </c>
      <c r="I377" s="23" t="s">
        <v>58</v>
      </c>
      <c r="J377" s="22" t="s">
        <v>50</v>
      </c>
      <c r="K377" s="23">
        <v>230</v>
      </c>
      <c r="L377" s="23">
        <v>210</v>
      </c>
      <c r="M377" s="23">
        <v>250</v>
      </c>
      <c r="N377" s="3">
        <f t="shared" si="183"/>
        <v>12.074999999999999</v>
      </c>
      <c r="O377" s="4" t="e">
        <f>(C377-(C377*#REF!))-((C377-(C377*#REF!))*#REF!)</f>
        <v>#REF!</v>
      </c>
      <c r="P377" s="7"/>
      <c r="Q377" s="7"/>
      <c r="R377" s="5">
        <f t="shared" si="193"/>
        <v>0</v>
      </c>
      <c r="S377" s="4">
        <f t="shared" si="194"/>
        <v>0</v>
      </c>
      <c r="T377" s="13">
        <f t="shared" si="164"/>
        <v>2477.9929999999999</v>
      </c>
      <c r="U377" s="13">
        <f t="shared" si="175"/>
        <v>1238.9965</v>
      </c>
      <c r="V377" s="14">
        <f>U377/C377</f>
        <v>0.35000000000000003</v>
      </c>
      <c r="W377" s="14"/>
      <c r="X377" s="19">
        <f t="shared" si="195"/>
        <v>1238.9965</v>
      </c>
      <c r="Y377" s="19">
        <f t="shared" si="196"/>
        <v>2477.9929999999999</v>
      </c>
      <c r="Z377" s="15" t="e">
        <f t="shared" si="182"/>
        <v>#DIV/0!</v>
      </c>
      <c r="AA377" s="22" t="s">
        <v>1953</v>
      </c>
      <c r="AG377" s="94" t="s">
        <v>1871</v>
      </c>
      <c r="AH377" s="89" t="str">
        <f>VLOOKUP(AG377,Sheet1!$B$3:$D$36,2,FALSE)</f>
        <v>Sun &amp; Shades</v>
      </c>
      <c r="AI377" s="89" t="s">
        <v>1941</v>
      </c>
      <c r="AJ377" s="1" t="str">
        <f t="shared" si="165"/>
        <v>Calista gazebo</v>
      </c>
      <c r="AK377" s="1" t="str">
        <f t="shared" si="166"/>
        <v>w230 x d210 x h250</v>
      </c>
      <c r="AL377" s="1" t="str">
        <f t="shared" si="167"/>
        <v>Natural teak outdoor</v>
      </c>
      <c r="AM377" s="1" t="str">
        <f t="shared" si="168"/>
        <v>Natural teak outdoor</v>
      </c>
      <c r="AN377" s="1" t="str">
        <f t="shared" si="197"/>
        <v xml:space="preserve">Natural teak </v>
      </c>
      <c r="AO377" s="1" t="s">
        <v>59</v>
      </c>
      <c r="AQ377" s="1" t="str">
        <f t="shared" si="169"/>
        <v>D</v>
      </c>
      <c r="AR377" s="1" t="str">
        <f>VLOOKUP(TRIM(AI377),Sheet1!$D$3:$E$36,2,FALSE)</f>
        <v>02</v>
      </c>
      <c r="AS377" s="90" t="str">
        <f t="shared" si="170"/>
        <v>01</v>
      </c>
      <c r="AT377" s="1" t="str">
        <f t="shared" si="171"/>
        <v>01</v>
      </c>
      <c r="AU377" s="90" t="s">
        <v>55</v>
      </c>
      <c r="AV377" s="90"/>
      <c r="AW377" s="90"/>
      <c r="AX377" s="95" t="str">
        <f>AQ377&amp;AR377&amp;AS377&amp;"-"&amp;AT377&amp;AU377&amp;BA377</f>
        <v>D0201-0110OUT</v>
      </c>
      <c r="AY377" s="99" t="str">
        <f>AQ377&amp;AR377&amp;AS377&amp;"-"&amp;AT377&amp;BA377</f>
        <v>D0201-01OUT</v>
      </c>
      <c r="AZ377" s="90"/>
      <c r="BA377" s="1" t="str">
        <f t="shared" si="172"/>
        <v>OUT</v>
      </c>
      <c r="BC377" s="1">
        <f t="shared" si="189"/>
        <v>1</v>
      </c>
      <c r="BD377" s="90">
        <f t="shared" si="190"/>
        <v>1</v>
      </c>
      <c r="BE377" s="1">
        <f t="shared" si="180"/>
        <v>1</v>
      </c>
      <c r="BF377" s="1">
        <f t="shared" si="181"/>
        <v>1</v>
      </c>
      <c r="BI377"/>
      <c r="BJ377"/>
      <c r="BL377"/>
    </row>
    <row r="378" spans="1:64" ht="11.25" customHeight="1">
      <c r="A378" s="26" t="s">
        <v>1954</v>
      </c>
      <c r="B378" s="27" t="s">
        <v>1955</v>
      </c>
      <c r="C378" s="28">
        <v>2124.9899999999998</v>
      </c>
      <c r="D378" s="28">
        <f t="shared" si="163"/>
        <v>1062.4949999999999</v>
      </c>
      <c r="E378" s="22" t="s">
        <v>1934</v>
      </c>
      <c r="F378" s="22" t="s">
        <v>1956</v>
      </c>
      <c r="G378" s="22" t="s">
        <v>1957</v>
      </c>
      <c r="H378" s="22" t="s">
        <v>1958</v>
      </c>
      <c r="I378" s="23" t="s">
        <v>662</v>
      </c>
      <c r="J378" s="22" t="s">
        <v>646</v>
      </c>
      <c r="K378" s="23">
        <v>220</v>
      </c>
      <c r="L378" s="23">
        <v>220</v>
      </c>
      <c r="M378" s="23">
        <v>230</v>
      </c>
      <c r="N378" s="3">
        <f t="shared" si="183"/>
        <v>11.132</v>
      </c>
      <c r="O378" s="4" t="e">
        <f>(C378-(C378*#REF!))-((C378-(C378*#REF!))*#REF!)</f>
        <v>#REF!</v>
      </c>
      <c r="P378" s="7"/>
      <c r="Q378" s="7"/>
      <c r="R378" s="5">
        <f t="shared" si="193"/>
        <v>0</v>
      </c>
      <c r="S378" s="4">
        <f t="shared" si="194"/>
        <v>0</v>
      </c>
      <c r="T378" s="13">
        <f t="shared" si="164"/>
        <v>1487.4929999999999</v>
      </c>
      <c r="U378" s="13">
        <f t="shared" si="175"/>
        <v>743.74649999999997</v>
      </c>
      <c r="V378" s="14">
        <f>U378/C378</f>
        <v>0.35000000000000003</v>
      </c>
      <c r="W378" s="14"/>
      <c r="X378" s="19">
        <f t="shared" si="195"/>
        <v>743.74649999999997</v>
      </c>
      <c r="Y378" s="19">
        <f t="shared" si="196"/>
        <v>1487.4929999999999</v>
      </c>
      <c r="Z378" s="15" t="e">
        <f t="shared" si="182"/>
        <v>#DIV/0!</v>
      </c>
      <c r="AA378" s="22" t="s">
        <v>1959</v>
      </c>
      <c r="AG378" s="94" t="s">
        <v>1871</v>
      </c>
      <c r="AH378" s="89" t="str">
        <f>VLOOKUP(AG378,Sheet1!$B$3:$D$36,2,FALSE)</f>
        <v>Sun &amp; Shades</v>
      </c>
      <c r="AI378" s="89" t="s">
        <v>1941</v>
      </c>
      <c r="AJ378" s="1" t="str">
        <f t="shared" si="165"/>
        <v>Orion gazebo</v>
      </c>
      <c r="AK378" s="1" t="str">
        <f t="shared" si="166"/>
        <v>w220 x d220 x h230</v>
      </c>
      <c r="AL378" s="1" t="str">
        <f t="shared" si="167"/>
        <v>teak branches</v>
      </c>
      <c r="AM378" s="1" t="str">
        <f t="shared" si="168"/>
        <v>teak branches</v>
      </c>
      <c r="AN378" s="1" t="str">
        <f t="shared" ref="AN378:AN399" si="198">SUBSTITUTE(AL378,"indoor","")</f>
        <v>teak branches</v>
      </c>
      <c r="AQ378" s="1" t="str">
        <f t="shared" si="169"/>
        <v>D</v>
      </c>
      <c r="AR378" s="1" t="str">
        <f>VLOOKUP(TRIM(AI378),Sheet1!$D$3:$E$36,2,FALSE)</f>
        <v>02</v>
      </c>
      <c r="AS378" s="90" t="str">
        <f t="shared" si="170"/>
        <v>01</v>
      </c>
      <c r="AT378" s="1" t="str">
        <f t="shared" si="171"/>
        <v>01</v>
      </c>
      <c r="AU378" s="90" t="s">
        <v>664</v>
      </c>
      <c r="AV378" s="90"/>
      <c r="AW378" s="90"/>
      <c r="AX378" s="95" t="str">
        <f>AQ378&amp;AR378&amp;AS378&amp;"-"&amp;AT378&amp;AU378&amp;BA378</f>
        <v>D0201-0127</v>
      </c>
      <c r="AY378" s="99" t="str">
        <f>AQ378&amp;AR378&amp;AS378&amp;"-"&amp;AT378&amp;BA378</f>
        <v>D0201-01</v>
      </c>
      <c r="AZ378" s="90"/>
      <c r="BA378" s="1" t="str">
        <f t="shared" si="172"/>
        <v/>
      </c>
      <c r="BC378" s="1">
        <f t="shared" si="189"/>
        <v>1</v>
      </c>
      <c r="BD378" s="90">
        <f t="shared" si="190"/>
        <v>1</v>
      </c>
      <c r="BE378" s="1">
        <f t="shared" si="180"/>
        <v>1</v>
      </c>
      <c r="BF378" s="1">
        <f t="shared" si="181"/>
        <v>1</v>
      </c>
      <c r="BI378"/>
      <c r="BJ378"/>
      <c r="BL378"/>
    </row>
    <row r="379" spans="1:64" ht="11.25" customHeight="1">
      <c r="A379" s="26" t="s">
        <v>1960</v>
      </c>
      <c r="B379" s="27" t="s">
        <v>1961</v>
      </c>
      <c r="C379" s="28">
        <v>439.99</v>
      </c>
      <c r="D379" s="28">
        <f t="shared" si="163"/>
        <v>219.995</v>
      </c>
      <c r="E379" s="22" t="s">
        <v>1934</v>
      </c>
      <c r="F379" s="22" t="s">
        <v>1962</v>
      </c>
      <c r="G379" s="22" t="s">
        <v>1963</v>
      </c>
      <c r="H379" s="22" t="s">
        <v>1946</v>
      </c>
      <c r="I379" s="23" t="s">
        <v>1964</v>
      </c>
      <c r="J379" s="22" t="s">
        <v>670</v>
      </c>
      <c r="N379" s="3">
        <f t="shared" si="183"/>
        <v>0</v>
      </c>
      <c r="O379" s="4" t="e">
        <f>(C379-(C379*#REF!))-((C379-(C379*#REF!))*#REF!)</f>
        <v>#REF!</v>
      </c>
      <c r="P379" s="7"/>
      <c r="Q379" s="7"/>
      <c r="R379" s="5">
        <f t="shared" si="193"/>
        <v>0</v>
      </c>
      <c r="S379" s="4">
        <f t="shared" si="194"/>
        <v>0</v>
      </c>
      <c r="T379" s="13">
        <f t="shared" si="164"/>
        <v>307.99300000000005</v>
      </c>
      <c r="U379" s="13">
        <f t="shared" si="175"/>
        <v>153.99650000000003</v>
      </c>
      <c r="V379" s="14">
        <f>U379/C379</f>
        <v>0.35000000000000003</v>
      </c>
      <c r="W379" s="14"/>
      <c r="X379" s="19">
        <f t="shared" si="195"/>
        <v>153.99650000000003</v>
      </c>
      <c r="Y379" s="19">
        <f t="shared" si="196"/>
        <v>307.99300000000005</v>
      </c>
      <c r="Z379" s="15" t="e">
        <f t="shared" si="182"/>
        <v>#DIV/0!</v>
      </c>
      <c r="AA379" s="22" t="s">
        <v>1965</v>
      </c>
      <c r="AG379" s="94" t="s">
        <v>1871</v>
      </c>
      <c r="AH379" s="89" t="str">
        <f>VLOOKUP(AG379,Sheet1!$B$3:$D$36,2,FALSE)</f>
        <v>Sun &amp; Shades</v>
      </c>
      <c r="AI379" s="89" t="s">
        <v>1941</v>
      </c>
      <c r="AJ379" s="1" t="str">
        <f t="shared" si="165"/>
        <v>Radiance Veil</v>
      </c>
      <c r="AK379" s="1" t="str">
        <f t="shared" si="166"/>
        <v>-</v>
      </c>
      <c r="AL379" s="1" t="str">
        <f t="shared" si="167"/>
        <v>Fabric</v>
      </c>
      <c r="AM379" s="1" t="str">
        <f t="shared" si="168"/>
        <v>Fabric</v>
      </c>
      <c r="AN379" s="1" t="str">
        <f t="shared" si="198"/>
        <v>Fabric</v>
      </c>
      <c r="AQ379" s="1" t="str">
        <f t="shared" si="169"/>
        <v>D</v>
      </c>
      <c r="AR379" s="1" t="str">
        <f>VLOOKUP(TRIM(AI379),Sheet1!$D$3:$E$36,2,FALSE)</f>
        <v>02</v>
      </c>
      <c r="AS379" s="90" t="str">
        <f t="shared" si="170"/>
        <v>01</v>
      </c>
      <c r="AT379" s="1" t="str">
        <f t="shared" si="171"/>
        <v>01</v>
      </c>
      <c r="AU379" s="90" t="s">
        <v>1225</v>
      </c>
      <c r="AV379" s="90"/>
      <c r="AW379" s="90"/>
      <c r="AX379" s="95" t="str">
        <f>AQ379&amp;AR379&amp;AS379&amp;"-"&amp;AT379&amp;AU379&amp;BA379</f>
        <v>D0201-0139</v>
      </c>
      <c r="AY379" s="99" t="str">
        <f>AQ379&amp;AR379&amp;AS379&amp;"-"&amp;AT379&amp;BA379</f>
        <v>D0201-01</v>
      </c>
      <c r="AZ379" s="90"/>
      <c r="BA379" s="1" t="str">
        <f t="shared" si="172"/>
        <v/>
      </c>
      <c r="BC379" s="1">
        <f t="shared" si="189"/>
        <v>1</v>
      </c>
      <c r="BD379" s="90">
        <f t="shared" si="190"/>
        <v>1</v>
      </c>
      <c r="BE379" s="1">
        <f t="shared" si="180"/>
        <v>1</v>
      </c>
      <c r="BF379" s="1">
        <f t="shared" si="181"/>
        <v>1</v>
      </c>
      <c r="BI379"/>
      <c r="BJ379"/>
      <c r="BL379"/>
    </row>
    <row r="380" spans="1:64" ht="11.25" customHeight="1">
      <c r="A380" s="26" t="s">
        <v>1966</v>
      </c>
      <c r="B380" s="27" t="s">
        <v>1967</v>
      </c>
      <c r="C380" s="28">
        <v>4304.99</v>
      </c>
      <c r="D380" s="28">
        <f t="shared" si="163"/>
        <v>2152.4949999999999</v>
      </c>
      <c r="E380" s="22" t="s">
        <v>1934</v>
      </c>
      <c r="F380" s="22" t="s">
        <v>1968</v>
      </c>
      <c r="G380" s="22" t="s">
        <v>1969</v>
      </c>
      <c r="H380" s="22" t="s">
        <v>1970</v>
      </c>
      <c r="I380" s="23" t="s">
        <v>662</v>
      </c>
      <c r="J380" s="22" t="s">
        <v>646</v>
      </c>
      <c r="K380" s="23">
        <v>210</v>
      </c>
      <c r="L380" s="23">
        <v>210</v>
      </c>
      <c r="M380" s="23">
        <v>250</v>
      </c>
      <c r="N380" s="3">
        <f t="shared" si="183"/>
        <v>11.025</v>
      </c>
      <c r="O380" s="4" t="e">
        <f>(C380-(C380*#REF!))-((C380-(C380*#REF!))*#REF!)</f>
        <v>#REF!</v>
      </c>
      <c r="P380" s="7">
        <f>8784066.31220896-Q380</f>
        <v>784066.31220895983</v>
      </c>
      <c r="Q380" s="7">
        <v>8000000</v>
      </c>
      <c r="R380" s="5">
        <f t="shared" si="193"/>
        <v>8784066.3122089598</v>
      </c>
      <c r="S380" s="4">
        <f t="shared" si="194"/>
        <v>585.60442081393069</v>
      </c>
      <c r="T380" s="13">
        <f t="shared" si="164"/>
        <v>3013.4929999999999</v>
      </c>
      <c r="U380" s="13">
        <f t="shared" si="175"/>
        <v>1506.7465</v>
      </c>
      <c r="V380" s="14">
        <f>U380/C380</f>
        <v>0.35000000000000003</v>
      </c>
      <c r="W380" s="14"/>
      <c r="X380" s="19">
        <f t="shared" si="195"/>
        <v>1506.7465</v>
      </c>
      <c r="Y380" s="19">
        <f t="shared" si="196"/>
        <v>3013.4929999999999</v>
      </c>
      <c r="Z380" s="15">
        <f t="shared" si="182"/>
        <v>2.5729766484784649</v>
      </c>
      <c r="AA380" s="22" t="s">
        <v>1971</v>
      </c>
      <c r="AG380" s="94" t="s">
        <v>1871</v>
      </c>
      <c r="AH380" s="89" t="str">
        <f>VLOOKUP(AG380,Sheet1!$B$3:$D$36,2,FALSE)</f>
        <v>Sun &amp; Shades</v>
      </c>
      <c r="AI380" s="89" t="s">
        <v>1941</v>
      </c>
      <c r="AJ380" s="1" t="str">
        <f t="shared" si="165"/>
        <v>Seraphina gazebo</v>
      </c>
      <c r="AK380" s="1" t="str">
        <f t="shared" si="166"/>
        <v>w210 x d210 x h250</v>
      </c>
      <c r="AL380" s="1" t="str">
        <f t="shared" si="167"/>
        <v>teak branches</v>
      </c>
      <c r="AM380" s="1" t="str">
        <f t="shared" si="168"/>
        <v>teak branches</v>
      </c>
      <c r="AN380" s="1" t="str">
        <f t="shared" si="198"/>
        <v>teak branches</v>
      </c>
      <c r="AQ380" s="1" t="str">
        <f t="shared" si="169"/>
        <v>D</v>
      </c>
      <c r="AR380" s="1" t="str">
        <f>VLOOKUP(TRIM(AI380),Sheet1!$D$3:$E$36,2,FALSE)</f>
        <v>02</v>
      </c>
      <c r="AS380" s="90" t="str">
        <f t="shared" si="170"/>
        <v>01</v>
      </c>
      <c r="AT380" s="1" t="str">
        <f t="shared" si="171"/>
        <v>01</v>
      </c>
      <c r="AU380" s="90" t="s">
        <v>664</v>
      </c>
      <c r="AV380" s="90"/>
      <c r="AW380" s="90"/>
      <c r="AX380" s="95" t="str">
        <f>AQ380&amp;AR380&amp;AS380&amp;"-"&amp;AT380&amp;AU380&amp;BA380</f>
        <v>D0201-0127</v>
      </c>
      <c r="AY380" s="99" t="str">
        <f>AQ380&amp;AR380&amp;AS380&amp;"-"&amp;AT380&amp;BA380</f>
        <v>D0201-01</v>
      </c>
      <c r="AZ380" s="90"/>
      <c r="BA380" s="1" t="str">
        <f t="shared" si="172"/>
        <v/>
      </c>
      <c r="BC380" s="1">
        <f t="shared" si="189"/>
        <v>1</v>
      </c>
      <c r="BD380" s="90">
        <f t="shared" si="190"/>
        <v>1</v>
      </c>
      <c r="BE380" s="1">
        <f t="shared" si="180"/>
        <v>1</v>
      </c>
      <c r="BF380" s="1">
        <f t="shared" si="181"/>
        <v>1</v>
      </c>
      <c r="BI380"/>
      <c r="BJ380"/>
      <c r="BL380"/>
    </row>
    <row r="381" spans="1:64" ht="11.25" customHeight="1">
      <c r="A381" s="26" t="s">
        <v>1972</v>
      </c>
      <c r="B381" s="27" t="s">
        <v>1973</v>
      </c>
      <c r="C381" s="28">
        <v>2889.99</v>
      </c>
      <c r="D381" s="28">
        <f t="shared" si="163"/>
        <v>1444.9949999999999</v>
      </c>
      <c r="E381" s="22" t="s">
        <v>1934</v>
      </c>
      <c r="F381" s="22" t="s">
        <v>1974</v>
      </c>
      <c r="G381" s="22" t="s">
        <v>1975</v>
      </c>
      <c r="H381" s="22" t="s">
        <v>1970</v>
      </c>
      <c r="I381" s="23" t="s">
        <v>662</v>
      </c>
      <c r="J381" s="22" t="s">
        <v>646</v>
      </c>
      <c r="K381" s="23">
        <v>210</v>
      </c>
      <c r="L381" s="23">
        <v>210</v>
      </c>
      <c r="M381" s="23">
        <v>250</v>
      </c>
      <c r="N381" s="3">
        <f t="shared" si="183"/>
        <v>11.025</v>
      </c>
      <c r="O381" s="4" t="e">
        <f>(C381-(C381*#REF!))-((C381-(C381*#REF!))*#REF!)</f>
        <v>#REF!</v>
      </c>
      <c r="P381" s="7"/>
      <c r="Q381" s="7"/>
      <c r="R381" s="5">
        <f t="shared" si="193"/>
        <v>0</v>
      </c>
      <c r="S381" s="4">
        <f t="shared" si="194"/>
        <v>0</v>
      </c>
      <c r="T381" s="13">
        <f t="shared" si="164"/>
        <v>2022.9929999999999</v>
      </c>
      <c r="U381" s="13">
        <f t="shared" si="175"/>
        <v>1011.4965</v>
      </c>
      <c r="V381" s="14">
        <f>U381/C381</f>
        <v>0.35000000000000003</v>
      </c>
      <c r="W381" s="14"/>
      <c r="X381" s="19">
        <f t="shared" si="195"/>
        <v>1011.4965</v>
      </c>
      <c r="Y381" s="19">
        <f t="shared" si="196"/>
        <v>2022.9929999999999</v>
      </c>
      <c r="Z381" s="15" t="e">
        <f t="shared" si="182"/>
        <v>#DIV/0!</v>
      </c>
      <c r="AA381" s="22" t="s">
        <v>1976</v>
      </c>
      <c r="AG381" s="94" t="s">
        <v>1871</v>
      </c>
      <c r="AH381" s="89" t="str">
        <f>VLOOKUP(AG381,Sheet1!$B$3:$D$36,2,FALSE)</f>
        <v>Sun &amp; Shades</v>
      </c>
      <c r="AI381" s="89" t="s">
        <v>1941</v>
      </c>
      <c r="AJ381" s="1" t="str">
        <f t="shared" si="165"/>
        <v>Lyra gazebo</v>
      </c>
      <c r="AK381" s="1" t="str">
        <f t="shared" si="166"/>
        <v>w210 x d210 x h250</v>
      </c>
      <c r="AL381" s="1" t="str">
        <f t="shared" si="167"/>
        <v>teak branches</v>
      </c>
      <c r="AM381" s="1" t="str">
        <f t="shared" si="168"/>
        <v>teak branches</v>
      </c>
      <c r="AN381" s="1" t="str">
        <f t="shared" si="198"/>
        <v>teak branches</v>
      </c>
      <c r="AQ381" s="1" t="str">
        <f t="shared" si="169"/>
        <v>D</v>
      </c>
      <c r="AR381" s="1" t="str">
        <f>VLOOKUP(TRIM(AI381),Sheet1!$D$3:$E$36,2,FALSE)</f>
        <v>02</v>
      </c>
      <c r="AS381" s="90" t="str">
        <f t="shared" si="170"/>
        <v>01</v>
      </c>
      <c r="AT381" s="1" t="str">
        <f t="shared" si="171"/>
        <v>02</v>
      </c>
      <c r="AU381" s="90" t="s">
        <v>664</v>
      </c>
      <c r="AV381" s="90"/>
      <c r="AW381" s="90"/>
      <c r="AX381" s="95" t="str">
        <f>AQ381&amp;AR381&amp;AS381&amp;"-"&amp;AT381&amp;AU381&amp;BA381</f>
        <v>D0201-0227</v>
      </c>
      <c r="AY381" s="99" t="str">
        <f>AQ381&amp;AR381&amp;AS381&amp;"-"&amp;AT381&amp;BA381</f>
        <v>D0201-02</v>
      </c>
      <c r="AZ381" s="90"/>
      <c r="BA381" s="1" t="str">
        <f t="shared" si="172"/>
        <v/>
      </c>
      <c r="BC381" s="1">
        <f t="shared" si="189"/>
        <v>1</v>
      </c>
      <c r="BD381" s="90">
        <f t="shared" si="190"/>
        <v>1</v>
      </c>
      <c r="BE381" s="1" t="str">
        <f t="shared" si="180"/>
        <v/>
      </c>
      <c r="BF381" s="1">
        <f t="shared" si="181"/>
        <v>2</v>
      </c>
      <c r="BI381"/>
      <c r="BJ381"/>
      <c r="BL381"/>
    </row>
    <row r="382" spans="1:64" ht="11.25" customHeight="1">
      <c r="A382" s="26" t="s">
        <v>1977</v>
      </c>
      <c r="B382" s="27" t="s">
        <v>1978</v>
      </c>
      <c r="C382" s="28">
        <v>5079.99</v>
      </c>
      <c r="D382" s="28">
        <f t="shared" si="163"/>
        <v>2539.9949999999999</v>
      </c>
      <c r="E382" s="22" t="s">
        <v>1934</v>
      </c>
      <c r="F382" s="22" t="s">
        <v>1979</v>
      </c>
      <c r="G382" s="22" t="s">
        <v>1980</v>
      </c>
      <c r="H382" s="22" t="s">
        <v>1981</v>
      </c>
      <c r="I382" s="23" t="s">
        <v>662</v>
      </c>
      <c r="J382" s="22" t="s">
        <v>646</v>
      </c>
      <c r="K382" s="23">
        <v>200</v>
      </c>
      <c r="L382" s="23">
        <v>200</v>
      </c>
      <c r="M382" s="23">
        <v>230</v>
      </c>
      <c r="N382" s="3">
        <f>(IF(ISBLANK(K382),(L382*L382*M382),(K382*L382*M382)))/1000000</f>
        <v>9.1999999999999993</v>
      </c>
      <c r="O382" s="4" t="e">
        <f>(C382-(C382*#REF!))-((C382-(C382*#REF!))*#REF!)</f>
        <v>#REF!</v>
      </c>
      <c r="P382" s="7">
        <f>7458728.20764179-Q382</f>
        <v>458728.20764178969</v>
      </c>
      <c r="Q382" s="7">
        <v>7000000</v>
      </c>
      <c r="R382" s="5">
        <f t="shared" si="193"/>
        <v>7458728.2076417897</v>
      </c>
      <c r="S382" s="4">
        <f t="shared" si="194"/>
        <v>497.2485471761193</v>
      </c>
      <c r="T382" s="13">
        <f t="shared" si="164"/>
        <v>3555.9929999999999</v>
      </c>
      <c r="U382" s="13">
        <f t="shared" si="175"/>
        <v>1777.9965</v>
      </c>
      <c r="V382" s="14">
        <f>U382/C382</f>
        <v>0.35000000000000003</v>
      </c>
      <c r="W382" s="14"/>
      <c r="X382" s="19">
        <f t="shared" si="195"/>
        <v>1777.9965</v>
      </c>
      <c r="Y382" s="19">
        <f t="shared" si="196"/>
        <v>3555.9929999999999</v>
      </c>
      <c r="Z382" s="15">
        <f t="shared" si="182"/>
        <v>3.5756695722838492</v>
      </c>
      <c r="AA382" s="22" t="s">
        <v>1982</v>
      </c>
      <c r="AG382" s="94" t="s">
        <v>1871</v>
      </c>
      <c r="AH382" s="89" t="str">
        <f>VLOOKUP(AG382,Sheet1!$B$3:$D$36,2,FALSE)</f>
        <v>Sun &amp; Shades</v>
      </c>
      <c r="AI382" s="89" t="s">
        <v>1941</v>
      </c>
      <c r="AJ382" s="1" t="str">
        <f t="shared" si="165"/>
        <v>Zephyros gazebo</v>
      </c>
      <c r="AK382" s="1" t="str">
        <f t="shared" si="166"/>
        <v>w200 x d200 x h230</v>
      </c>
      <c r="AL382" s="1" t="str">
        <f t="shared" si="167"/>
        <v>teak branches</v>
      </c>
      <c r="AM382" s="1" t="str">
        <f t="shared" si="168"/>
        <v>teak branches</v>
      </c>
      <c r="AN382" s="1" t="str">
        <f t="shared" si="198"/>
        <v>teak branches</v>
      </c>
      <c r="AQ382" s="1" t="str">
        <f t="shared" si="169"/>
        <v>D</v>
      </c>
      <c r="AR382" s="1" t="str">
        <f>VLOOKUP(TRIM(AI382),Sheet1!$D$3:$E$36,2,FALSE)</f>
        <v>02</v>
      </c>
      <c r="AS382" s="90" t="str">
        <f t="shared" si="170"/>
        <v>01</v>
      </c>
      <c r="AT382" s="1" t="str">
        <f t="shared" si="171"/>
        <v>01</v>
      </c>
      <c r="AU382" s="90" t="s">
        <v>664</v>
      </c>
      <c r="AV382" s="90"/>
      <c r="AW382" s="90"/>
      <c r="AX382" s="95" t="str">
        <f>AQ382&amp;AR382&amp;AS382&amp;"-"&amp;AT382&amp;AU382&amp;BA382</f>
        <v>D0201-0127</v>
      </c>
      <c r="AY382" s="99" t="str">
        <f>AQ382&amp;AR382&amp;AS382&amp;"-"&amp;AT382&amp;BA382</f>
        <v>D0201-01</v>
      </c>
      <c r="AZ382" s="90"/>
      <c r="BA382" s="1" t="str">
        <f t="shared" si="172"/>
        <v/>
      </c>
      <c r="BC382" s="1">
        <f t="shared" si="189"/>
        <v>1</v>
      </c>
      <c r="BD382" s="90">
        <f t="shared" si="190"/>
        <v>1</v>
      </c>
      <c r="BE382" s="1">
        <f t="shared" si="180"/>
        <v>1</v>
      </c>
      <c r="BF382" s="1">
        <f t="shared" si="181"/>
        <v>1</v>
      </c>
      <c r="BI382"/>
      <c r="BJ382"/>
      <c r="BL382"/>
    </row>
    <row r="383" spans="1:64" ht="11.25" customHeight="1">
      <c r="A383" s="26" t="s">
        <v>1983</v>
      </c>
      <c r="B383" s="27" t="s">
        <v>1984</v>
      </c>
      <c r="C383" s="28">
        <v>4334.99</v>
      </c>
      <c r="D383" s="28">
        <f t="shared" si="163"/>
        <v>2167.4949999999999</v>
      </c>
      <c r="E383" s="22" t="s">
        <v>1934</v>
      </c>
      <c r="F383" s="22" t="s">
        <v>1985</v>
      </c>
      <c r="G383" s="22" t="s">
        <v>1986</v>
      </c>
      <c r="H383" s="22" t="s">
        <v>1970</v>
      </c>
      <c r="I383" s="23" t="s">
        <v>662</v>
      </c>
      <c r="J383" s="22" t="s">
        <v>646</v>
      </c>
      <c r="K383" s="23">
        <v>210</v>
      </c>
      <c r="L383" s="23">
        <v>210</v>
      </c>
      <c r="M383" s="23">
        <v>250</v>
      </c>
      <c r="N383" s="3">
        <f t="shared" si="183"/>
        <v>11.025</v>
      </c>
      <c r="O383" s="4" t="e">
        <f>(C383-(C383*#REF!))-((C383-(C383*#REF!))*#REF!)</f>
        <v>#REF!</v>
      </c>
      <c r="P383" s="7">
        <f>7372142.31220896-Q383</f>
        <v>622142.31220895983</v>
      </c>
      <c r="Q383" s="10">
        <v>6750000</v>
      </c>
      <c r="R383" s="5">
        <f t="shared" si="193"/>
        <v>7372142.3122089598</v>
      </c>
      <c r="S383" s="4">
        <f t="shared" si="194"/>
        <v>491.47615414726397</v>
      </c>
      <c r="T383" s="13">
        <f t="shared" si="164"/>
        <v>3034.4929999999999</v>
      </c>
      <c r="U383" s="13">
        <f t="shared" si="175"/>
        <v>1517.2465</v>
      </c>
      <c r="V383" s="14">
        <f>U383/C383</f>
        <v>0.35000000000000003</v>
      </c>
      <c r="W383" s="14"/>
      <c r="X383" s="19">
        <f t="shared" si="195"/>
        <v>1517.2465</v>
      </c>
      <c r="Y383" s="19">
        <f t="shared" si="196"/>
        <v>3034.4929999999999</v>
      </c>
      <c r="Z383" s="15">
        <f t="shared" si="182"/>
        <v>3.0871212920441673</v>
      </c>
      <c r="AA383" s="22" t="s">
        <v>1987</v>
      </c>
      <c r="AG383" s="94" t="s">
        <v>1871</v>
      </c>
      <c r="AH383" s="89" t="str">
        <f>VLOOKUP(AG383,Sheet1!$B$3:$D$36,2,FALSE)</f>
        <v>Sun &amp; Shades</v>
      </c>
      <c r="AI383" s="89" t="s">
        <v>1941</v>
      </c>
      <c r="AJ383" s="1" t="str">
        <f t="shared" si="165"/>
        <v>Nebula gazebo</v>
      </c>
      <c r="AK383" s="1" t="str">
        <f t="shared" si="166"/>
        <v>w210 x d210 x h250</v>
      </c>
      <c r="AL383" s="1" t="str">
        <f t="shared" si="167"/>
        <v>teak branches</v>
      </c>
      <c r="AM383" s="1" t="str">
        <f t="shared" si="168"/>
        <v>teak branches</v>
      </c>
      <c r="AN383" s="1" t="str">
        <f t="shared" si="198"/>
        <v>teak branches</v>
      </c>
      <c r="AQ383" s="1" t="str">
        <f t="shared" si="169"/>
        <v>D</v>
      </c>
      <c r="AR383" s="1" t="str">
        <f>VLOOKUP(TRIM(AI383),Sheet1!$D$3:$E$36,2,FALSE)</f>
        <v>02</v>
      </c>
      <c r="AS383" s="90" t="str">
        <f t="shared" si="170"/>
        <v>01</v>
      </c>
      <c r="AT383" s="1" t="str">
        <f t="shared" si="171"/>
        <v>01</v>
      </c>
      <c r="AU383" s="90" t="s">
        <v>664</v>
      </c>
      <c r="AV383" s="90"/>
      <c r="AW383" s="90"/>
      <c r="AX383" s="95" t="str">
        <f>AQ383&amp;AR383&amp;AS383&amp;"-"&amp;AT383&amp;AU383&amp;BA383</f>
        <v>D0201-0127</v>
      </c>
      <c r="AY383" s="99" t="str">
        <f>AQ383&amp;AR383&amp;AS383&amp;"-"&amp;AT383&amp;BA383</f>
        <v>D0201-01</v>
      </c>
      <c r="AZ383" s="90"/>
      <c r="BA383" s="1" t="str">
        <f t="shared" si="172"/>
        <v/>
      </c>
      <c r="BC383" s="1">
        <f t="shared" si="189"/>
        <v>1</v>
      </c>
      <c r="BD383" s="90">
        <f t="shared" si="190"/>
        <v>1</v>
      </c>
      <c r="BE383" s="1">
        <f t="shared" si="180"/>
        <v>1</v>
      </c>
      <c r="BF383" s="1">
        <f t="shared" si="181"/>
        <v>1</v>
      </c>
      <c r="BI383"/>
      <c r="BJ383"/>
      <c r="BL383"/>
    </row>
    <row r="384" spans="1:64" s="63" customFormat="1" ht="15.75">
      <c r="A384" s="33" t="s">
        <v>1988</v>
      </c>
      <c r="B384" s="34"/>
      <c r="C384" s="35"/>
      <c r="D384" s="36"/>
      <c r="E384" s="39"/>
      <c r="F384" s="40"/>
      <c r="G384" s="39"/>
      <c r="H384" s="39"/>
      <c r="I384" s="41"/>
      <c r="J384" s="39"/>
      <c r="K384" s="41"/>
      <c r="L384" s="41"/>
      <c r="M384" s="41"/>
      <c r="N384" s="48"/>
      <c r="O384" s="48"/>
      <c r="P384" s="49"/>
      <c r="Q384" s="49"/>
      <c r="R384" s="50"/>
      <c r="S384" s="48"/>
      <c r="T384" s="13"/>
      <c r="U384" s="13"/>
      <c r="V384" s="14"/>
      <c r="W384" s="14"/>
      <c r="X384" s="60"/>
      <c r="Y384" s="60"/>
      <c r="Z384" s="15"/>
      <c r="AA384" s="39"/>
      <c r="AG384" s="93"/>
      <c r="AH384" s="89"/>
      <c r="AI384" s="89"/>
      <c r="AJ384" s="1"/>
      <c r="AK384" s="1"/>
      <c r="AL384" s="1"/>
      <c r="AM384" s="1"/>
      <c r="AN384" s="1"/>
      <c r="AQ384" s="1"/>
      <c r="AR384" s="1"/>
      <c r="AS384" s="90"/>
      <c r="AT384" s="1"/>
      <c r="AU384" s="90"/>
      <c r="AV384" s="90"/>
      <c r="AW384" s="90"/>
      <c r="AX384" s="95"/>
      <c r="AY384" s="99" t="str">
        <f>AQ384&amp;AR384&amp;AS384&amp;"-"&amp;AT384&amp;BA384</f>
        <v>-</v>
      </c>
      <c r="AZ384" s="90"/>
      <c r="BA384" s="1"/>
      <c r="BC384" s="1"/>
      <c r="BD384" s="90"/>
      <c r="BE384" s="1"/>
      <c r="BF384" s="1"/>
      <c r="BI384"/>
      <c r="BJ384"/>
      <c r="BK384" s="1"/>
      <c r="BL384"/>
    </row>
    <row r="385" spans="1:64" ht="11.25" customHeight="1">
      <c r="A385" s="26">
        <v>22636</v>
      </c>
      <c r="B385" s="27" t="s">
        <v>1874</v>
      </c>
      <c r="C385" s="28">
        <v>470.99</v>
      </c>
      <c r="D385" s="28">
        <f t="shared" si="163"/>
        <v>235.495</v>
      </c>
      <c r="E385" s="22" t="s">
        <v>1989</v>
      </c>
      <c r="F385" s="22" t="s">
        <v>1990</v>
      </c>
      <c r="G385" s="22" t="s">
        <v>1991</v>
      </c>
      <c r="H385" s="22" t="s">
        <v>1992</v>
      </c>
      <c r="I385" s="23" t="s">
        <v>1196</v>
      </c>
      <c r="J385" s="22" t="s">
        <v>670</v>
      </c>
      <c r="K385" s="23">
        <v>180</v>
      </c>
      <c r="L385" s="23">
        <v>180</v>
      </c>
      <c r="M385" s="23">
        <v>50</v>
      </c>
      <c r="N385" s="3">
        <f t="shared" si="183"/>
        <v>1.62</v>
      </c>
      <c r="O385" s="4" t="e">
        <f>(C385-(C385*#REF!))-((C385-(C385*#REF!))*#REF!)</f>
        <v>#REF!</v>
      </c>
      <c r="P385" s="7"/>
      <c r="Q385" s="7"/>
      <c r="R385" s="5">
        <f t="shared" ref="R385:R395" si="199">P385+Q385</f>
        <v>0</v>
      </c>
      <c r="S385" s="4">
        <f t="shared" ref="S385:S398" si="200">R385/15000</f>
        <v>0</v>
      </c>
      <c r="T385" s="13">
        <f t="shared" si="164"/>
        <v>329.69299999999998</v>
      </c>
      <c r="U385" s="13">
        <f t="shared" si="175"/>
        <v>164.84649999999999</v>
      </c>
      <c r="V385" s="14">
        <f>U385/C385</f>
        <v>0.35</v>
      </c>
      <c r="W385" s="14"/>
      <c r="X385" s="19">
        <f t="shared" ref="X385:X398" si="201">IF(ISBLANK(W385),U385, W385)</f>
        <v>164.84649999999999</v>
      </c>
      <c r="Y385" s="19">
        <f t="shared" ref="Y385:Y398" si="202">X385*2</f>
        <v>329.69299999999998</v>
      </c>
      <c r="Z385" s="15" t="e">
        <f t="shared" si="182"/>
        <v>#DIV/0!</v>
      </c>
      <c r="AA385" s="22" t="s">
        <v>1993</v>
      </c>
      <c r="AG385" s="94" t="s">
        <v>1871</v>
      </c>
      <c r="AH385" s="89" t="str">
        <f>VLOOKUP(AG385,Sheet1!$B$3:$D$36,2,FALSE)</f>
        <v>Sun &amp; Shades</v>
      </c>
      <c r="AI385" s="89" t="s">
        <v>1994</v>
      </c>
      <c r="AJ385" s="1" t="str">
        <f t="shared" si="165"/>
        <v>Quantum Square Shade - M</v>
      </c>
      <c r="AK385" s="1" t="str">
        <f t="shared" si="166"/>
        <v>w180 x d180 x h50</v>
      </c>
      <c r="AL385" s="1" t="str">
        <f t="shared" si="167"/>
        <v>kubu grey</v>
      </c>
      <c r="AM385" s="1" t="str">
        <f t="shared" si="168"/>
        <v>kubu grey</v>
      </c>
      <c r="AN385" s="1" t="str">
        <f t="shared" si="198"/>
        <v>kubu grey</v>
      </c>
      <c r="AQ385" s="1" t="str">
        <f t="shared" si="169"/>
        <v>D</v>
      </c>
      <c r="AR385" s="1" t="str">
        <f>VLOOKUP(TRIM(AI385),Sheet1!$D$3:$E$36,2,FALSE)</f>
        <v>03</v>
      </c>
      <c r="AS385" s="90" t="str">
        <f t="shared" si="170"/>
        <v>01</v>
      </c>
      <c r="AT385" s="1" t="str">
        <f t="shared" si="171"/>
        <v>01</v>
      </c>
      <c r="AU385" s="90" t="s">
        <v>1198</v>
      </c>
      <c r="AV385" s="90"/>
      <c r="AW385" s="90"/>
      <c r="AX385" s="95" t="str">
        <f>AQ385&amp;AR385&amp;AS385&amp;"-"&amp;AT385&amp;AU385&amp;BA385</f>
        <v>D0301-0107</v>
      </c>
      <c r="AY385" s="99" t="str">
        <f>AQ385&amp;AR385&amp;AS385&amp;"-"&amp;AT385&amp;BA385</f>
        <v>D0301-01</v>
      </c>
      <c r="AZ385" s="90"/>
      <c r="BA385" s="1" t="str">
        <f t="shared" si="172"/>
        <v/>
      </c>
      <c r="BC385" s="1">
        <f t="shared" si="189"/>
        <v>1</v>
      </c>
      <c r="BD385" s="90">
        <f t="shared" si="190"/>
        <v>1</v>
      </c>
      <c r="BE385" s="1">
        <f t="shared" si="180"/>
        <v>1</v>
      </c>
      <c r="BF385" s="1">
        <f t="shared" si="181"/>
        <v>1</v>
      </c>
      <c r="BI385"/>
      <c r="BJ385"/>
      <c r="BL385"/>
    </row>
    <row r="386" spans="1:64" ht="11.25" customHeight="1">
      <c r="A386" s="26">
        <v>22567</v>
      </c>
      <c r="B386" s="27" t="s">
        <v>1874</v>
      </c>
      <c r="C386" s="28">
        <v>798.99</v>
      </c>
      <c r="D386" s="28">
        <f t="shared" si="163"/>
        <v>399.495</v>
      </c>
      <c r="E386" s="22" t="s">
        <v>1989</v>
      </c>
      <c r="F386" s="22" t="s">
        <v>1995</v>
      </c>
      <c r="G386" s="22" t="s">
        <v>1996</v>
      </c>
      <c r="H386" s="22" t="s">
        <v>1997</v>
      </c>
      <c r="I386" s="23" t="s">
        <v>1196</v>
      </c>
      <c r="J386" s="22" t="s">
        <v>670</v>
      </c>
      <c r="K386" s="23">
        <v>225</v>
      </c>
      <c r="L386" s="23">
        <v>225</v>
      </c>
      <c r="M386" s="23">
        <v>50</v>
      </c>
      <c r="N386" s="3">
        <f t="shared" si="183"/>
        <v>2.53125</v>
      </c>
      <c r="O386" s="4" t="e">
        <f>(C386-(C386*#REF!))-((C386-(C386*#REF!))*#REF!)</f>
        <v>#REF!</v>
      </c>
      <c r="P386" s="7"/>
      <c r="Q386" s="7"/>
      <c r="R386" s="5">
        <f t="shared" si="199"/>
        <v>0</v>
      </c>
      <c r="S386" s="4">
        <f t="shared" si="200"/>
        <v>0</v>
      </c>
      <c r="T386" s="13">
        <f t="shared" si="164"/>
        <v>559.29300000000001</v>
      </c>
      <c r="U386" s="13">
        <f t="shared" si="175"/>
        <v>279.6465</v>
      </c>
      <c r="V386" s="14">
        <f>U386/C386</f>
        <v>0.35</v>
      </c>
      <c r="W386" s="14"/>
      <c r="X386" s="19">
        <f t="shared" si="201"/>
        <v>279.6465</v>
      </c>
      <c r="Y386" s="19">
        <f t="shared" si="202"/>
        <v>559.29300000000001</v>
      </c>
      <c r="Z386" s="15" t="e">
        <f t="shared" si="182"/>
        <v>#DIV/0!</v>
      </c>
      <c r="AA386" s="22" t="s">
        <v>1998</v>
      </c>
      <c r="AG386" s="94" t="s">
        <v>1871</v>
      </c>
      <c r="AH386" s="89" t="str">
        <f>VLOOKUP(AG386,Sheet1!$B$3:$D$36,2,FALSE)</f>
        <v>Sun &amp; Shades</v>
      </c>
      <c r="AI386" s="89" t="s">
        <v>1994</v>
      </c>
      <c r="AJ386" s="1" t="str">
        <f t="shared" si="165"/>
        <v>Quantum Square Shade - L</v>
      </c>
      <c r="AK386" s="1" t="str">
        <f t="shared" si="166"/>
        <v>w225 x d225 x h50</v>
      </c>
      <c r="AL386" s="1" t="str">
        <f t="shared" si="167"/>
        <v>kubu grey</v>
      </c>
      <c r="AM386" s="1" t="str">
        <f t="shared" si="168"/>
        <v>kubu grey</v>
      </c>
      <c r="AN386" s="1" t="str">
        <f t="shared" si="198"/>
        <v>kubu grey</v>
      </c>
      <c r="AQ386" s="1" t="str">
        <f t="shared" si="169"/>
        <v>D</v>
      </c>
      <c r="AR386" s="1" t="str">
        <f>VLOOKUP(TRIM(AI386),Sheet1!$D$3:$E$36,2,FALSE)</f>
        <v>03</v>
      </c>
      <c r="AS386" s="90" t="str">
        <f t="shared" si="170"/>
        <v>01</v>
      </c>
      <c r="AT386" s="1" t="str">
        <f t="shared" si="171"/>
        <v>01</v>
      </c>
      <c r="AU386" s="90" t="s">
        <v>1198</v>
      </c>
      <c r="AV386" s="90"/>
      <c r="AW386" s="90"/>
      <c r="AX386" s="95" t="str">
        <f>AQ386&amp;AR386&amp;AS386&amp;"-"&amp;AT386&amp;AU386&amp;BA386</f>
        <v>D0301-0107</v>
      </c>
      <c r="AY386" s="99" t="str">
        <f>AQ386&amp;AR386&amp;AS386&amp;"-"&amp;AT386&amp;BA386</f>
        <v>D0301-01</v>
      </c>
      <c r="AZ386" s="90"/>
      <c r="BA386" s="1" t="str">
        <f t="shared" si="172"/>
        <v/>
      </c>
      <c r="BC386" s="1">
        <f t="shared" si="189"/>
        <v>1</v>
      </c>
      <c r="BD386" s="90">
        <f t="shared" si="190"/>
        <v>1</v>
      </c>
      <c r="BE386" s="1">
        <f t="shared" si="180"/>
        <v>1</v>
      </c>
      <c r="BF386" s="1">
        <f t="shared" si="181"/>
        <v>1</v>
      </c>
      <c r="BI386"/>
      <c r="BJ386"/>
      <c r="BL386"/>
    </row>
    <row r="387" spans="1:64" ht="11.25" customHeight="1">
      <c r="A387" s="26">
        <v>21950</v>
      </c>
      <c r="B387" s="27" t="s">
        <v>1999</v>
      </c>
      <c r="C387" s="28">
        <v>267.99</v>
      </c>
      <c r="D387" s="28">
        <f t="shared" si="163"/>
        <v>133.995</v>
      </c>
      <c r="E387" s="22" t="s">
        <v>1989</v>
      </c>
      <c r="F387" s="22" t="s">
        <v>2000</v>
      </c>
      <c r="G387" s="22" t="s">
        <v>2001</v>
      </c>
      <c r="H387" s="22" t="s">
        <v>2002</v>
      </c>
      <c r="I387" s="23" t="s">
        <v>1196</v>
      </c>
      <c r="J387" s="22" t="s">
        <v>670</v>
      </c>
      <c r="L387" s="23">
        <v>120</v>
      </c>
      <c r="M387" s="23">
        <v>30</v>
      </c>
      <c r="N387" s="3">
        <f t="shared" si="183"/>
        <v>0.432</v>
      </c>
      <c r="O387" s="4" t="e">
        <f>(C387-(C387*#REF!))-((C387-(C387*#REF!))*#REF!)</f>
        <v>#REF!</v>
      </c>
      <c r="P387" s="7">
        <f>1404288.98459701-Q387</f>
        <v>104288.98459701007</v>
      </c>
      <c r="Q387" s="7">
        <v>1300000</v>
      </c>
      <c r="R387" s="5">
        <f t="shared" si="199"/>
        <v>1404288.9845970101</v>
      </c>
      <c r="S387" s="4">
        <f t="shared" si="200"/>
        <v>93.619265639800673</v>
      </c>
      <c r="T387" s="13">
        <f t="shared" si="164"/>
        <v>187.59300000000002</v>
      </c>
      <c r="U387" s="13">
        <f t="shared" si="175"/>
        <v>93.796500000000009</v>
      </c>
      <c r="V387" s="14">
        <f>U387/C387</f>
        <v>0.35000000000000003</v>
      </c>
      <c r="W387" s="18">
        <f>S387*1.5</f>
        <v>140.428898459701</v>
      </c>
      <c r="X387" s="19">
        <f t="shared" si="201"/>
        <v>140.428898459701</v>
      </c>
      <c r="Y387" s="19">
        <f t="shared" si="202"/>
        <v>280.85779691940201</v>
      </c>
      <c r="Z387" s="15">
        <v>2</v>
      </c>
      <c r="AA387" s="22" t="s">
        <v>2003</v>
      </c>
      <c r="AG387" s="94" t="s">
        <v>1871</v>
      </c>
      <c r="AH387" s="89" t="str">
        <f>VLOOKUP(AG387,Sheet1!$B$3:$D$36,2,FALSE)</f>
        <v>Sun &amp; Shades</v>
      </c>
      <c r="AI387" s="89" t="s">
        <v>1994</v>
      </c>
      <c r="AJ387" s="1" t="str">
        <f t="shared" si="165"/>
        <v>Solaris Round Canopy - M</v>
      </c>
      <c r="AK387" s="1" t="str">
        <f t="shared" si="166"/>
        <v>d120 x h30</v>
      </c>
      <c r="AL387" s="1" t="str">
        <f t="shared" si="167"/>
        <v>kubu grey</v>
      </c>
      <c r="AM387" s="1" t="str">
        <f t="shared" si="168"/>
        <v>kubu grey</v>
      </c>
      <c r="AN387" s="1" t="str">
        <f t="shared" si="198"/>
        <v>kubu grey</v>
      </c>
      <c r="AQ387" s="1" t="str">
        <f t="shared" si="169"/>
        <v>D</v>
      </c>
      <c r="AR387" s="1" t="str">
        <f>VLOOKUP(TRIM(AI387),Sheet1!$D$3:$E$36,2,FALSE)</f>
        <v>03</v>
      </c>
      <c r="AS387" s="90" t="str">
        <f t="shared" si="170"/>
        <v>01</v>
      </c>
      <c r="AT387" s="1" t="str">
        <f t="shared" si="171"/>
        <v>01</v>
      </c>
      <c r="AU387" s="90" t="s">
        <v>1198</v>
      </c>
      <c r="AV387" s="90"/>
      <c r="AW387" s="90"/>
      <c r="AX387" s="95" t="str">
        <f>AQ387&amp;AR387&amp;AS387&amp;"-"&amp;AT387&amp;AU387&amp;BA387</f>
        <v>D0301-0107</v>
      </c>
      <c r="AY387" s="99" t="str">
        <f>AQ387&amp;AR387&amp;AS387&amp;"-"&amp;AT387&amp;BA387</f>
        <v>D0301-01</v>
      </c>
      <c r="AZ387" s="90"/>
      <c r="BA387" s="1" t="str">
        <f t="shared" si="172"/>
        <v/>
      </c>
      <c r="BC387" s="1">
        <f t="shared" si="189"/>
        <v>1</v>
      </c>
      <c r="BD387" s="90">
        <f t="shared" si="190"/>
        <v>1</v>
      </c>
      <c r="BE387" s="1">
        <f t="shared" si="180"/>
        <v>1</v>
      </c>
      <c r="BF387" s="1">
        <f t="shared" si="181"/>
        <v>1</v>
      </c>
      <c r="BI387"/>
      <c r="BJ387"/>
      <c r="BL387"/>
    </row>
    <row r="388" spans="1:64" ht="11.25" customHeight="1">
      <c r="A388" s="26">
        <v>22354</v>
      </c>
      <c r="B388" s="27" t="s">
        <v>1999</v>
      </c>
      <c r="C388" s="28">
        <v>434.99</v>
      </c>
      <c r="D388" s="28">
        <f t="shared" si="163"/>
        <v>217.495</v>
      </c>
      <c r="E388" s="22" t="s">
        <v>1989</v>
      </c>
      <c r="F388" s="22" t="s">
        <v>2004</v>
      </c>
      <c r="G388" s="22" t="s">
        <v>2005</v>
      </c>
      <c r="H388" s="22" t="s">
        <v>2006</v>
      </c>
      <c r="I388" s="23" t="s">
        <v>1196</v>
      </c>
      <c r="J388" s="22" t="s">
        <v>670</v>
      </c>
      <c r="L388" s="23">
        <v>180</v>
      </c>
      <c r="M388" s="23">
        <v>40</v>
      </c>
      <c r="N388" s="3">
        <f t="shared" si="183"/>
        <v>1.296</v>
      </c>
      <c r="O388" s="4" t="e">
        <f>(C388-(C388*#REF!))-((C388-(C388*#REF!))*#REF!)</f>
        <v>#REF!</v>
      </c>
      <c r="P388" s="7">
        <f>2312866.95379104-Q388</f>
        <v>312866.95379104</v>
      </c>
      <c r="Q388" s="7">
        <v>2000000</v>
      </c>
      <c r="R388" s="5">
        <f t="shared" si="199"/>
        <v>2312866.95379104</v>
      </c>
      <c r="S388" s="4">
        <f t="shared" si="200"/>
        <v>154.191130252736</v>
      </c>
      <c r="T388" s="13">
        <f t="shared" si="164"/>
        <v>304.49300000000005</v>
      </c>
      <c r="U388" s="13">
        <f t="shared" si="175"/>
        <v>152.24650000000003</v>
      </c>
      <c r="V388" s="14">
        <f>U388/C388</f>
        <v>0.35000000000000003</v>
      </c>
      <c r="W388" s="18">
        <f>S388*1.5</f>
        <v>231.286695379104</v>
      </c>
      <c r="X388" s="19">
        <f t="shared" si="201"/>
        <v>231.286695379104</v>
      </c>
      <c r="Y388" s="19">
        <f t="shared" si="202"/>
        <v>462.57339075820801</v>
      </c>
      <c r="Z388" s="15">
        <v>2</v>
      </c>
      <c r="AA388" s="22" t="s">
        <v>2007</v>
      </c>
      <c r="AG388" s="94" t="s">
        <v>1871</v>
      </c>
      <c r="AH388" s="89" t="str">
        <f>VLOOKUP(AG388,Sheet1!$B$3:$D$36,2,FALSE)</f>
        <v>Sun &amp; Shades</v>
      </c>
      <c r="AI388" s="89" t="s">
        <v>1994</v>
      </c>
      <c r="AJ388" s="1" t="str">
        <f t="shared" si="165"/>
        <v>Solaris Round Canopy - L</v>
      </c>
      <c r="AK388" s="1" t="str">
        <f t="shared" si="166"/>
        <v>d180 x h40</v>
      </c>
      <c r="AL388" s="1" t="str">
        <f t="shared" si="167"/>
        <v>kubu grey</v>
      </c>
      <c r="AM388" s="1" t="str">
        <f t="shared" si="168"/>
        <v>kubu grey</v>
      </c>
      <c r="AN388" s="1" t="str">
        <f t="shared" si="198"/>
        <v>kubu grey</v>
      </c>
      <c r="AQ388" s="1" t="str">
        <f t="shared" si="169"/>
        <v>D</v>
      </c>
      <c r="AR388" s="1" t="str">
        <f>VLOOKUP(TRIM(AI388),Sheet1!$D$3:$E$36,2,FALSE)</f>
        <v>03</v>
      </c>
      <c r="AS388" s="90" t="str">
        <f t="shared" si="170"/>
        <v>01</v>
      </c>
      <c r="AT388" s="1" t="str">
        <f t="shared" si="171"/>
        <v>01</v>
      </c>
      <c r="AU388" s="90" t="s">
        <v>1198</v>
      </c>
      <c r="AV388" s="90"/>
      <c r="AW388" s="90"/>
      <c r="AX388" s="95" t="str">
        <f>AQ388&amp;AR388&amp;AS388&amp;"-"&amp;AT388&amp;AU388&amp;BA388</f>
        <v>D0301-0107</v>
      </c>
      <c r="AY388" s="99" t="str">
        <f>AQ388&amp;AR388&amp;AS388&amp;"-"&amp;AT388&amp;BA388</f>
        <v>D0301-01</v>
      </c>
      <c r="AZ388" s="90"/>
      <c r="BA388" s="1" t="str">
        <f t="shared" si="172"/>
        <v/>
      </c>
      <c r="BC388" s="1">
        <f t="shared" si="189"/>
        <v>1</v>
      </c>
      <c r="BD388" s="90">
        <f t="shared" si="190"/>
        <v>1</v>
      </c>
      <c r="BE388" s="1">
        <f t="shared" si="180"/>
        <v>1</v>
      </c>
      <c r="BF388" s="1">
        <f t="shared" si="181"/>
        <v>1</v>
      </c>
      <c r="BI388"/>
      <c r="BJ388"/>
      <c r="BL388"/>
    </row>
    <row r="389" spans="1:64" ht="11.25" customHeight="1">
      <c r="A389" s="26">
        <v>22007</v>
      </c>
      <c r="B389" s="27" t="s">
        <v>2008</v>
      </c>
      <c r="C389" s="28">
        <v>585.99</v>
      </c>
      <c r="D389" s="28">
        <f t="shared" ref="D389:D452" si="203">C389*$D$1</f>
        <v>292.995</v>
      </c>
      <c r="E389" s="22" t="s">
        <v>1989</v>
      </c>
      <c r="F389" s="22" t="s">
        <v>2009</v>
      </c>
      <c r="G389" s="22" t="s">
        <v>2010</v>
      </c>
      <c r="H389" s="22" t="s">
        <v>2011</v>
      </c>
      <c r="I389" s="23" t="s">
        <v>2012</v>
      </c>
      <c r="J389" s="22" t="s">
        <v>670</v>
      </c>
      <c r="L389" s="23">
        <v>183</v>
      </c>
      <c r="M389" s="23">
        <v>50</v>
      </c>
      <c r="N389" s="3">
        <f t="shared" si="183"/>
        <v>1.67445</v>
      </c>
      <c r="O389" s="4" t="e">
        <f>(C389-(C389*#REF!))-((C389-(C389*#REF!))*#REF!)</f>
        <v>#REF!</v>
      </c>
      <c r="P389" s="7">
        <v>2245802.8833473097</v>
      </c>
      <c r="Q389" s="7"/>
      <c r="R389" s="5">
        <f t="shared" si="199"/>
        <v>2245802.8833473097</v>
      </c>
      <c r="S389" s="4">
        <f t="shared" si="200"/>
        <v>149.72019222315399</v>
      </c>
      <c r="T389" s="13">
        <f t="shared" ref="T389:T452" si="204">C389-(C389*$T$1)</f>
        <v>410.19299999999998</v>
      </c>
      <c r="U389" s="13">
        <f t="shared" si="175"/>
        <v>205.09649999999999</v>
      </c>
      <c r="V389" s="14">
        <f>U389/C389</f>
        <v>0.35</v>
      </c>
      <c r="W389" s="18">
        <f>S389*1.8</f>
        <v>269.49634600167718</v>
      </c>
      <c r="X389" s="19">
        <f t="shared" si="201"/>
        <v>269.49634600167718</v>
      </c>
      <c r="Y389" s="19">
        <f t="shared" si="202"/>
        <v>538.99269200335436</v>
      </c>
      <c r="Z389" s="15">
        <v>2</v>
      </c>
      <c r="AA389" s="22" t="s">
        <v>2013</v>
      </c>
      <c r="AG389" s="94" t="s">
        <v>1871</v>
      </c>
      <c r="AH389" s="89" t="str">
        <f>VLOOKUP(AG389,Sheet1!$B$3:$D$36,2,FALSE)</f>
        <v>Sun &amp; Shades</v>
      </c>
      <c r="AI389" s="89" t="s">
        <v>1994</v>
      </c>
      <c r="AJ389" s="1" t="str">
        <f t="shared" ref="AJ389:AJ452" si="205">G389</f>
        <v>Tropic Breeze Leaf Umbrella</v>
      </c>
      <c r="AK389" s="1" t="str">
        <f t="shared" ref="AK389:AK452" si="206">TRIM(H389)</f>
        <v>d183 x h50</v>
      </c>
      <c r="AL389" s="1" t="str">
        <f t="shared" ref="AL389:AL452" si="207">I389</f>
        <v>palm leafs</v>
      </c>
      <c r="AM389" s="1" t="str">
        <f t="shared" ref="AM389:AM452" si="208">I389</f>
        <v>palm leafs</v>
      </c>
      <c r="AN389" s="1" t="str">
        <f t="shared" si="198"/>
        <v>palm leafs</v>
      </c>
      <c r="AQ389" s="1" t="str">
        <f t="shared" ref="AQ389:AQ452" si="209">IF(TRIM(AG389)="01","A",IF(TRIM(AG389)="02","B",IF(TRIM(AG389)="03","C",IF(TRIM(AG389)="04","D",IF(TRIM(AG389)="05","E","F")))))</f>
        <v>D</v>
      </c>
      <c r="AR389" s="1" t="str">
        <f>VLOOKUP(TRIM(AI389),Sheet1!$D$3:$E$36,2,FALSE)</f>
        <v>03</v>
      </c>
      <c r="AS389" s="90" t="str">
        <f t="shared" ref="AS389:AS452" si="210">IF(LEN(BD389)=1,"0"&amp;BD389,BD389)</f>
        <v>01</v>
      </c>
      <c r="AT389" s="1" t="str">
        <f t="shared" ref="AT389:AT452" si="211">IF(LEN(BF389)=1,"0"&amp;BF389,BF389)</f>
        <v>01</v>
      </c>
      <c r="AU389" s="90" t="s">
        <v>2014</v>
      </c>
      <c r="AV389" s="90"/>
      <c r="AW389" s="90"/>
      <c r="AX389" s="95" t="str">
        <f>AQ389&amp;AR389&amp;AS389&amp;"-"&amp;AT389&amp;AU389&amp;BA389</f>
        <v>D0301-0113</v>
      </c>
      <c r="AY389" s="99" t="str">
        <f>AQ389&amp;AR389&amp;AS389&amp;"-"&amp;AT389&amp;BA389</f>
        <v>D0301-01</v>
      </c>
      <c r="AZ389" s="90"/>
      <c r="BA389" s="1" t="str">
        <f t="shared" ref="BA389:BA452" si="212">IF(AO389="","",UPPER(LEFT(AO389,3)))</f>
        <v/>
      </c>
      <c r="BC389" s="1">
        <f t="shared" si="189"/>
        <v>1</v>
      </c>
      <c r="BD389" s="90">
        <f t="shared" si="190"/>
        <v>1</v>
      </c>
      <c r="BE389" s="1">
        <f t="shared" si="180"/>
        <v>1</v>
      </c>
      <c r="BF389" s="1">
        <f t="shared" si="181"/>
        <v>1</v>
      </c>
      <c r="BI389"/>
      <c r="BJ389"/>
      <c r="BL389"/>
    </row>
    <row r="390" spans="1:64" ht="11.25" customHeight="1">
      <c r="A390" s="26">
        <v>22016</v>
      </c>
      <c r="B390" s="27" t="s">
        <v>2015</v>
      </c>
      <c r="C390" s="28">
        <v>189.99</v>
      </c>
      <c r="D390" s="28">
        <f t="shared" si="203"/>
        <v>94.995000000000005</v>
      </c>
      <c r="E390" s="22" t="s">
        <v>1989</v>
      </c>
      <c r="F390" s="22" t="s">
        <v>2016</v>
      </c>
      <c r="G390" s="22" t="s">
        <v>2017</v>
      </c>
      <c r="H390" s="22" t="s">
        <v>2018</v>
      </c>
      <c r="I390" s="23" t="s">
        <v>2019</v>
      </c>
      <c r="J390" s="22" t="s">
        <v>646</v>
      </c>
      <c r="L390" s="23">
        <v>5</v>
      </c>
      <c r="M390" s="23">
        <v>235</v>
      </c>
      <c r="N390" s="3">
        <f t="shared" si="183"/>
        <v>5.875E-3</v>
      </c>
      <c r="O390" s="4" t="e">
        <f>(C390-(C390*#REF!))-((C390-(C390*#REF!))*#REF!)</f>
        <v>#REF!</v>
      </c>
      <c r="P390" s="7">
        <f>135428.696425504-Q390</f>
        <v>2396.8964255040046</v>
      </c>
      <c r="Q390" s="7">
        <v>133031.79999999999</v>
      </c>
      <c r="R390" s="5">
        <f t="shared" si="199"/>
        <v>135428.69642550399</v>
      </c>
      <c r="S390" s="4">
        <f t="shared" si="200"/>
        <v>9.0285797617002661</v>
      </c>
      <c r="T390" s="13">
        <f t="shared" si="204"/>
        <v>132.99299999999999</v>
      </c>
      <c r="U390" s="13">
        <f t="shared" ref="U390:U453" si="213">T390-(T390*$U$1)</f>
        <v>66.496499999999997</v>
      </c>
      <c r="V390" s="14">
        <f>U390/C390</f>
        <v>0.35</v>
      </c>
      <c r="W390" s="14"/>
      <c r="X390" s="19">
        <f t="shared" si="201"/>
        <v>66.496499999999997</v>
      </c>
      <c r="Y390" s="19">
        <f t="shared" si="202"/>
        <v>132.99299999999999</v>
      </c>
      <c r="Z390" s="15">
        <f t="shared" ref="Z390:Z399" si="214">U390/S390</f>
        <v>7.3651118730857119</v>
      </c>
      <c r="AA390" s="22" t="s">
        <v>2020</v>
      </c>
      <c r="AG390" s="94" t="s">
        <v>1871</v>
      </c>
      <c r="AH390" s="89" t="str">
        <f>VLOOKUP(AG390,Sheet1!$B$3:$D$36,2,FALSE)</f>
        <v>Sun &amp; Shades</v>
      </c>
      <c r="AI390" s="89" t="s">
        <v>1994</v>
      </c>
      <c r="AJ390" s="1" t="str">
        <f t="shared" si="205"/>
        <v>Zenith Natural Stick Umbrella D5</v>
      </c>
      <c r="AK390" s="1" t="str">
        <f t="shared" si="206"/>
        <v>d5 x h235</v>
      </c>
      <c r="AL390" s="1" t="str">
        <f t="shared" si="207"/>
        <v>reclaimed teak (natural shape)</v>
      </c>
      <c r="AM390" s="1" t="str">
        <f t="shared" si="208"/>
        <v>reclaimed teak (natural shape)</v>
      </c>
      <c r="AN390" s="1" t="str">
        <f t="shared" si="198"/>
        <v>reclaimed teak (natural shape)</v>
      </c>
      <c r="AQ390" s="1" t="str">
        <f t="shared" si="209"/>
        <v>D</v>
      </c>
      <c r="AR390" s="1" t="str">
        <f>VLOOKUP(TRIM(AI390),Sheet1!$D$3:$E$36,2,FALSE)</f>
        <v>03</v>
      </c>
      <c r="AS390" s="90" t="str">
        <f t="shared" si="210"/>
        <v>01</v>
      </c>
      <c r="AT390" s="1" t="str">
        <f t="shared" si="211"/>
        <v>01</v>
      </c>
      <c r="AU390" s="90" t="s">
        <v>1033</v>
      </c>
      <c r="AV390" s="90"/>
      <c r="AW390" s="90"/>
      <c r="AX390" s="95" t="str">
        <f>AQ390&amp;AR390&amp;AS390&amp;"-"&amp;AT390&amp;AU390&amp;BA390</f>
        <v>D0301-0117</v>
      </c>
      <c r="AY390" s="99" t="str">
        <f>AQ390&amp;AR390&amp;AS390&amp;"-"&amp;AT390&amp;BA390</f>
        <v>D0301-01</v>
      </c>
      <c r="AZ390" s="90"/>
      <c r="BA390" s="1" t="str">
        <f t="shared" si="212"/>
        <v/>
      </c>
      <c r="BC390" s="1">
        <f t="shared" si="189"/>
        <v>1</v>
      </c>
      <c r="BD390" s="90">
        <f t="shared" si="190"/>
        <v>1</v>
      </c>
      <c r="BE390" s="1">
        <f t="shared" si="180"/>
        <v>1</v>
      </c>
      <c r="BF390" s="1">
        <f t="shared" si="181"/>
        <v>1</v>
      </c>
      <c r="BI390"/>
      <c r="BJ390"/>
      <c r="BL390"/>
    </row>
    <row r="391" spans="1:64" ht="11.25" customHeight="1">
      <c r="A391" s="26" t="s">
        <v>1879</v>
      </c>
      <c r="B391" s="27" t="s">
        <v>2021</v>
      </c>
      <c r="C391" s="28">
        <v>269.99</v>
      </c>
      <c r="D391" s="28">
        <f t="shared" si="203"/>
        <v>134.995</v>
      </c>
      <c r="E391" s="22" t="s">
        <v>1989</v>
      </c>
      <c r="F391" s="22" t="s">
        <v>2022</v>
      </c>
      <c r="G391" s="22" t="s">
        <v>2023</v>
      </c>
      <c r="H391" s="22" t="s">
        <v>2024</v>
      </c>
      <c r="I391" s="23" t="s">
        <v>2019</v>
      </c>
      <c r="J391" s="22" t="s">
        <v>646</v>
      </c>
      <c r="L391" s="23">
        <v>8</v>
      </c>
      <c r="M391" s="23">
        <v>235</v>
      </c>
      <c r="N391" s="3">
        <f t="shared" si="183"/>
        <v>1.504E-2</v>
      </c>
      <c r="O391" s="4" t="e">
        <f>(C391-(C391*#REF!))-((C391-(C391*#REF!))*#REF!)</f>
        <v>#REF!</v>
      </c>
      <c r="P391" s="7"/>
      <c r="Q391" s="7"/>
      <c r="R391" s="5">
        <f t="shared" si="199"/>
        <v>0</v>
      </c>
      <c r="S391" s="4">
        <f t="shared" si="200"/>
        <v>0</v>
      </c>
      <c r="T391" s="13">
        <f t="shared" si="204"/>
        <v>188.99299999999999</v>
      </c>
      <c r="U391" s="13">
        <f t="shared" si="213"/>
        <v>94.496499999999997</v>
      </c>
      <c r="V391" s="14">
        <f>U391/C391</f>
        <v>0.35</v>
      </c>
      <c r="W391" s="14"/>
      <c r="X391" s="19">
        <f t="shared" si="201"/>
        <v>94.496499999999997</v>
      </c>
      <c r="Y391" s="19">
        <f t="shared" si="202"/>
        <v>188.99299999999999</v>
      </c>
      <c r="Z391" s="15" t="e">
        <f t="shared" si="214"/>
        <v>#DIV/0!</v>
      </c>
      <c r="AA391" s="22" t="s">
        <v>2025</v>
      </c>
      <c r="AG391" s="94" t="s">
        <v>1871</v>
      </c>
      <c r="AH391" s="89" t="str">
        <f>VLOOKUP(AG391,Sheet1!$B$3:$D$36,2,FALSE)</f>
        <v>Sun &amp; Shades</v>
      </c>
      <c r="AI391" s="89" t="s">
        <v>1994</v>
      </c>
      <c r="AJ391" s="1" t="str">
        <f t="shared" si="205"/>
        <v>Zenith Natural Stick Umbrella D8</v>
      </c>
      <c r="AK391" s="1" t="str">
        <f t="shared" si="206"/>
        <v>d8 x h235</v>
      </c>
      <c r="AL391" s="1" t="str">
        <f t="shared" si="207"/>
        <v>reclaimed teak (natural shape)</v>
      </c>
      <c r="AM391" s="1" t="str">
        <f t="shared" si="208"/>
        <v>reclaimed teak (natural shape)</v>
      </c>
      <c r="AN391" s="1" t="str">
        <f t="shared" si="198"/>
        <v>reclaimed teak (natural shape)</v>
      </c>
      <c r="AQ391" s="1" t="str">
        <f t="shared" si="209"/>
        <v>D</v>
      </c>
      <c r="AR391" s="1" t="str">
        <f>VLOOKUP(TRIM(AI391),Sheet1!$D$3:$E$36,2,FALSE)</f>
        <v>03</v>
      </c>
      <c r="AS391" s="90" t="str">
        <f t="shared" si="210"/>
        <v>01</v>
      </c>
      <c r="AT391" s="1" t="str">
        <f t="shared" si="211"/>
        <v>01</v>
      </c>
      <c r="AU391" s="90" t="s">
        <v>1033</v>
      </c>
      <c r="AV391" s="90"/>
      <c r="AW391" s="90"/>
      <c r="AX391" s="95" t="str">
        <f>AQ391&amp;AR391&amp;AS391&amp;"-"&amp;AT391&amp;AU391&amp;BA391</f>
        <v>D0301-0117</v>
      </c>
      <c r="AY391" s="99" t="str">
        <f>AQ391&amp;AR391&amp;AS391&amp;"-"&amp;AT391&amp;BA391</f>
        <v>D0301-01</v>
      </c>
      <c r="AZ391" s="90"/>
      <c r="BA391" s="1" t="str">
        <f t="shared" si="212"/>
        <v/>
      </c>
      <c r="BC391" s="1">
        <f t="shared" si="189"/>
        <v>1</v>
      </c>
      <c r="BD391" s="90">
        <f t="shared" si="190"/>
        <v>1</v>
      </c>
      <c r="BE391" s="1">
        <f t="shared" si="180"/>
        <v>1</v>
      </c>
      <c r="BF391" s="1">
        <f t="shared" si="181"/>
        <v>1</v>
      </c>
      <c r="BI391"/>
      <c r="BJ391"/>
      <c r="BL391"/>
    </row>
    <row r="392" spans="1:64" ht="11.25" customHeight="1">
      <c r="A392" s="26" t="s">
        <v>2026</v>
      </c>
      <c r="B392" s="27" t="s">
        <v>2027</v>
      </c>
      <c r="C392" s="28">
        <v>195.99</v>
      </c>
      <c r="D392" s="28">
        <f t="shared" si="203"/>
        <v>97.995000000000005</v>
      </c>
      <c r="E392" s="22" t="s">
        <v>1989</v>
      </c>
      <c r="F392" s="22" t="s">
        <v>2028</v>
      </c>
      <c r="G392" s="22" t="s">
        <v>2029</v>
      </c>
      <c r="H392" s="22" t="s">
        <v>2030</v>
      </c>
      <c r="I392" s="23" t="s">
        <v>2031</v>
      </c>
      <c r="J392" s="22" t="s">
        <v>670</v>
      </c>
      <c r="K392" s="23">
        <v>30</v>
      </c>
      <c r="L392" s="23">
        <v>30</v>
      </c>
      <c r="M392" s="23">
        <v>40</v>
      </c>
      <c r="N392" s="3">
        <f t="shared" si="183"/>
        <v>3.5999999999999997E-2</v>
      </c>
      <c r="O392" s="4" t="e">
        <f>(C392-(C392*#REF!))-((C392-(C392*#REF!))*#REF!)</f>
        <v>#REF!</v>
      </c>
      <c r="P392" s="7">
        <f>358690.748716418-Q392</f>
        <v>8690.7487164179911</v>
      </c>
      <c r="Q392" s="7">
        <v>350000</v>
      </c>
      <c r="R392" s="5">
        <f t="shared" si="199"/>
        <v>358690.74871641799</v>
      </c>
      <c r="S392" s="4">
        <f t="shared" si="200"/>
        <v>23.912716581094532</v>
      </c>
      <c r="T392" s="13">
        <f t="shared" si="204"/>
        <v>137.19300000000001</v>
      </c>
      <c r="U392" s="13">
        <f t="shared" si="213"/>
        <v>68.596500000000006</v>
      </c>
      <c r="V392" s="14">
        <f>U392/C392</f>
        <v>0.35000000000000003</v>
      </c>
      <c r="W392" s="14"/>
      <c r="X392" s="19">
        <f t="shared" si="201"/>
        <v>68.596500000000006</v>
      </c>
      <c r="Y392" s="19">
        <f t="shared" si="202"/>
        <v>137.19300000000001</v>
      </c>
      <c r="Z392" s="15">
        <f t="shared" si="214"/>
        <v>2.8686201238312092</v>
      </c>
      <c r="AA392" s="22" t="s">
        <v>2032</v>
      </c>
      <c r="AG392" s="94" t="s">
        <v>1871</v>
      </c>
      <c r="AH392" s="89" t="str">
        <f>VLOOKUP(AG392,Sheet1!$B$3:$D$36,2,FALSE)</f>
        <v>Sun &amp; Shades</v>
      </c>
      <c r="AI392" s="89" t="s">
        <v>1994</v>
      </c>
      <c r="AJ392" s="1" t="str">
        <f t="shared" si="205"/>
        <v>Terra Pod Canopy - 30</v>
      </c>
      <c r="AK392" s="1" t="str">
        <f t="shared" si="206"/>
        <v>w30 x d30 x h40</v>
      </c>
      <c r="AL392" s="1" t="str">
        <f t="shared" si="207"/>
        <v>riverstone</v>
      </c>
      <c r="AM392" s="1" t="str">
        <f t="shared" si="208"/>
        <v>riverstone</v>
      </c>
      <c r="AN392" s="1" t="str">
        <f t="shared" si="198"/>
        <v>riverstone</v>
      </c>
      <c r="AQ392" s="1" t="str">
        <f t="shared" si="209"/>
        <v>D</v>
      </c>
      <c r="AR392" s="1" t="str">
        <f>VLOOKUP(TRIM(AI392),Sheet1!$D$3:$E$36,2,FALSE)</f>
        <v>03</v>
      </c>
      <c r="AS392" s="90" t="str">
        <f t="shared" si="210"/>
        <v>01</v>
      </c>
      <c r="AT392" s="1" t="str">
        <f t="shared" si="211"/>
        <v>01</v>
      </c>
      <c r="AU392" s="90" t="s">
        <v>975</v>
      </c>
      <c r="AV392" s="90"/>
      <c r="AW392" s="90"/>
      <c r="AX392" s="95" t="str">
        <f>AQ392&amp;AR392&amp;AS392&amp;"-"&amp;AT392&amp;AU392&amp;BA392</f>
        <v>D0301-0118</v>
      </c>
      <c r="AY392" s="99" t="str">
        <f>AQ392&amp;AR392&amp;AS392&amp;"-"&amp;AT392&amp;BA392</f>
        <v>D0301-01</v>
      </c>
      <c r="AZ392" s="90"/>
      <c r="BA392" s="1" t="str">
        <f t="shared" si="212"/>
        <v/>
      </c>
      <c r="BC392" s="1">
        <f t="shared" si="189"/>
        <v>1</v>
      </c>
      <c r="BD392" s="90">
        <f t="shared" si="190"/>
        <v>1</v>
      </c>
      <c r="BE392" s="1">
        <f t="shared" si="180"/>
        <v>1</v>
      </c>
      <c r="BF392" s="1">
        <f t="shared" si="181"/>
        <v>1</v>
      </c>
      <c r="BI392"/>
      <c r="BJ392"/>
      <c r="BL392"/>
    </row>
    <row r="393" spans="1:64" ht="11.25" customHeight="1">
      <c r="A393" s="26" t="s">
        <v>2033</v>
      </c>
      <c r="B393" s="27" t="s">
        <v>2027</v>
      </c>
      <c r="C393" s="28">
        <v>289.99</v>
      </c>
      <c r="D393" s="28">
        <f t="shared" si="203"/>
        <v>144.995</v>
      </c>
      <c r="E393" s="22" t="s">
        <v>1989</v>
      </c>
      <c r="F393" s="22" t="s">
        <v>2034</v>
      </c>
      <c r="G393" s="22" t="s">
        <v>2035</v>
      </c>
      <c r="H393" s="22" t="s">
        <v>2036</v>
      </c>
      <c r="I393" s="23" t="s">
        <v>2031</v>
      </c>
      <c r="J393" s="22" t="s">
        <v>670</v>
      </c>
      <c r="K393" s="23">
        <v>40</v>
      </c>
      <c r="L393" s="23">
        <v>40</v>
      </c>
      <c r="M393" s="23">
        <v>40</v>
      </c>
      <c r="N393" s="3">
        <f t="shared" si="183"/>
        <v>6.4000000000000001E-2</v>
      </c>
      <c r="O393" s="4" t="e">
        <f>(C393-(C393*#REF!))-((C393-(C393*#REF!))*#REF!)</f>
        <v>#REF!</v>
      </c>
      <c r="P393" s="7">
        <f>681026.934226013-Q393</f>
        <v>81026.934226013022</v>
      </c>
      <c r="Q393" s="7">
        <v>600000</v>
      </c>
      <c r="R393" s="5">
        <f t="shared" si="199"/>
        <v>681026.93422601302</v>
      </c>
      <c r="S393" s="4">
        <f t="shared" si="200"/>
        <v>45.401795615067535</v>
      </c>
      <c r="T393" s="13">
        <f t="shared" si="204"/>
        <v>202.99299999999999</v>
      </c>
      <c r="U393" s="13">
        <f t="shared" si="213"/>
        <v>101.4965</v>
      </c>
      <c r="V393" s="14">
        <f>U393/C393</f>
        <v>0.35</v>
      </c>
      <c r="W393" s="14"/>
      <c r="X393" s="19">
        <f t="shared" si="201"/>
        <v>101.4965</v>
      </c>
      <c r="Y393" s="19">
        <f t="shared" si="202"/>
        <v>202.99299999999999</v>
      </c>
      <c r="Z393" s="15">
        <f t="shared" si="214"/>
        <v>2.235517309943492</v>
      </c>
      <c r="AA393" s="22" t="s">
        <v>2037</v>
      </c>
      <c r="AG393" s="94" t="s">
        <v>1871</v>
      </c>
      <c r="AH393" s="89" t="str">
        <f>VLOOKUP(AG393,Sheet1!$B$3:$D$36,2,FALSE)</f>
        <v>Sun &amp; Shades</v>
      </c>
      <c r="AI393" s="89" t="s">
        <v>1994</v>
      </c>
      <c r="AJ393" s="1" t="str">
        <f t="shared" si="205"/>
        <v>Terra Pod Canopy - 40S</v>
      </c>
      <c r="AK393" s="1" t="str">
        <f t="shared" si="206"/>
        <v>w40 x d40 x h40</v>
      </c>
      <c r="AL393" s="1" t="str">
        <f t="shared" si="207"/>
        <v>riverstone</v>
      </c>
      <c r="AM393" s="1" t="str">
        <f t="shared" si="208"/>
        <v>riverstone</v>
      </c>
      <c r="AN393" s="1" t="str">
        <f t="shared" si="198"/>
        <v>riverstone</v>
      </c>
      <c r="AQ393" s="1" t="str">
        <f t="shared" si="209"/>
        <v>D</v>
      </c>
      <c r="AR393" s="1" t="str">
        <f>VLOOKUP(TRIM(AI393),Sheet1!$D$3:$E$36,2,FALSE)</f>
        <v>03</v>
      </c>
      <c r="AS393" s="90" t="str">
        <f t="shared" si="210"/>
        <v>01</v>
      </c>
      <c r="AT393" s="1" t="str">
        <f t="shared" si="211"/>
        <v>01</v>
      </c>
      <c r="AU393" s="90" t="s">
        <v>975</v>
      </c>
      <c r="AV393" s="90"/>
      <c r="AW393" s="90"/>
      <c r="AX393" s="95" t="str">
        <f>AQ393&amp;AR393&amp;AS393&amp;"-"&amp;AT393&amp;AU393&amp;BA393</f>
        <v>D0301-0118</v>
      </c>
      <c r="AY393" s="99" t="str">
        <f>AQ393&amp;AR393&amp;AS393&amp;"-"&amp;AT393&amp;BA393</f>
        <v>D0301-01</v>
      </c>
      <c r="AZ393" s="90"/>
      <c r="BA393" s="1" t="str">
        <f t="shared" si="212"/>
        <v/>
      </c>
      <c r="BC393" s="1">
        <f t="shared" si="189"/>
        <v>1</v>
      </c>
      <c r="BD393" s="90">
        <f t="shared" si="190"/>
        <v>1</v>
      </c>
      <c r="BE393" s="1">
        <f t="shared" si="180"/>
        <v>1</v>
      </c>
      <c r="BF393" s="1">
        <f t="shared" si="181"/>
        <v>1</v>
      </c>
      <c r="BI393"/>
      <c r="BJ393"/>
      <c r="BL393"/>
    </row>
    <row r="394" spans="1:64" ht="11.25" customHeight="1">
      <c r="A394" s="26" t="s">
        <v>2038</v>
      </c>
      <c r="B394" s="27" t="s">
        <v>2027</v>
      </c>
      <c r="C394" s="28">
        <v>289.99</v>
      </c>
      <c r="D394" s="28">
        <f t="shared" si="203"/>
        <v>144.995</v>
      </c>
      <c r="E394" s="22" t="s">
        <v>1989</v>
      </c>
      <c r="F394" s="22" t="s">
        <v>2034</v>
      </c>
      <c r="G394" s="22" t="s">
        <v>2039</v>
      </c>
      <c r="H394" s="22" t="s">
        <v>2036</v>
      </c>
      <c r="I394" s="23" t="s">
        <v>2031</v>
      </c>
      <c r="J394" s="22" t="s">
        <v>670</v>
      </c>
      <c r="K394" s="23">
        <v>40</v>
      </c>
      <c r="L394" s="23">
        <v>40</v>
      </c>
      <c r="M394" s="23">
        <v>40</v>
      </c>
      <c r="N394" s="3">
        <f t="shared" si="183"/>
        <v>6.4000000000000001E-2</v>
      </c>
      <c r="O394" s="4" t="e">
        <f>(C394-(C394*#REF!))-((C394-(C394*#REF!))*#REF!)</f>
        <v>#REF!</v>
      </c>
      <c r="P394" s="7"/>
      <c r="Q394" s="7"/>
      <c r="R394" s="5">
        <f t="shared" si="199"/>
        <v>0</v>
      </c>
      <c r="S394" s="4">
        <f t="shared" si="200"/>
        <v>0</v>
      </c>
      <c r="T394" s="13">
        <f t="shared" si="204"/>
        <v>202.99299999999999</v>
      </c>
      <c r="U394" s="13">
        <f t="shared" si="213"/>
        <v>101.4965</v>
      </c>
      <c r="V394" s="14">
        <f>U394/C394</f>
        <v>0.35</v>
      </c>
      <c r="W394" s="14"/>
      <c r="X394" s="19">
        <f t="shared" si="201"/>
        <v>101.4965</v>
      </c>
      <c r="Y394" s="19">
        <f t="shared" si="202"/>
        <v>202.99299999999999</v>
      </c>
      <c r="Z394" s="15" t="e">
        <f t="shared" si="214"/>
        <v>#DIV/0!</v>
      </c>
      <c r="AA394" s="22" t="s">
        <v>2040</v>
      </c>
      <c r="AG394" s="94" t="s">
        <v>1871</v>
      </c>
      <c r="AH394" s="89" t="str">
        <f>VLOOKUP(AG394,Sheet1!$B$3:$D$36,2,FALSE)</f>
        <v>Sun &amp; Shades</v>
      </c>
      <c r="AI394" s="89" t="s">
        <v>1994</v>
      </c>
      <c r="AJ394" s="1" t="str">
        <f t="shared" si="205"/>
        <v>Terra Pod Canopy - 40L</v>
      </c>
      <c r="AK394" s="1" t="str">
        <f t="shared" si="206"/>
        <v>w40 x d40 x h40</v>
      </c>
      <c r="AL394" s="1" t="str">
        <f t="shared" si="207"/>
        <v>riverstone</v>
      </c>
      <c r="AM394" s="1" t="str">
        <f t="shared" si="208"/>
        <v>riverstone</v>
      </c>
      <c r="AN394" s="1" t="str">
        <f t="shared" si="198"/>
        <v>riverstone</v>
      </c>
      <c r="AQ394" s="1" t="str">
        <f t="shared" si="209"/>
        <v>D</v>
      </c>
      <c r="AR394" s="1" t="str">
        <f>VLOOKUP(TRIM(AI394),Sheet1!$D$3:$E$36,2,FALSE)</f>
        <v>03</v>
      </c>
      <c r="AS394" s="90" t="str">
        <f t="shared" si="210"/>
        <v>01</v>
      </c>
      <c r="AT394" s="1" t="str">
        <f t="shared" si="211"/>
        <v>02</v>
      </c>
      <c r="AU394" s="90" t="s">
        <v>975</v>
      </c>
      <c r="AV394" s="90"/>
      <c r="AW394" s="90"/>
      <c r="AX394" s="95" t="str">
        <f>AQ394&amp;AR394&amp;AS394&amp;"-"&amp;AT394&amp;AU394&amp;BA394</f>
        <v>D0301-0218</v>
      </c>
      <c r="AY394" s="99" t="str">
        <f>AQ394&amp;AR394&amp;AS394&amp;"-"&amp;AT394&amp;BA394</f>
        <v>D0301-02</v>
      </c>
      <c r="AZ394" s="90"/>
      <c r="BA394" s="1" t="str">
        <f t="shared" si="212"/>
        <v/>
      </c>
      <c r="BC394" s="1">
        <f t="shared" si="189"/>
        <v>1</v>
      </c>
      <c r="BD394" s="90">
        <f t="shared" si="190"/>
        <v>1</v>
      </c>
      <c r="BE394" s="1" t="str">
        <f t="shared" si="180"/>
        <v/>
      </c>
      <c r="BF394" s="1">
        <f t="shared" si="181"/>
        <v>2</v>
      </c>
      <c r="BI394"/>
      <c r="BJ394"/>
      <c r="BL394"/>
    </row>
    <row r="395" spans="1:64" ht="11.25" customHeight="1">
      <c r="A395" s="26" t="s">
        <v>2041</v>
      </c>
      <c r="B395" s="27" t="s">
        <v>2027</v>
      </c>
      <c r="C395" s="28">
        <v>309.99</v>
      </c>
      <c r="D395" s="28">
        <f t="shared" si="203"/>
        <v>154.995</v>
      </c>
      <c r="E395" s="22" t="s">
        <v>1989</v>
      </c>
      <c r="F395" s="22" t="s">
        <v>2042</v>
      </c>
      <c r="G395" s="22" t="s">
        <v>2043</v>
      </c>
      <c r="H395" s="22" t="s">
        <v>2044</v>
      </c>
      <c r="I395" s="23" t="s">
        <v>2031</v>
      </c>
      <c r="J395" s="22" t="s">
        <v>670</v>
      </c>
      <c r="K395" s="23">
        <v>50</v>
      </c>
      <c r="L395" s="23">
        <v>50</v>
      </c>
      <c r="M395" s="23">
        <v>40</v>
      </c>
      <c r="N395" s="3">
        <f t="shared" si="183"/>
        <v>0.1</v>
      </c>
      <c r="O395" s="4" t="e">
        <f>(C395-(C395*#REF!))-((C395-(C395*#REF!))*#REF!)</f>
        <v>#REF!</v>
      </c>
      <c r="P395" s="7"/>
      <c r="Q395" s="7"/>
      <c r="R395" s="5">
        <f t="shared" si="199"/>
        <v>0</v>
      </c>
      <c r="S395" s="4">
        <f t="shared" si="200"/>
        <v>0</v>
      </c>
      <c r="T395" s="13">
        <f t="shared" si="204"/>
        <v>216.99299999999999</v>
      </c>
      <c r="U395" s="13">
        <f t="shared" si="213"/>
        <v>108.4965</v>
      </c>
      <c r="V395" s="14">
        <f>U395/C395</f>
        <v>0.35</v>
      </c>
      <c r="W395" s="14"/>
      <c r="X395" s="19">
        <f t="shared" si="201"/>
        <v>108.4965</v>
      </c>
      <c r="Y395" s="19">
        <f t="shared" si="202"/>
        <v>216.99299999999999</v>
      </c>
      <c r="Z395" s="15" t="e">
        <f t="shared" si="214"/>
        <v>#DIV/0!</v>
      </c>
      <c r="AA395" s="22" t="s">
        <v>2045</v>
      </c>
      <c r="AG395" s="94" t="s">
        <v>1871</v>
      </c>
      <c r="AH395" s="89" t="str">
        <f>VLOOKUP(AG395,Sheet1!$B$3:$D$36,2,FALSE)</f>
        <v>Sun &amp; Shades</v>
      </c>
      <c r="AI395" s="89" t="s">
        <v>1994</v>
      </c>
      <c r="AJ395" s="1" t="str">
        <f t="shared" si="205"/>
        <v>Terra Pod Canopy - 50</v>
      </c>
      <c r="AK395" s="1" t="str">
        <f t="shared" si="206"/>
        <v>w50 x d50 x h40</v>
      </c>
      <c r="AL395" s="1" t="str">
        <f t="shared" si="207"/>
        <v>riverstone</v>
      </c>
      <c r="AM395" s="1" t="str">
        <f t="shared" si="208"/>
        <v>riverstone</v>
      </c>
      <c r="AN395" s="1" t="str">
        <f t="shared" si="198"/>
        <v>riverstone</v>
      </c>
      <c r="AQ395" s="1" t="str">
        <f t="shared" si="209"/>
        <v>D</v>
      </c>
      <c r="AR395" s="1" t="str">
        <f>VLOOKUP(TRIM(AI395),Sheet1!$D$3:$E$36,2,FALSE)</f>
        <v>03</v>
      </c>
      <c r="AS395" s="90" t="str">
        <f t="shared" si="210"/>
        <v>01</v>
      </c>
      <c r="AT395" s="1" t="str">
        <f t="shared" si="211"/>
        <v>01</v>
      </c>
      <c r="AU395" s="90" t="s">
        <v>975</v>
      </c>
      <c r="AV395" s="90"/>
      <c r="AW395" s="90"/>
      <c r="AX395" s="95" t="str">
        <f>AQ395&amp;AR395&amp;AS395&amp;"-"&amp;AT395&amp;AU395&amp;BA395</f>
        <v>D0301-0118</v>
      </c>
      <c r="AY395" s="99" t="str">
        <f>AQ395&amp;AR395&amp;AS395&amp;"-"&amp;AT395&amp;BA395</f>
        <v>D0301-01</v>
      </c>
      <c r="AZ395" s="90"/>
      <c r="BA395" s="1" t="str">
        <f t="shared" si="212"/>
        <v/>
      </c>
      <c r="BC395" s="1">
        <f t="shared" si="189"/>
        <v>1</v>
      </c>
      <c r="BD395" s="90">
        <f t="shared" si="190"/>
        <v>1</v>
      </c>
      <c r="BE395" s="1">
        <f t="shared" si="180"/>
        <v>1</v>
      </c>
      <c r="BF395" s="1">
        <f t="shared" si="181"/>
        <v>1</v>
      </c>
      <c r="BI395"/>
      <c r="BJ395"/>
      <c r="BL395"/>
    </row>
    <row r="396" spans="1:64" ht="11.25" customHeight="1">
      <c r="A396" s="26" t="s">
        <v>2046</v>
      </c>
      <c r="B396" s="27" t="s">
        <v>2047</v>
      </c>
      <c r="C396" s="28">
        <v>454.99</v>
      </c>
      <c r="D396" s="28">
        <f t="shared" si="203"/>
        <v>227.495</v>
      </c>
      <c r="E396" s="22" t="s">
        <v>1989</v>
      </c>
      <c r="F396" s="22" t="s">
        <v>2048</v>
      </c>
      <c r="G396" s="22" t="s">
        <v>2049</v>
      </c>
      <c r="H396" s="22" t="s">
        <v>2050</v>
      </c>
      <c r="I396" s="23" t="s">
        <v>2051</v>
      </c>
      <c r="J396" s="22" t="s">
        <v>670</v>
      </c>
      <c r="L396" s="23">
        <v>20</v>
      </c>
      <c r="M396" s="23">
        <v>20</v>
      </c>
      <c r="N396" s="3">
        <f t="shared" si="183"/>
        <v>8.0000000000000002E-3</v>
      </c>
      <c r="O396" s="4" t="e">
        <f>(C396-(C396*#REF!))-((C396-(C396*#REF!))*#REF!)</f>
        <v>#REF!</v>
      </c>
      <c r="P396" s="7"/>
      <c r="R396" s="5">
        <f>P396+Q395</f>
        <v>0</v>
      </c>
      <c r="S396" s="4">
        <f t="shared" si="200"/>
        <v>0</v>
      </c>
      <c r="T396" s="13">
        <f t="shared" si="204"/>
        <v>318.49300000000005</v>
      </c>
      <c r="U396" s="13">
        <f t="shared" si="213"/>
        <v>159.24650000000003</v>
      </c>
      <c r="V396" s="14">
        <f>U396/C396</f>
        <v>0.35000000000000003</v>
      </c>
      <c r="W396" s="14"/>
      <c r="X396" s="19">
        <f t="shared" si="201"/>
        <v>159.24650000000003</v>
      </c>
      <c r="Y396" s="19">
        <f t="shared" si="202"/>
        <v>318.49300000000005</v>
      </c>
      <c r="Z396" s="15" t="e">
        <f t="shared" si="214"/>
        <v>#DIV/0!</v>
      </c>
      <c r="AA396" s="22" t="s">
        <v>2052</v>
      </c>
      <c r="AG396" s="94" t="s">
        <v>1871</v>
      </c>
      <c r="AH396" s="89" t="str">
        <f>VLOOKUP(AG396,Sheet1!$B$3:$D$36,2,FALSE)</f>
        <v>Sun &amp; Shades</v>
      </c>
      <c r="AI396" s="89" t="s">
        <v>1994</v>
      </c>
      <c r="AJ396" s="1" t="str">
        <f t="shared" si="205"/>
        <v>Zenith Sphere Parasol Holder</v>
      </c>
      <c r="AK396" s="1" t="str">
        <f t="shared" si="206"/>
        <v>d20 x h20</v>
      </c>
      <c r="AL396" s="1" t="str">
        <f t="shared" si="207"/>
        <v>bluestone bouchardé rocky</v>
      </c>
      <c r="AM396" s="1" t="str">
        <f t="shared" si="208"/>
        <v>bluestone bouchardé rocky</v>
      </c>
      <c r="AN396" s="1" t="str">
        <f t="shared" si="198"/>
        <v>bluestone bouchardé rocky</v>
      </c>
      <c r="AQ396" s="1" t="str">
        <f t="shared" si="209"/>
        <v>D</v>
      </c>
      <c r="AR396" s="1" t="str">
        <f>VLOOKUP(TRIM(AI396),Sheet1!$D$3:$E$36,2,FALSE)</f>
        <v>03</v>
      </c>
      <c r="AS396" s="90" t="str">
        <f t="shared" si="210"/>
        <v>01</v>
      </c>
      <c r="AT396" s="1" t="str">
        <f t="shared" si="211"/>
        <v>01</v>
      </c>
      <c r="AU396" s="90" t="s">
        <v>1871</v>
      </c>
      <c r="AV396" s="90"/>
      <c r="AW396" s="90"/>
      <c r="AX396" s="95" t="str">
        <f>AQ396&amp;AR396&amp;AS396&amp;"-"&amp;AT396&amp;AU396&amp;BA396</f>
        <v>D0301-0104</v>
      </c>
      <c r="AY396" s="99" t="str">
        <f>AQ396&amp;AR396&amp;AS396&amp;"-"&amp;AT396&amp;BA396</f>
        <v>D0301-01</v>
      </c>
      <c r="AZ396" s="90"/>
      <c r="BA396" s="1" t="str">
        <f t="shared" si="212"/>
        <v/>
      </c>
      <c r="BC396" s="1">
        <f t="shared" si="189"/>
        <v>1</v>
      </c>
      <c r="BD396" s="90">
        <f t="shared" si="190"/>
        <v>1</v>
      </c>
      <c r="BE396" s="1">
        <f t="shared" si="180"/>
        <v>1</v>
      </c>
      <c r="BF396" s="1">
        <f t="shared" si="181"/>
        <v>1</v>
      </c>
      <c r="BI396"/>
      <c r="BJ396"/>
      <c r="BL396"/>
    </row>
    <row r="397" spans="1:64" ht="11.25" customHeight="1">
      <c r="A397" s="26" t="s">
        <v>2053</v>
      </c>
      <c r="B397" s="27" t="s">
        <v>2054</v>
      </c>
      <c r="C397" s="28">
        <v>714.99</v>
      </c>
      <c r="D397" s="28">
        <f t="shared" si="203"/>
        <v>357.495</v>
      </c>
      <c r="E397" s="22" t="s">
        <v>1989</v>
      </c>
      <c r="F397" s="22" t="s">
        <v>2055</v>
      </c>
      <c r="G397" s="22" t="s">
        <v>2056</v>
      </c>
      <c r="H397" s="22" t="s">
        <v>2057</v>
      </c>
      <c r="I397" s="23" t="s">
        <v>1888</v>
      </c>
      <c r="J397" s="22" t="s">
        <v>670</v>
      </c>
      <c r="K397" s="23">
        <v>40</v>
      </c>
      <c r="L397" s="23">
        <v>40</v>
      </c>
      <c r="M397" s="23">
        <v>42</v>
      </c>
      <c r="N397" s="3">
        <f t="shared" si="183"/>
        <v>6.7199999999999996E-2</v>
      </c>
      <c r="O397" s="4" t="e">
        <f>(C397-(C397*#REF!))-((C397-(C397*#REF!))*#REF!)</f>
        <v>#REF!</v>
      </c>
      <c r="P397" s="7"/>
      <c r="Q397" s="7"/>
      <c r="R397" s="5">
        <f>P397+Q397</f>
        <v>0</v>
      </c>
      <c r="S397" s="4">
        <f t="shared" si="200"/>
        <v>0</v>
      </c>
      <c r="T397" s="13">
        <f t="shared" si="204"/>
        <v>500.49300000000005</v>
      </c>
      <c r="U397" s="13">
        <f t="shared" si="213"/>
        <v>250.24650000000003</v>
      </c>
      <c r="V397" s="14">
        <f>U397/C397</f>
        <v>0.35000000000000003</v>
      </c>
      <c r="W397" s="14"/>
      <c r="X397" s="19">
        <f t="shared" si="201"/>
        <v>250.24650000000003</v>
      </c>
      <c r="Y397" s="19">
        <f t="shared" si="202"/>
        <v>500.49300000000005</v>
      </c>
      <c r="Z397" s="15" t="e">
        <f t="shared" si="214"/>
        <v>#DIV/0!</v>
      </c>
      <c r="AA397" s="22" t="s">
        <v>2058</v>
      </c>
      <c r="AG397" s="94" t="s">
        <v>1871</v>
      </c>
      <c r="AH397" s="89" t="str">
        <f>VLOOKUP(AG397,Sheet1!$B$3:$D$36,2,FALSE)</f>
        <v>Sun &amp; Shades</v>
      </c>
      <c r="AI397" s="89" t="s">
        <v>1994</v>
      </c>
      <c r="AJ397" s="1" t="str">
        <f t="shared" si="205"/>
        <v>Azure Foot Bluestone - A</v>
      </c>
      <c r="AK397" s="1" t="str">
        <f t="shared" si="206"/>
        <v>w40 x d40 x h42</v>
      </c>
      <c r="AL397" s="1" t="str">
        <f t="shared" si="207"/>
        <v>bluestone</v>
      </c>
      <c r="AM397" s="1" t="str">
        <f t="shared" si="208"/>
        <v>bluestone</v>
      </c>
      <c r="AN397" s="1" t="str">
        <f t="shared" si="198"/>
        <v>bluestone</v>
      </c>
      <c r="AQ397" s="1" t="str">
        <f t="shared" si="209"/>
        <v>D</v>
      </c>
      <c r="AR397" s="1" t="str">
        <f>VLOOKUP(TRIM(AI397),Sheet1!$D$3:$E$36,2,FALSE)</f>
        <v>03</v>
      </c>
      <c r="AS397" s="90" t="str">
        <f t="shared" si="210"/>
        <v>01</v>
      </c>
      <c r="AT397" s="1" t="str">
        <f t="shared" si="211"/>
        <v>01</v>
      </c>
      <c r="AU397" s="90" t="s">
        <v>1871</v>
      </c>
      <c r="AV397" s="90"/>
      <c r="AW397" s="90"/>
      <c r="AX397" s="95" t="str">
        <f>AQ397&amp;AR397&amp;AS397&amp;"-"&amp;AT397&amp;AU397&amp;BA397</f>
        <v>D0301-0104</v>
      </c>
      <c r="AY397" s="99" t="str">
        <f>AQ397&amp;AR397&amp;AS397&amp;"-"&amp;AT397&amp;BA397</f>
        <v>D0301-01</v>
      </c>
      <c r="AZ397" s="90"/>
      <c r="BA397" s="1" t="str">
        <f t="shared" si="212"/>
        <v/>
      </c>
      <c r="BC397" s="1">
        <f t="shared" si="189"/>
        <v>1</v>
      </c>
      <c r="BD397" s="90">
        <f t="shared" si="190"/>
        <v>1</v>
      </c>
      <c r="BE397" s="1">
        <f t="shared" ref="BE397:BE460" si="215">IF(AK396&lt;&gt;AK397,1,"")</f>
        <v>1</v>
      </c>
      <c r="BF397" s="1">
        <f t="shared" ref="BF397:BF460" si="216">IF(BE397=1,1,BF396+1)</f>
        <v>1</v>
      </c>
      <c r="BI397"/>
      <c r="BJ397"/>
      <c r="BL397"/>
    </row>
    <row r="398" spans="1:64" ht="11.25" customHeight="1">
      <c r="A398" s="26" t="s">
        <v>2059</v>
      </c>
      <c r="B398" s="27" t="s">
        <v>2054</v>
      </c>
      <c r="C398" s="28">
        <v>1069.99</v>
      </c>
      <c r="D398" s="28">
        <f t="shared" si="203"/>
        <v>534.995</v>
      </c>
      <c r="E398" s="22" t="s">
        <v>1989</v>
      </c>
      <c r="F398" s="22" t="s">
        <v>2055</v>
      </c>
      <c r="G398" s="22" t="s">
        <v>2060</v>
      </c>
      <c r="H398" s="22" t="s">
        <v>2057</v>
      </c>
      <c r="I398" s="23" t="s">
        <v>1888</v>
      </c>
      <c r="J398" s="22" t="s">
        <v>670</v>
      </c>
      <c r="K398" s="23">
        <v>40</v>
      </c>
      <c r="L398" s="23">
        <v>40</v>
      </c>
      <c r="M398" s="23">
        <v>42</v>
      </c>
      <c r="N398" s="3">
        <f t="shared" si="183"/>
        <v>6.7199999999999996E-2</v>
      </c>
      <c r="O398" s="4" t="e">
        <f>(C398-(C398*#REF!))-((C398-(C398*#REF!))*#REF!)</f>
        <v>#REF!</v>
      </c>
      <c r="P398" s="7"/>
      <c r="Q398" s="7"/>
      <c r="R398" s="5">
        <f>P398+Q398</f>
        <v>0</v>
      </c>
      <c r="S398" s="4">
        <f t="shared" si="200"/>
        <v>0</v>
      </c>
      <c r="T398" s="13">
        <f t="shared" si="204"/>
        <v>748.99299999999994</v>
      </c>
      <c r="U398" s="13">
        <f t="shared" si="213"/>
        <v>374.49649999999997</v>
      </c>
      <c r="V398" s="14">
        <f>U398/C398</f>
        <v>0.35</v>
      </c>
      <c r="W398" s="14"/>
      <c r="X398" s="19">
        <f t="shared" si="201"/>
        <v>374.49649999999997</v>
      </c>
      <c r="Y398" s="19">
        <f t="shared" si="202"/>
        <v>748.99299999999994</v>
      </c>
      <c r="Z398" s="15" t="e">
        <f t="shared" si="214"/>
        <v>#DIV/0!</v>
      </c>
      <c r="AA398" s="22" t="s">
        <v>2061</v>
      </c>
      <c r="AG398" s="94" t="s">
        <v>1871</v>
      </c>
      <c r="AH398" s="89" t="str">
        <f>VLOOKUP(AG398,Sheet1!$B$3:$D$36,2,FALSE)</f>
        <v>Sun &amp; Shades</v>
      </c>
      <c r="AI398" s="89" t="s">
        <v>1994</v>
      </c>
      <c r="AJ398" s="1" t="str">
        <f t="shared" si="205"/>
        <v>Azure Foot Bluestone - B</v>
      </c>
      <c r="AK398" s="1" t="str">
        <f t="shared" si="206"/>
        <v>w40 x d40 x h42</v>
      </c>
      <c r="AL398" s="1" t="str">
        <f t="shared" si="207"/>
        <v>bluestone</v>
      </c>
      <c r="AM398" s="1" t="str">
        <f t="shared" si="208"/>
        <v>bluestone</v>
      </c>
      <c r="AN398" s="1" t="str">
        <f t="shared" si="198"/>
        <v>bluestone</v>
      </c>
      <c r="AQ398" s="1" t="str">
        <f t="shared" si="209"/>
        <v>D</v>
      </c>
      <c r="AR398" s="1" t="str">
        <f>VLOOKUP(TRIM(AI398),Sheet1!$D$3:$E$36,2,FALSE)</f>
        <v>03</v>
      </c>
      <c r="AS398" s="90" t="str">
        <f t="shared" si="210"/>
        <v>01</v>
      </c>
      <c r="AT398" s="1" t="str">
        <f t="shared" si="211"/>
        <v>02</v>
      </c>
      <c r="AU398" s="90" t="s">
        <v>1871</v>
      </c>
      <c r="AV398" s="90"/>
      <c r="AW398" s="90"/>
      <c r="AX398" s="95" t="str">
        <f>AQ398&amp;AR398&amp;AS398&amp;"-"&amp;AT398&amp;AU398&amp;BA398</f>
        <v>D0301-0204</v>
      </c>
      <c r="AY398" s="99" t="str">
        <f>AQ398&amp;AR398&amp;AS398&amp;"-"&amp;AT398&amp;BA398</f>
        <v>D0301-02</v>
      </c>
      <c r="AZ398" s="90"/>
      <c r="BA398" s="1" t="str">
        <f t="shared" si="212"/>
        <v/>
      </c>
      <c r="BC398" s="1">
        <f t="shared" si="189"/>
        <v>1</v>
      </c>
      <c r="BD398" s="90">
        <f t="shared" si="190"/>
        <v>1</v>
      </c>
      <c r="BE398" s="1" t="str">
        <f t="shared" si="215"/>
        <v/>
      </c>
      <c r="BF398" s="1">
        <f t="shared" si="216"/>
        <v>2</v>
      </c>
      <c r="BI398"/>
      <c r="BJ398"/>
      <c r="BL398"/>
    </row>
    <row r="399" spans="1:64" s="63" customFormat="1" ht="15.75">
      <c r="A399" s="33" t="s">
        <v>2062</v>
      </c>
      <c r="B399" s="34"/>
      <c r="C399" s="35"/>
      <c r="D399" s="36"/>
      <c r="E399" s="39"/>
      <c r="F399" s="40"/>
      <c r="G399" s="39"/>
      <c r="H399" s="39"/>
      <c r="I399" s="41"/>
      <c r="J399" s="39"/>
      <c r="K399" s="41"/>
      <c r="L399" s="41"/>
      <c r="M399" s="41"/>
      <c r="N399" s="48"/>
      <c r="O399" s="48"/>
      <c r="P399" s="49"/>
      <c r="Q399" s="49"/>
      <c r="R399" s="50"/>
      <c r="S399" s="48"/>
      <c r="T399" s="13"/>
      <c r="U399" s="13"/>
      <c r="V399" s="14"/>
      <c r="W399" s="14"/>
      <c r="X399" s="60"/>
      <c r="Y399" s="60"/>
      <c r="Z399" s="15"/>
      <c r="AA399" s="39"/>
      <c r="AG399" s="93"/>
      <c r="AH399" s="89"/>
      <c r="AI399" s="89"/>
      <c r="AJ399" s="1"/>
      <c r="AK399" s="1"/>
      <c r="AL399" s="1"/>
      <c r="AM399" s="1"/>
      <c r="AN399" s="1"/>
      <c r="AQ399" s="1"/>
      <c r="AR399" s="1"/>
      <c r="AS399" s="90"/>
      <c r="AT399" s="1"/>
      <c r="AU399" s="90"/>
      <c r="AV399" s="90"/>
      <c r="AW399" s="90"/>
      <c r="AX399" s="95"/>
      <c r="AY399" s="99" t="str">
        <f>AQ399&amp;AR399&amp;AS399&amp;"-"&amp;AT399&amp;BA399</f>
        <v>-</v>
      </c>
      <c r="AZ399" s="90"/>
      <c r="BA399" s="1"/>
      <c r="BC399" s="1"/>
      <c r="BD399" s="90"/>
      <c r="BE399" s="1"/>
      <c r="BF399" s="1"/>
      <c r="BI399"/>
      <c r="BJ399"/>
      <c r="BK399" s="1"/>
      <c r="BL399"/>
    </row>
    <row r="400" spans="1:64" ht="11.25" customHeight="1">
      <c r="A400" s="26" t="s">
        <v>2063</v>
      </c>
      <c r="B400" s="27" t="s">
        <v>2064</v>
      </c>
      <c r="C400" s="28">
        <v>43.99</v>
      </c>
      <c r="D400" s="28">
        <f t="shared" si="203"/>
        <v>21.995000000000001</v>
      </c>
      <c r="E400" s="22" t="s">
        <v>2065</v>
      </c>
      <c r="F400" s="22" t="s">
        <v>2066</v>
      </c>
      <c r="G400" s="22" t="s">
        <v>2067</v>
      </c>
      <c r="H400" s="22" t="s">
        <v>2068</v>
      </c>
      <c r="I400" s="25" t="s">
        <v>846</v>
      </c>
      <c r="J400" s="22" t="s">
        <v>50</v>
      </c>
      <c r="K400" s="23">
        <v>10</v>
      </c>
      <c r="L400" s="23">
        <v>20</v>
      </c>
      <c r="M400" s="23">
        <v>10</v>
      </c>
      <c r="N400" s="3">
        <f t="shared" si="183"/>
        <v>2E-3</v>
      </c>
      <c r="O400" s="4" t="e">
        <f>(C400-(C400*#REF!))-((C400-(C400*#REF!))*#REF!)</f>
        <v>#REF!</v>
      </c>
      <c r="P400" s="7">
        <v>154227.8756619542</v>
      </c>
      <c r="Q400" s="7">
        <v>0</v>
      </c>
      <c r="R400" s="5">
        <f t="shared" ref="R400:R435" si="217">P400+Q400</f>
        <v>154227.8756619542</v>
      </c>
      <c r="S400" s="4">
        <f t="shared" ref="S400:S435" si="218">R400/15000</f>
        <v>10.281858377463614</v>
      </c>
      <c r="T400" s="13">
        <f t="shared" si="204"/>
        <v>30.792999999999999</v>
      </c>
      <c r="U400" s="13">
        <f t="shared" si="213"/>
        <v>15.3965</v>
      </c>
      <c r="V400" s="14">
        <f>U400/C400</f>
        <v>0.35</v>
      </c>
      <c r="W400" s="18">
        <f>S400*1.8</f>
        <v>18.507345079434504</v>
      </c>
      <c r="X400" s="19">
        <f t="shared" ref="X400:X435" si="219">IF(ISBLANK(W400),U400, W400)</f>
        <v>18.507345079434504</v>
      </c>
      <c r="Y400" s="19">
        <f t="shared" ref="Y400:Y435" si="220">X400*2</f>
        <v>37.014690158869008</v>
      </c>
      <c r="Z400" s="15">
        <v>2</v>
      </c>
      <c r="AA400" s="22" t="s">
        <v>2069</v>
      </c>
      <c r="AG400" s="94" t="s">
        <v>1169</v>
      </c>
      <c r="AH400" s="89" t="str">
        <f>VLOOKUP(AG400,Sheet1!$B$3:$D$36,2,FALSE)</f>
        <v>Decors</v>
      </c>
      <c r="AI400" s="89" t="s">
        <v>2070</v>
      </c>
      <c r="AJ400" s="1" t="str">
        <f t="shared" si="205"/>
        <v>Photon Candle Holder</v>
      </c>
      <c r="AK400" s="1" t="str">
        <f t="shared" si="206"/>
        <v>w10 x d20 x h10</v>
      </c>
      <c r="AL400" s="1" t="str">
        <f t="shared" si="207"/>
        <v>bare indoor</v>
      </c>
      <c r="AM400" s="1" t="str">
        <f t="shared" si="208"/>
        <v>bare indoor</v>
      </c>
      <c r="AN400" s="1" t="str">
        <f>SUBSTITUTE(AL400,"indoor","")</f>
        <v xml:space="preserve">bare </v>
      </c>
      <c r="AO400" s="1" t="s">
        <v>54</v>
      </c>
      <c r="AQ400" s="1" t="str">
        <f t="shared" si="209"/>
        <v>B</v>
      </c>
      <c r="AR400" s="1" t="str">
        <f>VLOOKUP(TRIM(AI400),Sheet1!$D$3:$E$36,2,FALSE)</f>
        <v>07</v>
      </c>
      <c r="AS400" s="90" t="str">
        <f t="shared" si="210"/>
        <v>01</v>
      </c>
      <c r="AT400" s="1" t="str">
        <f t="shared" si="211"/>
        <v>01</v>
      </c>
      <c r="AU400" s="90" t="s">
        <v>817</v>
      </c>
      <c r="AV400" s="90"/>
      <c r="AW400" s="90"/>
      <c r="AX400" s="95" t="str">
        <f>AQ400&amp;AR400&amp;AS400&amp;"-"&amp;AT400&amp;AU400&amp;BA400</f>
        <v>B0701-0103IND</v>
      </c>
      <c r="AY400" s="99" t="str">
        <f>AQ400&amp;AR400&amp;AS400&amp;"-"&amp;AT400&amp;BA400</f>
        <v>B0701-01IND</v>
      </c>
      <c r="AZ400" s="90"/>
      <c r="BA400" s="1" t="str">
        <f t="shared" si="212"/>
        <v>IND</v>
      </c>
      <c r="BC400" s="1">
        <f t="shared" si="189"/>
        <v>1</v>
      </c>
      <c r="BD400" s="90">
        <f t="shared" si="190"/>
        <v>1</v>
      </c>
      <c r="BE400" s="1">
        <f t="shared" si="215"/>
        <v>1</v>
      </c>
      <c r="BF400" s="1">
        <f t="shared" si="216"/>
        <v>1</v>
      </c>
      <c r="BI400"/>
      <c r="BJ400"/>
      <c r="BL400"/>
    </row>
    <row r="401" spans="1:64" ht="11.25" customHeight="1">
      <c r="A401" s="26" t="s">
        <v>2071</v>
      </c>
      <c r="B401" s="27" t="s">
        <v>2072</v>
      </c>
      <c r="C401" s="28">
        <v>11.99</v>
      </c>
      <c r="D401" s="28">
        <f t="shared" si="203"/>
        <v>5.9950000000000001</v>
      </c>
      <c r="E401" s="22" t="s">
        <v>2065</v>
      </c>
      <c r="F401" s="22" t="s">
        <v>2073</v>
      </c>
      <c r="G401" s="22" t="s">
        <v>2074</v>
      </c>
      <c r="H401" s="22" t="s">
        <v>2075</v>
      </c>
      <c r="I401" s="25" t="s">
        <v>645</v>
      </c>
      <c r="J401" s="22" t="s">
        <v>646</v>
      </c>
      <c r="K401" s="23">
        <v>12</v>
      </c>
      <c r="L401" s="23">
        <v>12</v>
      </c>
      <c r="M401" s="23">
        <v>6</v>
      </c>
      <c r="N401" s="3">
        <f t="shared" si="183"/>
        <v>8.6399999999999997E-4</v>
      </c>
      <c r="O401" s="4" t="e">
        <f>(C401-(C401*#REF!))-((C401-(C401*#REF!))*#REF!)</f>
        <v>#REF!</v>
      </c>
      <c r="P401" s="7">
        <f>36795.177969194-Q401</f>
        <v>8795.1779691940028</v>
      </c>
      <c r="Q401" s="7">
        <v>28000</v>
      </c>
      <c r="R401" s="5">
        <f t="shared" si="217"/>
        <v>36795.177969194003</v>
      </c>
      <c r="S401" s="4">
        <f t="shared" si="218"/>
        <v>2.4530118646129333</v>
      </c>
      <c r="T401" s="13">
        <f t="shared" si="204"/>
        <v>8.3930000000000007</v>
      </c>
      <c r="U401" s="13">
        <f t="shared" si="213"/>
        <v>4.1965000000000003</v>
      </c>
      <c r="V401" s="14">
        <f>U401/C401</f>
        <v>0.35000000000000003</v>
      </c>
      <c r="W401" s="18">
        <f>S401*$W$1</f>
        <v>4.9060237292258666</v>
      </c>
      <c r="X401" s="19">
        <f t="shared" si="219"/>
        <v>4.9060237292258666</v>
      </c>
      <c r="Y401" s="19">
        <f t="shared" si="220"/>
        <v>9.8120474584517332</v>
      </c>
      <c r="Z401" s="15">
        <v>2</v>
      </c>
      <c r="AA401" s="22" t="s">
        <v>2076</v>
      </c>
      <c r="AG401" s="94" t="s">
        <v>817</v>
      </c>
      <c r="AH401" s="89" t="str">
        <f>VLOOKUP(AG401,Sheet1!$B$3:$D$36,2,FALSE)</f>
        <v>Kitchen &amp; Dining</v>
      </c>
      <c r="AI401" s="89" t="s">
        <v>2077</v>
      </c>
      <c r="AJ401" s="1" t="str">
        <f t="shared" si="205"/>
        <v>Prism Square-12 Candle Holder</v>
      </c>
      <c r="AK401" s="1" t="str">
        <f t="shared" si="206"/>
        <v>w12 x d12 x h6</v>
      </c>
      <c r="AL401" s="1" t="str">
        <f t="shared" si="207"/>
        <v>teak root</v>
      </c>
      <c r="AM401" s="1" t="str">
        <f t="shared" si="208"/>
        <v>teak root</v>
      </c>
      <c r="AN401" s="1" t="str">
        <f t="shared" ref="AN401:AN409" si="221">SUBSTITUTE(AL401,"indoor","")</f>
        <v>teak root</v>
      </c>
      <c r="AQ401" s="1" t="str">
        <f t="shared" si="209"/>
        <v>C</v>
      </c>
      <c r="AR401" s="1" t="str">
        <f>VLOOKUP(TRIM(AI401),Sheet1!$D$3:$E$36,2,FALSE)</f>
        <v>01</v>
      </c>
      <c r="AS401" s="90" t="str">
        <f t="shared" si="210"/>
        <v>01</v>
      </c>
      <c r="AT401" s="1" t="str">
        <f t="shared" si="211"/>
        <v>01</v>
      </c>
      <c r="AU401" s="90" t="s">
        <v>648</v>
      </c>
      <c r="AV401" s="90"/>
      <c r="AW401" s="90"/>
      <c r="AX401" s="95" t="str">
        <f>AQ401&amp;AR401&amp;AS401&amp;"-"&amp;AT401&amp;AU401&amp;BA401</f>
        <v>C0101-0132</v>
      </c>
      <c r="AY401" s="99" t="str">
        <f>AQ401&amp;AR401&amp;AS401&amp;"-"&amp;AT401&amp;BA401</f>
        <v>C0101-01</v>
      </c>
      <c r="AZ401" s="90"/>
      <c r="BA401" s="1" t="str">
        <f t="shared" si="212"/>
        <v/>
      </c>
      <c r="BC401" s="1">
        <f t="shared" si="189"/>
        <v>1</v>
      </c>
      <c r="BD401" s="90">
        <f t="shared" si="190"/>
        <v>1</v>
      </c>
      <c r="BE401" s="1">
        <f t="shared" si="215"/>
        <v>1</v>
      </c>
      <c r="BF401" s="1">
        <f t="shared" si="216"/>
        <v>1</v>
      </c>
      <c r="BI401"/>
      <c r="BJ401"/>
      <c r="BL401"/>
    </row>
    <row r="402" spans="1:64" ht="11.25" customHeight="1">
      <c r="A402" s="26" t="s">
        <v>2078</v>
      </c>
      <c r="B402" s="27" t="s">
        <v>2072</v>
      </c>
      <c r="C402" s="28">
        <v>17.989999999999998</v>
      </c>
      <c r="D402" s="28">
        <f t="shared" si="203"/>
        <v>8.9949999999999992</v>
      </c>
      <c r="E402" s="22" t="s">
        <v>2065</v>
      </c>
      <c r="F402" s="22" t="s">
        <v>2079</v>
      </c>
      <c r="G402" s="22" t="s">
        <v>2080</v>
      </c>
      <c r="H402" s="22" t="s">
        <v>2081</v>
      </c>
      <c r="I402" s="25" t="s">
        <v>645</v>
      </c>
      <c r="J402" s="22" t="s">
        <v>646</v>
      </c>
      <c r="K402" s="23">
        <v>18</v>
      </c>
      <c r="L402" s="23">
        <v>18</v>
      </c>
      <c r="M402" s="23">
        <v>6</v>
      </c>
      <c r="N402" s="3">
        <f t="shared" si="183"/>
        <v>1.944E-3</v>
      </c>
      <c r="O402" s="4" t="e">
        <f>(C402-(C402*#REF!))-((C402-(C402*#REF!))*#REF!)</f>
        <v>#REF!</v>
      </c>
      <c r="P402" s="7">
        <f>55654.3670973532-Q402</f>
        <v>7654.3670973531989</v>
      </c>
      <c r="Q402" s="7">
        <v>48000</v>
      </c>
      <c r="R402" s="5">
        <f t="shared" si="217"/>
        <v>55654.367097353199</v>
      </c>
      <c r="S402" s="4">
        <f t="shared" si="218"/>
        <v>3.7102911398235467</v>
      </c>
      <c r="T402" s="13">
        <f t="shared" si="204"/>
        <v>12.593</v>
      </c>
      <c r="U402" s="13">
        <f t="shared" si="213"/>
        <v>6.2965</v>
      </c>
      <c r="V402" s="14">
        <f>U402/C402</f>
        <v>0.35000000000000003</v>
      </c>
      <c r="W402" s="18">
        <f>S402*$W$1</f>
        <v>7.4205822796470935</v>
      </c>
      <c r="X402" s="19">
        <f t="shared" si="219"/>
        <v>7.4205822796470935</v>
      </c>
      <c r="Y402" s="19">
        <f t="shared" si="220"/>
        <v>14.841164559294187</v>
      </c>
      <c r="Z402" s="15">
        <v>2</v>
      </c>
      <c r="AA402" s="22" t="s">
        <v>2082</v>
      </c>
      <c r="AG402" s="94" t="s">
        <v>817</v>
      </c>
      <c r="AH402" s="89" t="str">
        <f>VLOOKUP(AG402,Sheet1!$B$3:$D$36,2,FALSE)</f>
        <v>Kitchen &amp; Dining</v>
      </c>
      <c r="AI402" s="89" t="str">
        <f>VLOOKUP(AG402,Sheet1!$B$3:$D$36,3,FALSE)</f>
        <v>Plates, Bowls &amp; Trays</v>
      </c>
      <c r="AJ402" s="1" t="str">
        <f t="shared" si="205"/>
        <v>Prism Square-18 Candle Holder</v>
      </c>
      <c r="AK402" s="1" t="str">
        <f t="shared" si="206"/>
        <v>w18 x d18 x h6</v>
      </c>
      <c r="AL402" s="1" t="str">
        <f t="shared" si="207"/>
        <v>teak root</v>
      </c>
      <c r="AM402" s="1" t="str">
        <f t="shared" si="208"/>
        <v>teak root</v>
      </c>
      <c r="AN402" s="1" t="str">
        <f t="shared" si="221"/>
        <v>teak root</v>
      </c>
      <c r="AQ402" s="1" t="str">
        <f t="shared" si="209"/>
        <v>C</v>
      </c>
      <c r="AR402" s="1" t="str">
        <f>VLOOKUP(TRIM(AI402),Sheet1!$D$3:$E$36,2,FALSE)</f>
        <v>01</v>
      </c>
      <c r="AS402" s="90" t="str">
        <f t="shared" si="210"/>
        <v>01</v>
      </c>
      <c r="AT402" s="1" t="str">
        <f t="shared" si="211"/>
        <v>01</v>
      </c>
      <c r="AU402" s="90" t="s">
        <v>648</v>
      </c>
      <c r="AV402" s="90"/>
      <c r="AW402" s="90"/>
      <c r="AX402" s="95" t="str">
        <f>AQ402&amp;AR402&amp;AS402&amp;"-"&amp;AT402&amp;AU402&amp;BA402</f>
        <v>C0101-0132</v>
      </c>
      <c r="AY402" s="99" t="str">
        <f>AQ402&amp;AR402&amp;AS402&amp;"-"&amp;AT402&amp;BA402</f>
        <v>C0101-01</v>
      </c>
      <c r="AZ402" s="90"/>
      <c r="BA402" s="1" t="str">
        <f t="shared" si="212"/>
        <v/>
      </c>
      <c r="BC402" s="1">
        <f t="shared" si="189"/>
        <v>1</v>
      </c>
      <c r="BD402" s="90">
        <f t="shared" si="190"/>
        <v>1</v>
      </c>
      <c r="BE402" s="1">
        <f t="shared" si="215"/>
        <v>1</v>
      </c>
      <c r="BF402" s="1">
        <f t="shared" si="216"/>
        <v>1</v>
      </c>
      <c r="BI402"/>
      <c r="BJ402"/>
      <c r="BL402"/>
    </row>
    <row r="403" spans="1:64" ht="11.25" customHeight="1">
      <c r="A403" s="26" t="s">
        <v>2083</v>
      </c>
      <c r="B403" s="27" t="s">
        <v>2072</v>
      </c>
      <c r="C403" s="28">
        <v>44.99</v>
      </c>
      <c r="D403" s="28">
        <f t="shared" si="203"/>
        <v>22.495000000000001</v>
      </c>
      <c r="E403" s="22" t="s">
        <v>2065</v>
      </c>
      <c r="F403" s="22" t="s">
        <v>2084</v>
      </c>
      <c r="G403" s="22" t="s">
        <v>2085</v>
      </c>
      <c r="H403" s="22" t="s">
        <v>2086</v>
      </c>
      <c r="I403" s="25" t="s">
        <v>645</v>
      </c>
      <c r="J403" s="22" t="s">
        <v>646</v>
      </c>
      <c r="K403" s="23">
        <v>28</v>
      </c>
      <c r="L403" s="23">
        <v>28</v>
      </c>
      <c r="M403" s="23">
        <v>6</v>
      </c>
      <c r="N403" s="3">
        <f t="shared" si="183"/>
        <v>4.7039999999999998E-3</v>
      </c>
      <c r="O403" s="4" t="e">
        <f>(C403-(C403*#REF!))-((C403-(C403*#REF!))*#REF!)</f>
        <v>#REF!</v>
      </c>
      <c r="P403" s="7">
        <f>91225.7578322786-Q403</f>
        <v>8725.7578322785994</v>
      </c>
      <c r="Q403" s="7">
        <v>82500</v>
      </c>
      <c r="R403" s="5">
        <f t="shared" si="217"/>
        <v>91225.757832278599</v>
      </c>
      <c r="S403" s="4">
        <f t="shared" si="218"/>
        <v>6.0817171888185735</v>
      </c>
      <c r="T403" s="13">
        <f t="shared" si="204"/>
        <v>31.493000000000002</v>
      </c>
      <c r="U403" s="13">
        <f t="shared" si="213"/>
        <v>15.746500000000001</v>
      </c>
      <c r="V403" s="14">
        <f>U403/C403</f>
        <v>0.35000000000000003</v>
      </c>
      <c r="W403" s="14"/>
      <c r="X403" s="19">
        <f t="shared" si="219"/>
        <v>15.746500000000001</v>
      </c>
      <c r="Y403" s="19">
        <f t="shared" si="220"/>
        <v>31.493000000000002</v>
      </c>
      <c r="Z403" s="15">
        <f t="shared" ref="Z403:Z409" si="222">U403/S403</f>
        <v>2.589153607627535</v>
      </c>
      <c r="AA403" s="22" t="s">
        <v>2087</v>
      </c>
      <c r="AG403" s="94" t="s">
        <v>817</v>
      </c>
      <c r="AH403" s="89" t="str">
        <f>VLOOKUP(AG403,Sheet1!$B$3:$D$36,2,FALSE)</f>
        <v>Kitchen &amp; Dining</v>
      </c>
      <c r="AI403" s="89" t="str">
        <f>VLOOKUP(AG403,Sheet1!$B$3:$D$36,3,FALSE)</f>
        <v>Plates, Bowls &amp; Trays</v>
      </c>
      <c r="AJ403" s="1" t="str">
        <f t="shared" si="205"/>
        <v>Prism Square-28 Candle Holder</v>
      </c>
      <c r="AK403" s="1" t="str">
        <f t="shared" si="206"/>
        <v>w28 x d28 x h6</v>
      </c>
      <c r="AL403" s="1" t="str">
        <f t="shared" si="207"/>
        <v>teak root</v>
      </c>
      <c r="AM403" s="1" t="str">
        <f t="shared" si="208"/>
        <v>teak root</v>
      </c>
      <c r="AN403" s="1" t="str">
        <f t="shared" si="221"/>
        <v>teak root</v>
      </c>
      <c r="AQ403" s="1" t="str">
        <f t="shared" si="209"/>
        <v>C</v>
      </c>
      <c r="AR403" s="1" t="str">
        <f>VLOOKUP(TRIM(AI403),Sheet1!$D$3:$E$36,2,FALSE)</f>
        <v>01</v>
      </c>
      <c r="AS403" s="90" t="str">
        <f t="shared" si="210"/>
        <v>01</v>
      </c>
      <c r="AT403" s="1" t="str">
        <f t="shared" si="211"/>
        <v>01</v>
      </c>
      <c r="AU403" s="90" t="s">
        <v>648</v>
      </c>
      <c r="AV403" s="90"/>
      <c r="AW403" s="90"/>
      <c r="AX403" s="95" t="str">
        <f>AQ403&amp;AR403&amp;AS403&amp;"-"&amp;AT403&amp;AU403&amp;BA403</f>
        <v>C0101-0132</v>
      </c>
      <c r="AY403" s="99" t="str">
        <f>AQ403&amp;AR403&amp;AS403&amp;"-"&amp;AT403&amp;BA403</f>
        <v>C0101-01</v>
      </c>
      <c r="AZ403" s="90"/>
      <c r="BA403" s="1" t="str">
        <f t="shared" si="212"/>
        <v/>
      </c>
      <c r="BC403" s="1">
        <f t="shared" si="189"/>
        <v>1</v>
      </c>
      <c r="BD403" s="90">
        <f t="shared" si="190"/>
        <v>1</v>
      </c>
      <c r="BE403" s="1">
        <f t="shared" si="215"/>
        <v>1</v>
      </c>
      <c r="BF403" s="1">
        <f t="shared" si="216"/>
        <v>1</v>
      </c>
      <c r="BI403"/>
      <c r="BJ403"/>
      <c r="BL403"/>
    </row>
    <row r="404" spans="1:64" ht="11.25" customHeight="1">
      <c r="A404" s="26" t="s">
        <v>2088</v>
      </c>
      <c r="B404" s="27" t="s">
        <v>2089</v>
      </c>
      <c r="C404" s="28">
        <v>29.99</v>
      </c>
      <c r="D404" s="28">
        <f t="shared" si="203"/>
        <v>14.994999999999999</v>
      </c>
      <c r="E404" s="22" t="s">
        <v>2065</v>
      </c>
      <c r="F404" s="22" t="s">
        <v>2090</v>
      </c>
      <c r="G404" s="22" t="s">
        <v>2091</v>
      </c>
      <c r="H404" s="22" t="s">
        <v>2092</v>
      </c>
      <c r="I404" s="25" t="s">
        <v>645</v>
      </c>
      <c r="J404" s="22" t="s">
        <v>646</v>
      </c>
      <c r="K404" s="23">
        <v>24</v>
      </c>
      <c r="L404" s="23">
        <v>16</v>
      </c>
      <c r="M404" s="23">
        <v>6</v>
      </c>
      <c r="N404" s="3">
        <f t="shared" si="183"/>
        <v>2.3040000000000001E-3</v>
      </c>
      <c r="O404" s="4" t="e">
        <f>(C404-(C404*#REF!))-((C404-(C404*#REF!))*#REF!)</f>
        <v>#REF!</v>
      </c>
      <c r="P404" s="7">
        <f>62732.795779699-Q404</f>
        <v>17732.795779699001</v>
      </c>
      <c r="Q404" s="7">
        <v>45000</v>
      </c>
      <c r="R404" s="5">
        <f t="shared" si="217"/>
        <v>62732.795779699001</v>
      </c>
      <c r="S404" s="4">
        <f t="shared" si="218"/>
        <v>4.1821863853132664</v>
      </c>
      <c r="T404" s="13">
        <f t="shared" si="204"/>
        <v>20.992999999999999</v>
      </c>
      <c r="U404" s="13">
        <f t="shared" si="213"/>
        <v>10.496499999999999</v>
      </c>
      <c r="V404" s="14">
        <f>U404/C404</f>
        <v>0.35</v>
      </c>
      <c r="W404" s="14"/>
      <c r="X404" s="19">
        <f t="shared" si="219"/>
        <v>10.496499999999999</v>
      </c>
      <c r="Y404" s="19">
        <f t="shared" si="220"/>
        <v>20.992999999999999</v>
      </c>
      <c r="Z404" s="15">
        <f t="shared" si="222"/>
        <v>2.5098116231406937</v>
      </c>
      <c r="AA404" s="22" t="s">
        <v>2093</v>
      </c>
      <c r="AG404" s="94" t="s">
        <v>817</v>
      </c>
      <c r="AH404" s="89" t="str">
        <f>VLOOKUP(AG404,Sheet1!$B$3:$D$36,2,FALSE)</f>
        <v>Kitchen &amp; Dining</v>
      </c>
      <c r="AI404" s="89" t="str">
        <f>VLOOKUP(AG404,Sheet1!$B$3:$D$36,3,FALSE)</f>
        <v>Plates, Bowls &amp; Trays</v>
      </c>
      <c r="AJ404" s="1" t="str">
        <f t="shared" si="205"/>
        <v>Luminous Rectangular-24 Candle Holder</v>
      </c>
      <c r="AK404" s="1" t="str">
        <f t="shared" si="206"/>
        <v>w24 x d16 x h6</v>
      </c>
      <c r="AL404" s="1" t="str">
        <f t="shared" si="207"/>
        <v>teak root</v>
      </c>
      <c r="AM404" s="1" t="str">
        <f t="shared" si="208"/>
        <v>teak root</v>
      </c>
      <c r="AN404" s="1" t="str">
        <f t="shared" si="221"/>
        <v>teak root</v>
      </c>
      <c r="AQ404" s="1" t="str">
        <f t="shared" si="209"/>
        <v>C</v>
      </c>
      <c r="AR404" s="1" t="str">
        <f>VLOOKUP(TRIM(AI404),Sheet1!$D$3:$E$36,2,FALSE)</f>
        <v>01</v>
      </c>
      <c r="AS404" s="90" t="str">
        <f t="shared" si="210"/>
        <v>01</v>
      </c>
      <c r="AT404" s="1" t="str">
        <f t="shared" si="211"/>
        <v>01</v>
      </c>
      <c r="AU404" s="90" t="s">
        <v>648</v>
      </c>
      <c r="AV404" s="90"/>
      <c r="AW404" s="90"/>
      <c r="AX404" s="95" t="str">
        <f>AQ404&amp;AR404&amp;AS404&amp;"-"&amp;AT404&amp;AU404&amp;BA404</f>
        <v>C0101-0132</v>
      </c>
      <c r="AY404" s="99" t="str">
        <f>AQ404&amp;AR404&amp;AS404&amp;"-"&amp;AT404&amp;BA404</f>
        <v>C0101-01</v>
      </c>
      <c r="AZ404" s="90"/>
      <c r="BA404" s="1" t="str">
        <f t="shared" si="212"/>
        <v/>
      </c>
      <c r="BC404" s="1">
        <f t="shared" si="189"/>
        <v>1</v>
      </c>
      <c r="BD404" s="90">
        <f t="shared" si="190"/>
        <v>1</v>
      </c>
      <c r="BE404" s="1">
        <f t="shared" si="215"/>
        <v>1</v>
      </c>
      <c r="BF404" s="1">
        <f t="shared" si="216"/>
        <v>1</v>
      </c>
      <c r="BI404"/>
      <c r="BJ404"/>
      <c r="BL404"/>
    </row>
    <row r="405" spans="1:64" ht="11.25" customHeight="1">
      <c r="A405" s="26" t="s">
        <v>2094</v>
      </c>
      <c r="B405" s="27" t="s">
        <v>2089</v>
      </c>
      <c r="C405" s="28">
        <v>58.99</v>
      </c>
      <c r="D405" s="28">
        <f t="shared" si="203"/>
        <v>29.495000000000001</v>
      </c>
      <c r="E405" s="22" t="s">
        <v>2065</v>
      </c>
      <c r="F405" s="22" t="s">
        <v>2095</v>
      </c>
      <c r="G405" s="22" t="s">
        <v>2096</v>
      </c>
      <c r="H405" s="22" t="s">
        <v>2097</v>
      </c>
      <c r="I405" s="25" t="s">
        <v>645</v>
      </c>
      <c r="J405" s="22" t="s">
        <v>646</v>
      </c>
      <c r="K405" s="23">
        <v>40</v>
      </c>
      <c r="L405" s="23">
        <v>30</v>
      </c>
      <c r="M405" s="23">
        <v>6</v>
      </c>
      <c r="N405" s="3">
        <f t="shared" si="183"/>
        <v>7.1999999999999998E-3</v>
      </c>
      <c r="O405" s="4" t="e">
        <f>(C405-(C405*#REF!))-((C405-(C405*#REF!))*#REF!)</f>
        <v>#REF!</v>
      </c>
      <c r="P405" s="7">
        <f>139024.749743284-Q405</f>
        <v>14024.749743283988</v>
      </c>
      <c r="Q405" s="7">
        <v>125000</v>
      </c>
      <c r="R405" s="5">
        <f t="shared" si="217"/>
        <v>139024.74974328399</v>
      </c>
      <c r="S405" s="4">
        <f t="shared" si="218"/>
        <v>9.2683166495522666</v>
      </c>
      <c r="T405" s="13">
        <f t="shared" si="204"/>
        <v>41.293000000000006</v>
      </c>
      <c r="U405" s="13">
        <f t="shared" si="213"/>
        <v>20.646500000000003</v>
      </c>
      <c r="V405" s="14">
        <f>U405/C405</f>
        <v>0.35000000000000003</v>
      </c>
      <c r="W405" s="14"/>
      <c r="X405" s="19">
        <f t="shared" si="219"/>
        <v>20.646500000000003</v>
      </c>
      <c r="Y405" s="19">
        <f t="shared" si="220"/>
        <v>41.293000000000006</v>
      </c>
      <c r="Z405" s="15">
        <f t="shared" si="222"/>
        <v>2.2276429238094053</v>
      </c>
      <c r="AA405" s="22" t="s">
        <v>2098</v>
      </c>
      <c r="AG405" s="94" t="s">
        <v>817</v>
      </c>
      <c r="AH405" s="89" t="str">
        <f>VLOOKUP(AG405,Sheet1!$B$3:$D$36,2,FALSE)</f>
        <v>Kitchen &amp; Dining</v>
      </c>
      <c r="AI405" s="89" t="str">
        <f>VLOOKUP(AG405,Sheet1!$B$3:$D$36,3,FALSE)</f>
        <v>Plates, Bowls &amp; Trays</v>
      </c>
      <c r="AJ405" s="1" t="str">
        <f t="shared" si="205"/>
        <v>Luminous Rectangular-40 Candle Holder</v>
      </c>
      <c r="AK405" s="1" t="str">
        <f t="shared" si="206"/>
        <v>w40 x d30 x h6</v>
      </c>
      <c r="AL405" s="1" t="str">
        <f t="shared" si="207"/>
        <v>teak root</v>
      </c>
      <c r="AM405" s="1" t="str">
        <f t="shared" si="208"/>
        <v>teak root</v>
      </c>
      <c r="AN405" s="1" t="str">
        <f t="shared" si="221"/>
        <v>teak root</v>
      </c>
      <c r="AQ405" s="1" t="str">
        <f t="shared" si="209"/>
        <v>C</v>
      </c>
      <c r="AR405" s="1" t="str">
        <f>VLOOKUP(TRIM(AI405),Sheet1!$D$3:$E$36,2,FALSE)</f>
        <v>01</v>
      </c>
      <c r="AS405" s="90" t="str">
        <f t="shared" si="210"/>
        <v>01</v>
      </c>
      <c r="AT405" s="1" t="str">
        <f t="shared" si="211"/>
        <v>01</v>
      </c>
      <c r="AU405" s="90" t="s">
        <v>648</v>
      </c>
      <c r="AV405" s="90"/>
      <c r="AW405" s="90"/>
      <c r="AX405" s="95" t="str">
        <f>AQ405&amp;AR405&amp;AS405&amp;"-"&amp;AT405&amp;AU405&amp;BA405</f>
        <v>C0101-0132</v>
      </c>
      <c r="AY405" s="99" t="str">
        <f>AQ405&amp;AR405&amp;AS405&amp;"-"&amp;AT405&amp;BA405</f>
        <v>C0101-01</v>
      </c>
      <c r="AZ405" s="90"/>
      <c r="BA405" s="1" t="str">
        <f t="shared" si="212"/>
        <v/>
      </c>
      <c r="BC405" s="1">
        <f t="shared" si="189"/>
        <v>1</v>
      </c>
      <c r="BD405" s="90">
        <f t="shared" si="190"/>
        <v>1</v>
      </c>
      <c r="BE405" s="1">
        <f t="shared" si="215"/>
        <v>1</v>
      </c>
      <c r="BF405" s="1">
        <f t="shared" si="216"/>
        <v>1</v>
      </c>
      <c r="BI405"/>
      <c r="BJ405"/>
      <c r="BL405"/>
    </row>
    <row r="406" spans="1:64" ht="11.25" customHeight="1">
      <c r="A406" s="26" t="s">
        <v>2099</v>
      </c>
      <c r="B406" s="27" t="s">
        <v>2089</v>
      </c>
      <c r="C406" s="28">
        <v>76.989999999999995</v>
      </c>
      <c r="D406" s="28">
        <f t="shared" si="203"/>
        <v>38.494999999999997</v>
      </c>
      <c r="E406" s="22" t="s">
        <v>2065</v>
      </c>
      <c r="F406" s="22" t="s">
        <v>2100</v>
      </c>
      <c r="G406" s="22" t="s">
        <v>2101</v>
      </c>
      <c r="H406" s="22" t="s">
        <v>2102</v>
      </c>
      <c r="I406" s="25" t="s">
        <v>645</v>
      </c>
      <c r="J406" s="22" t="s">
        <v>646</v>
      </c>
      <c r="K406" s="23">
        <v>60</v>
      </c>
      <c r="L406" s="23">
        <v>22</v>
      </c>
      <c r="M406" s="23">
        <v>6</v>
      </c>
      <c r="N406" s="3">
        <f t="shared" si="183"/>
        <v>7.92E-3</v>
      </c>
      <c r="O406" s="4" t="e">
        <f>(C406-(C406*#REF!))-((C406-(C406*#REF!))*#REF!)</f>
        <v>#REF!</v>
      </c>
      <c r="P406" s="7">
        <f>154322.964717612-Q406</f>
        <v>11322.964717611991</v>
      </c>
      <c r="Q406" s="7">
        <v>143000</v>
      </c>
      <c r="R406" s="5">
        <f t="shared" si="217"/>
        <v>154322.96471761199</v>
      </c>
      <c r="S406" s="4">
        <f t="shared" si="218"/>
        <v>10.2881976478408</v>
      </c>
      <c r="T406" s="13">
        <f t="shared" si="204"/>
        <v>53.893000000000001</v>
      </c>
      <c r="U406" s="13">
        <f t="shared" si="213"/>
        <v>26.9465</v>
      </c>
      <c r="V406" s="14">
        <f>U406/C406</f>
        <v>0.35000000000000003</v>
      </c>
      <c r="W406" s="14"/>
      <c r="X406" s="19">
        <f t="shared" si="219"/>
        <v>26.9465</v>
      </c>
      <c r="Y406" s="19">
        <f t="shared" si="220"/>
        <v>53.893000000000001</v>
      </c>
      <c r="Z406" s="15">
        <f t="shared" si="222"/>
        <v>2.619166244891816</v>
      </c>
      <c r="AA406" s="22" t="s">
        <v>2103</v>
      </c>
      <c r="AG406" s="94" t="s">
        <v>817</v>
      </c>
      <c r="AH406" s="89" t="str">
        <f>VLOOKUP(AG406,Sheet1!$B$3:$D$36,2,FALSE)</f>
        <v>Kitchen &amp; Dining</v>
      </c>
      <c r="AI406" s="89" t="str">
        <f>VLOOKUP(AG406,Sheet1!$B$3:$D$36,3,FALSE)</f>
        <v>Plates, Bowls &amp; Trays</v>
      </c>
      <c r="AJ406" s="1" t="str">
        <f t="shared" si="205"/>
        <v>Luminous Rectangular-60 Candle Holder</v>
      </c>
      <c r="AK406" s="1" t="str">
        <f t="shared" si="206"/>
        <v>w60 x d22 x h6</v>
      </c>
      <c r="AL406" s="1" t="str">
        <f t="shared" si="207"/>
        <v>teak root</v>
      </c>
      <c r="AM406" s="1" t="str">
        <f t="shared" si="208"/>
        <v>teak root</v>
      </c>
      <c r="AN406" s="1" t="str">
        <f t="shared" si="221"/>
        <v>teak root</v>
      </c>
      <c r="AQ406" s="1" t="str">
        <f t="shared" si="209"/>
        <v>C</v>
      </c>
      <c r="AR406" s="1" t="str">
        <f>VLOOKUP(TRIM(AI406),Sheet1!$D$3:$E$36,2,FALSE)</f>
        <v>01</v>
      </c>
      <c r="AS406" s="90" t="str">
        <f t="shared" si="210"/>
        <v>01</v>
      </c>
      <c r="AT406" s="1" t="str">
        <f t="shared" si="211"/>
        <v>01</v>
      </c>
      <c r="AU406" s="90" t="s">
        <v>648</v>
      </c>
      <c r="AV406" s="90"/>
      <c r="AW406" s="90"/>
      <c r="AX406" s="95" t="str">
        <f>AQ406&amp;AR406&amp;AS406&amp;"-"&amp;AT406&amp;AU406&amp;BA406</f>
        <v>C0101-0132</v>
      </c>
      <c r="AY406" s="99" t="str">
        <f>AQ406&amp;AR406&amp;AS406&amp;"-"&amp;AT406&amp;BA406</f>
        <v>C0101-01</v>
      </c>
      <c r="AZ406" s="90"/>
      <c r="BA406" s="1" t="str">
        <f t="shared" si="212"/>
        <v/>
      </c>
      <c r="BC406" s="1">
        <f t="shared" si="189"/>
        <v>1</v>
      </c>
      <c r="BD406" s="90">
        <f t="shared" si="190"/>
        <v>1</v>
      </c>
      <c r="BE406" s="1">
        <f t="shared" si="215"/>
        <v>1</v>
      </c>
      <c r="BF406" s="1">
        <f t="shared" si="216"/>
        <v>1</v>
      </c>
      <c r="BI406"/>
      <c r="BJ406"/>
      <c r="BL406"/>
    </row>
    <row r="407" spans="1:64" ht="11.25" customHeight="1">
      <c r="A407" s="26" t="s">
        <v>2104</v>
      </c>
      <c r="B407" s="27" t="s">
        <v>2105</v>
      </c>
      <c r="C407" s="28">
        <v>17.989999999999998</v>
      </c>
      <c r="D407" s="28">
        <f t="shared" si="203"/>
        <v>8.9949999999999992</v>
      </c>
      <c r="E407" s="22" t="s">
        <v>2065</v>
      </c>
      <c r="F407" s="22" t="s">
        <v>2106</v>
      </c>
      <c r="G407" s="22" t="s">
        <v>2107</v>
      </c>
      <c r="H407" s="22" t="s">
        <v>2108</v>
      </c>
      <c r="I407" s="25" t="s">
        <v>645</v>
      </c>
      <c r="J407" s="22" t="s">
        <v>646</v>
      </c>
      <c r="L407" s="23">
        <v>18</v>
      </c>
      <c r="M407" s="23">
        <v>6</v>
      </c>
      <c r="N407" s="3">
        <f t="shared" si="183"/>
        <v>1.944E-3</v>
      </c>
      <c r="O407" s="4" t="e">
        <f>(C407-(C407*#REF!))-((C407-(C407*#REF!))*#REF!)</f>
        <v>#REF!</v>
      </c>
      <c r="P407" s="7">
        <f>39799.6504306866-Q407</f>
        <v>6799.6504306865972</v>
      </c>
      <c r="Q407" s="7">
        <v>33000</v>
      </c>
      <c r="R407" s="5">
        <f t="shared" si="217"/>
        <v>39799.650430686597</v>
      </c>
      <c r="S407" s="4">
        <f t="shared" si="218"/>
        <v>2.6533100287124398</v>
      </c>
      <c r="T407" s="13">
        <f t="shared" si="204"/>
        <v>12.593</v>
      </c>
      <c r="U407" s="13">
        <f t="shared" si="213"/>
        <v>6.2965</v>
      </c>
      <c r="V407" s="14">
        <f>U407/C407</f>
        <v>0.35000000000000003</v>
      </c>
      <c r="W407" s="14"/>
      <c r="X407" s="19">
        <f t="shared" si="219"/>
        <v>6.2965</v>
      </c>
      <c r="Y407" s="19">
        <f t="shared" si="220"/>
        <v>12.593</v>
      </c>
      <c r="Z407" s="15">
        <f t="shared" si="222"/>
        <v>2.3730736068771709</v>
      </c>
      <c r="AA407" s="22" t="s">
        <v>2109</v>
      </c>
      <c r="AG407" s="94" t="s">
        <v>817</v>
      </c>
      <c r="AH407" s="89" t="str">
        <f>VLOOKUP(AG407,Sheet1!$B$3:$D$36,2,FALSE)</f>
        <v>Kitchen &amp; Dining</v>
      </c>
      <c r="AI407" s="89" t="str">
        <f>VLOOKUP(AG407,Sheet1!$B$3:$D$36,3,FALSE)</f>
        <v>Plates, Bowls &amp; Trays</v>
      </c>
      <c r="AJ407" s="1" t="str">
        <f t="shared" si="205"/>
        <v>Aura Circular-18 Candle Holder</v>
      </c>
      <c r="AK407" s="1" t="str">
        <f t="shared" si="206"/>
        <v>d18 x h6</v>
      </c>
      <c r="AL407" s="1" t="str">
        <f t="shared" si="207"/>
        <v>teak root</v>
      </c>
      <c r="AM407" s="1" t="str">
        <f t="shared" si="208"/>
        <v>teak root</v>
      </c>
      <c r="AN407" s="1" t="str">
        <f t="shared" si="221"/>
        <v>teak root</v>
      </c>
      <c r="AQ407" s="1" t="str">
        <f t="shared" si="209"/>
        <v>C</v>
      </c>
      <c r="AR407" s="1" t="str">
        <f>VLOOKUP(TRIM(AI407),Sheet1!$D$3:$E$36,2,FALSE)</f>
        <v>01</v>
      </c>
      <c r="AS407" s="90" t="str">
        <f t="shared" si="210"/>
        <v>01</v>
      </c>
      <c r="AT407" s="1" t="str">
        <f t="shared" si="211"/>
        <v>01</v>
      </c>
      <c r="AU407" s="90" t="s">
        <v>648</v>
      </c>
      <c r="AV407" s="90"/>
      <c r="AW407" s="90"/>
      <c r="AX407" s="95" t="str">
        <f>AQ407&amp;AR407&amp;AS407&amp;"-"&amp;AT407&amp;AU407&amp;BA407</f>
        <v>C0101-0132</v>
      </c>
      <c r="AY407" s="99" t="str">
        <f>AQ407&amp;AR407&amp;AS407&amp;"-"&amp;AT407&amp;BA407</f>
        <v>C0101-01</v>
      </c>
      <c r="AZ407" s="90"/>
      <c r="BA407" s="1" t="str">
        <f t="shared" si="212"/>
        <v/>
      </c>
      <c r="BC407" s="1">
        <f t="shared" si="189"/>
        <v>1</v>
      </c>
      <c r="BD407" s="90">
        <f t="shared" si="190"/>
        <v>1</v>
      </c>
      <c r="BE407" s="1">
        <f t="shared" si="215"/>
        <v>1</v>
      </c>
      <c r="BF407" s="1">
        <f t="shared" si="216"/>
        <v>1</v>
      </c>
      <c r="BI407"/>
      <c r="BJ407"/>
      <c r="BL407"/>
    </row>
    <row r="408" spans="1:64" ht="11.25" customHeight="1">
      <c r="A408" s="26" t="s">
        <v>2110</v>
      </c>
      <c r="B408" s="27" t="s">
        <v>2105</v>
      </c>
      <c r="C408" s="28">
        <v>36.99</v>
      </c>
      <c r="D408" s="28">
        <f t="shared" si="203"/>
        <v>18.495000000000001</v>
      </c>
      <c r="E408" s="22" t="s">
        <v>2065</v>
      </c>
      <c r="F408" s="22" t="s">
        <v>2111</v>
      </c>
      <c r="G408" s="22" t="s">
        <v>2112</v>
      </c>
      <c r="H408" s="22" t="s">
        <v>2113</v>
      </c>
      <c r="I408" s="25" t="s">
        <v>645</v>
      </c>
      <c r="J408" s="22" t="s">
        <v>646</v>
      </c>
      <c r="L408" s="23">
        <v>26</v>
      </c>
      <c r="M408" s="23">
        <v>6</v>
      </c>
      <c r="N408" s="3">
        <f t="shared" si="183"/>
        <v>4.0559999999999997E-3</v>
      </c>
      <c r="O408" s="4" t="e">
        <f>(C408-(C408*#REF!))-((C408-(C408*#REF!))*#REF!)</f>
        <v>#REF!</v>
      </c>
      <c r="P408" s="7">
        <f>90755.7455505647-Q408</f>
        <v>18155.745550564694</v>
      </c>
      <c r="Q408" s="7">
        <v>72600</v>
      </c>
      <c r="R408" s="5">
        <f t="shared" si="217"/>
        <v>90755.745550564694</v>
      </c>
      <c r="S408" s="4">
        <f t="shared" si="218"/>
        <v>6.0503830367043125</v>
      </c>
      <c r="T408" s="13">
        <f t="shared" si="204"/>
        <v>25.893000000000001</v>
      </c>
      <c r="U408" s="13">
        <f t="shared" si="213"/>
        <v>12.9465</v>
      </c>
      <c r="V408" s="14">
        <f>U408/C408</f>
        <v>0.35</v>
      </c>
      <c r="W408" s="14"/>
      <c r="X408" s="19">
        <f t="shared" si="219"/>
        <v>12.9465</v>
      </c>
      <c r="Y408" s="19">
        <f t="shared" si="220"/>
        <v>25.893000000000001</v>
      </c>
      <c r="Z408" s="15">
        <f t="shared" si="222"/>
        <v>2.1397818818181884</v>
      </c>
      <c r="AA408" s="22" t="s">
        <v>2114</v>
      </c>
      <c r="AG408" s="94" t="s">
        <v>817</v>
      </c>
      <c r="AH408" s="89" t="str">
        <f>VLOOKUP(AG408,Sheet1!$B$3:$D$36,2,FALSE)</f>
        <v>Kitchen &amp; Dining</v>
      </c>
      <c r="AI408" s="89" t="str">
        <f>VLOOKUP(AG408,Sheet1!$B$3:$D$36,3,FALSE)</f>
        <v>Plates, Bowls &amp; Trays</v>
      </c>
      <c r="AJ408" s="1" t="str">
        <f t="shared" si="205"/>
        <v>Aura Circular-26 Candle Holder</v>
      </c>
      <c r="AK408" s="1" t="str">
        <f t="shared" si="206"/>
        <v>d26 x h6</v>
      </c>
      <c r="AL408" s="1" t="str">
        <f t="shared" si="207"/>
        <v>teak root</v>
      </c>
      <c r="AM408" s="1" t="str">
        <f t="shared" si="208"/>
        <v>teak root</v>
      </c>
      <c r="AN408" s="1" t="str">
        <f t="shared" si="221"/>
        <v>teak root</v>
      </c>
      <c r="AQ408" s="1" t="str">
        <f t="shared" si="209"/>
        <v>C</v>
      </c>
      <c r="AR408" s="1" t="str">
        <f>VLOOKUP(TRIM(AI408),Sheet1!$D$3:$E$36,2,FALSE)</f>
        <v>01</v>
      </c>
      <c r="AS408" s="90" t="str">
        <f t="shared" si="210"/>
        <v>01</v>
      </c>
      <c r="AT408" s="1" t="str">
        <f t="shared" si="211"/>
        <v>01</v>
      </c>
      <c r="AU408" s="90" t="s">
        <v>648</v>
      </c>
      <c r="AV408" s="90"/>
      <c r="AW408" s="90"/>
      <c r="AX408" s="95" t="str">
        <f>AQ408&amp;AR408&amp;AS408&amp;"-"&amp;AT408&amp;AU408&amp;BA408</f>
        <v>C0101-0132</v>
      </c>
      <c r="AY408" s="99" t="str">
        <f>AQ408&amp;AR408&amp;AS408&amp;"-"&amp;AT408&amp;BA408</f>
        <v>C0101-01</v>
      </c>
      <c r="AZ408" s="90"/>
      <c r="BA408" s="1" t="str">
        <f t="shared" si="212"/>
        <v/>
      </c>
      <c r="BC408" s="1">
        <f t="shared" si="189"/>
        <v>1</v>
      </c>
      <c r="BD408" s="90">
        <f t="shared" si="190"/>
        <v>1</v>
      </c>
      <c r="BE408" s="1">
        <f t="shared" si="215"/>
        <v>1</v>
      </c>
      <c r="BF408" s="1">
        <f t="shared" si="216"/>
        <v>1</v>
      </c>
      <c r="BI408"/>
      <c r="BJ408"/>
      <c r="BL408"/>
    </row>
    <row r="409" spans="1:64" ht="11.25" customHeight="1">
      <c r="A409" s="26" t="s">
        <v>2115</v>
      </c>
      <c r="B409" s="27" t="s">
        <v>2105</v>
      </c>
      <c r="C409" s="28">
        <v>64.989999999999995</v>
      </c>
      <c r="D409" s="28">
        <f t="shared" si="203"/>
        <v>32.494999999999997</v>
      </c>
      <c r="E409" s="22" t="s">
        <v>2065</v>
      </c>
      <c r="F409" s="22" t="s">
        <v>2116</v>
      </c>
      <c r="G409" s="22" t="s">
        <v>2117</v>
      </c>
      <c r="H409" s="22" t="s">
        <v>2118</v>
      </c>
      <c r="I409" s="25" t="s">
        <v>645</v>
      </c>
      <c r="J409" s="22" t="s">
        <v>646</v>
      </c>
      <c r="L409" s="23">
        <v>32</v>
      </c>
      <c r="M409" s="23">
        <v>6</v>
      </c>
      <c r="N409" s="3">
        <f t="shared" si="183"/>
        <v>6.1440000000000002E-3</v>
      </c>
      <c r="O409" s="4" t="e">
        <f>(C409-(C409*#REF!))-((C409-(C409*#REF!))*#REF!)</f>
        <v>#REF!</v>
      </c>
      <c r="P409" s="7">
        <f>132965.221114269-Q409</f>
        <v>11965.221114268992</v>
      </c>
      <c r="Q409" s="7">
        <v>121000</v>
      </c>
      <c r="R409" s="5">
        <f t="shared" si="217"/>
        <v>132965.22111426899</v>
      </c>
      <c r="S409" s="4">
        <f t="shared" si="218"/>
        <v>8.8643480742845995</v>
      </c>
      <c r="T409" s="13">
        <f t="shared" si="204"/>
        <v>45.492999999999995</v>
      </c>
      <c r="U409" s="13">
        <f t="shared" si="213"/>
        <v>22.746499999999997</v>
      </c>
      <c r="V409" s="14">
        <f>U409/C409</f>
        <v>0.35</v>
      </c>
      <c r="W409" s="14"/>
      <c r="X409" s="19">
        <f t="shared" si="219"/>
        <v>22.746499999999997</v>
      </c>
      <c r="Y409" s="19">
        <f t="shared" si="220"/>
        <v>45.492999999999995</v>
      </c>
      <c r="Z409" s="15">
        <f t="shared" si="222"/>
        <v>2.5660657511845013</v>
      </c>
      <c r="AA409" s="22" t="s">
        <v>2119</v>
      </c>
      <c r="AG409" s="94" t="s">
        <v>817</v>
      </c>
      <c r="AH409" s="89" t="str">
        <f>VLOOKUP(AG409,Sheet1!$B$3:$D$36,2,FALSE)</f>
        <v>Kitchen &amp; Dining</v>
      </c>
      <c r="AI409" s="89" t="str">
        <f>VLOOKUP(AG409,Sheet1!$B$3:$D$36,3,FALSE)</f>
        <v>Plates, Bowls &amp; Trays</v>
      </c>
      <c r="AJ409" s="1" t="str">
        <f t="shared" si="205"/>
        <v>Aura Circular-32 Candle Holder</v>
      </c>
      <c r="AK409" s="1" t="str">
        <f t="shared" si="206"/>
        <v>d32 x h6</v>
      </c>
      <c r="AL409" s="1" t="str">
        <f t="shared" si="207"/>
        <v>teak root</v>
      </c>
      <c r="AM409" s="1" t="str">
        <f t="shared" si="208"/>
        <v>teak root</v>
      </c>
      <c r="AN409" s="1" t="str">
        <f t="shared" si="221"/>
        <v>teak root</v>
      </c>
      <c r="AQ409" s="1" t="str">
        <f t="shared" si="209"/>
        <v>C</v>
      </c>
      <c r="AR409" s="1" t="str">
        <f>VLOOKUP(TRIM(AI409),Sheet1!$D$3:$E$36,2,FALSE)</f>
        <v>01</v>
      </c>
      <c r="AS409" s="90" t="str">
        <f t="shared" si="210"/>
        <v>01</v>
      </c>
      <c r="AT409" s="1" t="str">
        <f t="shared" si="211"/>
        <v>01</v>
      </c>
      <c r="AU409" s="90" t="s">
        <v>648</v>
      </c>
      <c r="AV409" s="90"/>
      <c r="AW409" s="90"/>
      <c r="AX409" s="95" t="str">
        <f>AQ409&amp;AR409&amp;AS409&amp;"-"&amp;AT409&amp;AU409&amp;BA409</f>
        <v>C0101-0132</v>
      </c>
      <c r="AY409" s="99" t="str">
        <f>AQ409&amp;AR409&amp;AS409&amp;"-"&amp;AT409&amp;BA409</f>
        <v>C0101-01</v>
      </c>
      <c r="AZ409" s="90"/>
      <c r="BA409" s="1" t="str">
        <f t="shared" si="212"/>
        <v/>
      </c>
      <c r="BC409" s="1">
        <f t="shared" si="189"/>
        <v>1</v>
      </c>
      <c r="BD409" s="90">
        <f t="shared" si="190"/>
        <v>1</v>
      </c>
      <c r="BE409" s="1">
        <f t="shared" si="215"/>
        <v>1</v>
      </c>
      <c r="BF409" s="1">
        <f t="shared" si="216"/>
        <v>1</v>
      </c>
      <c r="BI409"/>
      <c r="BJ409"/>
      <c r="BL409"/>
    </row>
    <row r="410" spans="1:64" ht="11.25" customHeight="1">
      <c r="A410" s="26" t="s">
        <v>2120</v>
      </c>
      <c r="B410" s="27" t="s">
        <v>2121</v>
      </c>
      <c r="C410" s="28">
        <v>18.989999999999998</v>
      </c>
      <c r="D410" s="28">
        <f t="shared" si="203"/>
        <v>9.4949999999999992</v>
      </c>
      <c r="E410" s="22" t="s">
        <v>2065</v>
      </c>
      <c r="F410" s="22" t="s">
        <v>2122</v>
      </c>
      <c r="G410" s="22" t="s">
        <v>2123</v>
      </c>
      <c r="H410" s="22" t="s">
        <v>2124</v>
      </c>
      <c r="I410" s="25" t="s">
        <v>2125</v>
      </c>
      <c r="J410" s="22" t="s">
        <v>646</v>
      </c>
      <c r="L410" s="23">
        <v>15</v>
      </c>
      <c r="M410" s="23">
        <v>15</v>
      </c>
      <c r="N410" s="3">
        <f t="shared" si="183"/>
        <v>3.375E-3</v>
      </c>
      <c r="O410" s="4" t="e">
        <f>(C410-(C410*#REF!))-((C410-(C410*#REF!))*#REF!)</f>
        <v>#REF!</v>
      </c>
      <c r="P410" s="7">
        <f>Q410*0.3</f>
        <v>20880</v>
      </c>
      <c r="Q410" s="7">
        <v>69600</v>
      </c>
      <c r="R410" s="5">
        <f t="shared" si="217"/>
        <v>90480</v>
      </c>
      <c r="S410" s="4">
        <f t="shared" si="218"/>
        <v>6.032</v>
      </c>
      <c r="T410" s="13">
        <f t="shared" si="204"/>
        <v>13.292999999999999</v>
      </c>
      <c r="U410" s="13">
        <f t="shared" si="213"/>
        <v>6.6464999999999996</v>
      </c>
      <c r="V410" s="14">
        <f>U410/C410</f>
        <v>0.35000000000000003</v>
      </c>
      <c r="W410" s="18">
        <f>S410*1.5</f>
        <v>9.048</v>
      </c>
      <c r="X410" s="19">
        <f t="shared" si="219"/>
        <v>9.048</v>
      </c>
      <c r="Y410" s="19">
        <f t="shared" si="220"/>
        <v>18.096</v>
      </c>
      <c r="Z410" s="15">
        <v>2</v>
      </c>
      <c r="AA410" s="22" t="s">
        <v>2126</v>
      </c>
      <c r="AG410" s="94" t="s">
        <v>1169</v>
      </c>
      <c r="AH410" s="89" t="str">
        <f>VLOOKUP(AG410,Sheet1!$B$3:$D$36,2,FALSE)</f>
        <v>Decors</v>
      </c>
      <c r="AI410" s="89" t="s">
        <v>2070</v>
      </c>
      <c r="AJ410" s="1" t="str">
        <f t="shared" si="205"/>
        <v>Elven Guard 4-15 Candle Holder</v>
      </c>
      <c r="AK410" s="1" t="str">
        <f t="shared" si="206"/>
        <v>d15 x h15</v>
      </c>
      <c r="AL410" s="1" t="str">
        <f t="shared" si="207"/>
        <v>teak branches indoor</v>
      </c>
      <c r="AM410" s="1" t="str">
        <f t="shared" si="208"/>
        <v>teak branches indoor</v>
      </c>
      <c r="AN410" s="1" t="str">
        <f t="shared" ref="AN410:AN418" si="223">SUBSTITUTE(AL410,"indoor","")</f>
        <v xml:space="preserve">teak branches </v>
      </c>
      <c r="AO410" s="1" t="s">
        <v>54</v>
      </c>
      <c r="AQ410" s="1" t="str">
        <f t="shared" si="209"/>
        <v>B</v>
      </c>
      <c r="AR410" s="1" t="str">
        <f>VLOOKUP(TRIM(AI410),Sheet1!$D$3:$E$36,2,FALSE)</f>
        <v>07</v>
      </c>
      <c r="AS410" s="90" t="str">
        <f t="shared" si="210"/>
        <v>01</v>
      </c>
      <c r="AT410" s="1" t="str">
        <f t="shared" si="211"/>
        <v>01</v>
      </c>
      <c r="AU410" s="90" t="s">
        <v>664</v>
      </c>
      <c r="AV410" s="90"/>
      <c r="AW410" s="90"/>
      <c r="AX410" s="95" t="str">
        <f>AQ410&amp;AR410&amp;AS410&amp;"-"&amp;AT410&amp;AU410&amp;BA410</f>
        <v>B0701-0127IND</v>
      </c>
      <c r="AY410" s="99" t="str">
        <f>AQ410&amp;AR410&amp;AS410&amp;"-"&amp;AT410&amp;BA410</f>
        <v>B0701-01IND</v>
      </c>
      <c r="AZ410" s="90"/>
      <c r="BA410" s="1" t="str">
        <f t="shared" si="212"/>
        <v>IND</v>
      </c>
      <c r="BC410" s="1">
        <f t="shared" si="189"/>
        <v>1</v>
      </c>
      <c r="BD410" s="90">
        <f t="shared" si="190"/>
        <v>1</v>
      </c>
      <c r="BE410" s="1">
        <f t="shared" si="215"/>
        <v>1</v>
      </c>
      <c r="BF410" s="1">
        <f t="shared" si="216"/>
        <v>1</v>
      </c>
      <c r="BI410"/>
      <c r="BJ410"/>
      <c r="BL410"/>
    </row>
    <row r="411" spans="1:64" ht="11.25" customHeight="1">
      <c r="A411" s="26" t="s">
        <v>2127</v>
      </c>
      <c r="B411" s="27" t="s">
        <v>2128</v>
      </c>
      <c r="C411" s="28">
        <v>25.99</v>
      </c>
      <c r="D411" s="28">
        <f t="shared" si="203"/>
        <v>12.994999999999999</v>
      </c>
      <c r="E411" s="22" t="s">
        <v>2065</v>
      </c>
      <c r="F411" s="22" t="s">
        <v>2129</v>
      </c>
      <c r="G411" s="22" t="s">
        <v>2130</v>
      </c>
      <c r="H411" s="22" t="s">
        <v>2131</v>
      </c>
      <c r="I411" s="25" t="s">
        <v>2125</v>
      </c>
      <c r="J411" s="22" t="s">
        <v>646</v>
      </c>
      <c r="L411" s="23">
        <v>15</v>
      </c>
      <c r="M411" s="23">
        <v>35</v>
      </c>
      <c r="N411" s="3">
        <f t="shared" si="183"/>
        <v>7.8750000000000001E-3</v>
      </c>
      <c r="O411" s="4" t="e">
        <f>(C411-(C411*#REF!))-((C411-(C411*#REF!))*#REF!)</f>
        <v>#REF!</v>
      </c>
      <c r="P411" s="7"/>
      <c r="Q411" s="7"/>
      <c r="R411" s="5">
        <f t="shared" si="217"/>
        <v>0</v>
      </c>
      <c r="S411" s="4">
        <f t="shared" si="218"/>
        <v>0</v>
      </c>
      <c r="T411" s="13">
        <f t="shared" si="204"/>
        <v>18.192999999999998</v>
      </c>
      <c r="U411" s="13">
        <f t="shared" si="213"/>
        <v>9.0964999999999989</v>
      </c>
      <c r="V411" s="14">
        <f>U411/C411</f>
        <v>0.35</v>
      </c>
      <c r="W411" s="14"/>
      <c r="X411" s="19">
        <f t="shared" si="219"/>
        <v>9.0964999999999989</v>
      </c>
      <c r="Y411" s="19">
        <f t="shared" si="220"/>
        <v>18.192999999999998</v>
      </c>
      <c r="Z411" s="15" t="e">
        <f>U411/S411</f>
        <v>#DIV/0!</v>
      </c>
      <c r="AA411" s="22" t="s">
        <v>2132</v>
      </c>
      <c r="AG411" s="94" t="s">
        <v>1169</v>
      </c>
      <c r="AH411" s="89" t="str">
        <f>VLOOKUP(AG411,Sheet1!$B$3:$D$36,2,FALSE)</f>
        <v>Decors</v>
      </c>
      <c r="AI411" s="89" t="s">
        <v>2070</v>
      </c>
      <c r="AJ411" s="1" t="str">
        <f t="shared" si="205"/>
        <v>Elven Guard 4-35 Candle Holder</v>
      </c>
      <c r="AK411" s="1" t="str">
        <f t="shared" si="206"/>
        <v>d15 x h35</v>
      </c>
      <c r="AL411" s="1" t="str">
        <f t="shared" si="207"/>
        <v>teak branches indoor</v>
      </c>
      <c r="AM411" s="1" t="str">
        <f t="shared" si="208"/>
        <v>teak branches indoor</v>
      </c>
      <c r="AN411" s="1" t="str">
        <f t="shared" si="223"/>
        <v xml:space="preserve">teak branches </v>
      </c>
      <c r="AO411" s="1" t="s">
        <v>54</v>
      </c>
      <c r="AQ411" s="1" t="str">
        <f t="shared" si="209"/>
        <v>B</v>
      </c>
      <c r="AR411" s="1" t="str">
        <f>VLOOKUP(TRIM(AI411),Sheet1!$D$3:$E$36,2,FALSE)</f>
        <v>07</v>
      </c>
      <c r="AS411" s="90" t="str">
        <f t="shared" si="210"/>
        <v>01</v>
      </c>
      <c r="AT411" s="1" t="str">
        <f t="shared" si="211"/>
        <v>01</v>
      </c>
      <c r="AU411" s="90" t="s">
        <v>664</v>
      </c>
      <c r="AV411" s="90"/>
      <c r="AW411" s="90"/>
      <c r="AX411" s="95" t="str">
        <f>AQ411&amp;AR411&amp;AS411&amp;"-"&amp;AT411&amp;AU411&amp;BA411</f>
        <v>B0701-0127IND</v>
      </c>
      <c r="AY411" s="99" t="str">
        <f>AQ411&amp;AR411&amp;AS411&amp;"-"&amp;AT411&amp;BA411</f>
        <v>B0701-01IND</v>
      </c>
      <c r="AZ411" s="90"/>
      <c r="BA411" s="1" t="str">
        <f t="shared" si="212"/>
        <v>IND</v>
      </c>
      <c r="BC411" s="1">
        <f t="shared" si="189"/>
        <v>1</v>
      </c>
      <c r="BD411" s="90">
        <f t="shared" si="190"/>
        <v>1</v>
      </c>
      <c r="BE411" s="1">
        <f t="shared" si="215"/>
        <v>1</v>
      </c>
      <c r="BF411" s="1">
        <f t="shared" si="216"/>
        <v>1</v>
      </c>
      <c r="BI411"/>
      <c r="BJ411"/>
      <c r="BL411"/>
    </row>
    <row r="412" spans="1:64" ht="11.25" customHeight="1">
      <c r="A412" s="26" t="s">
        <v>2133</v>
      </c>
      <c r="B412" s="27" t="s">
        <v>2134</v>
      </c>
      <c r="C412" s="28">
        <v>64.989999999999995</v>
      </c>
      <c r="D412" s="28">
        <f t="shared" si="203"/>
        <v>32.494999999999997</v>
      </c>
      <c r="E412" s="22" t="s">
        <v>2065</v>
      </c>
      <c r="F412" s="22" t="s">
        <v>2135</v>
      </c>
      <c r="G412" s="22" t="s">
        <v>2136</v>
      </c>
      <c r="H412" s="22" t="s">
        <v>2137</v>
      </c>
      <c r="I412" s="25" t="s">
        <v>2125</v>
      </c>
      <c r="J412" s="22" t="s">
        <v>646</v>
      </c>
      <c r="L412" s="23">
        <v>15</v>
      </c>
      <c r="M412" s="23">
        <v>60</v>
      </c>
      <c r="N412" s="3">
        <f t="shared" si="183"/>
        <v>1.35E-2</v>
      </c>
      <c r="O412" s="4" t="e">
        <f>(C412-(C412*#REF!))-((C412-(C412*#REF!))*#REF!)</f>
        <v>#REF!</v>
      </c>
      <c r="P412" s="7">
        <f>170626.218268657-Q412</f>
        <v>32626.218268656987</v>
      </c>
      <c r="Q412" s="7">
        <v>138000</v>
      </c>
      <c r="R412" s="5">
        <f t="shared" si="217"/>
        <v>170626.21826865699</v>
      </c>
      <c r="S412" s="4">
        <f t="shared" si="218"/>
        <v>11.375081217910466</v>
      </c>
      <c r="T412" s="13">
        <f t="shared" si="204"/>
        <v>45.492999999999995</v>
      </c>
      <c r="U412" s="13">
        <f t="shared" si="213"/>
        <v>22.746499999999997</v>
      </c>
      <c r="V412" s="14">
        <f>U412/C412</f>
        <v>0.35</v>
      </c>
      <c r="W412" s="18">
        <f>S412*$W$1</f>
        <v>22.750162435820933</v>
      </c>
      <c r="X412" s="19">
        <f t="shared" si="219"/>
        <v>22.750162435820933</v>
      </c>
      <c r="Y412" s="19">
        <f t="shared" si="220"/>
        <v>45.500324871641865</v>
      </c>
      <c r="Z412" s="15">
        <f>U412/S412</f>
        <v>1.9996780299190156</v>
      </c>
      <c r="AA412" s="22" t="s">
        <v>2138</v>
      </c>
      <c r="AG412" s="94" t="s">
        <v>1169</v>
      </c>
      <c r="AH412" s="89" t="str">
        <f>VLOOKUP(AG412,Sheet1!$B$3:$D$36,2,FALSE)</f>
        <v>Decors</v>
      </c>
      <c r="AI412" s="89" t="s">
        <v>2070</v>
      </c>
      <c r="AJ412" s="1" t="str">
        <f t="shared" si="205"/>
        <v>Elven Guard 4-60 Candle Holder</v>
      </c>
      <c r="AK412" s="1" t="str">
        <f t="shared" si="206"/>
        <v>d15 x h60</v>
      </c>
      <c r="AL412" s="1" t="str">
        <f t="shared" si="207"/>
        <v>teak branches indoor</v>
      </c>
      <c r="AM412" s="1" t="str">
        <f t="shared" si="208"/>
        <v>teak branches indoor</v>
      </c>
      <c r="AN412" s="1" t="str">
        <f t="shared" si="223"/>
        <v xml:space="preserve">teak branches </v>
      </c>
      <c r="AO412" s="1" t="s">
        <v>54</v>
      </c>
      <c r="AQ412" s="1" t="str">
        <f t="shared" si="209"/>
        <v>B</v>
      </c>
      <c r="AR412" s="1" t="str">
        <f>VLOOKUP(TRIM(AI412),Sheet1!$D$3:$E$36,2,FALSE)</f>
        <v>07</v>
      </c>
      <c r="AS412" s="90" t="str">
        <f t="shared" si="210"/>
        <v>01</v>
      </c>
      <c r="AT412" s="1" t="str">
        <f t="shared" si="211"/>
        <v>01</v>
      </c>
      <c r="AU412" s="90" t="s">
        <v>664</v>
      </c>
      <c r="AV412" s="90"/>
      <c r="AW412" s="90"/>
      <c r="AX412" s="95" t="str">
        <f>AQ412&amp;AR412&amp;AS412&amp;"-"&amp;AT412&amp;AU412&amp;BA412</f>
        <v>B0701-0127IND</v>
      </c>
      <c r="AY412" s="99" t="str">
        <f>AQ412&amp;AR412&amp;AS412&amp;"-"&amp;AT412&amp;BA412</f>
        <v>B0701-01IND</v>
      </c>
      <c r="AZ412" s="90"/>
      <c r="BA412" s="1" t="str">
        <f t="shared" si="212"/>
        <v>IND</v>
      </c>
      <c r="BC412" s="1">
        <f t="shared" si="189"/>
        <v>1</v>
      </c>
      <c r="BD412" s="90">
        <f t="shared" si="190"/>
        <v>1</v>
      </c>
      <c r="BE412" s="1">
        <f t="shared" si="215"/>
        <v>1</v>
      </c>
      <c r="BF412" s="1">
        <f t="shared" si="216"/>
        <v>1</v>
      </c>
      <c r="BI412"/>
      <c r="BJ412"/>
      <c r="BL412"/>
    </row>
    <row r="413" spans="1:64" ht="11.25" customHeight="1">
      <c r="A413" s="26" t="s">
        <v>2139</v>
      </c>
      <c r="B413" s="27" t="s">
        <v>2140</v>
      </c>
      <c r="C413" s="28">
        <v>24.99</v>
      </c>
      <c r="D413" s="28">
        <f t="shared" si="203"/>
        <v>12.494999999999999</v>
      </c>
      <c r="E413" s="22" t="s">
        <v>2065</v>
      </c>
      <c r="F413" s="22" t="s">
        <v>2141</v>
      </c>
      <c r="G413" s="22" t="s">
        <v>2142</v>
      </c>
      <c r="H413" s="22" t="s">
        <v>2143</v>
      </c>
      <c r="I413" s="25" t="s">
        <v>2125</v>
      </c>
      <c r="J413" s="22" t="s">
        <v>646</v>
      </c>
      <c r="L413" s="23">
        <v>20</v>
      </c>
      <c r="M413" s="23">
        <v>15</v>
      </c>
      <c r="N413" s="3">
        <f t="shared" si="183"/>
        <v>6.0000000000000001E-3</v>
      </c>
      <c r="O413" s="4" t="e">
        <f>(C413-(C413*#REF!))-((C413-(C413*#REF!))*#REF!)</f>
        <v>#REF!</v>
      </c>
      <c r="P413" s="7"/>
      <c r="Q413" s="7"/>
      <c r="R413" s="5">
        <f t="shared" si="217"/>
        <v>0</v>
      </c>
      <c r="S413" s="4">
        <f t="shared" si="218"/>
        <v>0</v>
      </c>
      <c r="T413" s="13">
        <f t="shared" si="204"/>
        <v>17.492999999999999</v>
      </c>
      <c r="U413" s="13">
        <f t="shared" si="213"/>
        <v>8.7464999999999993</v>
      </c>
      <c r="V413" s="14">
        <f>U413/C413</f>
        <v>0.35</v>
      </c>
      <c r="W413" s="14"/>
      <c r="X413" s="19">
        <f t="shared" si="219"/>
        <v>8.7464999999999993</v>
      </c>
      <c r="Y413" s="19">
        <f t="shared" si="220"/>
        <v>17.492999999999999</v>
      </c>
      <c r="Z413" s="15" t="e">
        <f>U413/S413</f>
        <v>#DIV/0!</v>
      </c>
      <c r="AA413" s="22" t="s">
        <v>2144</v>
      </c>
      <c r="AG413" s="94" t="s">
        <v>1169</v>
      </c>
      <c r="AH413" s="89" t="str">
        <f>VLOOKUP(AG413,Sheet1!$B$3:$D$36,2,FALSE)</f>
        <v>Decors</v>
      </c>
      <c r="AI413" s="89" t="s">
        <v>2070</v>
      </c>
      <c r="AJ413" s="1" t="str">
        <f t="shared" si="205"/>
        <v>Elven Guard 5-15 Candle Holder</v>
      </c>
      <c r="AK413" s="1" t="str">
        <f t="shared" si="206"/>
        <v>d20 x h15</v>
      </c>
      <c r="AL413" s="1" t="str">
        <f t="shared" si="207"/>
        <v>teak branches indoor</v>
      </c>
      <c r="AM413" s="1" t="str">
        <f t="shared" si="208"/>
        <v>teak branches indoor</v>
      </c>
      <c r="AN413" s="1" t="str">
        <f t="shared" si="223"/>
        <v xml:space="preserve">teak branches </v>
      </c>
      <c r="AO413" s="1" t="s">
        <v>54</v>
      </c>
      <c r="AQ413" s="1" t="str">
        <f t="shared" si="209"/>
        <v>B</v>
      </c>
      <c r="AR413" s="1" t="str">
        <f>VLOOKUP(TRIM(AI413),Sheet1!$D$3:$E$36,2,FALSE)</f>
        <v>07</v>
      </c>
      <c r="AS413" s="90" t="str">
        <f t="shared" si="210"/>
        <v>01</v>
      </c>
      <c r="AT413" s="1" t="str">
        <f t="shared" si="211"/>
        <v>01</v>
      </c>
      <c r="AU413" s="90" t="s">
        <v>664</v>
      </c>
      <c r="AV413" s="90"/>
      <c r="AW413" s="90"/>
      <c r="AX413" s="95" t="str">
        <f>AQ413&amp;AR413&amp;AS413&amp;"-"&amp;AT413&amp;AU413&amp;BA413</f>
        <v>B0701-0127IND</v>
      </c>
      <c r="AY413" s="99" t="str">
        <f>AQ413&amp;AR413&amp;AS413&amp;"-"&amp;AT413&amp;BA413</f>
        <v>B0701-01IND</v>
      </c>
      <c r="AZ413" s="90"/>
      <c r="BA413" s="1" t="str">
        <f t="shared" si="212"/>
        <v>IND</v>
      </c>
      <c r="BC413" s="1">
        <f t="shared" si="189"/>
        <v>1</v>
      </c>
      <c r="BD413" s="90">
        <f t="shared" si="190"/>
        <v>1</v>
      </c>
      <c r="BE413" s="1">
        <f t="shared" si="215"/>
        <v>1</v>
      </c>
      <c r="BF413" s="1">
        <f t="shared" si="216"/>
        <v>1</v>
      </c>
      <c r="BI413"/>
      <c r="BJ413"/>
      <c r="BL413"/>
    </row>
    <row r="414" spans="1:64" ht="11.25" customHeight="1">
      <c r="A414" s="26" t="s">
        <v>2145</v>
      </c>
      <c r="B414" s="27" t="s">
        <v>2146</v>
      </c>
      <c r="C414" s="28">
        <v>49.99</v>
      </c>
      <c r="D414" s="28">
        <f t="shared" si="203"/>
        <v>24.995000000000001</v>
      </c>
      <c r="E414" s="22" t="s">
        <v>2065</v>
      </c>
      <c r="F414" s="22" t="s">
        <v>2147</v>
      </c>
      <c r="G414" s="22" t="s">
        <v>2148</v>
      </c>
      <c r="H414" s="22" t="s">
        <v>2149</v>
      </c>
      <c r="I414" s="25" t="s">
        <v>2125</v>
      </c>
      <c r="J414" s="22" t="s">
        <v>646</v>
      </c>
      <c r="L414" s="23">
        <v>20</v>
      </c>
      <c r="M414" s="23">
        <v>35</v>
      </c>
      <c r="N414" s="3">
        <f t="shared" si="183"/>
        <v>1.4E-2</v>
      </c>
      <c r="O414" s="4" t="e">
        <f>(C414-(C414*#REF!))-((C414-(C414*#REF!))*#REF!)</f>
        <v>#REF!</v>
      </c>
      <c r="P414" s="7">
        <f>138340.04811194-Q414</f>
        <v>23488.048111940006</v>
      </c>
      <c r="Q414" s="7">
        <v>114852</v>
      </c>
      <c r="R414" s="5">
        <f t="shared" si="217"/>
        <v>138340.04811194001</v>
      </c>
      <c r="S414" s="4">
        <f t="shared" si="218"/>
        <v>9.222669874129334</v>
      </c>
      <c r="T414" s="13">
        <f t="shared" si="204"/>
        <v>34.993000000000002</v>
      </c>
      <c r="U414" s="13">
        <f t="shared" si="213"/>
        <v>17.496500000000001</v>
      </c>
      <c r="V414" s="14">
        <f>U414/C414</f>
        <v>0.35000000000000003</v>
      </c>
      <c r="W414" s="18">
        <f>S414*$W$1</f>
        <v>18.445339748258668</v>
      </c>
      <c r="X414" s="19">
        <f t="shared" si="219"/>
        <v>18.445339748258668</v>
      </c>
      <c r="Y414" s="19">
        <f t="shared" si="220"/>
        <v>36.890679496517336</v>
      </c>
      <c r="Z414" s="15">
        <v>2</v>
      </c>
      <c r="AA414" s="22" t="s">
        <v>2150</v>
      </c>
      <c r="AG414" s="94" t="s">
        <v>1169</v>
      </c>
      <c r="AH414" s="89" t="str">
        <f>VLOOKUP(AG414,Sheet1!$B$3:$D$36,2,FALSE)</f>
        <v>Decors</v>
      </c>
      <c r="AI414" s="89" t="s">
        <v>2070</v>
      </c>
      <c r="AJ414" s="1" t="str">
        <f t="shared" si="205"/>
        <v>Elven Guard 5-35 Candle Holder</v>
      </c>
      <c r="AK414" s="1" t="str">
        <f t="shared" si="206"/>
        <v>d20 x h35</v>
      </c>
      <c r="AL414" s="1" t="str">
        <f t="shared" si="207"/>
        <v>teak branches indoor</v>
      </c>
      <c r="AM414" s="1" t="str">
        <f t="shared" si="208"/>
        <v>teak branches indoor</v>
      </c>
      <c r="AN414" s="1" t="str">
        <f t="shared" si="223"/>
        <v xml:space="preserve">teak branches </v>
      </c>
      <c r="AO414" s="1" t="s">
        <v>54</v>
      </c>
      <c r="AQ414" s="1" t="str">
        <f t="shared" si="209"/>
        <v>B</v>
      </c>
      <c r="AR414" s="1" t="str">
        <f>VLOOKUP(TRIM(AI414),Sheet1!$D$3:$E$36,2,FALSE)</f>
        <v>07</v>
      </c>
      <c r="AS414" s="90" t="str">
        <f t="shared" si="210"/>
        <v>01</v>
      </c>
      <c r="AT414" s="1" t="str">
        <f t="shared" si="211"/>
        <v>01</v>
      </c>
      <c r="AU414" s="90" t="s">
        <v>664</v>
      </c>
      <c r="AV414" s="90"/>
      <c r="AW414" s="90"/>
      <c r="AX414" s="95" t="str">
        <f>AQ414&amp;AR414&amp;AS414&amp;"-"&amp;AT414&amp;AU414&amp;BA414</f>
        <v>B0701-0127IND</v>
      </c>
      <c r="AY414" s="99" t="str">
        <f>AQ414&amp;AR414&amp;AS414&amp;"-"&amp;AT414&amp;BA414</f>
        <v>B0701-01IND</v>
      </c>
      <c r="AZ414" s="90"/>
      <c r="BA414" s="1" t="str">
        <f t="shared" si="212"/>
        <v>IND</v>
      </c>
      <c r="BC414" s="1">
        <f t="shared" si="189"/>
        <v>1</v>
      </c>
      <c r="BD414" s="90">
        <f t="shared" si="190"/>
        <v>1</v>
      </c>
      <c r="BE414" s="1">
        <f t="shared" si="215"/>
        <v>1</v>
      </c>
      <c r="BF414" s="1">
        <f t="shared" si="216"/>
        <v>1</v>
      </c>
      <c r="BI414"/>
      <c r="BJ414"/>
      <c r="BL414"/>
    </row>
    <row r="415" spans="1:64" ht="11.25" customHeight="1">
      <c r="A415" s="26" t="s">
        <v>2151</v>
      </c>
      <c r="B415" s="27" t="s">
        <v>2152</v>
      </c>
      <c r="C415" s="28">
        <v>45.99</v>
      </c>
      <c r="D415" s="28">
        <f t="shared" si="203"/>
        <v>22.995000000000001</v>
      </c>
      <c r="E415" s="22" t="s">
        <v>2065</v>
      </c>
      <c r="F415" s="22" t="s">
        <v>2153</v>
      </c>
      <c r="G415" s="22" t="s">
        <v>2154</v>
      </c>
      <c r="H415" s="22" t="s">
        <v>2155</v>
      </c>
      <c r="I415" s="25" t="s">
        <v>2125</v>
      </c>
      <c r="J415" s="22" t="s">
        <v>646</v>
      </c>
      <c r="L415" s="23">
        <v>20</v>
      </c>
      <c r="M415" s="23">
        <v>60</v>
      </c>
      <c r="N415" s="3">
        <f t="shared" si="183"/>
        <v>2.4E-2</v>
      </c>
      <c r="O415" s="4" t="e">
        <f>(C415-(C415*#REF!))-((C415-(C415*#REF!))*#REF!)</f>
        <v>#REF!</v>
      </c>
      <c r="P415" s="7"/>
      <c r="Q415" s="7"/>
      <c r="R415" s="5">
        <f t="shared" si="217"/>
        <v>0</v>
      </c>
      <c r="S415" s="4">
        <f t="shared" si="218"/>
        <v>0</v>
      </c>
      <c r="T415" s="13">
        <f t="shared" si="204"/>
        <v>32.192999999999998</v>
      </c>
      <c r="U415" s="13">
        <f t="shared" si="213"/>
        <v>16.096499999999999</v>
      </c>
      <c r="V415" s="14">
        <f>U415/C415</f>
        <v>0.35</v>
      </c>
      <c r="W415" s="14"/>
      <c r="X415" s="19">
        <f t="shared" si="219"/>
        <v>16.096499999999999</v>
      </c>
      <c r="Y415" s="19">
        <f t="shared" si="220"/>
        <v>32.192999999999998</v>
      </c>
      <c r="Z415" s="15" t="e">
        <f t="shared" ref="Z415:Z436" si="224">U415/S415</f>
        <v>#DIV/0!</v>
      </c>
      <c r="AA415" s="22" t="s">
        <v>2156</v>
      </c>
      <c r="AG415" s="94" t="s">
        <v>1169</v>
      </c>
      <c r="AH415" s="89" t="str">
        <f>VLOOKUP(AG415,Sheet1!$B$3:$D$36,2,FALSE)</f>
        <v>Decors</v>
      </c>
      <c r="AI415" s="89" t="s">
        <v>2070</v>
      </c>
      <c r="AJ415" s="1" t="str">
        <f t="shared" si="205"/>
        <v>Elven Guard 5-60 Candle Holder</v>
      </c>
      <c r="AK415" s="1" t="str">
        <f t="shared" si="206"/>
        <v>d20 x h60</v>
      </c>
      <c r="AL415" s="1" t="str">
        <f t="shared" si="207"/>
        <v>teak branches indoor</v>
      </c>
      <c r="AM415" s="1" t="str">
        <f t="shared" si="208"/>
        <v>teak branches indoor</v>
      </c>
      <c r="AN415" s="1" t="str">
        <f t="shared" si="223"/>
        <v xml:space="preserve">teak branches </v>
      </c>
      <c r="AO415" s="1" t="s">
        <v>54</v>
      </c>
      <c r="AQ415" s="1" t="str">
        <f t="shared" si="209"/>
        <v>B</v>
      </c>
      <c r="AR415" s="1" t="str">
        <f>VLOOKUP(TRIM(AI415),Sheet1!$D$3:$E$36,2,FALSE)</f>
        <v>07</v>
      </c>
      <c r="AS415" s="90" t="str">
        <f t="shared" si="210"/>
        <v>01</v>
      </c>
      <c r="AT415" s="1" t="str">
        <f t="shared" si="211"/>
        <v>01</v>
      </c>
      <c r="AU415" s="90" t="s">
        <v>664</v>
      </c>
      <c r="AV415" s="90"/>
      <c r="AW415" s="90"/>
      <c r="AX415" s="95" t="str">
        <f>AQ415&amp;AR415&amp;AS415&amp;"-"&amp;AT415&amp;AU415&amp;BA415</f>
        <v>B0701-0127IND</v>
      </c>
      <c r="AY415" s="99" t="str">
        <f>AQ415&amp;AR415&amp;AS415&amp;"-"&amp;AT415&amp;BA415</f>
        <v>B0701-01IND</v>
      </c>
      <c r="AZ415" s="90"/>
      <c r="BA415" s="1" t="str">
        <f t="shared" si="212"/>
        <v>IND</v>
      </c>
      <c r="BC415" s="1">
        <f t="shared" si="189"/>
        <v>1</v>
      </c>
      <c r="BD415" s="90">
        <f t="shared" si="190"/>
        <v>1</v>
      </c>
      <c r="BE415" s="1">
        <f t="shared" si="215"/>
        <v>1</v>
      </c>
      <c r="BF415" s="1">
        <f t="shared" si="216"/>
        <v>1</v>
      </c>
      <c r="BI415"/>
      <c r="BJ415"/>
      <c r="BL415"/>
    </row>
    <row r="416" spans="1:64" ht="11.25" customHeight="1">
      <c r="A416" s="26" t="s">
        <v>2157</v>
      </c>
      <c r="B416" s="27" t="s">
        <v>2158</v>
      </c>
      <c r="C416" s="28">
        <v>30.99</v>
      </c>
      <c r="D416" s="28">
        <f t="shared" si="203"/>
        <v>15.494999999999999</v>
      </c>
      <c r="E416" s="22" t="s">
        <v>2065</v>
      </c>
      <c r="F416" s="22" t="s">
        <v>2141</v>
      </c>
      <c r="G416" s="22" t="s">
        <v>2159</v>
      </c>
      <c r="H416" s="22" t="s">
        <v>2143</v>
      </c>
      <c r="I416" s="25" t="s">
        <v>2125</v>
      </c>
      <c r="J416" s="22" t="s">
        <v>646</v>
      </c>
      <c r="L416" s="23">
        <v>20</v>
      </c>
      <c r="M416" s="23">
        <v>15</v>
      </c>
      <c r="N416" s="3">
        <f t="shared" si="183"/>
        <v>6.0000000000000001E-3</v>
      </c>
      <c r="O416" s="4" t="e">
        <f>(C416-(C416*#REF!))-((C416-(C416*#REF!))*#REF!)</f>
        <v>#REF!</v>
      </c>
      <c r="P416" s="7"/>
      <c r="Q416" s="7"/>
      <c r="R416" s="5">
        <f t="shared" si="217"/>
        <v>0</v>
      </c>
      <c r="S416" s="4">
        <f t="shared" si="218"/>
        <v>0</v>
      </c>
      <c r="T416" s="13">
        <f t="shared" si="204"/>
        <v>21.692999999999998</v>
      </c>
      <c r="U416" s="13">
        <f t="shared" si="213"/>
        <v>10.846499999999999</v>
      </c>
      <c r="V416" s="14">
        <f>U416/C416</f>
        <v>0.35</v>
      </c>
      <c r="W416" s="14"/>
      <c r="X416" s="19">
        <f t="shared" si="219"/>
        <v>10.846499999999999</v>
      </c>
      <c r="Y416" s="19">
        <f t="shared" si="220"/>
        <v>21.692999999999998</v>
      </c>
      <c r="Z416" s="15" t="e">
        <f t="shared" si="224"/>
        <v>#DIV/0!</v>
      </c>
      <c r="AA416" s="22" t="s">
        <v>2160</v>
      </c>
      <c r="AG416" s="94" t="s">
        <v>1169</v>
      </c>
      <c r="AH416" s="89" t="str">
        <f>VLOOKUP(AG416,Sheet1!$B$3:$D$36,2,FALSE)</f>
        <v>Decors</v>
      </c>
      <c r="AI416" s="89" t="s">
        <v>2070</v>
      </c>
      <c r="AJ416" s="1" t="str">
        <f t="shared" si="205"/>
        <v>Elven Guard 5-21 Candle Holder</v>
      </c>
      <c r="AK416" s="1" t="str">
        <f t="shared" si="206"/>
        <v>d20 x h15</v>
      </c>
      <c r="AL416" s="1" t="str">
        <f t="shared" si="207"/>
        <v>teak branches indoor</v>
      </c>
      <c r="AM416" s="1" t="str">
        <f t="shared" si="208"/>
        <v>teak branches indoor</v>
      </c>
      <c r="AN416" s="1" t="str">
        <f t="shared" si="223"/>
        <v xml:space="preserve">teak branches </v>
      </c>
      <c r="AO416" s="1" t="s">
        <v>54</v>
      </c>
      <c r="AQ416" s="1" t="str">
        <f t="shared" si="209"/>
        <v>B</v>
      </c>
      <c r="AR416" s="1" t="str">
        <f>VLOOKUP(TRIM(AI416),Sheet1!$D$3:$E$36,2,FALSE)</f>
        <v>07</v>
      </c>
      <c r="AS416" s="90" t="str">
        <f t="shared" si="210"/>
        <v>01</v>
      </c>
      <c r="AT416" s="1" t="str">
        <f t="shared" si="211"/>
        <v>01</v>
      </c>
      <c r="AU416" s="90" t="s">
        <v>664</v>
      </c>
      <c r="AV416" s="90"/>
      <c r="AW416" s="90"/>
      <c r="AX416" s="95" t="str">
        <f>AQ416&amp;AR416&amp;AS416&amp;"-"&amp;AT416&amp;AU416&amp;BA416</f>
        <v>B0701-0127IND</v>
      </c>
      <c r="AY416" s="99" t="str">
        <f>AQ416&amp;AR416&amp;AS416&amp;"-"&amp;AT416&amp;BA416</f>
        <v>B0701-01IND</v>
      </c>
      <c r="AZ416" s="90"/>
      <c r="BA416" s="1" t="str">
        <f t="shared" si="212"/>
        <v>IND</v>
      </c>
      <c r="BC416" s="1">
        <f t="shared" si="189"/>
        <v>1</v>
      </c>
      <c r="BD416" s="90">
        <f t="shared" si="190"/>
        <v>1</v>
      </c>
      <c r="BE416" s="1">
        <f t="shared" si="215"/>
        <v>1</v>
      </c>
      <c r="BF416" s="1">
        <f t="shared" si="216"/>
        <v>1</v>
      </c>
      <c r="BI416"/>
      <c r="BJ416"/>
      <c r="BL416"/>
    </row>
    <row r="417" spans="1:64" ht="11.25" customHeight="1">
      <c r="A417" s="26" t="s">
        <v>2161</v>
      </c>
      <c r="B417" s="27" t="s">
        <v>2162</v>
      </c>
      <c r="C417" s="28">
        <v>38.99</v>
      </c>
      <c r="D417" s="28">
        <f t="shared" si="203"/>
        <v>19.495000000000001</v>
      </c>
      <c r="E417" s="22" t="s">
        <v>2065</v>
      </c>
      <c r="F417" s="22" t="s">
        <v>2147</v>
      </c>
      <c r="G417" s="22" t="s">
        <v>2163</v>
      </c>
      <c r="H417" s="22" t="s">
        <v>2149</v>
      </c>
      <c r="I417" s="25" t="s">
        <v>2125</v>
      </c>
      <c r="J417" s="22" t="s">
        <v>646</v>
      </c>
      <c r="L417" s="23">
        <v>20</v>
      </c>
      <c r="M417" s="23">
        <v>35</v>
      </c>
      <c r="N417" s="3">
        <f t="shared" si="183"/>
        <v>1.4E-2</v>
      </c>
      <c r="O417" s="4" t="e">
        <f>(C417-(C417*#REF!))-((C417-(C417*#REF!))*#REF!)</f>
        <v>#REF!</v>
      </c>
      <c r="P417" s="7"/>
      <c r="Q417" s="7"/>
      <c r="R417" s="5">
        <f t="shared" si="217"/>
        <v>0</v>
      </c>
      <c r="S417" s="4">
        <f t="shared" si="218"/>
        <v>0</v>
      </c>
      <c r="T417" s="13">
        <f t="shared" si="204"/>
        <v>27.292999999999999</v>
      </c>
      <c r="U417" s="13">
        <f t="shared" si="213"/>
        <v>13.6465</v>
      </c>
      <c r="V417" s="14">
        <f>U417/C417</f>
        <v>0.35</v>
      </c>
      <c r="W417" s="14"/>
      <c r="X417" s="19">
        <f t="shared" si="219"/>
        <v>13.6465</v>
      </c>
      <c r="Y417" s="19">
        <f t="shared" si="220"/>
        <v>27.292999999999999</v>
      </c>
      <c r="Z417" s="15" t="e">
        <f t="shared" si="224"/>
        <v>#DIV/0!</v>
      </c>
      <c r="AA417" s="22" t="s">
        <v>2164</v>
      </c>
      <c r="AG417" s="94" t="s">
        <v>1169</v>
      </c>
      <c r="AH417" s="89" t="str">
        <f>VLOOKUP(AG417,Sheet1!$B$3:$D$36,2,FALSE)</f>
        <v>Decors</v>
      </c>
      <c r="AI417" s="89" t="s">
        <v>2070</v>
      </c>
      <c r="AJ417" s="1" t="str">
        <f t="shared" si="205"/>
        <v>Elven Guard 5-22 Candle Holder</v>
      </c>
      <c r="AK417" s="1" t="str">
        <f t="shared" si="206"/>
        <v>d20 x h35</v>
      </c>
      <c r="AL417" s="1" t="str">
        <f t="shared" si="207"/>
        <v>teak branches indoor</v>
      </c>
      <c r="AM417" s="1" t="str">
        <f t="shared" si="208"/>
        <v>teak branches indoor</v>
      </c>
      <c r="AN417" s="1" t="str">
        <f t="shared" si="223"/>
        <v xml:space="preserve">teak branches </v>
      </c>
      <c r="AO417" s="1" t="s">
        <v>54</v>
      </c>
      <c r="AQ417" s="1" t="str">
        <f t="shared" si="209"/>
        <v>B</v>
      </c>
      <c r="AR417" s="1" t="str">
        <f>VLOOKUP(TRIM(AI417),Sheet1!$D$3:$E$36,2,FALSE)</f>
        <v>07</v>
      </c>
      <c r="AS417" s="90" t="str">
        <f t="shared" si="210"/>
        <v>01</v>
      </c>
      <c r="AT417" s="1" t="str">
        <f t="shared" si="211"/>
        <v>01</v>
      </c>
      <c r="AU417" s="90" t="s">
        <v>664</v>
      </c>
      <c r="AV417" s="90"/>
      <c r="AW417" s="90"/>
      <c r="AX417" s="95" t="str">
        <f>AQ417&amp;AR417&amp;AS417&amp;"-"&amp;AT417&amp;AU417&amp;BA417</f>
        <v>B0701-0127IND</v>
      </c>
      <c r="AY417" s="99" t="str">
        <f>AQ417&amp;AR417&amp;AS417&amp;"-"&amp;AT417&amp;BA417</f>
        <v>B0701-01IND</v>
      </c>
      <c r="AZ417" s="90"/>
      <c r="BA417" s="1" t="str">
        <f t="shared" si="212"/>
        <v>IND</v>
      </c>
      <c r="BC417" s="1">
        <f t="shared" si="189"/>
        <v>1</v>
      </c>
      <c r="BD417" s="90">
        <f t="shared" si="190"/>
        <v>1</v>
      </c>
      <c r="BE417" s="1">
        <f t="shared" si="215"/>
        <v>1</v>
      </c>
      <c r="BF417" s="1">
        <f t="shared" si="216"/>
        <v>1</v>
      </c>
      <c r="BI417"/>
      <c r="BJ417"/>
      <c r="BL417"/>
    </row>
    <row r="418" spans="1:64" ht="11.25" customHeight="1">
      <c r="A418" s="26" t="s">
        <v>2165</v>
      </c>
      <c r="B418" s="27" t="s">
        <v>2166</v>
      </c>
      <c r="C418" s="28">
        <v>51.99</v>
      </c>
      <c r="D418" s="28">
        <f t="shared" si="203"/>
        <v>25.995000000000001</v>
      </c>
      <c r="E418" s="22" t="s">
        <v>2065</v>
      </c>
      <c r="F418" s="22" t="s">
        <v>2153</v>
      </c>
      <c r="G418" s="22" t="s">
        <v>2167</v>
      </c>
      <c r="H418" s="22" t="s">
        <v>2168</v>
      </c>
      <c r="I418" s="25" t="s">
        <v>2125</v>
      </c>
      <c r="J418" s="22" t="s">
        <v>646</v>
      </c>
      <c r="L418" s="23">
        <v>20</v>
      </c>
      <c r="M418" s="23">
        <v>60</v>
      </c>
      <c r="N418" s="3">
        <f t="shared" si="183"/>
        <v>2.4E-2</v>
      </c>
      <c r="O418" s="4" t="e">
        <f>(C418-(C418*#REF!))-((C418-(C418*#REF!))*#REF!)</f>
        <v>#REF!</v>
      </c>
      <c r="P418" s="7"/>
      <c r="Q418" s="7"/>
      <c r="R418" s="5">
        <f t="shared" si="217"/>
        <v>0</v>
      </c>
      <c r="S418" s="4">
        <f t="shared" si="218"/>
        <v>0</v>
      </c>
      <c r="T418" s="13">
        <f t="shared" si="204"/>
        <v>36.393000000000001</v>
      </c>
      <c r="U418" s="13">
        <f t="shared" si="213"/>
        <v>18.1965</v>
      </c>
      <c r="V418" s="14">
        <f>U418/C418</f>
        <v>0.35</v>
      </c>
      <c r="W418" s="14"/>
      <c r="X418" s="19">
        <f t="shared" si="219"/>
        <v>18.1965</v>
      </c>
      <c r="Y418" s="19">
        <f t="shared" si="220"/>
        <v>36.393000000000001</v>
      </c>
      <c r="Z418" s="15" t="e">
        <f t="shared" si="224"/>
        <v>#DIV/0!</v>
      </c>
      <c r="AA418" s="22" t="s">
        <v>2169</v>
      </c>
      <c r="AG418" s="94" t="s">
        <v>1169</v>
      </c>
      <c r="AH418" s="89" t="str">
        <f>VLOOKUP(AG418,Sheet1!$B$3:$D$36,2,FALSE)</f>
        <v>Decors</v>
      </c>
      <c r="AI418" s="89" t="s">
        <v>2070</v>
      </c>
      <c r="AJ418" s="1" t="str">
        <f t="shared" si="205"/>
        <v>Elven Guard 5-23 Candle Holder</v>
      </c>
      <c r="AK418" s="1" t="str">
        <f t="shared" si="206"/>
        <v>d20 x h60</v>
      </c>
      <c r="AL418" s="1" t="str">
        <f t="shared" si="207"/>
        <v>teak branches indoor</v>
      </c>
      <c r="AM418" s="1" t="str">
        <f t="shared" si="208"/>
        <v>teak branches indoor</v>
      </c>
      <c r="AN418" s="1" t="str">
        <f t="shared" si="223"/>
        <v xml:space="preserve">teak branches </v>
      </c>
      <c r="AO418" s="1" t="s">
        <v>54</v>
      </c>
      <c r="AQ418" s="1" t="str">
        <f t="shared" si="209"/>
        <v>B</v>
      </c>
      <c r="AR418" s="1" t="str">
        <f>VLOOKUP(TRIM(AI418),Sheet1!$D$3:$E$36,2,FALSE)</f>
        <v>07</v>
      </c>
      <c r="AS418" s="90" t="str">
        <f t="shared" si="210"/>
        <v>01</v>
      </c>
      <c r="AT418" s="1" t="str">
        <f t="shared" si="211"/>
        <v>01</v>
      </c>
      <c r="AU418" s="90" t="s">
        <v>664</v>
      </c>
      <c r="AV418" s="90"/>
      <c r="AW418" s="90"/>
      <c r="AX418" s="95" t="str">
        <f>AQ418&amp;AR418&amp;AS418&amp;"-"&amp;AT418&amp;AU418&amp;BA418</f>
        <v>B0701-0127IND</v>
      </c>
      <c r="AY418" s="99" t="str">
        <f>AQ418&amp;AR418&amp;AS418&amp;"-"&amp;AT418&amp;BA418</f>
        <v>B0701-01IND</v>
      </c>
      <c r="AZ418" s="90"/>
      <c r="BA418" s="1" t="str">
        <f t="shared" si="212"/>
        <v>IND</v>
      </c>
      <c r="BC418" s="1">
        <f t="shared" si="189"/>
        <v>1</v>
      </c>
      <c r="BD418" s="90">
        <f t="shared" si="190"/>
        <v>1</v>
      </c>
      <c r="BE418" s="1">
        <f t="shared" si="215"/>
        <v>1</v>
      </c>
      <c r="BF418" s="1">
        <f t="shared" si="216"/>
        <v>1</v>
      </c>
      <c r="BI418"/>
      <c r="BJ418"/>
      <c r="BL418"/>
    </row>
    <row r="419" spans="1:64" ht="11.25" customHeight="1">
      <c r="A419" s="26" t="s">
        <v>2170</v>
      </c>
      <c r="B419" s="27" t="s">
        <v>2171</v>
      </c>
      <c r="C419" s="28">
        <v>12.99</v>
      </c>
      <c r="D419" s="28">
        <f t="shared" si="203"/>
        <v>6.4950000000000001</v>
      </c>
      <c r="E419" s="22" t="s">
        <v>2065</v>
      </c>
      <c r="F419" s="22" t="s">
        <v>2172</v>
      </c>
      <c r="G419" s="22" t="s">
        <v>2173</v>
      </c>
      <c r="H419" s="22" t="s">
        <v>2174</v>
      </c>
      <c r="I419" s="25" t="s">
        <v>2175</v>
      </c>
      <c r="J419" s="22" t="s">
        <v>670</v>
      </c>
      <c r="K419" s="23">
        <v>11</v>
      </c>
      <c r="L419" s="23">
        <v>11</v>
      </c>
      <c r="M419" s="23">
        <v>5</v>
      </c>
      <c r="N419" s="3">
        <f t="shared" si="183"/>
        <v>6.0499999999999996E-4</v>
      </c>
      <c r="O419" s="4" t="e">
        <f>(C419-(C419*#REF!))-((C419-(C419*#REF!))*#REF!)</f>
        <v>#REF!</v>
      </c>
      <c r="P419" s="7">
        <f>25446.0528603731-Q419</f>
        <v>146.05286037309997</v>
      </c>
      <c r="Q419" s="7">
        <v>25300</v>
      </c>
      <c r="R419" s="5">
        <f t="shared" si="217"/>
        <v>25446.0528603731</v>
      </c>
      <c r="S419" s="4">
        <f t="shared" si="218"/>
        <v>1.6964035240248734</v>
      </c>
      <c r="T419" s="13">
        <f t="shared" si="204"/>
        <v>9.093</v>
      </c>
      <c r="U419" s="13">
        <f t="shared" si="213"/>
        <v>4.5465</v>
      </c>
      <c r="V419" s="14">
        <f>U419/C419</f>
        <v>0.35</v>
      </c>
      <c r="W419" s="14"/>
      <c r="X419" s="19">
        <f t="shared" si="219"/>
        <v>4.5465</v>
      </c>
      <c r="Y419" s="19">
        <f t="shared" si="220"/>
        <v>9.093</v>
      </c>
      <c r="Z419" s="15">
        <f t="shared" si="224"/>
        <v>2.6800816760937933</v>
      </c>
      <c r="AA419" s="22" t="s">
        <v>2176</v>
      </c>
      <c r="AG419" s="94" t="s">
        <v>1169</v>
      </c>
      <c r="AH419" s="89" t="str">
        <f>VLOOKUP(AG419,Sheet1!$B$3:$D$36,2,FALSE)</f>
        <v>Decors</v>
      </c>
      <c r="AI419" s="89" t="s">
        <v>2070</v>
      </c>
      <c r="AJ419" s="1" t="str">
        <f t="shared" si="205"/>
        <v>Flame-11 Candle Holder</v>
      </c>
      <c r="AK419" s="1" t="str">
        <f t="shared" si="206"/>
        <v>w11 x d11 x h5</v>
      </c>
      <c r="AL419" s="1" t="str">
        <f t="shared" si="207"/>
        <v>Lavastone outdoor</v>
      </c>
      <c r="AM419" s="1" t="str">
        <f t="shared" si="208"/>
        <v>Lavastone outdoor</v>
      </c>
      <c r="AN419" s="1" t="str">
        <f t="shared" ref="AN419:AN421" si="225">SUBSTITUTE(AL419,"outdoor","")</f>
        <v xml:space="preserve">Lavastone </v>
      </c>
      <c r="AO419" s="1" t="s">
        <v>59</v>
      </c>
      <c r="AQ419" s="1" t="str">
        <f t="shared" si="209"/>
        <v>B</v>
      </c>
      <c r="AR419" s="1" t="str">
        <f>VLOOKUP(TRIM(AI419),Sheet1!$D$3:$E$36,2,FALSE)</f>
        <v>07</v>
      </c>
      <c r="AS419" s="90" t="str">
        <f t="shared" si="210"/>
        <v>01</v>
      </c>
      <c r="AT419" s="1" t="str">
        <f t="shared" si="211"/>
        <v>01</v>
      </c>
      <c r="AU419" s="90" t="s">
        <v>823</v>
      </c>
      <c r="AV419" s="90"/>
      <c r="AW419" s="90"/>
      <c r="AX419" s="95" t="str">
        <f>AQ419&amp;AR419&amp;AS419&amp;"-"&amp;AT419&amp;AU419&amp;BA419</f>
        <v>B0701-0108OUT</v>
      </c>
      <c r="AY419" s="99" t="str">
        <f>AQ419&amp;AR419&amp;AS419&amp;"-"&amp;AT419&amp;BA419</f>
        <v>B0701-01OUT</v>
      </c>
      <c r="AZ419" s="90"/>
      <c r="BA419" s="1" t="str">
        <f t="shared" si="212"/>
        <v>OUT</v>
      </c>
      <c r="BC419" s="1">
        <f t="shared" si="189"/>
        <v>1</v>
      </c>
      <c r="BD419" s="90">
        <f t="shared" si="190"/>
        <v>1</v>
      </c>
      <c r="BE419" s="1">
        <f t="shared" si="215"/>
        <v>1</v>
      </c>
      <c r="BF419" s="1">
        <f t="shared" si="216"/>
        <v>1</v>
      </c>
      <c r="BI419"/>
      <c r="BJ419"/>
      <c r="BL419"/>
    </row>
    <row r="420" spans="1:64" ht="11.25" customHeight="1">
      <c r="A420" s="26" t="s">
        <v>2177</v>
      </c>
      <c r="B420" s="27" t="s">
        <v>2171</v>
      </c>
      <c r="C420" s="28">
        <v>20.99</v>
      </c>
      <c r="D420" s="28">
        <f t="shared" si="203"/>
        <v>10.494999999999999</v>
      </c>
      <c r="E420" s="22" t="s">
        <v>2065</v>
      </c>
      <c r="F420" s="22" t="s">
        <v>2178</v>
      </c>
      <c r="G420" s="22" t="s">
        <v>2179</v>
      </c>
      <c r="H420" s="22" t="s">
        <v>2180</v>
      </c>
      <c r="I420" s="25" t="s">
        <v>2175</v>
      </c>
      <c r="J420" s="22" t="s">
        <v>670</v>
      </c>
      <c r="K420" s="23">
        <v>14</v>
      </c>
      <c r="L420" s="23">
        <v>14</v>
      </c>
      <c r="M420" s="23">
        <v>5</v>
      </c>
      <c r="N420" s="3">
        <f t="shared" si="183"/>
        <v>9.7999999999999997E-4</v>
      </c>
      <c r="O420" s="4" t="e">
        <f>(C420-(C420*#REF!))-((C420-(C420*#REF!))*#REF!)</f>
        <v>#REF!</v>
      </c>
      <c r="P420" s="7">
        <f>38736.5814928358-Q420</f>
        <v>236.58149283580133</v>
      </c>
      <c r="Q420" s="7">
        <v>38500</v>
      </c>
      <c r="R420" s="5">
        <f t="shared" si="217"/>
        <v>38736.581492835801</v>
      </c>
      <c r="S420" s="4">
        <f t="shared" si="218"/>
        <v>2.5824387661890533</v>
      </c>
      <c r="T420" s="13">
        <f t="shared" si="204"/>
        <v>14.692999999999998</v>
      </c>
      <c r="U420" s="13">
        <f t="shared" si="213"/>
        <v>7.3464999999999989</v>
      </c>
      <c r="V420" s="14">
        <f>U420/C420</f>
        <v>0.35</v>
      </c>
      <c r="W420" s="14"/>
      <c r="X420" s="19">
        <f t="shared" si="219"/>
        <v>7.3464999999999989</v>
      </c>
      <c r="Y420" s="19">
        <f t="shared" si="220"/>
        <v>14.692999999999998</v>
      </c>
      <c r="Z420" s="15">
        <f t="shared" si="224"/>
        <v>2.8447915575715075</v>
      </c>
      <c r="AA420" s="22" t="s">
        <v>2181</v>
      </c>
      <c r="AG420" s="94" t="s">
        <v>1169</v>
      </c>
      <c r="AH420" s="89" t="str">
        <f>VLOOKUP(AG420,Sheet1!$B$3:$D$36,2,FALSE)</f>
        <v>Decors</v>
      </c>
      <c r="AI420" s="89" t="s">
        <v>2070</v>
      </c>
      <c r="AJ420" s="1" t="str">
        <f t="shared" si="205"/>
        <v>Flame-14 Candle Holder</v>
      </c>
      <c r="AK420" s="1" t="str">
        <f t="shared" si="206"/>
        <v>w14 x d14 x h5</v>
      </c>
      <c r="AL420" s="1" t="str">
        <f t="shared" si="207"/>
        <v>Lavastone outdoor</v>
      </c>
      <c r="AM420" s="1" t="str">
        <f t="shared" si="208"/>
        <v>Lavastone outdoor</v>
      </c>
      <c r="AN420" s="1" t="str">
        <f t="shared" si="225"/>
        <v xml:space="preserve">Lavastone </v>
      </c>
      <c r="AO420" s="1" t="s">
        <v>59</v>
      </c>
      <c r="AQ420" s="1" t="str">
        <f t="shared" si="209"/>
        <v>B</v>
      </c>
      <c r="AR420" s="1" t="str">
        <f>VLOOKUP(TRIM(AI420),Sheet1!$D$3:$E$36,2,FALSE)</f>
        <v>07</v>
      </c>
      <c r="AS420" s="90" t="str">
        <f t="shared" si="210"/>
        <v>01</v>
      </c>
      <c r="AT420" s="1" t="str">
        <f t="shared" si="211"/>
        <v>01</v>
      </c>
      <c r="AU420" s="90" t="s">
        <v>823</v>
      </c>
      <c r="AV420" s="90"/>
      <c r="AW420" s="90"/>
      <c r="AX420" s="95" t="str">
        <f>AQ420&amp;AR420&amp;AS420&amp;"-"&amp;AT420&amp;AU420&amp;BA420</f>
        <v>B0701-0108OUT</v>
      </c>
      <c r="AY420" s="99" t="str">
        <f>AQ420&amp;AR420&amp;AS420&amp;"-"&amp;AT420&amp;BA420</f>
        <v>B0701-01OUT</v>
      </c>
      <c r="AZ420" s="90"/>
      <c r="BA420" s="1" t="str">
        <f t="shared" si="212"/>
        <v>OUT</v>
      </c>
      <c r="BC420" s="1">
        <f t="shared" si="189"/>
        <v>1</v>
      </c>
      <c r="BD420" s="90">
        <f t="shared" si="190"/>
        <v>1</v>
      </c>
      <c r="BE420" s="1">
        <f t="shared" si="215"/>
        <v>1</v>
      </c>
      <c r="BF420" s="1">
        <f t="shared" si="216"/>
        <v>1</v>
      </c>
      <c r="BI420"/>
      <c r="BJ420"/>
      <c r="BL420"/>
    </row>
    <row r="421" spans="1:64" ht="11.25" customHeight="1">
      <c r="A421" s="26" t="s">
        <v>2182</v>
      </c>
      <c r="B421" s="27" t="s">
        <v>2171</v>
      </c>
      <c r="C421" s="28">
        <v>31.99</v>
      </c>
      <c r="D421" s="28">
        <f t="shared" si="203"/>
        <v>15.994999999999999</v>
      </c>
      <c r="E421" s="22" t="s">
        <v>2065</v>
      </c>
      <c r="F421" s="22" t="s">
        <v>2183</v>
      </c>
      <c r="G421" s="22" t="s">
        <v>2184</v>
      </c>
      <c r="H421" s="22" t="s">
        <v>2185</v>
      </c>
      <c r="I421" s="25" t="s">
        <v>2175</v>
      </c>
      <c r="J421" s="22" t="s">
        <v>670</v>
      </c>
      <c r="K421" s="23">
        <v>20</v>
      </c>
      <c r="L421" s="23">
        <v>20</v>
      </c>
      <c r="M421" s="23">
        <v>5</v>
      </c>
      <c r="N421" s="3">
        <f t="shared" si="183"/>
        <v>2E-3</v>
      </c>
      <c r="O421" s="4" t="e">
        <f>(C421-(C421*#REF!))-((C421-(C421*#REF!))*#REF!)</f>
        <v>#REF!</v>
      </c>
      <c r="P421" s="7">
        <f>60982.8193731343-Q421</f>
        <v>482.81937313429808</v>
      </c>
      <c r="Q421" s="7">
        <v>60500</v>
      </c>
      <c r="R421" s="5">
        <f t="shared" si="217"/>
        <v>60982.819373134298</v>
      </c>
      <c r="S421" s="4">
        <f t="shared" si="218"/>
        <v>4.0655212915422867</v>
      </c>
      <c r="T421" s="13">
        <f t="shared" si="204"/>
        <v>22.393000000000001</v>
      </c>
      <c r="U421" s="13">
        <f t="shared" si="213"/>
        <v>11.1965</v>
      </c>
      <c r="V421" s="14">
        <f>U421/C421</f>
        <v>0.35000000000000003</v>
      </c>
      <c r="W421" s="14"/>
      <c r="X421" s="19">
        <f t="shared" si="219"/>
        <v>11.1965</v>
      </c>
      <c r="Y421" s="19">
        <f t="shared" si="220"/>
        <v>22.393000000000001</v>
      </c>
      <c r="Z421" s="15">
        <f t="shared" si="224"/>
        <v>2.7540133717397217</v>
      </c>
      <c r="AA421" s="22" t="s">
        <v>2186</v>
      </c>
      <c r="AG421" s="94" t="s">
        <v>1169</v>
      </c>
      <c r="AH421" s="89" t="str">
        <f>VLOOKUP(AG421,Sheet1!$B$3:$D$36,2,FALSE)</f>
        <v>Decors</v>
      </c>
      <c r="AI421" s="89" t="s">
        <v>2070</v>
      </c>
      <c r="AJ421" s="1" t="str">
        <f t="shared" si="205"/>
        <v>Flame-20 Candle Holder</v>
      </c>
      <c r="AK421" s="1" t="str">
        <f t="shared" si="206"/>
        <v>w20 x d20 x h5</v>
      </c>
      <c r="AL421" s="1" t="str">
        <f t="shared" si="207"/>
        <v>Lavastone outdoor</v>
      </c>
      <c r="AM421" s="1" t="str">
        <f t="shared" si="208"/>
        <v>Lavastone outdoor</v>
      </c>
      <c r="AN421" s="1" t="str">
        <f t="shared" si="225"/>
        <v xml:space="preserve">Lavastone </v>
      </c>
      <c r="AO421" s="1" t="s">
        <v>59</v>
      </c>
      <c r="AQ421" s="1" t="str">
        <f t="shared" si="209"/>
        <v>B</v>
      </c>
      <c r="AR421" s="1" t="str">
        <f>VLOOKUP(TRIM(AI421),Sheet1!$D$3:$E$36,2,FALSE)</f>
        <v>07</v>
      </c>
      <c r="AS421" s="90" t="str">
        <f t="shared" si="210"/>
        <v>01</v>
      </c>
      <c r="AT421" s="1" t="str">
        <f t="shared" si="211"/>
        <v>01</v>
      </c>
      <c r="AU421" s="90" t="s">
        <v>823</v>
      </c>
      <c r="AV421" s="90"/>
      <c r="AW421" s="90"/>
      <c r="AX421" s="95" t="str">
        <f>AQ421&amp;AR421&amp;AS421&amp;"-"&amp;AT421&amp;AU421&amp;BA421</f>
        <v>B0701-0108OUT</v>
      </c>
      <c r="AY421" s="99" t="str">
        <f>AQ421&amp;AR421&amp;AS421&amp;"-"&amp;AT421&amp;BA421</f>
        <v>B0701-01OUT</v>
      </c>
      <c r="AZ421" s="90"/>
      <c r="BA421" s="1" t="str">
        <f t="shared" si="212"/>
        <v>OUT</v>
      </c>
      <c r="BC421" s="1">
        <f t="shared" si="189"/>
        <v>1</v>
      </c>
      <c r="BD421" s="90">
        <f t="shared" si="190"/>
        <v>1</v>
      </c>
      <c r="BE421" s="1">
        <f t="shared" si="215"/>
        <v>1</v>
      </c>
      <c r="BF421" s="1">
        <f t="shared" si="216"/>
        <v>1</v>
      </c>
      <c r="BI421"/>
      <c r="BJ421"/>
      <c r="BL421"/>
    </row>
    <row r="422" spans="1:64" ht="11.25" customHeight="1">
      <c r="A422" s="26" t="s">
        <v>2187</v>
      </c>
      <c r="B422" s="27" t="s">
        <v>2188</v>
      </c>
      <c r="C422" s="28">
        <v>173.99</v>
      </c>
      <c r="D422" s="28">
        <f t="shared" si="203"/>
        <v>86.995000000000005</v>
      </c>
      <c r="E422" s="22" t="s">
        <v>2065</v>
      </c>
      <c r="F422" s="22" t="s">
        <v>2189</v>
      </c>
      <c r="G422" s="22" t="s">
        <v>2190</v>
      </c>
      <c r="H422" s="22" t="s">
        <v>2191</v>
      </c>
      <c r="I422" s="25" t="s">
        <v>2192</v>
      </c>
      <c r="J422" s="22" t="s">
        <v>2193</v>
      </c>
      <c r="L422" s="23">
        <v>13</v>
      </c>
      <c r="M422" s="23">
        <v>20</v>
      </c>
      <c r="N422" s="3">
        <f t="shared" si="183"/>
        <v>3.3800000000000002E-3</v>
      </c>
      <c r="O422" s="4" t="e">
        <f>(C422-(C422*#REF!))-((C422-(C422*#REF!))*#REF!)</f>
        <v>#REF!</v>
      </c>
      <c r="P422" s="7">
        <v>181252.62655334146</v>
      </c>
      <c r="Q422" s="7">
        <v>0</v>
      </c>
      <c r="R422" s="5">
        <f t="shared" si="217"/>
        <v>181252.62655334146</v>
      </c>
      <c r="S422" s="4">
        <f t="shared" si="218"/>
        <v>12.08350843688943</v>
      </c>
      <c r="T422" s="13">
        <f t="shared" si="204"/>
        <v>121.79300000000001</v>
      </c>
      <c r="U422" s="13">
        <f t="shared" si="213"/>
        <v>60.896500000000003</v>
      </c>
      <c r="V422" s="14">
        <f>U422/C422</f>
        <v>0.35</v>
      </c>
      <c r="W422" s="14"/>
      <c r="X422" s="19">
        <f t="shared" si="219"/>
        <v>60.896500000000003</v>
      </c>
      <c r="Y422" s="19">
        <f t="shared" si="220"/>
        <v>121.79300000000001</v>
      </c>
      <c r="Z422" s="15">
        <f t="shared" si="224"/>
        <v>5.0396373137863382</v>
      </c>
      <c r="AA422" s="22" t="s">
        <v>2194</v>
      </c>
      <c r="AG422" s="94" t="s">
        <v>1169</v>
      </c>
      <c r="AH422" s="89" t="str">
        <f>VLOOKUP(AG422,Sheet1!$B$3:$D$36,2,FALSE)</f>
        <v>Decors</v>
      </c>
      <c r="AI422" s="89" t="s">
        <v>2070</v>
      </c>
      <c r="AJ422" s="1" t="str">
        <f t="shared" si="205"/>
        <v>Metal Lattice-R20 Candle Holder</v>
      </c>
      <c r="AK422" s="1" t="str">
        <f t="shared" si="206"/>
        <v>d13 x h20</v>
      </c>
      <c r="AL422" s="1" t="str">
        <f t="shared" si="207"/>
        <v>rebar net &amp; reclaimed teak indoor</v>
      </c>
      <c r="AM422" s="1" t="str">
        <f t="shared" si="208"/>
        <v>rebar net &amp; reclaimed teak indoor</v>
      </c>
      <c r="AN422" s="1" t="str">
        <f t="shared" ref="AN422:AN425" si="226">SUBSTITUTE(AL422,"indoor","")</f>
        <v xml:space="preserve">rebar net &amp; reclaimed teak </v>
      </c>
      <c r="AO422" s="1" t="s">
        <v>54</v>
      </c>
      <c r="AQ422" s="1" t="str">
        <f t="shared" si="209"/>
        <v>B</v>
      </c>
      <c r="AR422" s="1" t="str">
        <f>VLOOKUP(TRIM(AI422),Sheet1!$D$3:$E$36,2,FALSE)</f>
        <v>07</v>
      </c>
      <c r="AS422" s="90" t="str">
        <f t="shared" si="210"/>
        <v>01</v>
      </c>
      <c r="AT422" s="1" t="str">
        <f t="shared" si="211"/>
        <v>01</v>
      </c>
      <c r="AU422" s="90" t="s">
        <v>1033</v>
      </c>
      <c r="AV422" s="90"/>
      <c r="AW422" s="90"/>
      <c r="AX422" s="95" t="str">
        <f>AQ422&amp;AR422&amp;AS422&amp;"-"&amp;AT422&amp;AU422&amp;BA422</f>
        <v>B0701-0117IND</v>
      </c>
      <c r="AY422" s="99" t="str">
        <f>AQ422&amp;AR422&amp;AS422&amp;"-"&amp;AT422&amp;BA422</f>
        <v>B0701-01IND</v>
      </c>
      <c r="AZ422" s="90"/>
      <c r="BA422" s="1" t="str">
        <f t="shared" si="212"/>
        <v>IND</v>
      </c>
      <c r="BC422" s="1">
        <f t="shared" si="189"/>
        <v>1</v>
      </c>
      <c r="BD422" s="90">
        <f t="shared" si="190"/>
        <v>1</v>
      </c>
      <c r="BE422" s="1">
        <f t="shared" si="215"/>
        <v>1</v>
      </c>
      <c r="BF422" s="1">
        <f t="shared" si="216"/>
        <v>1</v>
      </c>
      <c r="BI422"/>
      <c r="BJ422"/>
      <c r="BL422"/>
    </row>
    <row r="423" spans="1:64" ht="11.25" customHeight="1">
      <c r="A423" s="26" t="s">
        <v>2195</v>
      </c>
      <c r="B423" s="27" t="s">
        <v>2188</v>
      </c>
      <c r="C423" s="28">
        <v>183.99</v>
      </c>
      <c r="D423" s="28">
        <f t="shared" si="203"/>
        <v>91.995000000000005</v>
      </c>
      <c r="E423" s="22" t="s">
        <v>2065</v>
      </c>
      <c r="F423" s="22" t="s">
        <v>2196</v>
      </c>
      <c r="G423" s="22" t="s">
        <v>2197</v>
      </c>
      <c r="H423" s="22" t="s">
        <v>2198</v>
      </c>
      <c r="I423" s="25" t="s">
        <v>2192</v>
      </c>
      <c r="J423" s="22" t="s">
        <v>2193</v>
      </c>
      <c r="L423" s="23">
        <v>13</v>
      </c>
      <c r="M423" s="23">
        <v>25</v>
      </c>
      <c r="N423" s="3">
        <f t="shared" si="183"/>
        <v>4.2249999999999996E-3</v>
      </c>
      <c r="O423" s="4" t="e">
        <f>(C423-(C423*#REF!))-((C423-(C423*#REF!))*#REF!)</f>
        <v>#REF!</v>
      </c>
      <c r="P423" s="7"/>
      <c r="Q423" s="7"/>
      <c r="R423" s="5">
        <f t="shared" si="217"/>
        <v>0</v>
      </c>
      <c r="S423" s="4">
        <f t="shared" si="218"/>
        <v>0</v>
      </c>
      <c r="T423" s="13">
        <f t="shared" si="204"/>
        <v>128.79300000000001</v>
      </c>
      <c r="U423" s="13">
        <f t="shared" si="213"/>
        <v>64.396500000000003</v>
      </c>
      <c r="V423" s="14">
        <f>U423/C423</f>
        <v>0.35</v>
      </c>
      <c r="W423" s="14"/>
      <c r="X423" s="19">
        <f t="shared" si="219"/>
        <v>64.396500000000003</v>
      </c>
      <c r="Y423" s="19">
        <f t="shared" si="220"/>
        <v>128.79300000000001</v>
      </c>
      <c r="Z423" s="15" t="e">
        <f t="shared" si="224"/>
        <v>#DIV/0!</v>
      </c>
      <c r="AA423" s="22" t="s">
        <v>2199</v>
      </c>
      <c r="AG423" s="94" t="s">
        <v>1169</v>
      </c>
      <c r="AH423" s="89" t="str">
        <f>VLOOKUP(AG423,Sheet1!$B$3:$D$36,2,FALSE)</f>
        <v>Decors</v>
      </c>
      <c r="AI423" s="89" t="s">
        <v>2070</v>
      </c>
      <c r="AJ423" s="1" t="str">
        <f t="shared" si="205"/>
        <v>Metal Lattice-R25 Candle Holder</v>
      </c>
      <c r="AK423" s="1" t="str">
        <f t="shared" si="206"/>
        <v>d13 x h25</v>
      </c>
      <c r="AL423" s="1" t="str">
        <f t="shared" si="207"/>
        <v>rebar net &amp; reclaimed teak indoor</v>
      </c>
      <c r="AM423" s="1" t="str">
        <f t="shared" si="208"/>
        <v>rebar net &amp; reclaimed teak indoor</v>
      </c>
      <c r="AN423" s="1" t="str">
        <f t="shared" si="226"/>
        <v xml:space="preserve">rebar net &amp; reclaimed teak </v>
      </c>
      <c r="AO423" s="1" t="s">
        <v>54</v>
      </c>
      <c r="AQ423" s="1" t="str">
        <f t="shared" si="209"/>
        <v>B</v>
      </c>
      <c r="AR423" s="1" t="str">
        <f>VLOOKUP(TRIM(AI423),Sheet1!$D$3:$E$36,2,FALSE)</f>
        <v>07</v>
      </c>
      <c r="AS423" s="90" t="str">
        <f t="shared" si="210"/>
        <v>01</v>
      </c>
      <c r="AT423" s="1" t="str">
        <f t="shared" si="211"/>
        <v>01</v>
      </c>
      <c r="AU423" s="90" t="s">
        <v>1033</v>
      </c>
      <c r="AV423" s="90"/>
      <c r="AW423" s="90"/>
      <c r="AX423" s="95" t="str">
        <f>AQ423&amp;AR423&amp;AS423&amp;"-"&amp;AT423&amp;AU423&amp;BA423</f>
        <v>B0701-0117IND</v>
      </c>
      <c r="AY423" s="99" t="str">
        <f>AQ423&amp;AR423&amp;AS423&amp;"-"&amp;AT423&amp;BA423</f>
        <v>B0701-01IND</v>
      </c>
      <c r="AZ423" s="90"/>
      <c r="BA423" s="1" t="str">
        <f t="shared" si="212"/>
        <v>IND</v>
      </c>
      <c r="BC423" s="1">
        <f t="shared" si="189"/>
        <v>1</v>
      </c>
      <c r="BD423" s="90">
        <f t="shared" si="190"/>
        <v>1</v>
      </c>
      <c r="BE423" s="1">
        <f t="shared" si="215"/>
        <v>1</v>
      </c>
      <c r="BF423" s="1">
        <f t="shared" si="216"/>
        <v>1</v>
      </c>
      <c r="BI423"/>
      <c r="BJ423"/>
      <c r="BL423"/>
    </row>
    <row r="424" spans="1:64" ht="11.25" customHeight="1">
      <c r="A424" s="26" t="s">
        <v>2200</v>
      </c>
      <c r="B424" s="27" t="s">
        <v>2188</v>
      </c>
      <c r="C424" s="28">
        <v>192.99</v>
      </c>
      <c r="D424" s="28">
        <f t="shared" si="203"/>
        <v>96.495000000000005</v>
      </c>
      <c r="E424" s="22" t="s">
        <v>2065</v>
      </c>
      <c r="F424" s="22" t="s">
        <v>2201</v>
      </c>
      <c r="G424" s="22" t="s">
        <v>2202</v>
      </c>
      <c r="H424" s="22" t="s">
        <v>2203</v>
      </c>
      <c r="I424" s="25" t="s">
        <v>2192</v>
      </c>
      <c r="J424" s="22" t="s">
        <v>2193</v>
      </c>
      <c r="L424" s="23">
        <v>13</v>
      </c>
      <c r="M424" s="23">
        <v>30</v>
      </c>
      <c r="N424" s="3">
        <f t="shared" si="183"/>
        <v>5.0699999999999999E-3</v>
      </c>
      <c r="O424" s="4" t="e">
        <f>(C424-(C424*#REF!))-((C424-(C424*#REF!))*#REF!)</f>
        <v>#REF!</v>
      </c>
      <c r="P424" s="7"/>
      <c r="Q424" s="7"/>
      <c r="R424" s="5">
        <f t="shared" si="217"/>
        <v>0</v>
      </c>
      <c r="S424" s="4">
        <f t="shared" si="218"/>
        <v>0</v>
      </c>
      <c r="T424" s="13">
        <f t="shared" si="204"/>
        <v>135.09300000000002</v>
      </c>
      <c r="U424" s="13">
        <f t="shared" si="213"/>
        <v>67.546500000000009</v>
      </c>
      <c r="V424" s="14">
        <f>U424/C424</f>
        <v>0.35000000000000003</v>
      </c>
      <c r="W424" s="14"/>
      <c r="X424" s="19">
        <f t="shared" si="219"/>
        <v>67.546500000000009</v>
      </c>
      <c r="Y424" s="19">
        <f t="shared" si="220"/>
        <v>135.09300000000002</v>
      </c>
      <c r="Z424" s="15" t="e">
        <f t="shared" si="224"/>
        <v>#DIV/0!</v>
      </c>
      <c r="AA424" s="22" t="s">
        <v>2204</v>
      </c>
      <c r="AG424" s="94" t="s">
        <v>1169</v>
      </c>
      <c r="AH424" s="89" t="str">
        <f>VLOOKUP(AG424,Sheet1!$B$3:$D$36,2,FALSE)</f>
        <v>Decors</v>
      </c>
      <c r="AI424" s="89" t="s">
        <v>2070</v>
      </c>
      <c r="AJ424" s="1" t="str">
        <f t="shared" si="205"/>
        <v>Metal Lattice-R30 Candle Holder</v>
      </c>
      <c r="AK424" s="1" t="str">
        <f t="shared" si="206"/>
        <v>d13 x h30</v>
      </c>
      <c r="AL424" s="1" t="str">
        <f t="shared" si="207"/>
        <v>rebar net &amp; reclaimed teak indoor</v>
      </c>
      <c r="AM424" s="1" t="str">
        <f t="shared" si="208"/>
        <v>rebar net &amp; reclaimed teak indoor</v>
      </c>
      <c r="AN424" s="1" t="str">
        <f t="shared" si="226"/>
        <v xml:space="preserve">rebar net &amp; reclaimed teak </v>
      </c>
      <c r="AO424" s="1" t="s">
        <v>54</v>
      </c>
      <c r="AQ424" s="1" t="str">
        <f t="shared" si="209"/>
        <v>B</v>
      </c>
      <c r="AR424" s="1" t="str">
        <f>VLOOKUP(TRIM(AI424),Sheet1!$D$3:$E$36,2,FALSE)</f>
        <v>07</v>
      </c>
      <c r="AS424" s="90" t="str">
        <f t="shared" si="210"/>
        <v>01</v>
      </c>
      <c r="AT424" s="1" t="str">
        <f t="shared" si="211"/>
        <v>01</v>
      </c>
      <c r="AU424" s="90" t="s">
        <v>1033</v>
      </c>
      <c r="AV424" s="90"/>
      <c r="AW424" s="90"/>
      <c r="AX424" s="95" t="str">
        <f>AQ424&amp;AR424&amp;AS424&amp;"-"&amp;AT424&amp;AU424&amp;BA424</f>
        <v>B0701-0117IND</v>
      </c>
      <c r="AY424" s="99" t="str">
        <f>AQ424&amp;AR424&amp;AS424&amp;"-"&amp;AT424&amp;BA424</f>
        <v>B0701-01IND</v>
      </c>
      <c r="AZ424" s="90"/>
      <c r="BA424" s="1" t="str">
        <f t="shared" si="212"/>
        <v>IND</v>
      </c>
      <c r="BC424" s="1">
        <f t="shared" si="189"/>
        <v>1</v>
      </c>
      <c r="BD424" s="90">
        <f t="shared" si="190"/>
        <v>1</v>
      </c>
      <c r="BE424" s="1">
        <f t="shared" si="215"/>
        <v>1</v>
      </c>
      <c r="BF424" s="1">
        <f t="shared" si="216"/>
        <v>1</v>
      </c>
      <c r="BI424"/>
      <c r="BJ424"/>
      <c r="BL424"/>
    </row>
    <row r="425" spans="1:64" ht="11.25" customHeight="1">
      <c r="A425" s="26" t="s">
        <v>2205</v>
      </c>
      <c r="B425" s="27" t="s">
        <v>2206</v>
      </c>
      <c r="C425" s="28">
        <v>289.99</v>
      </c>
      <c r="D425" s="28">
        <f t="shared" si="203"/>
        <v>144.995</v>
      </c>
      <c r="E425" s="22" t="s">
        <v>2065</v>
      </c>
      <c r="F425" s="22" t="s">
        <v>2207</v>
      </c>
      <c r="G425" s="22" t="s">
        <v>2208</v>
      </c>
      <c r="H425" s="22" t="s">
        <v>2209</v>
      </c>
      <c r="I425" s="25" t="s">
        <v>2192</v>
      </c>
      <c r="J425" s="22" t="s">
        <v>2193</v>
      </c>
      <c r="K425" s="23">
        <v>16</v>
      </c>
      <c r="L425" s="23">
        <v>16</v>
      </c>
      <c r="M425" s="23">
        <v>35</v>
      </c>
      <c r="N425" s="3">
        <f t="shared" si="183"/>
        <v>8.9599999999999992E-3</v>
      </c>
      <c r="O425" s="4" t="e">
        <f>(C425-(C425*#REF!))-((C425-(C425*#REF!))*#REF!)</f>
        <v>#REF!</v>
      </c>
      <c r="P425" s="7"/>
      <c r="Q425" s="7"/>
      <c r="R425" s="5">
        <f t="shared" si="217"/>
        <v>0</v>
      </c>
      <c r="S425" s="4">
        <f t="shared" si="218"/>
        <v>0</v>
      </c>
      <c r="T425" s="13">
        <f t="shared" si="204"/>
        <v>202.99299999999999</v>
      </c>
      <c r="U425" s="13">
        <f t="shared" si="213"/>
        <v>101.4965</v>
      </c>
      <c r="V425" s="14">
        <f>U425/C425</f>
        <v>0.35</v>
      </c>
      <c r="W425" s="14"/>
      <c r="X425" s="19">
        <f t="shared" si="219"/>
        <v>101.4965</v>
      </c>
      <c r="Y425" s="19">
        <f t="shared" si="220"/>
        <v>202.99299999999999</v>
      </c>
      <c r="Z425" s="15" t="e">
        <f t="shared" si="224"/>
        <v>#DIV/0!</v>
      </c>
      <c r="AA425" s="22" t="s">
        <v>2210</v>
      </c>
      <c r="AG425" s="94" t="s">
        <v>1169</v>
      </c>
      <c r="AH425" s="89" t="str">
        <f>VLOOKUP(AG425,Sheet1!$B$3:$D$36,2,FALSE)</f>
        <v>Decors</v>
      </c>
      <c r="AI425" s="89" t="s">
        <v>2070</v>
      </c>
      <c r="AJ425" s="1" t="str">
        <f t="shared" si="205"/>
        <v>Metal Lattice-S35 Candle Holder</v>
      </c>
      <c r="AK425" s="1" t="str">
        <f t="shared" si="206"/>
        <v>w16 x d16 x h35</v>
      </c>
      <c r="AL425" s="1" t="str">
        <f t="shared" si="207"/>
        <v>rebar net &amp; reclaimed teak indoor</v>
      </c>
      <c r="AM425" s="1" t="str">
        <f t="shared" si="208"/>
        <v>rebar net &amp; reclaimed teak indoor</v>
      </c>
      <c r="AN425" s="1" t="str">
        <f t="shared" si="226"/>
        <v xml:space="preserve">rebar net &amp; reclaimed teak </v>
      </c>
      <c r="AO425" s="1" t="s">
        <v>54</v>
      </c>
      <c r="AQ425" s="1" t="str">
        <f t="shared" si="209"/>
        <v>B</v>
      </c>
      <c r="AR425" s="1" t="str">
        <f>VLOOKUP(TRIM(AI425),Sheet1!$D$3:$E$36,2,FALSE)</f>
        <v>07</v>
      </c>
      <c r="AS425" s="90" t="str">
        <f t="shared" si="210"/>
        <v>01</v>
      </c>
      <c r="AT425" s="1" t="str">
        <f t="shared" si="211"/>
        <v>01</v>
      </c>
      <c r="AU425" s="90" t="s">
        <v>1033</v>
      </c>
      <c r="AV425" s="90"/>
      <c r="AW425" s="90"/>
      <c r="AX425" s="95" t="str">
        <f>AQ425&amp;AR425&amp;AS425&amp;"-"&amp;AT425&amp;AU425&amp;BA425</f>
        <v>B0701-0117IND</v>
      </c>
      <c r="AY425" s="99" t="str">
        <f>AQ425&amp;AR425&amp;AS425&amp;"-"&amp;AT425&amp;BA425</f>
        <v>B0701-01IND</v>
      </c>
      <c r="AZ425" s="90"/>
      <c r="BA425" s="1" t="str">
        <f t="shared" si="212"/>
        <v>IND</v>
      </c>
      <c r="BC425" s="1">
        <f t="shared" ref="BC425:BC488" si="227">IF(AJ424&lt;&gt;AJ425,1,"")</f>
        <v>1</v>
      </c>
      <c r="BD425" s="90">
        <f t="shared" ref="BD425:BD488" si="228">IF(BC425=1,1,BD424+1)</f>
        <v>1</v>
      </c>
      <c r="BE425" s="1">
        <f t="shared" si="215"/>
        <v>1</v>
      </c>
      <c r="BF425" s="1">
        <f t="shared" si="216"/>
        <v>1</v>
      </c>
      <c r="BI425"/>
      <c r="BJ425"/>
      <c r="BL425"/>
    </row>
    <row r="426" spans="1:64" ht="11.25" customHeight="1">
      <c r="A426" s="26" t="s">
        <v>2211</v>
      </c>
      <c r="B426" s="27" t="s">
        <v>2212</v>
      </c>
      <c r="C426" s="28">
        <v>29.99</v>
      </c>
      <c r="D426" s="28">
        <f t="shared" si="203"/>
        <v>14.994999999999999</v>
      </c>
      <c r="E426" s="22" t="s">
        <v>2065</v>
      </c>
      <c r="F426" s="22" t="s">
        <v>2213</v>
      </c>
      <c r="G426" s="22" t="s">
        <v>2214</v>
      </c>
      <c r="H426" s="22" t="s">
        <v>2215</v>
      </c>
      <c r="I426" s="25" t="s">
        <v>2175</v>
      </c>
      <c r="J426" s="22" t="s">
        <v>670</v>
      </c>
      <c r="K426" s="23">
        <v>6</v>
      </c>
      <c r="L426" s="23">
        <v>6</v>
      </c>
      <c r="M426" s="23">
        <v>10</v>
      </c>
      <c r="N426" s="3">
        <f t="shared" si="183"/>
        <v>3.6000000000000002E-4</v>
      </c>
      <c r="O426" s="4" t="e">
        <f>(C426-(C426*#REF!))-((C426-(C426*#REF!))*#REF!)</f>
        <v>#REF!</v>
      </c>
      <c r="P426" s="7">
        <f>27586.9074871642-Q426</f>
        <v>86.907487164200575</v>
      </c>
      <c r="Q426" s="7">
        <v>27500</v>
      </c>
      <c r="R426" s="5">
        <f t="shared" si="217"/>
        <v>27586.907487164201</v>
      </c>
      <c r="S426" s="4">
        <f t="shared" si="218"/>
        <v>1.8391271658109467</v>
      </c>
      <c r="T426" s="13">
        <f t="shared" si="204"/>
        <v>20.992999999999999</v>
      </c>
      <c r="U426" s="13">
        <f t="shared" si="213"/>
        <v>10.496499999999999</v>
      </c>
      <c r="V426" s="14">
        <f>U426/C426</f>
        <v>0.35</v>
      </c>
      <c r="W426" s="14"/>
      <c r="X426" s="19">
        <f t="shared" si="219"/>
        <v>10.496499999999999</v>
      </c>
      <c r="Y426" s="19">
        <f t="shared" si="220"/>
        <v>20.992999999999999</v>
      </c>
      <c r="Z426" s="15">
        <f t="shared" si="224"/>
        <v>5.7073269293869959</v>
      </c>
      <c r="AG426" s="94" t="s">
        <v>1169</v>
      </c>
      <c r="AH426" s="89" t="str">
        <f>VLOOKUP(AG426,Sheet1!$B$3:$D$36,2,FALSE)</f>
        <v>Decors</v>
      </c>
      <c r="AI426" s="89" t="s">
        <v>2070</v>
      </c>
      <c r="AJ426" s="1" t="str">
        <f t="shared" si="205"/>
        <v>Elbrus Candle holder S10</v>
      </c>
      <c r="AK426" s="1" t="str">
        <f t="shared" si="206"/>
        <v>w6 x d6 x h10</v>
      </c>
      <c r="AL426" s="1" t="str">
        <f t="shared" si="207"/>
        <v>Lavastone outdoor</v>
      </c>
      <c r="AM426" s="1" t="str">
        <f t="shared" si="208"/>
        <v>Lavastone outdoor</v>
      </c>
      <c r="AN426" s="1" t="str">
        <f t="shared" ref="AN426:AN434" si="229">SUBSTITUTE(AL426,"outdoor","")</f>
        <v xml:space="preserve">Lavastone </v>
      </c>
      <c r="AO426" s="1" t="s">
        <v>59</v>
      </c>
      <c r="AQ426" s="1" t="str">
        <f t="shared" si="209"/>
        <v>B</v>
      </c>
      <c r="AR426" s="1" t="str">
        <f>VLOOKUP(TRIM(AI426),Sheet1!$D$3:$E$36,2,FALSE)</f>
        <v>07</v>
      </c>
      <c r="AS426" s="90" t="str">
        <f t="shared" si="210"/>
        <v>01</v>
      </c>
      <c r="AT426" s="1" t="str">
        <f t="shared" si="211"/>
        <v>01</v>
      </c>
      <c r="AU426" s="90" t="s">
        <v>823</v>
      </c>
      <c r="AV426" s="90"/>
      <c r="AW426" s="90"/>
      <c r="AX426" s="95" t="str">
        <f>AQ426&amp;AR426&amp;AS426&amp;"-"&amp;AT426&amp;AU426&amp;BA426</f>
        <v>B0701-0108OUT</v>
      </c>
      <c r="AY426" s="99" t="str">
        <f>AQ426&amp;AR426&amp;AS426&amp;"-"&amp;AT426&amp;BA426</f>
        <v>B0701-01OUT</v>
      </c>
      <c r="AZ426" s="90"/>
      <c r="BA426" s="1" t="str">
        <f t="shared" si="212"/>
        <v>OUT</v>
      </c>
      <c r="BC426" s="1">
        <f t="shared" si="227"/>
        <v>1</v>
      </c>
      <c r="BD426" s="90">
        <f t="shared" si="228"/>
        <v>1</v>
      </c>
      <c r="BE426" s="1">
        <f t="shared" si="215"/>
        <v>1</v>
      </c>
      <c r="BF426" s="1">
        <f t="shared" si="216"/>
        <v>1</v>
      </c>
      <c r="BI426"/>
      <c r="BJ426"/>
      <c r="BL426"/>
    </row>
    <row r="427" spans="1:64" ht="11.25" customHeight="1">
      <c r="A427" s="26" t="s">
        <v>2216</v>
      </c>
      <c r="B427" s="27" t="s">
        <v>2212</v>
      </c>
      <c r="C427" s="28">
        <v>29.99</v>
      </c>
      <c r="D427" s="28">
        <f t="shared" si="203"/>
        <v>14.994999999999999</v>
      </c>
      <c r="E427" s="22" t="s">
        <v>2065</v>
      </c>
      <c r="F427" s="22" t="s">
        <v>2217</v>
      </c>
      <c r="G427" s="22" t="s">
        <v>2218</v>
      </c>
      <c r="H427" s="22" t="s">
        <v>2219</v>
      </c>
      <c r="I427" s="25" t="s">
        <v>2175</v>
      </c>
      <c r="J427" s="22" t="s">
        <v>670</v>
      </c>
      <c r="K427" s="23">
        <v>6</v>
      </c>
      <c r="L427" s="23">
        <v>6</v>
      </c>
      <c r="M427" s="23">
        <v>15</v>
      </c>
      <c r="N427" s="3">
        <f t="shared" si="183"/>
        <v>5.4000000000000001E-4</v>
      </c>
      <c r="O427" s="4" t="e">
        <f>(C427-(C427*#REF!))-((C427-(C427*#REF!))*#REF!)</f>
        <v>#REF!</v>
      </c>
      <c r="P427" s="7">
        <f>44130.3612307463-Q427</f>
        <v>130.36123074629722</v>
      </c>
      <c r="Q427" s="7">
        <v>44000</v>
      </c>
      <c r="R427" s="5">
        <f t="shared" si="217"/>
        <v>44130.361230746297</v>
      </c>
      <c r="S427" s="4">
        <f t="shared" si="218"/>
        <v>2.9420240820497532</v>
      </c>
      <c r="T427" s="13">
        <f t="shared" si="204"/>
        <v>20.992999999999999</v>
      </c>
      <c r="U427" s="13">
        <f t="shared" si="213"/>
        <v>10.496499999999999</v>
      </c>
      <c r="V427" s="14">
        <f>U427/C427</f>
        <v>0.35</v>
      </c>
      <c r="W427" s="14"/>
      <c r="X427" s="19">
        <f t="shared" si="219"/>
        <v>10.496499999999999</v>
      </c>
      <c r="Y427" s="19">
        <f t="shared" si="220"/>
        <v>20.992999999999999</v>
      </c>
      <c r="Z427" s="15">
        <f t="shared" si="224"/>
        <v>3.567781808463963</v>
      </c>
      <c r="AG427" s="94" t="s">
        <v>1169</v>
      </c>
      <c r="AH427" s="89" t="str">
        <f>VLOOKUP(AG427,Sheet1!$B$3:$D$36,2,FALSE)</f>
        <v>Decors</v>
      </c>
      <c r="AI427" s="89" t="s">
        <v>2070</v>
      </c>
      <c r="AJ427" s="1" t="str">
        <f t="shared" si="205"/>
        <v>Elbrus Candle holder S15</v>
      </c>
      <c r="AK427" s="1" t="str">
        <f t="shared" si="206"/>
        <v>w6 x d6 x h15</v>
      </c>
      <c r="AL427" s="1" t="str">
        <f t="shared" si="207"/>
        <v>Lavastone outdoor</v>
      </c>
      <c r="AM427" s="1" t="str">
        <f t="shared" si="208"/>
        <v>Lavastone outdoor</v>
      </c>
      <c r="AN427" s="1" t="str">
        <f t="shared" si="229"/>
        <v xml:space="preserve">Lavastone </v>
      </c>
      <c r="AO427" s="1" t="s">
        <v>59</v>
      </c>
      <c r="AQ427" s="1" t="str">
        <f t="shared" si="209"/>
        <v>B</v>
      </c>
      <c r="AR427" s="1" t="str">
        <f>VLOOKUP(TRIM(AI427),Sheet1!$D$3:$E$36,2,FALSE)</f>
        <v>07</v>
      </c>
      <c r="AS427" s="90" t="str">
        <f t="shared" si="210"/>
        <v>01</v>
      </c>
      <c r="AT427" s="1" t="str">
        <f t="shared" si="211"/>
        <v>01</v>
      </c>
      <c r="AU427" s="90" t="s">
        <v>823</v>
      </c>
      <c r="AV427" s="90"/>
      <c r="AW427" s="90"/>
      <c r="AX427" s="95" t="str">
        <f>AQ427&amp;AR427&amp;AS427&amp;"-"&amp;AT427&amp;AU427&amp;BA427</f>
        <v>B0701-0108OUT</v>
      </c>
      <c r="AY427" s="99" t="str">
        <f>AQ427&amp;AR427&amp;AS427&amp;"-"&amp;AT427&amp;BA427</f>
        <v>B0701-01OUT</v>
      </c>
      <c r="AZ427" s="90"/>
      <c r="BA427" s="1" t="str">
        <f t="shared" si="212"/>
        <v>OUT</v>
      </c>
      <c r="BC427" s="1">
        <f t="shared" si="227"/>
        <v>1</v>
      </c>
      <c r="BD427" s="90">
        <f t="shared" si="228"/>
        <v>1</v>
      </c>
      <c r="BE427" s="1">
        <f t="shared" si="215"/>
        <v>1</v>
      </c>
      <c r="BF427" s="1">
        <f t="shared" si="216"/>
        <v>1</v>
      </c>
      <c r="BI427"/>
      <c r="BJ427"/>
      <c r="BL427"/>
    </row>
    <row r="428" spans="1:64" ht="11.25" customHeight="1">
      <c r="A428" s="26" t="s">
        <v>2220</v>
      </c>
      <c r="B428" s="27" t="s">
        <v>2212</v>
      </c>
      <c r="C428" s="28">
        <v>29.99</v>
      </c>
      <c r="D428" s="28">
        <f t="shared" si="203"/>
        <v>14.994999999999999</v>
      </c>
      <c r="E428" s="22" t="s">
        <v>2065</v>
      </c>
      <c r="F428" s="22" t="s">
        <v>2221</v>
      </c>
      <c r="G428" s="22" t="s">
        <v>2222</v>
      </c>
      <c r="H428" s="22" t="s">
        <v>2223</v>
      </c>
      <c r="I428" s="25" t="s">
        <v>2175</v>
      </c>
      <c r="J428" s="22" t="s">
        <v>670</v>
      </c>
      <c r="K428" s="23">
        <v>6</v>
      </c>
      <c r="L428" s="23">
        <v>6</v>
      </c>
      <c r="M428" s="23">
        <v>20</v>
      </c>
      <c r="N428" s="3">
        <f t="shared" si="183"/>
        <v>7.2000000000000005E-4</v>
      </c>
      <c r="O428" s="4" t="e">
        <f>(C428-(C428*#REF!))-((C428-(C428*#REF!))*#REF!)</f>
        <v>#REF!</v>
      </c>
      <c r="P428" s="7">
        <f>49673.8149743284-Q428</f>
        <v>173.81497432840115</v>
      </c>
      <c r="Q428" s="7">
        <v>49500</v>
      </c>
      <c r="R428" s="5">
        <f t="shared" si="217"/>
        <v>49673.814974328401</v>
      </c>
      <c r="S428" s="4">
        <f t="shared" si="218"/>
        <v>3.3115876649552267</v>
      </c>
      <c r="T428" s="13">
        <f t="shared" si="204"/>
        <v>20.992999999999999</v>
      </c>
      <c r="U428" s="13">
        <f t="shared" si="213"/>
        <v>10.496499999999999</v>
      </c>
      <c r="V428" s="14">
        <f>U428/C428</f>
        <v>0.35</v>
      </c>
      <c r="W428" s="14"/>
      <c r="X428" s="19">
        <f t="shared" si="219"/>
        <v>10.496499999999999</v>
      </c>
      <c r="Y428" s="19">
        <f t="shared" si="220"/>
        <v>20.992999999999999</v>
      </c>
      <c r="Z428" s="15">
        <f t="shared" si="224"/>
        <v>3.1696277018660517</v>
      </c>
      <c r="AG428" s="94" t="s">
        <v>1169</v>
      </c>
      <c r="AH428" s="89" t="str">
        <f>VLOOKUP(AG428,Sheet1!$B$3:$D$36,2,FALSE)</f>
        <v>Decors</v>
      </c>
      <c r="AI428" s="89" t="s">
        <v>2070</v>
      </c>
      <c r="AJ428" s="1" t="str">
        <f t="shared" si="205"/>
        <v>Elbrus Candle holder S20</v>
      </c>
      <c r="AK428" s="1" t="str">
        <f t="shared" si="206"/>
        <v>w6 x d6 x h20</v>
      </c>
      <c r="AL428" s="1" t="str">
        <f t="shared" si="207"/>
        <v>Lavastone outdoor</v>
      </c>
      <c r="AM428" s="1" t="str">
        <f t="shared" si="208"/>
        <v>Lavastone outdoor</v>
      </c>
      <c r="AN428" s="1" t="str">
        <f t="shared" si="229"/>
        <v xml:space="preserve">Lavastone </v>
      </c>
      <c r="AO428" s="1" t="s">
        <v>59</v>
      </c>
      <c r="AQ428" s="1" t="str">
        <f t="shared" si="209"/>
        <v>B</v>
      </c>
      <c r="AR428" s="1" t="str">
        <f>VLOOKUP(TRIM(AI428),Sheet1!$D$3:$E$36,2,FALSE)</f>
        <v>07</v>
      </c>
      <c r="AS428" s="90" t="str">
        <f t="shared" si="210"/>
        <v>01</v>
      </c>
      <c r="AT428" s="1" t="str">
        <f t="shared" si="211"/>
        <v>01</v>
      </c>
      <c r="AU428" s="90" t="s">
        <v>823</v>
      </c>
      <c r="AV428" s="90"/>
      <c r="AW428" s="90"/>
      <c r="AX428" s="95" t="str">
        <f>AQ428&amp;AR428&amp;AS428&amp;"-"&amp;AT428&amp;AU428&amp;BA428</f>
        <v>B0701-0108OUT</v>
      </c>
      <c r="AY428" s="99" t="str">
        <f>AQ428&amp;AR428&amp;AS428&amp;"-"&amp;AT428&amp;BA428</f>
        <v>B0701-01OUT</v>
      </c>
      <c r="AZ428" s="90"/>
      <c r="BA428" s="1" t="str">
        <f t="shared" si="212"/>
        <v>OUT</v>
      </c>
      <c r="BC428" s="1">
        <f t="shared" si="227"/>
        <v>1</v>
      </c>
      <c r="BD428" s="90">
        <f t="shared" si="228"/>
        <v>1</v>
      </c>
      <c r="BE428" s="1">
        <f t="shared" si="215"/>
        <v>1</v>
      </c>
      <c r="BF428" s="1">
        <f t="shared" si="216"/>
        <v>1</v>
      </c>
      <c r="BI428"/>
      <c r="BJ428"/>
      <c r="BL428"/>
    </row>
    <row r="429" spans="1:64" ht="11.25" customHeight="1">
      <c r="A429" s="26" t="s">
        <v>2224</v>
      </c>
      <c r="B429" s="27" t="s">
        <v>2212</v>
      </c>
      <c r="C429" s="28">
        <v>29.99</v>
      </c>
      <c r="D429" s="28">
        <f t="shared" si="203"/>
        <v>14.994999999999999</v>
      </c>
      <c r="E429" s="22" t="s">
        <v>2065</v>
      </c>
      <c r="F429" s="22" t="s">
        <v>2225</v>
      </c>
      <c r="G429" s="22" t="s">
        <v>2226</v>
      </c>
      <c r="H429" s="22" t="s">
        <v>2227</v>
      </c>
      <c r="I429" s="25" t="s">
        <v>2175</v>
      </c>
      <c r="J429" s="22" t="s">
        <v>670</v>
      </c>
      <c r="K429" s="23">
        <v>6</v>
      </c>
      <c r="L429" s="23">
        <v>6</v>
      </c>
      <c r="M429" s="23">
        <v>25</v>
      </c>
      <c r="N429" s="3">
        <f t="shared" si="183"/>
        <v>8.9999999999999998E-4</v>
      </c>
      <c r="O429" s="4" t="e">
        <f>(C429-(C429*#REF!))-((C429-(C429*#REF!))*#REF!)</f>
        <v>#REF!</v>
      </c>
      <c r="P429" s="7">
        <f>60717.2687179104-Q429</f>
        <v>217.26871791040321</v>
      </c>
      <c r="Q429" s="7">
        <v>60500</v>
      </c>
      <c r="R429" s="5">
        <f t="shared" si="217"/>
        <v>60717.268717910403</v>
      </c>
      <c r="S429" s="4">
        <f t="shared" si="218"/>
        <v>4.0478179145273598</v>
      </c>
      <c r="T429" s="13">
        <f t="shared" si="204"/>
        <v>20.992999999999999</v>
      </c>
      <c r="U429" s="13">
        <f t="shared" si="213"/>
        <v>10.496499999999999</v>
      </c>
      <c r="V429" s="14">
        <f>U429/C429</f>
        <v>0.35</v>
      </c>
      <c r="W429" s="14"/>
      <c r="X429" s="19">
        <f t="shared" si="219"/>
        <v>10.496499999999999</v>
      </c>
      <c r="Y429" s="19">
        <f t="shared" si="220"/>
        <v>20.992999999999999</v>
      </c>
      <c r="Z429" s="15">
        <f t="shared" si="224"/>
        <v>2.5931255361879622</v>
      </c>
      <c r="AG429" s="94" t="s">
        <v>1169</v>
      </c>
      <c r="AH429" s="89" t="str">
        <f>VLOOKUP(AG429,Sheet1!$B$3:$D$36,2,FALSE)</f>
        <v>Decors</v>
      </c>
      <c r="AI429" s="89" t="s">
        <v>2070</v>
      </c>
      <c r="AJ429" s="1" t="str">
        <f t="shared" si="205"/>
        <v>Elbrus Candle holder S25</v>
      </c>
      <c r="AK429" s="1" t="str">
        <f t="shared" si="206"/>
        <v>w6 x d6 x h25</v>
      </c>
      <c r="AL429" s="1" t="str">
        <f t="shared" si="207"/>
        <v>Lavastone outdoor</v>
      </c>
      <c r="AM429" s="1" t="str">
        <f t="shared" si="208"/>
        <v>Lavastone outdoor</v>
      </c>
      <c r="AN429" s="1" t="str">
        <f t="shared" si="229"/>
        <v xml:space="preserve">Lavastone </v>
      </c>
      <c r="AO429" s="1" t="s">
        <v>59</v>
      </c>
      <c r="AQ429" s="1" t="str">
        <f t="shared" si="209"/>
        <v>B</v>
      </c>
      <c r="AR429" s="1" t="str">
        <f>VLOOKUP(TRIM(AI429),Sheet1!$D$3:$E$36,2,FALSE)</f>
        <v>07</v>
      </c>
      <c r="AS429" s="90" t="str">
        <f t="shared" si="210"/>
        <v>01</v>
      </c>
      <c r="AT429" s="1" t="str">
        <f t="shared" si="211"/>
        <v>01</v>
      </c>
      <c r="AU429" s="90" t="s">
        <v>823</v>
      </c>
      <c r="AV429" s="90"/>
      <c r="AW429" s="90"/>
      <c r="AX429" s="95" t="str">
        <f>AQ429&amp;AR429&amp;AS429&amp;"-"&amp;AT429&amp;AU429&amp;BA429</f>
        <v>B0701-0108OUT</v>
      </c>
      <c r="AY429" s="99" t="str">
        <f>AQ429&amp;AR429&amp;AS429&amp;"-"&amp;AT429&amp;BA429</f>
        <v>B0701-01OUT</v>
      </c>
      <c r="AZ429" s="90"/>
      <c r="BA429" s="1" t="str">
        <f t="shared" si="212"/>
        <v>OUT</v>
      </c>
      <c r="BC429" s="1">
        <f t="shared" si="227"/>
        <v>1</v>
      </c>
      <c r="BD429" s="90">
        <f t="shared" si="228"/>
        <v>1</v>
      </c>
      <c r="BE429" s="1">
        <f t="shared" si="215"/>
        <v>1</v>
      </c>
      <c r="BF429" s="1">
        <f t="shared" si="216"/>
        <v>1</v>
      </c>
      <c r="BI429"/>
      <c r="BJ429"/>
      <c r="BL429"/>
    </row>
    <row r="430" spans="1:64" ht="11.25" customHeight="1">
      <c r="A430" s="26" t="s">
        <v>2228</v>
      </c>
      <c r="B430" s="27" t="s">
        <v>2212</v>
      </c>
      <c r="C430" s="28">
        <v>29.99</v>
      </c>
      <c r="D430" s="28">
        <f t="shared" si="203"/>
        <v>14.994999999999999</v>
      </c>
      <c r="E430" s="22" t="s">
        <v>2065</v>
      </c>
      <c r="F430" s="22" t="s">
        <v>2229</v>
      </c>
      <c r="G430" s="22" t="s">
        <v>2230</v>
      </c>
      <c r="H430" s="22" t="s">
        <v>2231</v>
      </c>
      <c r="I430" s="25" t="s">
        <v>2175</v>
      </c>
      <c r="J430" s="22" t="s">
        <v>670</v>
      </c>
      <c r="K430" s="23">
        <v>8</v>
      </c>
      <c r="L430" s="23">
        <v>8</v>
      </c>
      <c r="M430" s="23">
        <v>10</v>
      </c>
      <c r="N430" s="3">
        <f t="shared" si="183"/>
        <v>6.4000000000000005E-4</v>
      </c>
      <c r="O430" s="4" t="e">
        <f>(C430-(C430*#REF!))-((C430-(C430*#REF!))*#REF!)</f>
        <v>#REF!</v>
      </c>
      <c r="P430" s="7"/>
      <c r="Q430" s="7"/>
      <c r="R430" s="5">
        <f t="shared" si="217"/>
        <v>0</v>
      </c>
      <c r="S430" s="4">
        <f t="shared" si="218"/>
        <v>0</v>
      </c>
      <c r="T430" s="13">
        <f t="shared" si="204"/>
        <v>20.992999999999999</v>
      </c>
      <c r="U430" s="13">
        <f t="shared" si="213"/>
        <v>10.496499999999999</v>
      </c>
      <c r="V430" s="14">
        <f>U430/C430</f>
        <v>0.35</v>
      </c>
      <c r="W430" s="14"/>
      <c r="X430" s="19">
        <f t="shared" si="219"/>
        <v>10.496499999999999</v>
      </c>
      <c r="Y430" s="19">
        <f t="shared" si="220"/>
        <v>20.992999999999999</v>
      </c>
      <c r="Z430" s="15" t="e">
        <f t="shared" si="224"/>
        <v>#DIV/0!</v>
      </c>
      <c r="AG430" s="94" t="s">
        <v>1169</v>
      </c>
      <c r="AH430" s="89" t="str">
        <f>VLOOKUP(AG430,Sheet1!$B$3:$D$36,2,FALSE)</f>
        <v>Decors</v>
      </c>
      <c r="AI430" s="89" t="s">
        <v>2070</v>
      </c>
      <c r="AJ430" s="1" t="str">
        <f t="shared" si="205"/>
        <v>Elbrus Candle holder L10</v>
      </c>
      <c r="AK430" s="1" t="str">
        <f t="shared" si="206"/>
        <v>w8 x d8 x h10</v>
      </c>
      <c r="AL430" s="1" t="str">
        <f t="shared" si="207"/>
        <v>Lavastone outdoor</v>
      </c>
      <c r="AM430" s="1" t="str">
        <f t="shared" si="208"/>
        <v>Lavastone outdoor</v>
      </c>
      <c r="AN430" s="1" t="str">
        <f t="shared" si="229"/>
        <v xml:space="preserve">Lavastone </v>
      </c>
      <c r="AO430" s="1" t="s">
        <v>59</v>
      </c>
      <c r="AQ430" s="1" t="str">
        <f t="shared" si="209"/>
        <v>B</v>
      </c>
      <c r="AR430" s="1" t="str">
        <f>VLOOKUP(TRIM(AI430),Sheet1!$D$3:$E$36,2,FALSE)</f>
        <v>07</v>
      </c>
      <c r="AS430" s="90" t="str">
        <f t="shared" si="210"/>
        <v>01</v>
      </c>
      <c r="AT430" s="1" t="str">
        <f t="shared" si="211"/>
        <v>01</v>
      </c>
      <c r="AU430" s="90" t="s">
        <v>823</v>
      </c>
      <c r="AV430" s="90"/>
      <c r="AW430" s="90"/>
      <c r="AX430" s="95" t="str">
        <f>AQ430&amp;AR430&amp;AS430&amp;"-"&amp;AT430&amp;AU430&amp;BA430</f>
        <v>B0701-0108OUT</v>
      </c>
      <c r="AY430" s="99" t="str">
        <f>AQ430&amp;AR430&amp;AS430&amp;"-"&amp;AT430&amp;BA430</f>
        <v>B0701-01OUT</v>
      </c>
      <c r="AZ430" s="90"/>
      <c r="BA430" s="1" t="str">
        <f t="shared" si="212"/>
        <v>OUT</v>
      </c>
      <c r="BC430" s="1">
        <f t="shared" si="227"/>
        <v>1</v>
      </c>
      <c r="BD430" s="90">
        <f t="shared" si="228"/>
        <v>1</v>
      </c>
      <c r="BE430" s="1">
        <f t="shared" si="215"/>
        <v>1</v>
      </c>
      <c r="BF430" s="1">
        <f t="shared" si="216"/>
        <v>1</v>
      </c>
      <c r="BI430"/>
      <c r="BJ430"/>
      <c r="BL430"/>
    </row>
    <row r="431" spans="1:64" ht="11.25" customHeight="1">
      <c r="A431" s="26" t="s">
        <v>2232</v>
      </c>
      <c r="B431" s="27" t="s">
        <v>2212</v>
      </c>
      <c r="C431" s="28">
        <v>29.99</v>
      </c>
      <c r="D431" s="28">
        <f t="shared" si="203"/>
        <v>14.994999999999999</v>
      </c>
      <c r="E431" s="22" t="s">
        <v>2065</v>
      </c>
      <c r="F431" s="22" t="s">
        <v>2233</v>
      </c>
      <c r="G431" s="22" t="s">
        <v>2234</v>
      </c>
      <c r="H431" s="22" t="s">
        <v>2235</v>
      </c>
      <c r="I431" s="25" t="s">
        <v>2175</v>
      </c>
      <c r="J431" s="22" t="s">
        <v>670</v>
      </c>
      <c r="K431" s="23">
        <v>8</v>
      </c>
      <c r="L431" s="23">
        <v>8</v>
      </c>
      <c r="M431" s="23">
        <v>15</v>
      </c>
      <c r="N431" s="3">
        <f t="shared" si="183"/>
        <v>9.6000000000000002E-4</v>
      </c>
      <c r="O431" s="4" t="e">
        <f>(C431-(C431*#REF!))-((C431-(C431*#REF!))*#REF!)</f>
        <v>#REF!</v>
      </c>
      <c r="P431" s="7"/>
      <c r="Q431" s="7"/>
      <c r="R431" s="5">
        <f t="shared" si="217"/>
        <v>0</v>
      </c>
      <c r="S431" s="4">
        <f t="shared" si="218"/>
        <v>0</v>
      </c>
      <c r="T431" s="13">
        <f t="shared" si="204"/>
        <v>20.992999999999999</v>
      </c>
      <c r="U431" s="13">
        <f t="shared" si="213"/>
        <v>10.496499999999999</v>
      </c>
      <c r="V431" s="14">
        <f>U431/C431</f>
        <v>0.35</v>
      </c>
      <c r="W431" s="14"/>
      <c r="X431" s="19">
        <f t="shared" si="219"/>
        <v>10.496499999999999</v>
      </c>
      <c r="Y431" s="19">
        <f t="shared" si="220"/>
        <v>20.992999999999999</v>
      </c>
      <c r="Z431" s="15" t="e">
        <f t="shared" si="224"/>
        <v>#DIV/0!</v>
      </c>
      <c r="AG431" s="94" t="s">
        <v>1169</v>
      </c>
      <c r="AH431" s="89" t="str">
        <f>VLOOKUP(AG431,Sheet1!$B$3:$D$36,2,FALSE)</f>
        <v>Decors</v>
      </c>
      <c r="AI431" s="89" t="s">
        <v>2070</v>
      </c>
      <c r="AJ431" s="1" t="str">
        <f t="shared" si="205"/>
        <v>Elbrus Candle holder L15</v>
      </c>
      <c r="AK431" s="1" t="str">
        <f t="shared" si="206"/>
        <v>w8 x d8 x h15</v>
      </c>
      <c r="AL431" s="1" t="str">
        <f t="shared" si="207"/>
        <v>Lavastone outdoor</v>
      </c>
      <c r="AM431" s="1" t="str">
        <f t="shared" si="208"/>
        <v>Lavastone outdoor</v>
      </c>
      <c r="AN431" s="1" t="str">
        <f t="shared" si="229"/>
        <v xml:space="preserve">Lavastone </v>
      </c>
      <c r="AO431" s="1" t="s">
        <v>59</v>
      </c>
      <c r="AQ431" s="1" t="str">
        <f t="shared" si="209"/>
        <v>B</v>
      </c>
      <c r="AR431" s="1" t="str">
        <f>VLOOKUP(TRIM(AI431),Sheet1!$D$3:$E$36,2,FALSE)</f>
        <v>07</v>
      </c>
      <c r="AS431" s="90" t="str">
        <f t="shared" si="210"/>
        <v>01</v>
      </c>
      <c r="AT431" s="1" t="str">
        <f t="shared" si="211"/>
        <v>01</v>
      </c>
      <c r="AU431" s="90" t="s">
        <v>823</v>
      </c>
      <c r="AV431" s="90"/>
      <c r="AW431" s="90"/>
      <c r="AX431" s="95" t="str">
        <f>AQ431&amp;AR431&amp;AS431&amp;"-"&amp;AT431&amp;AU431&amp;BA431</f>
        <v>B0701-0108OUT</v>
      </c>
      <c r="AY431" s="99" t="str">
        <f>AQ431&amp;AR431&amp;AS431&amp;"-"&amp;AT431&amp;BA431</f>
        <v>B0701-01OUT</v>
      </c>
      <c r="AZ431" s="90"/>
      <c r="BA431" s="1" t="str">
        <f t="shared" si="212"/>
        <v>OUT</v>
      </c>
      <c r="BC431" s="1">
        <f t="shared" si="227"/>
        <v>1</v>
      </c>
      <c r="BD431" s="90">
        <f t="shared" si="228"/>
        <v>1</v>
      </c>
      <c r="BE431" s="1">
        <f t="shared" si="215"/>
        <v>1</v>
      </c>
      <c r="BF431" s="1">
        <f t="shared" si="216"/>
        <v>1</v>
      </c>
      <c r="BI431"/>
      <c r="BJ431"/>
      <c r="BL431"/>
    </row>
    <row r="432" spans="1:64" ht="11.25" customHeight="1">
      <c r="A432" s="26" t="s">
        <v>2236</v>
      </c>
      <c r="B432" s="27" t="s">
        <v>2212</v>
      </c>
      <c r="C432" s="28">
        <v>29.99</v>
      </c>
      <c r="D432" s="28">
        <f t="shared" si="203"/>
        <v>14.994999999999999</v>
      </c>
      <c r="E432" s="22" t="s">
        <v>2065</v>
      </c>
      <c r="F432" s="22" t="s">
        <v>2237</v>
      </c>
      <c r="G432" s="22" t="s">
        <v>2238</v>
      </c>
      <c r="H432" s="22" t="s">
        <v>2239</v>
      </c>
      <c r="I432" s="25" t="s">
        <v>2175</v>
      </c>
      <c r="J432" s="22" t="s">
        <v>670</v>
      </c>
      <c r="K432" s="23">
        <v>8</v>
      </c>
      <c r="L432" s="23">
        <v>8</v>
      </c>
      <c r="M432" s="23">
        <v>20</v>
      </c>
      <c r="N432" s="3">
        <f t="shared" si="183"/>
        <v>1.2800000000000001E-3</v>
      </c>
      <c r="O432" s="4" t="e">
        <f>(C432-(C432*#REF!))-((C432-(C432*#REF!))*#REF!)</f>
        <v>#REF!</v>
      </c>
      <c r="P432" s="7"/>
      <c r="Q432" s="7"/>
      <c r="R432" s="5">
        <f t="shared" si="217"/>
        <v>0</v>
      </c>
      <c r="S432" s="4">
        <f t="shared" si="218"/>
        <v>0</v>
      </c>
      <c r="T432" s="13">
        <f t="shared" si="204"/>
        <v>20.992999999999999</v>
      </c>
      <c r="U432" s="13">
        <f t="shared" si="213"/>
        <v>10.496499999999999</v>
      </c>
      <c r="V432" s="14">
        <f>U432/C432</f>
        <v>0.35</v>
      </c>
      <c r="W432" s="14"/>
      <c r="X432" s="19">
        <f t="shared" si="219"/>
        <v>10.496499999999999</v>
      </c>
      <c r="Y432" s="19">
        <f t="shared" si="220"/>
        <v>20.992999999999999</v>
      </c>
      <c r="Z432" s="15" t="e">
        <f t="shared" si="224"/>
        <v>#DIV/0!</v>
      </c>
      <c r="AG432" s="94" t="s">
        <v>1169</v>
      </c>
      <c r="AH432" s="89" t="str">
        <f>VLOOKUP(AG432,Sheet1!$B$3:$D$36,2,FALSE)</f>
        <v>Decors</v>
      </c>
      <c r="AI432" s="89" t="s">
        <v>2070</v>
      </c>
      <c r="AJ432" s="1" t="str">
        <f t="shared" si="205"/>
        <v>Elbrus Candle holder L20</v>
      </c>
      <c r="AK432" s="1" t="str">
        <f t="shared" si="206"/>
        <v>w8 x d8 x h20</v>
      </c>
      <c r="AL432" s="1" t="str">
        <f t="shared" si="207"/>
        <v>Lavastone outdoor</v>
      </c>
      <c r="AM432" s="1" t="str">
        <f t="shared" si="208"/>
        <v>Lavastone outdoor</v>
      </c>
      <c r="AN432" s="1" t="str">
        <f t="shared" si="229"/>
        <v xml:space="preserve">Lavastone </v>
      </c>
      <c r="AO432" s="1" t="s">
        <v>59</v>
      </c>
      <c r="AQ432" s="1" t="str">
        <f t="shared" si="209"/>
        <v>B</v>
      </c>
      <c r="AR432" s="1" t="str">
        <f>VLOOKUP(TRIM(AI432),Sheet1!$D$3:$E$36,2,FALSE)</f>
        <v>07</v>
      </c>
      <c r="AS432" s="90" t="str">
        <f t="shared" si="210"/>
        <v>01</v>
      </c>
      <c r="AT432" s="1" t="str">
        <f t="shared" si="211"/>
        <v>01</v>
      </c>
      <c r="AU432" s="90" t="s">
        <v>823</v>
      </c>
      <c r="AV432" s="90"/>
      <c r="AW432" s="90"/>
      <c r="AX432" s="95" t="str">
        <f>AQ432&amp;AR432&amp;AS432&amp;"-"&amp;AT432&amp;AU432&amp;BA432</f>
        <v>B0701-0108OUT</v>
      </c>
      <c r="AY432" s="99" t="str">
        <f>AQ432&amp;AR432&amp;AS432&amp;"-"&amp;AT432&amp;BA432</f>
        <v>B0701-01OUT</v>
      </c>
      <c r="AZ432" s="90"/>
      <c r="BA432" s="1" t="str">
        <f t="shared" si="212"/>
        <v>OUT</v>
      </c>
      <c r="BC432" s="1">
        <f t="shared" si="227"/>
        <v>1</v>
      </c>
      <c r="BD432" s="90">
        <f t="shared" si="228"/>
        <v>1</v>
      </c>
      <c r="BE432" s="1">
        <f t="shared" si="215"/>
        <v>1</v>
      </c>
      <c r="BF432" s="1">
        <f t="shared" si="216"/>
        <v>1</v>
      </c>
      <c r="BI432"/>
      <c r="BJ432"/>
      <c r="BL432"/>
    </row>
    <row r="433" spans="1:64" ht="11.25" customHeight="1">
      <c r="A433" s="26" t="s">
        <v>2240</v>
      </c>
      <c r="B433" s="27" t="s">
        <v>2212</v>
      </c>
      <c r="C433" s="28">
        <v>39.99</v>
      </c>
      <c r="D433" s="28">
        <f t="shared" si="203"/>
        <v>19.995000000000001</v>
      </c>
      <c r="E433" s="22" t="s">
        <v>2065</v>
      </c>
      <c r="F433" s="22" t="s">
        <v>2241</v>
      </c>
      <c r="G433" s="22" t="s">
        <v>2242</v>
      </c>
      <c r="H433" s="22" t="s">
        <v>2243</v>
      </c>
      <c r="I433" s="25" t="s">
        <v>2175</v>
      </c>
      <c r="J433" s="22" t="s">
        <v>670</v>
      </c>
      <c r="K433" s="23">
        <v>8</v>
      </c>
      <c r="L433" s="23">
        <v>8</v>
      </c>
      <c r="M433" s="23">
        <v>25</v>
      </c>
      <c r="N433" s="3">
        <f t="shared" si="183"/>
        <v>1.6000000000000001E-3</v>
      </c>
      <c r="O433" s="4" t="e">
        <f>(C433-(C433*#REF!))-((C433-(C433*#REF!))*#REF!)</f>
        <v>#REF!</v>
      </c>
      <c r="P433" s="7"/>
      <c r="Q433" s="7"/>
      <c r="R433" s="5">
        <f t="shared" si="217"/>
        <v>0</v>
      </c>
      <c r="S433" s="4">
        <f t="shared" si="218"/>
        <v>0</v>
      </c>
      <c r="T433" s="13">
        <f t="shared" si="204"/>
        <v>27.993000000000002</v>
      </c>
      <c r="U433" s="13">
        <f t="shared" si="213"/>
        <v>13.996500000000001</v>
      </c>
      <c r="V433" s="14">
        <f>U433/C433</f>
        <v>0.35000000000000003</v>
      </c>
      <c r="W433" s="14"/>
      <c r="X433" s="19">
        <f t="shared" si="219"/>
        <v>13.996500000000001</v>
      </c>
      <c r="Y433" s="19">
        <f t="shared" si="220"/>
        <v>27.993000000000002</v>
      </c>
      <c r="Z433" s="15" t="e">
        <f t="shared" si="224"/>
        <v>#DIV/0!</v>
      </c>
      <c r="AG433" s="94" t="s">
        <v>1169</v>
      </c>
      <c r="AH433" s="89" t="str">
        <f>VLOOKUP(AG433,Sheet1!$B$3:$D$36,2,FALSE)</f>
        <v>Decors</v>
      </c>
      <c r="AI433" s="89" t="s">
        <v>2070</v>
      </c>
      <c r="AJ433" s="1" t="str">
        <f t="shared" si="205"/>
        <v>Elbrus Candle holder L25</v>
      </c>
      <c r="AK433" s="1" t="str">
        <f t="shared" si="206"/>
        <v>w8 x d8 x h25</v>
      </c>
      <c r="AL433" s="1" t="str">
        <f t="shared" si="207"/>
        <v>Lavastone outdoor</v>
      </c>
      <c r="AM433" s="1" t="str">
        <f t="shared" si="208"/>
        <v>Lavastone outdoor</v>
      </c>
      <c r="AN433" s="1" t="str">
        <f t="shared" si="229"/>
        <v xml:space="preserve">Lavastone </v>
      </c>
      <c r="AO433" s="1" t="s">
        <v>59</v>
      </c>
      <c r="AQ433" s="1" t="str">
        <f t="shared" si="209"/>
        <v>B</v>
      </c>
      <c r="AR433" s="1" t="str">
        <f>VLOOKUP(TRIM(AI433),Sheet1!$D$3:$E$36,2,FALSE)</f>
        <v>07</v>
      </c>
      <c r="AS433" s="90" t="str">
        <f t="shared" si="210"/>
        <v>01</v>
      </c>
      <c r="AT433" s="1" t="str">
        <f t="shared" si="211"/>
        <v>01</v>
      </c>
      <c r="AU433" s="90" t="s">
        <v>823</v>
      </c>
      <c r="AV433" s="90"/>
      <c r="AW433" s="90"/>
      <c r="AX433" s="95" t="str">
        <f>AQ433&amp;AR433&amp;AS433&amp;"-"&amp;AT433&amp;AU433&amp;BA433</f>
        <v>B0701-0108OUT</v>
      </c>
      <c r="AY433" s="99" t="str">
        <f>AQ433&amp;AR433&amp;AS433&amp;"-"&amp;AT433&amp;BA433</f>
        <v>B0701-01OUT</v>
      </c>
      <c r="AZ433" s="90"/>
      <c r="BA433" s="1" t="str">
        <f t="shared" si="212"/>
        <v>OUT</v>
      </c>
      <c r="BC433" s="1">
        <f t="shared" si="227"/>
        <v>1</v>
      </c>
      <c r="BD433" s="90">
        <f t="shared" si="228"/>
        <v>1</v>
      </c>
      <c r="BE433" s="1">
        <f t="shared" si="215"/>
        <v>1</v>
      </c>
      <c r="BF433" s="1">
        <f t="shared" si="216"/>
        <v>1</v>
      </c>
      <c r="BI433"/>
      <c r="BJ433"/>
      <c r="BL433"/>
    </row>
    <row r="434" spans="1:64" ht="11.25" customHeight="1">
      <c r="A434" s="26" t="s">
        <v>2244</v>
      </c>
      <c r="B434" s="27" t="s">
        <v>2245</v>
      </c>
      <c r="C434" s="28">
        <v>20.99</v>
      </c>
      <c r="D434" s="28">
        <f t="shared" si="203"/>
        <v>10.494999999999999</v>
      </c>
      <c r="E434" s="22" t="s">
        <v>2065</v>
      </c>
      <c r="F434" s="22" t="s">
        <v>2246</v>
      </c>
      <c r="G434" s="22" t="s">
        <v>2247</v>
      </c>
      <c r="H434" s="22" t="s">
        <v>2248</v>
      </c>
      <c r="I434" s="25" t="s">
        <v>2175</v>
      </c>
      <c r="J434" s="22" t="s">
        <v>670</v>
      </c>
      <c r="K434" s="23">
        <v>20</v>
      </c>
      <c r="L434" s="23">
        <v>30</v>
      </c>
      <c r="M434" s="23">
        <v>30</v>
      </c>
      <c r="N434" s="3">
        <f t="shared" si="183"/>
        <v>1.7999999999999999E-2</v>
      </c>
      <c r="O434" s="4" t="e">
        <f>(C434-(C434*#REF!))-((C434-(C434*#REF!))*#REF!)</f>
        <v>#REF!</v>
      </c>
      <c r="P434" s="7"/>
      <c r="Q434" s="7"/>
      <c r="R434" s="5">
        <f t="shared" si="217"/>
        <v>0</v>
      </c>
      <c r="S434" s="4">
        <f t="shared" si="218"/>
        <v>0</v>
      </c>
      <c r="T434" s="13">
        <f t="shared" si="204"/>
        <v>14.692999999999998</v>
      </c>
      <c r="U434" s="13">
        <f t="shared" si="213"/>
        <v>7.3464999999999989</v>
      </c>
      <c r="V434" s="14">
        <f>U434/C434</f>
        <v>0.35</v>
      </c>
      <c r="W434" s="14"/>
      <c r="X434" s="19">
        <f t="shared" si="219"/>
        <v>7.3464999999999989</v>
      </c>
      <c r="Y434" s="19">
        <f t="shared" si="220"/>
        <v>14.692999999999998</v>
      </c>
      <c r="Z434" s="15" t="e">
        <f t="shared" si="224"/>
        <v>#DIV/0!</v>
      </c>
      <c r="AG434" s="94" t="s">
        <v>1169</v>
      </c>
      <c r="AH434" s="89" t="str">
        <f>VLOOKUP(AG434,Sheet1!$B$3:$D$36,2,FALSE)</f>
        <v>Decors</v>
      </c>
      <c r="AI434" s="89" t="s">
        <v>2070</v>
      </c>
      <c r="AJ434" s="1" t="str">
        <f t="shared" si="205"/>
        <v>Matterhorn Candle Holder</v>
      </c>
      <c r="AK434" s="1" t="str">
        <f t="shared" si="206"/>
        <v>w20 x d30 x h30</v>
      </c>
      <c r="AL434" s="1" t="str">
        <f t="shared" si="207"/>
        <v>Lavastone outdoor</v>
      </c>
      <c r="AM434" s="1" t="str">
        <f t="shared" si="208"/>
        <v>Lavastone outdoor</v>
      </c>
      <c r="AN434" s="1" t="str">
        <f t="shared" si="229"/>
        <v xml:space="preserve">Lavastone </v>
      </c>
      <c r="AO434" s="1" t="s">
        <v>59</v>
      </c>
      <c r="AQ434" s="1" t="str">
        <f t="shared" si="209"/>
        <v>B</v>
      </c>
      <c r="AR434" s="1" t="str">
        <f>VLOOKUP(TRIM(AI434),Sheet1!$D$3:$E$36,2,FALSE)</f>
        <v>07</v>
      </c>
      <c r="AS434" s="90" t="str">
        <f t="shared" si="210"/>
        <v>01</v>
      </c>
      <c r="AT434" s="1" t="str">
        <f t="shared" si="211"/>
        <v>01</v>
      </c>
      <c r="AU434" s="90" t="s">
        <v>823</v>
      </c>
      <c r="AV434" s="90"/>
      <c r="AW434" s="90"/>
      <c r="AX434" s="95" t="str">
        <f>AQ434&amp;AR434&amp;AS434&amp;"-"&amp;AT434&amp;AU434&amp;BA434</f>
        <v>B0701-0108OUT</v>
      </c>
      <c r="AY434" s="99" t="str">
        <f>AQ434&amp;AR434&amp;AS434&amp;"-"&amp;AT434&amp;BA434</f>
        <v>B0701-01OUT</v>
      </c>
      <c r="AZ434" s="90"/>
      <c r="BA434" s="1" t="str">
        <f t="shared" si="212"/>
        <v>OUT</v>
      </c>
      <c r="BC434" s="1">
        <f t="shared" si="227"/>
        <v>1</v>
      </c>
      <c r="BD434" s="90">
        <f t="shared" si="228"/>
        <v>1</v>
      </c>
      <c r="BE434" s="1">
        <f t="shared" si="215"/>
        <v>1</v>
      </c>
      <c r="BF434" s="1">
        <f t="shared" si="216"/>
        <v>1</v>
      </c>
      <c r="BI434"/>
      <c r="BJ434"/>
      <c r="BL434"/>
    </row>
    <row r="435" spans="1:64" ht="11.25" customHeight="1">
      <c r="A435" s="26">
        <v>22013</v>
      </c>
      <c r="B435" s="27" t="s">
        <v>2249</v>
      </c>
      <c r="C435" s="28">
        <v>64.989999999999995</v>
      </c>
      <c r="D435" s="28">
        <f t="shared" si="203"/>
        <v>32.494999999999997</v>
      </c>
      <c r="E435" s="22" t="s">
        <v>2065</v>
      </c>
      <c r="F435" s="22" t="s">
        <v>2250</v>
      </c>
      <c r="G435" s="22" t="s">
        <v>2251</v>
      </c>
      <c r="H435" s="22" t="s">
        <v>2252</v>
      </c>
      <c r="I435" s="25" t="s">
        <v>2253</v>
      </c>
      <c r="J435" s="22" t="s">
        <v>646</v>
      </c>
      <c r="L435" s="23">
        <v>20</v>
      </c>
      <c r="M435" s="23">
        <v>17</v>
      </c>
      <c r="N435" s="3">
        <f t="shared" si="183"/>
        <v>6.7999999999999996E-3</v>
      </c>
      <c r="O435" s="4" t="e">
        <f>(C435-(C435*#REF!))-((C435-(C435*#REF!))*#REF!)</f>
        <v>#REF!</v>
      </c>
      <c r="P435" s="7"/>
      <c r="Q435" s="7"/>
      <c r="R435" s="5">
        <f t="shared" si="217"/>
        <v>0</v>
      </c>
      <c r="S435" s="4">
        <f t="shared" si="218"/>
        <v>0</v>
      </c>
      <c r="T435" s="13">
        <f t="shared" si="204"/>
        <v>45.492999999999995</v>
      </c>
      <c r="U435" s="13">
        <f t="shared" si="213"/>
        <v>22.746499999999997</v>
      </c>
      <c r="V435" s="14">
        <f>U435/C435</f>
        <v>0.35</v>
      </c>
      <c r="W435" s="14"/>
      <c r="X435" s="19">
        <f t="shared" si="219"/>
        <v>22.746499999999997</v>
      </c>
      <c r="Y435" s="19">
        <f t="shared" si="220"/>
        <v>45.492999999999995</v>
      </c>
      <c r="Z435" s="15" t="e">
        <f t="shared" si="224"/>
        <v>#DIV/0!</v>
      </c>
      <c r="AG435" s="94" t="s">
        <v>1169</v>
      </c>
      <c r="AH435" s="89" t="str">
        <f>VLOOKUP(AG435,Sheet1!$B$3:$D$36,2,FALSE)</f>
        <v>Decors</v>
      </c>
      <c r="AI435" s="89" t="s">
        <v>2070</v>
      </c>
      <c r="AJ435" s="1" t="str">
        <f t="shared" si="205"/>
        <v>McKinley Candle holder</v>
      </c>
      <c r="AK435" s="1" t="str">
        <f t="shared" si="206"/>
        <v>d20 x h17</v>
      </c>
      <c r="AL435" s="1" t="str">
        <f t="shared" si="207"/>
        <v>palm leaf &amp; iron indoor</v>
      </c>
      <c r="AM435" s="1" t="str">
        <f t="shared" si="208"/>
        <v>palm leaf &amp; iron indoor</v>
      </c>
      <c r="AN435" s="1" t="str">
        <f>SUBSTITUTE(AL435,"indoor","")</f>
        <v xml:space="preserve">palm leaf &amp; iron </v>
      </c>
      <c r="AO435" s="1" t="s">
        <v>54</v>
      </c>
      <c r="AQ435" s="1" t="str">
        <f t="shared" si="209"/>
        <v>B</v>
      </c>
      <c r="AR435" s="1" t="str">
        <f>VLOOKUP(TRIM(AI435),Sheet1!$D$3:$E$36,2,FALSE)</f>
        <v>07</v>
      </c>
      <c r="AS435" s="90" t="str">
        <f t="shared" si="210"/>
        <v>01</v>
      </c>
      <c r="AT435" s="1" t="str">
        <f t="shared" si="211"/>
        <v>01</v>
      </c>
      <c r="AU435" s="90" t="s">
        <v>2014</v>
      </c>
      <c r="AV435" s="90"/>
      <c r="AW435" s="90"/>
      <c r="AX435" s="95" t="str">
        <f>AQ435&amp;AR435&amp;AS435&amp;"-"&amp;AT435&amp;AU435&amp;BA435</f>
        <v>B0701-0113IND</v>
      </c>
      <c r="AY435" s="99" t="str">
        <f>AQ435&amp;AR435&amp;AS435&amp;"-"&amp;AT435&amp;BA435</f>
        <v>B0701-01IND</v>
      </c>
      <c r="AZ435" s="90"/>
      <c r="BA435" s="1" t="str">
        <f t="shared" si="212"/>
        <v>IND</v>
      </c>
      <c r="BC435" s="1">
        <f t="shared" si="227"/>
        <v>1</v>
      </c>
      <c r="BD435" s="90">
        <f t="shared" si="228"/>
        <v>1</v>
      </c>
      <c r="BE435" s="1">
        <f t="shared" si="215"/>
        <v>1</v>
      </c>
      <c r="BF435" s="1">
        <f t="shared" si="216"/>
        <v>1</v>
      </c>
      <c r="BI435"/>
      <c r="BJ435"/>
      <c r="BL435"/>
    </row>
    <row r="436" spans="1:64" s="63" customFormat="1" ht="15.75">
      <c r="A436" s="33" t="s">
        <v>2254</v>
      </c>
      <c r="B436" s="34"/>
      <c r="C436" s="35"/>
      <c r="D436" s="36"/>
      <c r="E436" s="39"/>
      <c r="F436" s="40"/>
      <c r="G436" s="39"/>
      <c r="H436" s="39"/>
      <c r="I436" s="41"/>
      <c r="J436" s="39"/>
      <c r="K436" s="41"/>
      <c r="L436" s="41"/>
      <c r="M436" s="41"/>
      <c r="N436" s="48"/>
      <c r="O436" s="48"/>
      <c r="P436" s="49"/>
      <c r="Q436" s="49"/>
      <c r="R436" s="50"/>
      <c r="S436" s="48"/>
      <c r="T436" s="13"/>
      <c r="U436" s="13"/>
      <c r="V436" s="14"/>
      <c r="W436" s="14"/>
      <c r="X436" s="60"/>
      <c r="Y436" s="60"/>
      <c r="Z436" s="15"/>
      <c r="AA436" s="39"/>
      <c r="AG436" s="93"/>
      <c r="AH436" s="89"/>
      <c r="AI436" s="89"/>
      <c r="AJ436" s="1"/>
      <c r="AK436" s="1"/>
      <c r="AL436" s="1"/>
      <c r="AM436" s="1"/>
      <c r="AN436" s="1"/>
      <c r="AQ436" s="1"/>
      <c r="AR436" s="1"/>
      <c r="AS436" s="90"/>
      <c r="AT436" s="1"/>
      <c r="AU436" s="90"/>
      <c r="AV436" s="90"/>
      <c r="AW436" s="90"/>
      <c r="AX436" s="95"/>
      <c r="AY436" s="99" t="str">
        <f>AQ436&amp;AR436&amp;AS436&amp;"-"&amp;AT436&amp;BA436</f>
        <v>-</v>
      </c>
      <c r="AZ436" s="90"/>
      <c r="BA436" s="1"/>
      <c r="BC436" s="1"/>
      <c r="BD436" s="90"/>
      <c r="BE436" s="1"/>
      <c r="BF436" s="1"/>
      <c r="BI436"/>
      <c r="BJ436"/>
      <c r="BK436" s="1"/>
      <c r="BL436"/>
    </row>
    <row r="437" spans="1:64" ht="11.25" customHeight="1">
      <c r="A437" s="26" t="s">
        <v>2255</v>
      </c>
      <c r="B437" s="27" t="s">
        <v>2256</v>
      </c>
      <c r="C437" s="28">
        <v>84.99</v>
      </c>
      <c r="D437" s="28">
        <f t="shared" si="203"/>
        <v>42.494999999999997</v>
      </c>
      <c r="E437" s="22" t="s">
        <v>2257</v>
      </c>
      <c r="F437" s="22" t="s">
        <v>2258</v>
      </c>
      <c r="G437" s="22" t="s">
        <v>2259</v>
      </c>
      <c r="H437" s="22" t="s">
        <v>2260</v>
      </c>
      <c r="I437" s="23" t="s">
        <v>2261</v>
      </c>
      <c r="J437" s="22" t="s">
        <v>646</v>
      </c>
      <c r="L437" s="23">
        <v>30</v>
      </c>
      <c r="M437" s="23">
        <v>30</v>
      </c>
      <c r="N437" s="3">
        <f t="shared" si="183"/>
        <v>2.7E-2</v>
      </c>
      <c r="O437" s="4" t="e">
        <f>(C437-(C437*#REF!))-((C437-(C437*#REF!))*#REF!)</f>
        <v>#REF!</v>
      </c>
      <c r="P437" s="7">
        <f>Q437*0.1</f>
        <v>29396.799999999996</v>
      </c>
      <c r="Q437" s="51">
        <v>293967.99999999994</v>
      </c>
      <c r="R437" s="5">
        <f t="shared" ref="R437:R491" si="230">P437+Q437</f>
        <v>323364.79999999993</v>
      </c>
      <c r="S437" s="4">
        <f t="shared" ref="S437:S491" si="231">R437/15000</f>
        <v>21.557653333333327</v>
      </c>
      <c r="T437" s="13">
        <f t="shared" si="204"/>
        <v>59.492999999999995</v>
      </c>
      <c r="U437" s="13">
        <f t="shared" si="213"/>
        <v>29.746499999999997</v>
      </c>
      <c r="V437" s="14">
        <f>U437/C437</f>
        <v>0.35</v>
      </c>
      <c r="W437" s="57">
        <f>18.37*2</f>
        <v>36.74</v>
      </c>
      <c r="X437" s="19">
        <f t="shared" ref="X437:X491" si="232">IF(ISBLANK(W437),U437, W437)</f>
        <v>36.74</v>
      </c>
      <c r="Y437" s="19">
        <f t="shared" ref="Y437:Y491" si="233">X437*2</f>
        <v>73.48</v>
      </c>
      <c r="Z437" s="15">
        <f t="shared" ref="Z437:Z445" si="234">W437/S437</f>
        <v>1.7042671311163125</v>
      </c>
      <c r="AA437" s="22" t="s">
        <v>2262</v>
      </c>
      <c r="AG437" s="94" t="s">
        <v>1169</v>
      </c>
      <c r="AH437" s="89" t="str">
        <f>VLOOKUP(AG437,Sheet1!$B$3:$D$36,2,FALSE)</f>
        <v>Decors</v>
      </c>
      <c r="AI437" s="89" t="s">
        <v>2263</v>
      </c>
      <c r="AJ437" s="1" t="str">
        <f t="shared" si="205"/>
        <v>Enigma Circle-S</v>
      </c>
      <c r="AK437" s="1" t="str">
        <f t="shared" si="206"/>
        <v>d30 x h30</v>
      </c>
      <c r="AL437" s="1" t="str">
        <f t="shared" si="207"/>
        <v>pulut indoor</v>
      </c>
      <c r="AM437" s="1" t="str">
        <f t="shared" si="208"/>
        <v>pulut indoor</v>
      </c>
      <c r="AN437" s="1" t="str">
        <f t="shared" ref="AN437:AN454" si="235">SUBSTITUTE(AL437,"indoor","")</f>
        <v xml:space="preserve">pulut </v>
      </c>
      <c r="AO437" s="1" t="s">
        <v>54</v>
      </c>
      <c r="AQ437" s="1" t="str">
        <f t="shared" si="209"/>
        <v>B</v>
      </c>
      <c r="AR437" s="1" t="str">
        <f>VLOOKUP(TRIM(AI437),Sheet1!$D$3:$E$36,2,FALSE)</f>
        <v>08</v>
      </c>
      <c r="AS437" s="90" t="str">
        <f t="shared" si="210"/>
        <v>01</v>
      </c>
      <c r="AT437" s="1" t="str">
        <f t="shared" si="211"/>
        <v>01</v>
      </c>
      <c r="AU437" s="90" t="s">
        <v>1185</v>
      </c>
      <c r="AV437" s="90"/>
      <c r="AW437" s="90"/>
      <c r="AX437" s="95" t="str">
        <f>AQ437&amp;AR437&amp;AS437&amp;"-"&amp;AT437&amp;AU437&amp;BA437</f>
        <v>B0801-0114IND</v>
      </c>
      <c r="AY437" s="99" t="str">
        <f>AQ437&amp;AR437&amp;AS437&amp;"-"&amp;AT437&amp;BA437</f>
        <v>B0801-01IND</v>
      </c>
      <c r="AZ437" s="90"/>
      <c r="BA437" s="1" t="str">
        <f t="shared" si="212"/>
        <v>IND</v>
      </c>
      <c r="BC437" s="1">
        <f t="shared" si="227"/>
        <v>1</v>
      </c>
      <c r="BD437" s="90">
        <f t="shared" si="228"/>
        <v>1</v>
      </c>
      <c r="BE437" s="1">
        <f t="shared" si="215"/>
        <v>1</v>
      </c>
      <c r="BF437" s="1">
        <f t="shared" si="216"/>
        <v>1</v>
      </c>
      <c r="BI437"/>
      <c r="BJ437"/>
      <c r="BL437"/>
    </row>
    <row r="438" spans="1:64" ht="11.25" customHeight="1">
      <c r="A438" s="26" t="s">
        <v>2264</v>
      </c>
      <c r="B438" s="27" t="s">
        <v>2256</v>
      </c>
      <c r="C438" s="28">
        <v>128.99</v>
      </c>
      <c r="D438" s="28">
        <f t="shared" si="203"/>
        <v>64.495000000000005</v>
      </c>
      <c r="E438" s="22" t="s">
        <v>2257</v>
      </c>
      <c r="F438" s="22" t="s">
        <v>2265</v>
      </c>
      <c r="G438" s="22" t="s">
        <v>2266</v>
      </c>
      <c r="H438" s="22" t="s">
        <v>2267</v>
      </c>
      <c r="I438" s="23" t="s">
        <v>2261</v>
      </c>
      <c r="J438" s="22" t="s">
        <v>646</v>
      </c>
      <c r="L438" s="23">
        <v>40</v>
      </c>
      <c r="M438" s="23">
        <v>40</v>
      </c>
      <c r="N438" s="3">
        <f t="shared" si="183"/>
        <v>6.4000000000000001E-2</v>
      </c>
      <c r="O438" s="4" t="e">
        <f>(C438-(C438*#REF!))-((C438-(C438*#REF!))*#REF!)</f>
        <v>#REF!</v>
      </c>
      <c r="P438" s="7">
        <f t="shared" ref="P438:P439" si="236">Q438*0.1</f>
        <v>42611.199999999997</v>
      </c>
      <c r="Q438" s="5">
        <v>426111.99999999994</v>
      </c>
      <c r="R438" s="5">
        <f t="shared" si="230"/>
        <v>468723.19999999995</v>
      </c>
      <c r="S438" s="4">
        <f t="shared" si="231"/>
        <v>31.248213333333329</v>
      </c>
      <c r="T438" s="13">
        <f t="shared" si="204"/>
        <v>90.293000000000006</v>
      </c>
      <c r="U438" s="13">
        <f t="shared" si="213"/>
        <v>45.146500000000003</v>
      </c>
      <c r="V438" s="14">
        <f>U438/C438</f>
        <v>0.35</v>
      </c>
      <c r="W438" s="57">
        <f>26.63*2</f>
        <v>53.26</v>
      </c>
      <c r="X438" s="19">
        <f t="shared" si="232"/>
        <v>53.26</v>
      </c>
      <c r="Y438" s="19">
        <f t="shared" si="233"/>
        <v>106.52</v>
      </c>
      <c r="Z438" s="15">
        <f t="shared" si="234"/>
        <v>1.7044174472268496</v>
      </c>
      <c r="AA438" s="22" t="s">
        <v>2268</v>
      </c>
      <c r="AG438" s="94" t="s">
        <v>1169</v>
      </c>
      <c r="AH438" s="89" t="str">
        <f>VLOOKUP(AG438,Sheet1!$B$3:$D$36,2,FALSE)</f>
        <v>Decors</v>
      </c>
      <c r="AI438" s="89" t="s">
        <v>2263</v>
      </c>
      <c r="AJ438" s="1" t="str">
        <f t="shared" si="205"/>
        <v>Enigma Circle-M</v>
      </c>
      <c r="AK438" s="1" t="str">
        <f t="shared" si="206"/>
        <v>d40 x h40</v>
      </c>
      <c r="AL438" s="1" t="str">
        <f t="shared" si="207"/>
        <v>pulut indoor</v>
      </c>
      <c r="AM438" s="1" t="str">
        <f t="shared" si="208"/>
        <v>pulut indoor</v>
      </c>
      <c r="AN438" s="1" t="str">
        <f t="shared" si="235"/>
        <v xml:space="preserve">pulut </v>
      </c>
      <c r="AO438" s="1" t="s">
        <v>54</v>
      </c>
      <c r="AQ438" s="1" t="str">
        <f t="shared" si="209"/>
        <v>B</v>
      </c>
      <c r="AR438" s="1" t="str">
        <f>VLOOKUP(TRIM(AI438),Sheet1!$D$3:$E$36,2,FALSE)</f>
        <v>08</v>
      </c>
      <c r="AS438" s="90" t="str">
        <f t="shared" si="210"/>
        <v>01</v>
      </c>
      <c r="AT438" s="1" t="str">
        <f t="shared" si="211"/>
        <v>01</v>
      </c>
      <c r="AU438" s="90" t="s">
        <v>1185</v>
      </c>
      <c r="AV438" s="90"/>
      <c r="AW438" s="90"/>
      <c r="AX438" s="95" t="str">
        <f>AQ438&amp;AR438&amp;AS438&amp;"-"&amp;AT438&amp;AU438&amp;BA438</f>
        <v>B0801-0114IND</v>
      </c>
      <c r="AY438" s="99" t="str">
        <f>AQ438&amp;AR438&amp;AS438&amp;"-"&amp;AT438&amp;BA438</f>
        <v>B0801-01IND</v>
      </c>
      <c r="AZ438" s="90"/>
      <c r="BA438" s="1" t="str">
        <f t="shared" si="212"/>
        <v>IND</v>
      </c>
      <c r="BC438" s="1">
        <f t="shared" si="227"/>
        <v>1</v>
      </c>
      <c r="BD438" s="90">
        <f t="shared" si="228"/>
        <v>1</v>
      </c>
      <c r="BE438" s="1">
        <f t="shared" si="215"/>
        <v>1</v>
      </c>
      <c r="BF438" s="1">
        <f t="shared" si="216"/>
        <v>1</v>
      </c>
      <c r="BI438"/>
      <c r="BJ438"/>
      <c r="BL438"/>
    </row>
    <row r="439" spans="1:64" ht="11.25" customHeight="1">
      <c r="A439" s="26" t="s">
        <v>2269</v>
      </c>
      <c r="B439" s="27" t="s">
        <v>2256</v>
      </c>
      <c r="C439" s="28">
        <v>180.99</v>
      </c>
      <c r="D439" s="28">
        <f t="shared" si="203"/>
        <v>90.495000000000005</v>
      </c>
      <c r="E439" s="22" t="s">
        <v>2257</v>
      </c>
      <c r="F439" s="22" t="s">
        <v>2270</v>
      </c>
      <c r="G439" s="22" t="s">
        <v>2271</v>
      </c>
      <c r="H439" s="22" t="s">
        <v>2272</v>
      </c>
      <c r="I439" s="23" t="s">
        <v>2261</v>
      </c>
      <c r="J439" s="22" t="s">
        <v>646</v>
      </c>
      <c r="L439" s="23">
        <v>50</v>
      </c>
      <c r="M439" s="23">
        <v>50</v>
      </c>
      <c r="N439" s="3">
        <f t="shared" si="183"/>
        <v>0.125</v>
      </c>
      <c r="O439" s="4" t="e">
        <f>(C439-(C439*#REF!))-((C439-(C439*#REF!))*#REF!)</f>
        <v>#REF!</v>
      </c>
      <c r="P439" s="7">
        <f t="shared" si="236"/>
        <v>59342.400000000001</v>
      </c>
      <c r="Q439" s="5">
        <v>593424</v>
      </c>
      <c r="R439" s="5">
        <f t="shared" si="230"/>
        <v>652766.4</v>
      </c>
      <c r="S439" s="4">
        <f t="shared" si="231"/>
        <v>43.517760000000003</v>
      </c>
      <c r="T439" s="13">
        <f t="shared" si="204"/>
        <v>126.69300000000001</v>
      </c>
      <c r="U439" s="13">
        <f t="shared" si="213"/>
        <v>63.346500000000006</v>
      </c>
      <c r="V439" s="14">
        <f>U439/C439</f>
        <v>0.35000000000000003</v>
      </c>
      <c r="W439" s="57">
        <f>37.09*2</f>
        <v>74.180000000000007</v>
      </c>
      <c r="X439" s="19">
        <f t="shared" si="232"/>
        <v>74.180000000000007</v>
      </c>
      <c r="Y439" s="19">
        <f t="shared" si="233"/>
        <v>148.36000000000001</v>
      </c>
      <c r="Z439" s="15">
        <f t="shared" si="234"/>
        <v>1.7045914127933055</v>
      </c>
      <c r="AA439" s="22" t="s">
        <v>2273</v>
      </c>
      <c r="AG439" s="94" t="s">
        <v>1169</v>
      </c>
      <c r="AH439" s="89" t="str">
        <f>VLOOKUP(AG439,Sheet1!$B$3:$D$36,2,FALSE)</f>
        <v>Decors</v>
      </c>
      <c r="AI439" s="89" t="s">
        <v>2263</v>
      </c>
      <c r="AJ439" s="1" t="str">
        <f t="shared" si="205"/>
        <v>Enigma Circle-L</v>
      </c>
      <c r="AK439" s="1" t="str">
        <f t="shared" si="206"/>
        <v>d50 x h50</v>
      </c>
      <c r="AL439" s="1" t="str">
        <f t="shared" si="207"/>
        <v>pulut indoor</v>
      </c>
      <c r="AM439" s="1" t="str">
        <f t="shared" si="208"/>
        <v>pulut indoor</v>
      </c>
      <c r="AN439" s="1" t="str">
        <f t="shared" si="235"/>
        <v xml:space="preserve">pulut </v>
      </c>
      <c r="AO439" s="1" t="s">
        <v>54</v>
      </c>
      <c r="AQ439" s="1" t="str">
        <f t="shared" si="209"/>
        <v>B</v>
      </c>
      <c r="AR439" s="1" t="str">
        <f>VLOOKUP(TRIM(AI439),Sheet1!$D$3:$E$36,2,FALSE)</f>
        <v>08</v>
      </c>
      <c r="AS439" s="90" t="str">
        <f t="shared" si="210"/>
        <v>01</v>
      </c>
      <c r="AT439" s="1" t="str">
        <f t="shared" si="211"/>
        <v>01</v>
      </c>
      <c r="AU439" s="90" t="s">
        <v>1185</v>
      </c>
      <c r="AV439" s="90"/>
      <c r="AW439" s="90"/>
      <c r="AX439" s="95" t="str">
        <f>AQ439&amp;AR439&amp;AS439&amp;"-"&amp;AT439&amp;AU439&amp;BA439</f>
        <v>B0801-0114IND</v>
      </c>
      <c r="AY439" s="99" t="str">
        <f>AQ439&amp;AR439&amp;AS439&amp;"-"&amp;AT439&amp;BA439</f>
        <v>B0801-01IND</v>
      </c>
      <c r="AZ439" s="90"/>
      <c r="BA439" s="1" t="str">
        <f t="shared" si="212"/>
        <v>IND</v>
      </c>
      <c r="BC439" s="1">
        <f t="shared" si="227"/>
        <v>1</v>
      </c>
      <c r="BD439" s="90">
        <f t="shared" si="228"/>
        <v>1</v>
      </c>
      <c r="BE439" s="1">
        <f t="shared" si="215"/>
        <v>1</v>
      </c>
      <c r="BF439" s="1">
        <f t="shared" si="216"/>
        <v>1</v>
      </c>
      <c r="BI439"/>
      <c r="BJ439"/>
      <c r="BL439"/>
    </row>
    <row r="440" spans="1:64" ht="11.25" customHeight="1">
      <c r="A440" s="26" t="s">
        <v>2274</v>
      </c>
      <c r="B440" s="27" t="s">
        <v>2275</v>
      </c>
      <c r="C440" s="28">
        <v>128.99</v>
      </c>
      <c r="D440" s="28">
        <f t="shared" si="203"/>
        <v>64.495000000000005</v>
      </c>
      <c r="E440" s="22" t="s">
        <v>2257</v>
      </c>
      <c r="F440" s="22" t="s">
        <v>2276</v>
      </c>
      <c r="G440" s="22" t="s">
        <v>2277</v>
      </c>
      <c r="H440" s="22" t="s">
        <v>2278</v>
      </c>
      <c r="I440" s="23" t="s">
        <v>2261</v>
      </c>
      <c r="J440" s="22" t="s">
        <v>646</v>
      </c>
      <c r="L440" s="23">
        <v>48</v>
      </c>
      <c r="M440" s="23">
        <v>25</v>
      </c>
      <c r="N440" s="3">
        <f t="shared" si="183"/>
        <v>5.7599999999999998E-2</v>
      </c>
      <c r="O440" s="4" t="e">
        <f>(C440-(C440*#REF!))-((C440-(C440*#REF!))*#REF!)</f>
        <v>#REF!</v>
      </c>
      <c r="P440" s="7">
        <f>Q440*0.1</f>
        <v>41417.600000000006</v>
      </c>
      <c r="Q440" s="5">
        <v>414176</v>
      </c>
      <c r="R440" s="5">
        <f t="shared" si="230"/>
        <v>455593.6</v>
      </c>
      <c r="S440" s="4">
        <f t="shared" si="231"/>
        <v>30.372906666666665</v>
      </c>
      <c r="T440" s="13">
        <f t="shared" si="204"/>
        <v>90.293000000000006</v>
      </c>
      <c r="U440" s="13">
        <f t="shared" si="213"/>
        <v>45.146500000000003</v>
      </c>
      <c r="V440" s="14">
        <f>U440/C440</f>
        <v>0.35</v>
      </c>
      <c r="W440" s="57">
        <f>25.89*2</f>
        <v>51.78</v>
      </c>
      <c r="X440" s="19">
        <f t="shared" si="232"/>
        <v>51.78</v>
      </c>
      <c r="Y440" s="19">
        <f t="shared" si="233"/>
        <v>103.56</v>
      </c>
      <c r="Z440" s="15">
        <f t="shared" si="234"/>
        <v>1.7048088471831035</v>
      </c>
      <c r="AA440" s="22" t="s">
        <v>2279</v>
      </c>
      <c r="AG440" s="94" t="s">
        <v>1169</v>
      </c>
      <c r="AH440" s="89" t="str">
        <f>VLOOKUP(AG440,Sheet1!$B$3:$D$36,2,FALSE)</f>
        <v>Decors</v>
      </c>
      <c r="AI440" s="89" t="s">
        <v>2263</v>
      </c>
      <c r="AJ440" s="1" t="str">
        <f t="shared" si="205"/>
        <v>Panorama Horizontal-S</v>
      </c>
      <c r="AK440" s="1" t="str">
        <f t="shared" si="206"/>
        <v>d48 x h25</v>
      </c>
      <c r="AL440" s="1" t="str">
        <f t="shared" si="207"/>
        <v>pulut indoor</v>
      </c>
      <c r="AM440" s="1" t="str">
        <f t="shared" si="208"/>
        <v>pulut indoor</v>
      </c>
      <c r="AN440" s="1" t="str">
        <f t="shared" si="235"/>
        <v xml:space="preserve">pulut </v>
      </c>
      <c r="AO440" s="1" t="s">
        <v>54</v>
      </c>
      <c r="AQ440" s="1" t="str">
        <f t="shared" si="209"/>
        <v>B</v>
      </c>
      <c r="AR440" s="1" t="str">
        <f>VLOOKUP(TRIM(AI440),Sheet1!$D$3:$E$36,2,FALSE)</f>
        <v>08</v>
      </c>
      <c r="AS440" s="90" t="str">
        <f t="shared" si="210"/>
        <v>01</v>
      </c>
      <c r="AT440" s="1" t="str">
        <f t="shared" si="211"/>
        <v>01</v>
      </c>
      <c r="AU440" s="90" t="s">
        <v>1185</v>
      </c>
      <c r="AV440" s="90"/>
      <c r="AW440" s="90"/>
      <c r="AX440" s="95" t="str">
        <f>AQ440&amp;AR440&amp;AS440&amp;"-"&amp;AT440&amp;AU440&amp;BA440</f>
        <v>B0801-0114IND</v>
      </c>
      <c r="AY440" s="99" t="str">
        <f>AQ440&amp;AR440&amp;AS440&amp;"-"&amp;AT440&amp;BA440</f>
        <v>B0801-01IND</v>
      </c>
      <c r="AZ440" s="90"/>
      <c r="BA440" s="1" t="str">
        <f t="shared" si="212"/>
        <v>IND</v>
      </c>
      <c r="BC440" s="1">
        <f t="shared" si="227"/>
        <v>1</v>
      </c>
      <c r="BD440" s="90">
        <f t="shared" si="228"/>
        <v>1</v>
      </c>
      <c r="BE440" s="1">
        <f t="shared" si="215"/>
        <v>1</v>
      </c>
      <c r="BF440" s="1">
        <f t="shared" si="216"/>
        <v>1</v>
      </c>
      <c r="BI440"/>
      <c r="BJ440"/>
      <c r="BL440"/>
    </row>
    <row r="441" spans="1:64" ht="11.25" customHeight="1">
      <c r="A441" s="26" t="s">
        <v>2280</v>
      </c>
      <c r="B441" s="27" t="s">
        <v>2275</v>
      </c>
      <c r="C441" s="28">
        <v>213.99</v>
      </c>
      <c r="D441" s="28">
        <f t="shared" si="203"/>
        <v>106.995</v>
      </c>
      <c r="E441" s="22" t="s">
        <v>2257</v>
      </c>
      <c r="F441" s="22" t="s">
        <v>2281</v>
      </c>
      <c r="G441" s="22" t="s">
        <v>2282</v>
      </c>
      <c r="H441" s="22" t="s">
        <v>2283</v>
      </c>
      <c r="I441" s="23" t="s">
        <v>2261</v>
      </c>
      <c r="J441" s="22" t="s">
        <v>646</v>
      </c>
      <c r="L441" s="23">
        <v>64</v>
      </c>
      <c r="M441" s="23">
        <v>35</v>
      </c>
      <c r="N441" s="3">
        <f t="shared" si="183"/>
        <v>0.14335999999999999</v>
      </c>
      <c r="O441" s="4" t="e">
        <f>(C441-(C441*#REF!))-((C441-(C441*#REF!))*#REF!)</f>
        <v>#REF!</v>
      </c>
      <c r="P441" s="7">
        <f t="shared" ref="P441:P442" si="237">Q441*0.1</f>
        <v>65119.999999999993</v>
      </c>
      <c r="Q441" s="5">
        <v>651199.99999999988</v>
      </c>
      <c r="R441" s="5">
        <f t="shared" si="230"/>
        <v>716319.99999999988</v>
      </c>
      <c r="S441" s="4">
        <f t="shared" si="231"/>
        <v>47.754666666666658</v>
      </c>
      <c r="T441" s="13">
        <f t="shared" si="204"/>
        <v>149.79300000000001</v>
      </c>
      <c r="U441" s="13">
        <f t="shared" si="213"/>
        <v>74.896500000000003</v>
      </c>
      <c r="V441" s="14">
        <f>U441/C441</f>
        <v>0.35</v>
      </c>
      <c r="W441" s="57">
        <f>40.7*2</f>
        <v>81.400000000000006</v>
      </c>
      <c r="X441" s="19">
        <f t="shared" si="232"/>
        <v>81.400000000000006</v>
      </c>
      <c r="Y441" s="19">
        <f t="shared" si="233"/>
        <v>162.80000000000001</v>
      </c>
      <c r="Z441" s="15">
        <f t="shared" si="234"/>
        <v>1.704545454545455</v>
      </c>
      <c r="AA441" s="22" t="s">
        <v>2284</v>
      </c>
      <c r="AG441" s="94" t="s">
        <v>1169</v>
      </c>
      <c r="AH441" s="89" t="str">
        <f>VLOOKUP(AG441,Sheet1!$B$3:$D$36,2,FALSE)</f>
        <v>Decors</v>
      </c>
      <c r="AI441" s="89" t="s">
        <v>2263</v>
      </c>
      <c r="AJ441" s="1" t="str">
        <f t="shared" si="205"/>
        <v>Panorama Horizontal-M</v>
      </c>
      <c r="AK441" s="1" t="str">
        <f t="shared" si="206"/>
        <v>d64 x h35</v>
      </c>
      <c r="AL441" s="1" t="str">
        <f t="shared" si="207"/>
        <v>pulut indoor</v>
      </c>
      <c r="AM441" s="1" t="str">
        <f t="shared" si="208"/>
        <v>pulut indoor</v>
      </c>
      <c r="AN441" s="1" t="str">
        <f t="shared" si="235"/>
        <v xml:space="preserve">pulut </v>
      </c>
      <c r="AO441" s="1" t="s">
        <v>54</v>
      </c>
      <c r="AQ441" s="1" t="str">
        <f t="shared" si="209"/>
        <v>B</v>
      </c>
      <c r="AR441" s="1" t="str">
        <f>VLOOKUP(TRIM(AI441),Sheet1!$D$3:$E$36,2,FALSE)</f>
        <v>08</v>
      </c>
      <c r="AS441" s="90" t="str">
        <f t="shared" si="210"/>
        <v>01</v>
      </c>
      <c r="AT441" s="1" t="str">
        <f t="shared" si="211"/>
        <v>01</v>
      </c>
      <c r="AU441" s="90" t="s">
        <v>1185</v>
      </c>
      <c r="AV441" s="90"/>
      <c r="AW441" s="90"/>
      <c r="AX441" s="95" t="str">
        <f>AQ441&amp;AR441&amp;AS441&amp;"-"&amp;AT441&amp;AU441&amp;BA441</f>
        <v>B0801-0114IND</v>
      </c>
      <c r="AY441" s="99" t="str">
        <f>AQ441&amp;AR441&amp;AS441&amp;"-"&amp;AT441&amp;BA441</f>
        <v>B0801-01IND</v>
      </c>
      <c r="AZ441" s="90"/>
      <c r="BA441" s="1" t="str">
        <f t="shared" si="212"/>
        <v>IND</v>
      </c>
      <c r="BC441" s="1">
        <f t="shared" si="227"/>
        <v>1</v>
      </c>
      <c r="BD441" s="90">
        <f t="shared" si="228"/>
        <v>1</v>
      </c>
      <c r="BE441" s="1">
        <f t="shared" si="215"/>
        <v>1</v>
      </c>
      <c r="BF441" s="1">
        <f t="shared" si="216"/>
        <v>1</v>
      </c>
      <c r="BI441"/>
      <c r="BJ441"/>
      <c r="BL441"/>
    </row>
    <row r="442" spans="1:64" ht="11.25" customHeight="1">
      <c r="A442" s="26" t="s">
        <v>2285</v>
      </c>
      <c r="B442" s="27" t="s">
        <v>2275</v>
      </c>
      <c r="C442" s="28">
        <v>340.99</v>
      </c>
      <c r="D442" s="28">
        <f t="shared" si="203"/>
        <v>170.495</v>
      </c>
      <c r="E442" s="22" t="s">
        <v>2257</v>
      </c>
      <c r="F442" s="22" t="s">
        <v>2286</v>
      </c>
      <c r="G442" s="22" t="s">
        <v>2287</v>
      </c>
      <c r="H442" s="22" t="s">
        <v>2288</v>
      </c>
      <c r="I442" s="23" t="s">
        <v>2261</v>
      </c>
      <c r="J442" s="22" t="s">
        <v>646</v>
      </c>
      <c r="L442" s="23">
        <v>80</v>
      </c>
      <c r="M442" s="23">
        <v>45</v>
      </c>
      <c r="N442" s="3">
        <f t="shared" si="183"/>
        <v>0.28799999999999998</v>
      </c>
      <c r="O442" s="4" t="e">
        <f>(C442-(C442*#REF!))-((C442-(C442*#REF!))*#REF!)</f>
        <v>#REF!</v>
      </c>
      <c r="P442" s="7">
        <f t="shared" si="237"/>
        <v>93996.800000000003</v>
      </c>
      <c r="Q442" s="5">
        <v>939968</v>
      </c>
      <c r="R442" s="5">
        <f t="shared" si="230"/>
        <v>1033964.8</v>
      </c>
      <c r="S442" s="4">
        <f t="shared" si="231"/>
        <v>68.930986666666669</v>
      </c>
      <c r="T442" s="13">
        <f t="shared" si="204"/>
        <v>238.69300000000001</v>
      </c>
      <c r="U442" s="13">
        <f t="shared" si="213"/>
        <v>119.34650000000001</v>
      </c>
      <c r="V442" s="14">
        <f>U442/C442</f>
        <v>0.35000000000000003</v>
      </c>
      <c r="W442" s="57">
        <f>58.75*2</f>
        <v>117.5</v>
      </c>
      <c r="X442" s="19">
        <f t="shared" si="232"/>
        <v>117.5</v>
      </c>
      <c r="Y442" s="19">
        <f t="shared" si="233"/>
        <v>235</v>
      </c>
      <c r="Z442" s="15">
        <f t="shared" si="234"/>
        <v>1.7046034836002153</v>
      </c>
      <c r="AA442" s="22" t="s">
        <v>2289</v>
      </c>
      <c r="AG442" s="94" t="s">
        <v>1169</v>
      </c>
      <c r="AH442" s="89" t="str">
        <f>VLOOKUP(AG442,Sheet1!$B$3:$D$36,2,FALSE)</f>
        <v>Decors</v>
      </c>
      <c r="AI442" s="89" t="s">
        <v>2263</v>
      </c>
      <c r="AJ442" s="1" t="str">
        <f t="shared" si="205"/>
        <v>Panorama Horizontal-L</v>
      </c>
      <c r="AK442" s="1" t="str">
        <f t="shared" si="206"/>
        <v>d80 x h45</v>
      </c>
      <c r="AL442" s="1" t="str">
        <f t="shared" si="207"/>
        <v>pulut indoor</v>
      </c>
      <c r="AM442" s="1" t="str">
        <f t="shared" si="208"/>
        <v>pulut indoor</v>
      </c>
      <c r="AN442" s="1" t="str">
        <f t="shared" si="235"/>
        <v xml:space="preserve">pulut </v>
      </c>
      <c r="AO442" s="1" t="s">
        <v>54</v>
      </c>
      <c r="AQ442" s="1" t="str">
        <f t="shared" si="209"/>
        <v>B</v>
      </c>
      <c r="AR442" s="1" t="str">
        <f>VLOOKUP(TRIM(AI442),Sheet1!$D$3:$E$36,2,FALSE)</f>
        <v>08</v>
      </c>
      <c r="AS442" s="90" t="str">
        <f t="shared" si="210"/>
        <v>01</v>
      </c>
      <c r="AT442" s="1" t="str">
        <f t="shared" si="211"/>
        <v>01</v>
      </c>
      <c r="AU442" s="90" t="s">
        <v>1185</v>
      </c>
      <c r="AV442" s="90"/>
      <c r="AW442" s="90"/>
      <c r="AX442" s="95" t="str">
        <f>AQ442&amp;AR442&amp;AS442&amp;"-"&amp;AT442&amp;AU442&amp;BA442</f>
        <v>B0801-0114IND</v>
      </c>
      <c r="AY442" s="99" t="str">
        <f>AQ442&amp;AR442&amp;AS442&amp;"-"&amp;AT442&amp;BA442</f>
        <v>B0801-01IND</v>
      </c>
      <c r="AZ442" s="90"/>
      <c r="BA442" s="1" t="str">
        <f t="shared" si="212"/>
        <v>IND</v>
      </c>
      <c r="BC442" s="1">
        <f t="shared" si="227"/>
        <v>1</v>
      </c>
      <c r="BD442" s="90">
        <f t="shared" si="228"/>
        <v>1</v>
      </c>
      <c r="BE442" s="1">
        <f t="shared" si="215"/>
        <v>1</v>
      </c>
      <c r="BF442" s="1">
        <f t="shared" si="216"/>
        <v>1</v>
      </c>
      <c r="BI442"/>
      <c r="BJ442"/>
      <c r="BL442"/>
    </row>
    <row r="443" spans="1:64" ht="11.25" customHeight="1">
      <c r="A443" s="26" t="s">
        <v>2290</v>
      </c>
      <c r="B443" s="27" t="s">
        <v>2291</v>
      </c>
      <c r="C443" s="28">
        <v>95.99</v>
      </c>
      <c r="D443" s="28">
        <f t="shared" si="203"/>
        <v>47.994999999999997</v>
      </c>
      <c r="E443" s="22" t="s">
        <v>2257</v>
      </c>
      <c r="F443" s="22" t="s">
        <v>2292</v>
      </c>
      <c r="G443" s="22" t="s">
        <v>2293</v>
      </c>
      <c r="H443" s="22" t="s">
        <v>2294</v>
      </c>
      <c r="I443" s="23" t="s">
        <v>2261</v>
      </c>
      <c r="J443" s="22" t="s">
        <v>646</v>
      </c>
      <c r="L443" s="23">
        <v>27</v>
      </c>
      <c r="M443" s="23">
        <v>38</v>
      </c>
      <c r="N443" s="3">
        <f t="shared" si="183"/>
        <v>2.7702000000000001E-2</v>
      </c>
      <c r="O443" s="4" t="e">
        <f>(C443-(C443*#REF!))-((C443-(C443*#REF!))*#REF!)</f>
        <v>#REF!</v>
      </c>
      <c r="P443" s="7">
        <f>Q443*0.1</f>
        <v>32512</v>
      </c>
      <c r="Q443" s="5">
        <v>325120</v>
      </c>
      <c r="R443" s="5">
        <f t="shared" si="230"/>
        <v>357632</v>
      </c>
      <c r="S443" s="4">
        <f t="shared" si="231"/>
        <v>23.842133333333333</v>
      </c>
      <c r="T443" s="13">
        <f t="shared" si="204"/>
        <v>67.192999999999998</v>
      </c>
      <c r="U443" s="13">
        <f t="shared" si="213"/>
        <v>33.596499999999999</v>
      </c>
      <c r="V443" s="14">
        <f>U443/C443</f>
        <v>0.35000000000000003</v>
      </c>
      <c r="W443" s="57">
        <f>20.32*2</f>
        <v>40.64</v>
      </c>
      <c r="X443" s="19">
        <f t="shared" si="232"/>
        <v>40.64</v>
      </c>
      <c r="Y443" s="19">
        <f t="shared" si="233"/>
        <v>81.28</v>
      </c>
      <c r="Z443" s="15">
        <f t="shared" si="234"/>
        <v>1.7045454545454546</v>
      </c>
      <c r="AA443" s="22" t="s">
        <v>2295</v>
      </c>
      <c r="AG443" s="94" t="s">
        <v>1169</v>
      </c>
      <c r="AH443" s="89" t="str">
        <f>VLOOKUP(AG443,Sheet1!$B$3:$D$36,2,FALSE)</f>
        <v>Decors</v>
      </c>
      <c r="AI443" s="89" t="s">
        <v>2263</v>
      </c>
      <c r="AJ443" s="1" t="str">
        <f t="shared" si="205"/>
        <v>Ascend Vertical-S</v>
      </c>
      <c r="AK443" s="1" t="str">
        <f t="shared" si="206"/>
        <v>d27 x h38</v>
      </c>
      <c r="AL443" s="1" t="str">
        <f t="shared" si="207"/>
        <v>pulut indoor</v>
      </c>
      <c r="AM443" s="1" t="str">
        <f t="shared" si="208"/>
        <v>pulut indoor</v>
      </c>
      <c r="AN443" s="1" t="str">
        <f t="shared" si="235"/>
        <v xml:space="preserve">pulut </v>
      </c>
      <c r="AO443" s="1" t="s">
        <v>54</v>
      </c>
      <c r="AQ443" s="1" t="str">
        <f t="shared" si="209"/>
        <v>B</v>
      </c>
      <c r="AR443" s="1" t="str">
        <f>VLOOKUP(TRIM(AI443),Sheet1!$D$3:$E$36,2,FALSE)</f>
        <v>08</v>
      </c>
      <c r="AS443" s="90" t="str">
        <f t="shared" si="210"/>
        <v>01</v>
      </c>
      <c r="AT443" s="1" t="str">
        <f t="shared" si="211"/>
        <v>01</v>
      </c>
      <c r="AU443" s="90" t="s">
        <v>1185</v>
      </c>
      <c r="AV443" s="90"/>
      <c r="AW443" s="90"/>
      <c r="AX443" s="95" t="str">
        <f>AQ443&amp;AR443&amp;AS443&amp;"-"&amp;AT443&amp;AU443&amp;BA443</f>
        <v>B0801-0114IND</v>
      </c>
      <c r="AY443" s="99" t="str">
        <f>AQ443&amp;AR443&amp;AS443&amp;"-"&amp;AT443&amp;BA443</f>
        <v>B0801-01IND</v>
      </c>
      <c r="AZ443" s="90"/>
      <c r="BA443" s="1" t="str">
        <f t="shared" si="212"/>
        <v>IND</v>
      </c>
      <c r="BC443" s="1">
        <f t="shared" si="227"/>
        <v>1</v>
      </c>
      <c r="BD443" s="90">
        <f t="shared" si="228"/>
        <v>1</v>
      </c>
      <c r="BE443" s="1">
        <f t="shared" si="215"/>
        <v>1</v>
      </c>
      <c r="BF443" s="1">
        <f t="shared" si="216"/>
        <v>1</v>
      </c>
      <c r="BI443"/>
      <c r="BJ443"/>
      <c r="BL443"/>
    </row>
    <row r="444" spans="1:64" ht="11.25" customHeight="1">
      <c r="A444" s="26" t="s">
        <v>2296</v>
      </c>
      <c r="B444" s="27" t="s">
        <v>2291</v>
      </c>
      <c r="C444" s="28">
        <v>146.99</v>
      </c>
      <c r="D444" s="28">
        <f t="shared" si="203"/>
        <v>73.495000000000005</v>
      </c>
      <c r="E444" s="22" t="s">
        <v>2257</v>
      </c>
      <c r="F444" s="22" t="s">
        <v>2297</v>
      </c>
      <c r="G444" s="22" t="s">
        <v>2298</v>
      </c>
      <c r="H444" s="22" t="s">
        <v>2299</v>
      </c>
      <c r="I444" s="23" t="s">
        <v>2261</v>
      </c>
      <c r="J444" s="22" t="s">
        <v>646</v>
      </c>
      <c r="L444" s="23">
        <v>40</v>
      </c>
      <c r="M444" s="23">
        <v>50</v>
      </c>
      <c r="N444" s="3">
        <f t="shared" si="183"/>
        <v>0.08</v>
      </c>
      <c r="O444" s="4" t="e">
        <f>(C444-(C444*#REF!))-((C444-(C444*#REF!))*#REF!)</f>
        <v>#REF!</v>
      </c>
      <c r="P444" s="7">
        <f t="shared" ref="P444:P445" si="238">Q444*0.1</f>
        <v>47344</v>
      </c>
      <c r="Q444" s="5">
        <v>473440</v>
      </c>
      <c r="R444" s="5">
        <f t="shared" si="230"/>
        <v>520784</v>
      </c>
      <c r="S444" s="4">
        <f t="shared" si="231"/>
        <v>34.718933333333332</v>
      </c>
      <c r="T444" s="13">
        <f t="shared" si="204"/>
        <v>102.893</v>
      </c>
      <c r="U444" s="13">
        <f t="shared" si="213"/>
        <v>51.4465</v>
      </c>
      <c r="V444" s="14">
        <f>U444/C444</f>
        <v>0.35</v>
      </c>
      <c r="W444" s="57">
        <f>29.59*2</f>
        <v>59.18</v>
      </c>
      <c r="X444" s="19">
        <f t="shared" si="232"/>
        <v>59.18</v>
      </c>
      <c r="Y444" s="19">
        <f t="shared" si="233"/>
        <v>118.36</v>
      </c>
      <c r="Z444" s="15">
        <f t="shared" si="234"/>
        <v>1.7045454545454546</v>
      </c>
      <c r="AA444" s="22" t="s">
        <v>2300</v>
      </c>
      <c r="AG444" s="94" t="s">
        <v>1169</v>
      </c>
      <c r="AH444" s="89" t="str">
        <f>VLOOKUP(AG444,Sheet1!$B$3:$D$36,2,FALSE)</f>
        <v>Decors</v>
      </c>
      <c r="AI444" s="89" t="s">
        <v>2263</v>
      </c>
      <c r="AJ444" s="1" t="str">
        <f t="shared" si="205"/>
        <v>Ascend Vertical-M</v>
      </c>
      <c r="AK444" s="1" t="str">
        <f t="shared" si="206"/>
        <v>d40 x h50</v>
      </c>
      <c r="AL444" s="1" t="str">
        <f t="shared" si="207"/>
        <v>pulut indoor</v>
      </c>
      <c r="AM444" s="1" t="str">
        <f t="shared" si="208"/>
        <v>pulut indoor</v>
      </c>
      <c r="AN444" s="1" t="str">
        <f t="shared" si="235"/>
        <v xml:space="preserve">pulut </v>
      </c>
      <c r="AO444" s="1" t="s">
        <v>54</v>
      </c>
      <c r="AQ444" s="1" t="str">
        <f t="shared" si="209"/>
        <v>B</v>
      </c>
      <c r="AR444" s="1" t="str">
        <f>VLOOKUP(TRIM(AI444),Sheet1!$D$3:$E$36,2,FALSE)</f>
        <v>08</v>
      </c>
      <c r="AS444" s="90" t="str">
        <f t="shared" si="210"/>
        <v>01</v>
      </c>
      <c r="AT444" s="1" t="str">
        <f t="shared" si="211"/>
        <v>01</v>
      </c>
      <c r="AU444" s="90" t="s">
        <v>1185</v>
      </c>
      <c r="AV444" s="90"/>
      <c r="AW444" s="90"/>
      <c r="AX444" s="95" t="str">
        <f>AQ444&amp;AR444&amp;AS444&amp;"-"&amp;AT444&amp;AU444&amp;BA444</f>
        <v>B0801-0114IND</v>
      </c>
      <c r="AY444" s="99" t="str">
        <f>AQ444&amp;AR444&amp;AS444&amp;"-"&amp;AT444&amp;BA444</f>
        <v>B0801-01IND</v>
      </c>
      <c r="AZ444" s="90"/>
      <c r="BA444" s="1" t="str">
        <f t="shared" si="212"/>
        <v>IND</v>
      </c>
      <c r="BC444" s="1">
        <f t="shared" si="227"/>
        <v>1</v>
      </c>
      <c r="BD444" s="90">
        <f t="shared" si="228"/>
        <v>1</v>
      </c>
      <c r="BE444" s="1">
        <f t="shared" si="215"/>
        <v>1</v>
      </c>
      <c r="BF444" s="1">
        <f t="shared" si="216"/>
        <v>1</v>
      </c>
      <c r="BI444"/>
      <c r="BJ444"/>
      <c r="BL444"/>
    </row>
    <row r="445" spans="1:64" ht="11.25" customHeight="1">
      <c r="A445" s="26" t="s">
        <v>2301</v>
      </c>
      <c r="B445" s="27" t="s">
        <v>2291</v>
      </c>
      <c r="C445" s="28">
        <v>213.99</v>
      </c>
      <c r="D445" s="28">
        <f t="shared" si="203"/>
        <v>106.995</v>
      </c>
      <c r="E445" s="22" t="s">
        <v>2257</v>
      </c>
      <c r="F445" s="22" t="s">
        <v>2302</v>
      </c>
      <c r="G445" s="22" t="s">
        <v>2303</v>
      </c>
      <c r="H445" s="22" t="s">
        <v>845</v>
      </c>
      <c r="I445" s="23" t="s">
        <v>2261</v>
      </c>
      <c r="J445" s="22" t="s">
        <v>646</v>
      </c>
      <c r="L445" s="23">
        <v>50</v>
      </c>
      <c r="M445" s="23">
        <v>60</v>
      </c>
      <c r="N445" s="3">
        <f t="shared" si="183"/>
        <v>0.15</v>
      </c>
      <c r="O445" s="4" t="e">
        <f>(C445-(C445*#REF!))-((C445-(C445*#REF!))*#REF!)</f>
        <v>#REF!</v>
      </c>
      <c r="P445" s="7">
        <f t="shared" si="238"/>
        <v>68547.199999999997</v>
      </c>
      <c r="Q445" s="5">
        <v>685472</v>
      </c>
      <c r="R445" s="5">
        <f t="shared" si="230"/>
        <v>754019.2</v>
      </c>
      <c r="S445" s="4">
        <f t="shared" si="231"/>
        <v>50.267946666666667</v>
      </c>
      <c r="T445" s="13">
        <f t="shared" si="204"/>
        <v>149.79300000000001</v>
      </c>
      <c r="U445" s="13">
        <f t="shared" si="213"/>
        <v>74.896500000000003</v>
      </c>
      <c r="V445" s="14">
        <f>U445/C445</f>
        <v>0.35</v>
      </c>
      <c r="W445" s="57">
        <f>42.84*2</f>
        <v>85.68</v>
      </c>
      <c r="X445" s="19">
        <f t="shared" si="232"/>
        <v>85.68</v>
      </c>
      <c r="Y445" s="19">
        <f t="shared" si="233"/>
        <v>171.36</v>
      </c>
      <c r="Z445" s="15">
        <f t="shared" si="234"/>
        <v>1.7044658809749142</v>
      </c>
      <c r="AA445" s="22" t="s">
        <v>2304</v>
      </c>
      <c r="AG445" s="94" t="s">
        <v>1169</v>
      </c>
      <c r="AH445" s="89" t="str">
        <f>VLOOKUP(AG445,Sheet1!$B$3:$D$36,2,FALSE)</f>
        <v>Decors</v>
      </c>
      <c r="AI445" s="89" t="s">
        <v>2263</v>
      </c>
      <c r="AJ445" s="1" t="str">
        <f t="shared" si="205"/>
        <v>Ascend Vertical-L</v>
      </c>
      <c r="AK445" s="1" t="str">
        <f t="shared" si="206"/>
        <v>d50 x h60</v>
      </c>
      <c r="AL445" s="1" t="str">
        <f t="shared" si="207"/>
        <v>pulut indoor</v>
      </c>
      <c r="AM445" s="1" t="str">
        <f t="shared" si="208"/>
        <v>pulut indoor</v>
      </c>
      <c r="AN445" s="1" t="str">
        <f t="shared" si="235"/>
        <v xml:space="preserve">pulut </v>
      </c>
      <c r="AO445" s="1" t="s">
        <v>54</v>
      </c>
      <c r="AQ445" s="1" t="str">
        <f t="shared" si="209"/>
        <v>B</v>
      </c>
      <c r="AR445" s="1" t="str">
        <f>VLOOKUP(TRIM(AI445),Sheet1!$D$3:$E$36,2,FALSE)</f>
        <v>08</v>
      </c>
      <c r="AS445" s="90" t="str">
        <f t="shared" si="210"/>
        <v>01</v>
      </c>
      <c r="AT445" s="1" t="str">
        <f t="shared" si="211"/>
        <v>01</v>
      </c>
      <c r="AU445" s="90" t="s">
        <v>1185</v>
      </c>
      <c r="AV445" s="90"/>
      <c r="AW445" s="90"/>
      <c r="AX445" s="95" t="str">
        <f>AQ445&amp;AR445&amp;AS445&amp;"-"&amp;AT445&amp;AU445&amp;BA445</f>
        <v>B0801-0114IND</v>
      </c>
      <c r="AY445" s="99" t="str">
        <f>AQ445&amp;AR445&amp;AS445&amp;"-"&amp;AT445&amp;BA445</f>
        <v>B0801-01IND</v>
      </c>
      <c r="AZ445" s="90"/>
      <c r="BA445" s="1" t="str">
        <f t="shared" si="212"/>
        <v>IND</v>
      </c>
      <c r="BC445" s="1">
        <f t="shared" si="227"/>
        <v>1</v>
      </c>
      <c r="BD445" s="90">
        <f t="shared" si="228"/>
        <v>1</v>
      </c>
      <c r="BE445" s="1">
        <f t="shared" si="215"/>
        <v>1</v>
      </c>
      <c r="BF445" s="1">
        <f t="shared" si="216"/>
        <v>1</v>
      </c>
      <c r="BI445"/>
      <c r="BJ445"/>
      <c r="BL445"/>
    </row>
    <row r="446" spans="1:64" ht="11.25" customHeight="1">
      <c r="A446" s="26" t="s">
        <v>2305</v>
      </c>
      <c r="B446" s="27" t="s">
        <v>2306</v>
      </c>
      <c r="C446" s="28">
        <v>116.99</v>
      </c>
      <c r="D446" s="28">
        <f t="shared" si="203"/>
        <v>58.494999999999997</v>
      </c>
      <c r="E446" s="22" t="s">
        <v>2257</v>
      </c>
      <c r="F446" s="22" t="s">
        <v>2307</v>
      </c>
      <c r="G446" s="22" t="s">
        <v>2308</v>
      </c>
      <c r="H446" s="22" t="s">
        <v>2309</v>
      </c>
      <c r="I446" s="23" t="s">
        <v>2310</v>
      </c>
      <c r="J446" s="22" t="s">
        <v>646</v>
      </c>
      <c r="L446" s="23">
        <v>35</v>
      </c>
      <c r="M446" s="23">
        <v>35</v>
      </c>
      <c r="N446" s="3">
        <f t="shared" si="183"/>
        <v>4.2875000000000003E-2</v>
      </c>
      <c r="O446" s="4" t="e">
        <f>(C446-(C446*#REF!))-((C446-(C446*#REF!))*#REF!)</f>
        <v>#REF!</v>
      </c>
      <c r="P446" s="7"/>
      <c r="Q446" s="7"/>
      <c r="R446" s="5">
        <f t="shared" si="230"/>
        <v>0</v>
      </c>
      <c r="S446" s="4">
        <f t="shared" si="231"/>
        <v>0</v>
      </c>
      <c r="T446" s="13">
        <f t="shared" si="204"/>
        <v>81.893000000000001</v>
      </c>
      <c r="U446" s="13">
        <f t="shared" si="213"/>
        <v>40.9465</v>
      </c>
      <c r="V446" s="14">
        <f>U446/C446</f>
        <v>0.35000000000000003</v>
      </c>
      <c r="W446" s="14"/>
      <c r="X446" s="19">
        <f t="shared" si="232"/>
        <v>40.9465</v>
      </c>
      <c r="Y446" s="19">
        <f t="shared" si="233"/>
        <v>81.893000000000001</v>
      </c>
      <c r="Z446" s="15" t="e">
        <f t="shared" ref="Z446:Z464" si="239">U446/S446</f>
        <v>#DIV/0!</v>
      </c>
      <c r="AA446" s="22" t="s">
        <v>2311</v>
      </c>
      <c r="AG446" s="94" t="s">
        <v>1169</v>
      </c>
      <c r="AH446" s="89" t="str">
        <f>VLOOKUP(AG446,Sheet1!$B$3:$D$36,2,FALSE)</f>
        <v>Decors</v>
      </c>
      <c r="AI446" s="89" t="s">
        <v>2263</v>
      </c>
      <c r="AJ446" s="1" t="str">
        <f t="shared" si="205"/>
        <v>Vistas Circle Rattan-S</v>
      </c>
      <c r="AK446" s="1" t="str">
        <f t="shared" si="206"/>
        <v>d35 x h35</v>
      </c>
      <c r="AL446" s="1" t="str">
        <f t="shared" si="207"/>
        <v>kubu grey indoor</v>
      </c>
      <c r="AM446" s="1" t="str">
        <f t="shared" si="208"/>
        <v>kubu grey indoor</v>
      </c>
      <c r="AN446" s="1" t="str">
        <f t="shared" si="235"/>
        <v xml:space="preserve">kubu grey </v>
      </c>
      <c r="AO446" s="1" t="s">
        <v>54</v>
      </c>
      <c r="AQ446" s="1" t="str">
        <f t="shared" si="209"/>
        <v>B</v>
      </c>
      <c r="AR446" s="1" t="str">
        <f>VLOOKUP(TRIM(AI446),Sheet1!$D$3:$E$36,2,FALSE)</f>
        <v>08</v>
      </c>
      <c r="AS446" s="90" t="str">
        <f t="shared" si="210"/>
        <v>01</v>
      </c>
      <c r="AT446" s="1" t="str">
        <f t="shared" si="211"/>
        <v>01</v>
      </c>
      <c r="AU446" s="90" t="s">
        <v>1198</v>
      </c>
      <c r="AV446" s="90"/>
      <c r="AW446" s="90"/>
      <c r="AX446" s="95" t="str">
        <f>AQ446&amp;AR446&amp;AS446&amp;"-"&amp;AT446&amp;AU446&amp;BA446</f>
        <v>B0801-0107IND</v>
      </c>
      <c r="AY446" s="99" t="str">
        <f>AQ446&amp;AR446&amp;AS446&amp;"-"&amp;AT446&amp;BA446</f>
        <v>B0801-01IND</v>
      </c>
      <c r="AZ446" s="90"/>
      <c r="BA446" s="1" t="str">
        <f t="shared" si="212"/>
        <v>IND</v>
      </c>
      <c r="BC446" s="1">
        <f t="shared" si="227"/>
        <v>1</v>
      </c>
      <c r="BD446" s="90">
        <f t="shared" si="228"/>
        <v>1</v>
      </c>
      <c r="BE446" s="1">
        <f t="shared" si="215"/>
        <v>1</v>
      </c>
      <c r="BF446" s="1">
        <f t="shared" si="216"/>
        <v>1</v>
      </c>
      <c r="BI446"/>
      <c r="BJ446"/>
      <c r="BL446"/>
    </row>
    <row r="447" spans="1:64" ht="11.25" customHeight="1">
      <c r="A447" s="26" t="s">
        <v>2312</v>
      </c>
      <c r="B447" s="27" t="s">
        <v>2306</v>
      </c>
      <c r="C447" s="28">
        <v>151.99</v>
      </c>
      <c r="D447" s="28">
        <f t="shared" si="203"/>
        <v>75.995000000000005</v>
      </c>
      <c r="E447" s="22" t="s">
        <v>2257</v>
      </c>
      <c r="F447" s="22" t="s">
        <v>2313</v>
      </c>
      <c r="G447" s="22" t="s">
        <v>2314</v>
      </c>
      <c r="H447" s="22" t="s">
        <v>2315</v>
      </c>
      <c r="I447" s="23" t="s">
        <v>2310</v>
      </c>
      <c r="J447" s="22" t="s">
        <v>646</v>
      </c>
      <c r="L447" s="23">
        <v>45</v>
      </c>
      <c r="M447" s="23">
        <v>45</v>
      </c>
      <c r="N447" s="3">
        <f t="shared" si="183"/>
        <v>9.1124999999999998E-2</v>
      </c>
      <c r="O447" s="4" t="e">
        <f>(C447-(C447*#REF!))-((C447-(C447*#REF!))*#REF!)</f>
        <v>#REF!</v>
      </c>
      <c r="P447" s="7"/>
      <c r="Q447" s="7"/>
      <c r="R447" s="5">
        <f t="shared" si="230"/>
        <v>0</v>
      </c>
      <c r="S447" s="4">
        <f t="shared" si="231"/>
        <v>0</v>
      </c>
      <c r="T447" s="13">
        <f t="shared" si="204"/>
        <v>106.393</v>
      </c>
      <c r="U447" s="13">
        <f t="shared" si="213"/>
        <v>53.1965</v>
      </c>
      <c r="V447" s="14">
        <f>U447/C447</f>
        <v>0.35</v>
      </c>
      <c r="W447" s="14"/>
      <c r="X447" s="19">
        <f t="shared" si="232"/>
        <v>53.1965</v>
      </c>
      <c r="Y447" s="19">
        <f t="shared" si="233"/>
        <v>106.393</v>
      </c>
      <c r="Z447" s="15" t="e">
        <f t="shared" si="239"/>
        <v>#DIV/0!</v>
      </c>
      <c r="AA447" s="22" t="s">
        <v>2316</v>
      </c>
      <c r="AG447" s="94" t="s">
        <v>1169</v>
      </c>
      <c r="AH447" s="89" t="str">
        <f>VLOOKUP(AG447,Sheet1!$B$3:$D$36,2,FALSE)</f>
        <v>Decors</v>
      </c>
      <c r="AI447" s="89" t="s">
        <v>2263</v>
      </c>
      <c r="AJ447" s="1" t="str">
        <f t="shared" si="205"/>
        <v>Vistas Circle Rattan-M</v>
      </c>
      <c r="AK447" s="1" t="str">
        <f t="shared" si="206"/>
        <v>d45 x h45</v>
      </c>
      <c r="AL447" s="1" t="str">
        <f t="shared" si="207"/>
        <v>kubu grey indoor</v>
      </c>
      <c r="AM447" s="1" t="str">
        <f t="shared" si="208"/>
        <v>kubu grey indoor</v>
      </c>
      <c r="AN447" s="1" t="str">
        <f t="shared" si="235"/>
        <v xml:space="preserve">kubu grey </v>
      </c>
      <c r="AO447" s="1" t="s">
        <v>54</v>
      </c>
      <c r="AQ447" s="1" t="str">
        <f t="shared" si="209"/>
        <v>B</v>
      </c>
      <c r="AR447" s="1" t="str">
        <f>VLOOKUP(TRIM(AI447),Sheet1!$D$3:$E$36,2,FALSE)</f>
        <v>08</v>
      </c>
      <c r="AS447" s="90" t="str">
        <f t="shared" si="210"/>
        <v>01</v>
      </c>
      <c r="AT447" s="1" t="str">
        <f t="shared" si="211"/>
        <v>01</v>
      </c>
      <c r="AU447" s="90" t="s">
        <v>1198</v>
      </c>
      <c r="AV447" s="90"/>
      <c r="AW447" s="90"/>
      <c r="AX447" s="95" t="str">
        <f>AQ447&amp;AR447&amp;AS447&amp;"-"&amp;AT447&amp;AU447&amp;BA447</f>
        <v>B0801-0107IND</v>
      </c>
      <c r="AY447" s="99" t="str">
        <f>AQ447&amp;AR447&amp;AS447&amp;"-"&amp;AT447&amp;BA447</f>
        <v>B0801-01IND</v>
      </c>
      <c r="AZ447" s="90"/>
      <c r="BA447" s="1" t="str">
        <f t="shared" si="212"/>
        <v>IND</v>
      </c>
      <c r="BC447" s="1">
        <f t="shared" si="227"/>
        <v>1</v>
      </c>
      <c r="BD447" s="90">
        <f t="shared" si="228"/>
        <v>1</v>
      </c>
      <c r="BE447" s="1">
        <f t="shared" si="215"/>
        <v>1</v>
      </c>
      <c r="BF447" s="1">
        <f t="shared" si="216"/>
        <v>1</v>
      </c>
      <c r="BI447"/>
      <c r="BJ447"/>
      <c r="BL447"/>
    </row>
    <row r="448" spans="1:64" ht="11.25" customHeight="1">
      <c r="A448" s="26" t="s">
        <v>2317</v>
      </c>
      <c r="B448" s="27" t="s">
        <v>2306</v>
      </c>
      <c r="C448" s="28">
        <v>199.99</v>
      </c>
      <c r="D448" s="28">
        <f t="shared" si="203"/>
        <v>99.995000000000005</v>
      </c>
      <c r="E448" s="22" t="s">
        <v>2257</v>
      </c>
      <c r="F448" s="22" t="s">
        <v>2318</v>
      </c>
      <c r="G448" s="22" t="s">
        <v>2319</v>
      </c>
      <c r="H448" s="22" t="s">
        <v>2320</v>
      </c>
      <c r="I448" s="23" t="s">
        <v>2310</v>
      </c>
      <c r="J448" s="22" t="s">
        <v>646</v>
      </c>
      <c r="L448" s="23">
        <v>55</v>
      </c>
      <c r="M448" s="23">
        <v>55</v>
      </c>
      <c r="N448" s="3">
        <f t="shared" si="183"/>
        <v>0.166375</v>
      </c>
      <c r="O448" s="4" t="e">
        <f>(C448-(C448*#REF!))-((C448-(C448*#REF!))*#REF!)</f>
        <v>#REF!</v>
      </c>
      <c r="P448" s="7"/>
      <c r="Q448" s="7"/>
      <c r="R448" s="5">
        <f t="shared" si="230"/>
        <v>0</v>
      </c>
      <c r="S448" s="4">
        <f t="shared" si="231"/>
        <v>0</v>
      </c>
      <c r="T448" s="13">
        <f t="shared" si="204"/>
        <v>139.99299999999999</v>
      </c>
      <c r="U448" s="13">
        <f t="shared" si="213"/>
        <v>69.996499999999997</v>
      </c>
      <c r="V448" s="14">
        <f>U448/C448</f>
        <v>0.35</v>
      </c>
      <c r="W448" s="14"/>
      <c r="X448" s="19">
        <f t="shared" si="232"/>
        <v>69.996499999999997</v>
      </c>
      <c r="Y448" s="19">
        <f t="shared" si="233"/>
        <v>139.99299999999999</v>
      </c>
      <c r="Z448" s="15" t="e">
        <f t="shared" si="239"/>
        <v>#DIV/0!</v>
      </c>
      <c r="AA448" s="22" t="s">
        <v>2321</v>
      </c>
      <c r="AG448" s="94" t="s">
        <v>1169</v>
      </c>
      <c r="AH448" s="89" t="str">
        <f>VLOOKUP(AG448,Sheet1!$B$3:$D$36,2,FALSE)</f>
        <v>Decors</v>
      </c>
      <c r="AI448" s="89" t="s">
        <v>2263</v>
      </c>
      <c r="AJ448" s="1" t="str">
        <f t="shared" si="205"/>
        <v>Vistas Circle Rattan-L</v>
      </c>
      <c r="AK448" s="1" t="str">
        <f t="shared" si="206"/>
        <v>d55 x h55</v>
      </c>
      <c r="AL448" s="1" t="str">
        <f t="shared" si="207"/>
        <v>kubu grey indoor</v>
      </c>
      <c r="AM448" s="1" t="str">
        <f t="shared" si="208"/>
        <v>kubu grey indoor</v>
      </c>
      <c r="AN448" s="1" t="str">
        <f t="shared" si="235"/>
        <v xml:space="preserve">kubu grey </v>
      </c>
      <c r="AO448" s="1" t="s">
        <v>54</v>
      </c>
      <c r="AQ448" s="1" t="str">
        <f t="shared" si="209"/>
        <v>B</v>
      </c>
      <c r="AR448" s="1" t="str">
        <f>VLOOKUP(TRIM(AI448),Sheet1!$D$3:$E$36,2,FALSE)</f>
        <v>08</v>
      </c>
      <c r="AS448" s="90" t="str">
        <f t="shared" si="210"/>
        <v>01</v>
      </c>
      <c r="AT448" s="1" t="str">
        <f t="shared" si="211"/>
        <v>01</v>
      </c>
      <c r="AU448" s="90" t="s">
        <v>1198</v>
      </c>
      <c r="AV448" s="90"/>
      <c r="AW448" s="90"/>
      <c r="AX448" s="95" t="str">
        <f>AQ448&amp;AR448&amp;AS448&amp;"-"&amp;AT448&amp;AU448&amp;BA448</f>
        <v>B0801-0107IND</v>
      </c>
      <c r="AY448" s="99" t="str">
        <f>AQ448&amp;AR448&amp;AS448&amp;"-"&amp;AT448&amp;BA448</f>
        <v>B0801-01IND</v>
      </c>
      <c r="AZ448" s="90"/>
      <c r="BA448" s="1" t="str">
        <f t="shared" si="212"/>
        <v>IND</v>
      </c>
      <c r="BC448" s="1">
        <f t="shared" si="227"/>
        <v>1</v>
      </c>
      <c r="BD448" s="90">
        <f t="shared" si="228"/>
        <v>1</v>
      </c>
      <c r="BE448" s="1">
        <f t="shared" si="215"/>
        <v>1</v>
      </c>
      <c r="BF448" s="1">
        <f t="shared" si="216"/>
        <v>1</v>
      </c>
      <c r="BI448"/>
      <c r="BJ448"/>
      <c r="BL448"/>
    </row>
    <row r="449" spans="1:64" ht="11.25" customHeight="1">
      <c r="A449" s="26">
        <v>2851215</v>
      </c>
      <c r="B449" s="27" t="s">
        <v>2322</v>
      </c>
      <c r="C449" s="28">
        <v>217.99</v>
      </c>
      <c r="D449" s="28">
        <f t="shared" si="203"/>
        <v>108.995</v>
      </c>
      <c r="E449" s="22" t="s">
        <v>2257</v>
      </c>
      <c r="F449" s="22" t="s">
        <v>2323</v>
      </c>
      <c r="G449" s="22" t="s">
        <v>2324</v>
      </c>
      <c r="H449" s="22" t="s">
        <v>2325</v>
      </c>
      <c r="I449" s="23" t="s">
        <v>2310</v>
      </c>
      <c r="J449" s="22" t="s">
        <v>646</v>
      </c>
      <c r="L449" s="23">
        <v>55</v>
      </c>
      <c r="M449" s="23">
        <v>65</v>
      </c>
      <c r="N449" s="3">
        <f t="shared" si="183"/>
        <v>0.19662499999999999</v>
      </c>
      <c r="O449" s="4" t="e">
        <f>(C449-(C449*#REF!))-((C449-(C449*#REF!))*#REF!)</f>
        <v>#REF!</v>
      </c>
      <c r="P449" s="7"/>
      <c r="Q449" s="7"/>
      <c r="R449" s="5">
        <f t="shared" si="230"/>
        <v>0</v>
      </c>
      <c r="S449" s="4">
        <f t="shared" si="231"/>
        <v>0</v>
      </c>
      <c r="T449" s="13">
        <f t="shared" si="204"/>
        <v>152.59300000000002</v>
      </c>
      <c r="U449" s="13">
        <f t="shared" si="213"/>
        <v>76.296500000000009</v>
      </c>
      <c r="V449" s="14">
        <f>U449/C449</f>
        <v>0.35000000000000003</v>
      </c>
      <c r="W449" s="14"/>
      <c r="X449" s="19">
        <f t="shared" si="232"/>
        <v>76.296500000000009</v>
      </c>
      <c r="Y449" s="19">
        <f t="shared" si="233"/>
        <v>152.59300000000002</v>
      </c>
      <c r="Z449" s="15" t="e">
        <f t="shared" si="239"/>
        <v>#DIV/0!</v>
      </c>
      <c r="AA449" s="22" t="s">
        <v>2326</v>
      </c>
      <c r="AG449" s="94" t="s">
        <v>1169</v>
      </c>
      <c r="AH449" s="89" t="str">
        <f>VLOOKUP(AG449,Sheet1!$B$3:$D$36,2,FALSE)</f>
        <v>Decors</v>
      </c>
      <c r="AI449" s="89" t="s">
        <v>2263</v>
      </c>
      <c r="AJ449" s="1" t="str">
        <f t="shared" si="205"/>
        <v>Radiance Vertical Rattan</v>
      </c>
      <c r="AK449" s="1" t="str">
        <f t="shared" si="206"/>
        <v>d55 x h65</v>
      </c>
      <c r="AL449" s="1" t="str">
        <f t="shared" si="207"/>
        <v>kubu grey indoor</v>
      </c>
      <c r="AM449" s="1" t="str">
        <f t="shared" si="208"/>
        <v>kubu grey indoor</v>
      </c>
      <c r="AN449" s="1" t="str">
        <f t="shared" si="235"/>
        <v xml:space="preserve">kubu grey </v>
      </c>
      <c r="AO449" s="1" t="s">
        <v>54</v>
      </c>
      <c r="AQ449" s="1" t="str">
        <f t="shared" si="209"/>
        <v>B</v>
      </c>
      <c r="AR449" s="1" t="str">
        <f>VLOOKUP(TRIM(AI449),Sheet1!$D$3:$E$36,2,FALSE)</f>
        <v>08</v>
      </c>
      <c r="AS449" s="90" t="str">
        <f t="shared" si="210"/>
        <v>01</v>
      </c>
      <c r="AT449" s="1" t="str">
        <f t="shared" si="211"/>
        <v>01</v>
      </c>
      <c r="AU449" s="90" t="s">
        <v>1198</v>
      </c>
      <c r="AV449" s="90"/>
      <c r="AW449" s="90"/>
      <c r="AX449" s="95" t="str">
        <f>AQ449&amp;AR449&amp;AS449&amp;"-"&amp;AT449&amp;AU449&amp;BA449</f>
        <v>B0801-0107IND</v>
      </c>
      <c r="AY449" s="99" t="str">
        <f>AQ449&amp;AR449&amp;AS449&amp;"-"&amp;AT449&amp;BA449</f>
        <v>B0801-01IND</v>
      </c>
      <c r="AZ449" s="90"/>
      <c r="BA449" s="1" t="str">
        <f t="shared" si="212"/>
        <v>IND</v>
      </c>
      <c r="BC449" s="1">
        <f t="shared" si="227"/>
        <v>1</v>
      </c>
      <c r="BD449" s="90">
        <f t="shared" si="228"/>
        <v>1</v>
      </c>
      <c r="BE449" s="1">
        <f t="shared" si="215"/>
        <v>1</v>
      </c>
      <c r="BF449" s="1">
        <f t="shared" si="216"/>
        <v>1</v>
      </c>
      <c r="BI449"/>
      <c r="BJ449"/>
      <c r="BL449"/>
    </row>
    <row r="450" spans="1:64" ht="11.25" customHeight="1">
      <c r="A450" s="26" t="s">
        <v>2327</v>
      </c>
      <c r="B450" s="27" t="s">
        <v>2328</v>
      </c>
      <c r="C450" s="28">
        <v>143.99</v>
      </c>
      <c r="D450" s="28">
        <f t="shared" si="203"/>
        <v>71.995000000000005</v>
      </c>
      <c r="E450" s="22" t="s">
        <v>2257</v>
      </c>
      <c r="F450" s="22" t="s">
        <v>2329</v>
      </c>
      <c r="G450" s="22" t="s">
        <v>2330</v>
      </c>
      <c r="H450" s="22" t="s">
        <v>2267</v>
      </c>
      <c r="I450" s="23" t="s">
        <v>2331</v>
      </c>
      <c r="J450" s="22" t="s">
        <v>646</v>
      </c>
      <c r="L450" s="23">
        <v>40</v>
      </c>
      <c r="M450" s="23">
        <v>40</v>
      </c>
      <c r="N450" s="3">
        <f t="shared" si="183"/>
        <v>6.4000000000000001E-2</v>
      </c>
      <c r="O450" s="4" t="e">
        <f>(C450-(C450*#REF!))-((C450-(C450*#REF!))*#REF!)</f>
        <v>#REF!</v>
      </c>
      <c r="P450" s="7"/>
      <c r="Q450" s="7"/>
      <c r="R450" s="5">
        <f t="shared" si="230"/>
        <v>0</v>
      </c>
      <c r="S450" s="4">
        <f t="shared" si="231"/>
        <v>0</v>
      </c>
      <c r="T450" s="13">
        <f t="shared" si="204"/>
        <v>100.79300000000001</v>
      </c>
      <c r="U450" s="13">
        <f t="shared" si="213"/>
        <v>50.396500000000003</v>
      </c>
      <c r="V450" s="14">
        <f>U450/C450</f>
        <v>0.35</v>
      </c>
      <c r="W450" s="14"/>
      <c r="X450" s="19">
        <f t="shared" si="232"/>
        <v>50.396500000000003</v>
      </c>
      <c r="Y450" s="19">
        <f t="shared" si="233"/>
        <v>100.79300000000001</v>
      </c>
      <c r="Z450" s="15" t="e">
        <f t="shared" si="239"/>
        <v>#DIV/0!</v>
      </c>
      <c r="AA450" s="22" t="s">
        <v>2332</v>
      </c>
      <c r="AG450" s="94" t="s">
        <v>1169</v>
      </c>
      <c r="AH450" s="89" t="str">
        <f>VLOOKUP(AG450,Sheet1!$B$3:$D$36,2,FALSE)</f>
        <v>Decors</v>
      </c>
      <c r="AI450" s="89" t="s">
        <v>2263</v>
      </c>
      <c r="AJ450" s="1" t="str">
        <f t="shared" si="205"/>
        <v xml:space="preserve"> Luminaire Mud-S</v>
      </c>
      <c r="AK450" s="1" t="str">
        <f t="shared" si="206"/>
        <v>d40 x h40</v>
      </c>
      <c r="AL450" s="1" t="str">
        <f t="shared" si="207"/>
        <v>kubu grey with mud indoor</v>
      </c>
      <c r="AM450" s="1" t="str">
        <f t="shared" si="208"/>
        <v>kubu grey with mud indoor</v>
      </c>
      <c r="AN450" s="1" t="str">
        <f t="shared" si="235"/>
        <v xml:space="preserve">kubu grey with mud </v>
      </c>
      <c r="AO450" s="1" t="s">
        <v>54</v>
      </c>
      <c r="AQ450" s="1" t="str">
        <f t="shared" si="209"/>
        <v>B</v>
      </c>
      <c r="AR450" s="1" t="str">
        <f>VLOOKUP(TRIM(AI450),Sheet1!$D$3:$E$36,2,FALSE)</f>
        <v>08</v>
      </c>
      <c r="AS450" s="90" t="str">
        <f t="shared" si="210"/>
        <v>01</v>
      </c>
      <c r="AT450" s="1" t="str">
        <f t="shared" si="211"/>
        <v>01</v>
      </c>
      <c r="AU450" s="90" t="s">
        <v>1198</v>
      </c>
      <c r="AV450" s="90"/>
      <c r="AW450" s="90"/>
      <c r="AX450" s="95" t="str">
        <f>AQ450&amp;AR450&amp;AS450&amp;"-"&amp;AT450&amp;AU450&amp;BA450</f>
        <v>B0801-0107IND</v>
      </c>
      <c r="AY450" s="99" t="str">
        <f>AQ450&amp;AR450&amp;AS450&amp;"-"&amp;AT450&amp;BA450</f>
        <v>B0801-01IND</v>
      </c>
      <c r="AZ450" s="90"/>
      <c r="BA450" s="1" t="str">
        <f t="shared" si="212"/>
        <v>IND</v>
      </c>
      <c r="BC450" s="1">
        <f t="shared" si="227"/>
        <v>1</v>
      </c>
      <c r="BD450" s="90">
        <f t="shared" si="228"/>
        <v>1</v>
      </c>
      <c r="BE450" s="1">
        <f t="shared" si="215"/>
        <v>1</v>
      </c>
      <c r="BF450" s="1">
        <f t="shared" si="216"/>
        <v>1</v>
      </c>
      <c r="BI450"/>
      <c r="BJ450"/>
      <c r="BL450"/>
    </row>
    <row r="451" spans="1:64" ht="11.25" customHeight="1">
      <c r="A451" s="26">
        <v>21960</v>
      </c>
      <c r="B451" s="27" t="s">
        <v>2333</v>
      </c>
      <c r="C451" s="28">
        <v>69.989999999999995</v>
      </c>
      <c r="D451" s="28">
        <f t="shared" si="203"/>
        <v>34.994999999999997</v>
      </c>
      <c r="E451" s="22" t="s">
        <v>2257</v>
      </c>
      <c r="F451" s="22" t="s">
        <v>2334</v>
      </c>
      <c r="G451" s="22" t="s">
        <v>2335</v>
      </c>
      <c r="H451" s="22" t="s">
        <v>2336</v>
      </c>
      <c r="I451" s="23" t="s">
        <v>2337</v>
      </c>
      <c r="J451" s="22" t="s">
        <v>646</v>
      </c>
      <c r="L451" s="23">
        <v>35</v>
      </c>
      <c r="M451" s="23">
        <v>38</v>
      </c>
      <c r="N451" s="3">
        <f t="shared" si="183"/>
        <v>4.6550000000000001E-2</v>
      </c>
      <c r="O451" s="4" t="e">
        <f>(C451-(C451*#REF!))-((C451-(C451*#REF!))*#REF!)</f>
        <v>#REF!</v>
      </c>
      <c r="P451" s="7"/>
      <c r="Q451" s="7"/>
      <c r="R451" s="5">
        <f t="shared" si="230"/>
        <v>0</v>
      </c>
      <c r="S451" s="4">
        <f t="shared" si="231"/>
        <v>0</v>
      </c>
      <c r="T451" s="13">
        <f t="shared" si="204"/>
        <v>48.992999999999995</v>
      </c>
      <c r="U451" s="13">
        <f t="shared" si="213"/>
        <v>24.496499999999997</v>
      </c>
      <c r="V451" s="14">
        <f>U451/C451</f>
        <v>0.35</v>
      </c>
      <c r="W451" s="14"/>
      <c r="X451" s="19">
        <f t="shared" si="232"/>
        <v>24.496499999999997</v>
      </c>
      <c r="Y451" s="19">
        <f t="shared" si="233"/>
        <v>48.992999999999995</v>
      </c>
      <c r="Z451" s="15" t="e">
        <f t="shared" si="239"/>
        <v>#DIV/0!</v>
      </c>
      <c r="AA451" s="22" t="s">
        <v>2338</v>
      </c>
      <c r="AG451" s="94" t="s">
        <v>1169</v>
      </c>
      <c r="AH451" s="89" t="str">
        <f>VLOOKUP(AG451,Sheet1!$B$3:$D$36,2,FALSE)</f>
        <v>Decors</v>
      </c>
      <c r="AI451" s="89" t="s">
        <v>2263</v>
      </c>
      <c r="AJ451" s="1" t="str">
        <f t="shared" si="205"/>
        <v>Luminary Nud-M</v>
      </c>
      <c r="AK451" s="1" t="str">
        <f t="shared" si="206"/>
        <v>d35 x h38</v>
      </c>
      <c r="AL451" s="1" t="str">
        <f t="shared" si="207"/>
        <v>kubu grey with mud</v>
      </c>
      <c r="AM451" s="1" t="str">
        <f t="shared" si="208"/>
        <v>kubu grey with mud</v>
      </c>
      <c r="AN451" s="1" t="str">
        <f t="shared" si="235"/>
        <v>kubu grey with mud</v>
      </c>
      <c r="AQ451" s="1" t="str">
        <f t="shared" si="209"/>
        <v>B</v>
      </c>
      <c r="AR451" s="1" t="str">
        <f>VLOOKUP(TRIM(AI451),Sheet1!$D$3:$E$36,2,FALSE)</f>
        <v>08</v>
      </c>
      <c r="AS451" s="90" t="str">
        <f t="shared" si="210"/>
        <v>01</v>
      </c>
      <c r="AT451" s="1" t="str">
        <f t="shared" si="211"/>
        <v>01</v>
      </c>
      <c r="AU451" s="90" t="s">
        <v>1198</v>
      </c>
      <c r="AV451" s="90"/>
      <c r="AW451" s="90"/>
      <c r="AX451" s="95" t="str">
        <f>AQ451&amp;AR451&amp;AS451&amp;"-"&amp;AT451&amp;AU451&amp;BA451</f>
        <v>B0801-0107</v>
      </c>
      <c r="AY451" s="99" t="str">
        <f>AQ451&amp;AR451&amp;AS451&amp;"-"&amp;AT451&amp;BA451</f>
        <v>B0801-01</v>
      </c>
      <c r="AZ451" s="90"/>
      <c r="BA451" s="1" t="str">
        <f t="shared" si="212"/>
        <v/>
      </c>
      <c r="BC451" s="1">
        <f t="shared" si="227"/>
        <v>1</v>
      </c>
      <c r="BD451" s="90">
        <f t="shared" si="228"/>
        <v>1</v>
      </c>
      <c r="BE451" s="1">
        <f t="shared" si="215"/>
        <v>1</v>
      </c>
      <c r="BF451" s="1">
        <f t="shared" si="216"/>
        <v>1</v>
      </c>
      <c r="BI451"/>
      <c r="BJ451"/>
      <c r="BL451"/>
    </row>
    <row r="452" spans="1:64" ht="11.25" customHeight="1">
      <c r="A452" s="26">
        <v>21961</v>
      </c>
      <c r="B452" s="27" t="s">
        <v>2333</v>
      </c>
      <c r="C452" s="28">
        <v>118.99</v>
      </c>
      <c r="D452" s="28">
        <f t="shared" si="203"/>
        <v>59.494999999999997</v>
      </c>
      <c r="E452" s="22" t="s">
        <v>2257</v>
      </c>
      <c r="F452" s="22" t="s">
        <v>2339</v>
      </c>
      <c r="G452" s="22" t="s">
        <v>2340</v>
      </c>
      <c r="H452" s="22" t="s">
        <v>2341</v>
      </c>
      <c r="I452" s="23" t="s">
        <v>2337</v>
      </c>
      <c r="J452" s="22" t="s">
        <v>646</v>
      </c>
      <c r="L452" s="23">
        <v>50</v>
      </c>
      <c r="M452" s="23">
        <v>55</v>
      </c>
      <c r="N452" s="3">
        <f t="shared" si="183"/>
        <v>0.13750000000000001</v>
      </c>
      <c r="O452" s="4" t="e">
        <f>(C452-(C452*#REF!))-((C452-(C452*#REF!))*#REF!)</f>
        <v>#REF!</v>
      </c>
      <c r="P452" s="7"/>
      <c r="Q452" s="7"/>
      <c r="R452" s="5">
        <f t="shared" si="230"/>
        <v>0</v>
      </c>
      <c r="S452" s="4">
        <f t="shared" si="231"/>
        <v>0</v>
      </c>
      <c r="T452" s="13">
        <f t="shared" si="204"/>
        <v>83.293000000000006</v>
      </c>
      <c r="U452" s="13">
        <f t="shared" si="213"/>
        <v>41.646500000000003</v>
      </c>
      <c r="V452" s="14">
        <f>U452/C452</f>
        <v>0.35000000000000003</v>
      </c>
      <c r="W452" s="14"/>
      <c r="X452" s="19">
        <f t="shared" si="232"/>
        <v>41.646500000000003</v>
      </c>
      <c r="Y452" s="19">
        <f t="shared" si="233"/>
        <v>83.293000000000006</v>
      </c>
      <c r="Z452" s="15" t="e">
        <f t="shared" si="239"/>
        <v>#DIV/0!</v>
      </c>
      <c r="AA452" s="22" t="s">
        <v>2342</v>
      </c>
      <c r="AG452" s="94" t="s">
        <v>1169</v>
      </c>
      <c r="AH452" s="89" t="str">
        <f>VLOOKUP(AG452,Sheet1!$B$3:$D$36,2,FALSE)</f>
        <v>Decors</v>
      </c>
      <c r="AI452" s="89" t="s">
        <v>2263</v>
      </c>
      <c r="AJ452" s="1" t="str">
        <f t="shared" si="205"/>
        <v>Luminary Nud-L</v>
      </c>
      <c r="AK452" s="1" t="str">
        <f t="shared" si="206"/>
        <v>d50 x h55</v>
      </c>
      <c r="AL452" s="1" t="str">
        <f t="shared" si="207"/>
        <v>kubu grey with mud</v>
      </c>
      <c r="AM452" s="1" t="str">
        <f t="shared" si="208"/>
        <v>kubu grey with mud</v>
      </c>
      <c r="AN452" s="1" t="str">
        <f t="shared" si="235"/>
        <v>kubu grey with mud</v>
      </c>
      <c r="AQ452" s="1" t="str">
        <f t="shared" si="209"/>
        <v>B</v>
      </c>
      <c r="AR452" s="1" t="str">
        <f>VLOOKUP(TRIM(AI452),Sheet1!$D$3:$E$36,2,FALSE)</f>
        <v>08</v>
      </c>
      <c r="AS452" s="90" t="str">
        <f t="shared" si="210"/>
        <v>01</v>
      </c>
      <c r="AT452" s="1" t="str">
        <f t="shared" si="211"/>
        <v>01</v>
      </c>
      <c r="AU452" s="90" t="s">
        <v>1198</v>
      </c>
      <c r="AV452" s="90"/>
      <c r="AW452" s="90"/>
      <c r="AX452" s="95" t="str">
        <f>AQ452&amp;AR452&amp;AS452&amp;"-"&amp;AT452&amp;AU452&amp;BA452</f>
        <v>B0801-0107</v>
      </c>
      <c r="AY452" s="99" t="str">
        <f>AQ452&amp;AR452&amp;AS452&amp;"-"&amp;AT452&amp;BA452</f>
        <v>B0801-01</v>
      </c>
      <c r="AZ452" s="90"/>
      <c r="BA452" s="1" t="str">
        <f t="shared" si="212"/>
        <v/>
      </c>
      <c r="BC452" s="1">
        <f t="shared" si="227"/>
        <v>1</v>
      </c>
      <c r="BD452" s="90">
        <f t="shared" si="228"/>
        <v>1</v>
      </c>
      <c r="BE452" s="1">
        <f t="shared" si="215"/>
        <v>1</v>
      </c>
      <c r="BF452" s="1">
        <f t="shared" si="216"/>
        <v>1</v>
      </c>
      <c r="BI452"/>
      <c r="BJ452"/>
      <c r="BL452"/>
    </row>
    <row r="453" spans="1:64" ht="11.25" customHeight="1">
      <c r="A453" s="26">
        <v>21962</v>
      </c>
      <c r="B453" s="27" t="s">
        <v>2333</v>
      </c>
      <c r="C453" s="28">
        <v>233.99</v>
      </c>
      <c r="D453" s="28">
        <f t="shared" ref="D453:D516" si="240">C453*$D$1</f>
        <v>116.995</v>
      </c>
      <c r="E453" s="22" t="s">
        <v>2257</v>
      </c>
      <c r="F453" s="22" t="s">
        <v>2343</v>
      </c>
      <c r="G453" s="22" t="s">
        <v>2344</v>
      </c>
      <c r="H453" s="22" t="s">
        <v>2345</v>
      </c>
      <c r="I453" s="23" t="s">
        <v>2337</v>
      </c>
      <c r="J453" s="22" t="s">
        <v>646</v>
      </c>
      <c r="L453" s="23">
        <v>70</v>
      </c>
      <c r="M453" s="23">
        <v>77</v>
      </c>
      <c r="N453" s="3">
        <f t="shared" si="183"/>
        <v>0.37730000000000002</v>
      </c>
      <c r="O453" s="4" t="e">
        <f>(C453-(C453*#REF!))-((C453-(C453*#REF!))*#REF!)</f>
        <v>#REF!</v>
      </c>
      <c r="P453" s="7"/>
      <c r="Q453" s="7"/>
      <c r="R453" s="5">
        <f t="shared" si="230"/>
        <v>0</v>
      </c>
      <c r="S453" s="4">
        <f t="shared" si="231"/>
        <v>0</v>
      </c>
      <c r="T453" s="13">
        <f t="shared" ref="T453:T516" si="241">C453-(C453*$T$1)</f>
        <v>163.79300000000001</v>
      </c>
      <c r="U453" s="13">
        <f t="shared" si="213"/>
        <v>81.896500000000003</v>
      </c>
      <c r="V453" s="14">
        <f>U453/C453</f>
        <v>0.35</v>
      </c>
      <c r="W453" s="14"/>
      <c r="X453" s="19">
        <f t="shared" si="232"/>
        <v>81.896500000000003</v>
      </c>
      <c r="Y453" s="19">
        <f t="shared" si="233"/>
        <v>163.79300000000001</v>
      </c>
      <c r="Z453" s="15" t="e">
        <f t="shared" si="239"/>
        <v>#DIV/0!</v>
      </c>
      <c r="AA453" s="22" t="s">
        <v>2346</v>
      </c>
      <c r="AG453" s="94" t="s">
        <v>1169</v>
      </c>
      <c r="AH453" s="89" t="str">
        <f>VLOOKUP(AG453,Sheet1!$B$3:$D$36,2,FALSE)</f>
        <v>Decors</v>
      </c>
      <c r="AI453" s="89" t="s">
        <v>2263</v>
      </c>
      <c r="AJ453" s="1" t="str">
        <f t="shared" ref="AJ453:AJ516" si="242">G453</f>
        <v>Luminary Nud-XL</v>
      </c>
      <c r="AK453" s="1" t="str">
        <f t="shared" ref="AK453:AK516" si="243">TRIM(H453)</f>
        <v>d70 x h77</v>
      </c>
      <c r="AL453" s="1" t="str">
        <f t="shared" ref="AL453:AL516" si="244">I453</f>
        <v>kubu grey with mud</v>
      </c>
      <c r="AM453" s="1" t="str">
        <f t="shared" ref="AM453:AM516" si="245">I453</f>
        <v>kubu grey with mud</v>
      </c>
      <c r="AN453" s="1" t="str">
        <f t="shared" si="235"/>
        <v>kubu grey with mud</v>
      </c>
      <c r="AQ453" s="1" t="str">
        <f t="shared" ref="AQ453:AQ516" si="246">IF(TRIM(AG453)="01","A",IF(TRIM(AG453)="02","B",IF(TRIM(AG453)="03","C",IF(TRIM(AG453)="04","D",IF(TRIM(AG453)="05","E","F")))))</f>
        <v>B</v>
      </c>
      <c r="AR453" s="1" t="str">
        <f>VLOOKUP(TRIM(AI453),Sheet1!$D$3:$E$36,2,FALSE)</f>
        <v>08</v>
      </c>
      <c r="AS453" s="90" t="str">
        <f t="shared" ref="AS453:AS516" si="247">IF(LEN(BD453)=1,"0"&amp;BD453,BD453)</f>
        <v>01</v>
      </c>
      <c r="AT453" s="1" t="str">
        <f t="shared" ref="AT453:AT516" si="248">IF(LEN(BF453)=1,"0"&amp;BF453,BF453)</f>
        <v>01</v>
      </c>
      <c r="AU453" s="90" t="s">
        <v>1198</v>
      </c>
      <c r="AV453" s="90"/>
      <c r="AW453" s="90"/>
      <c r="AX453" s="95" t="str">
        <f>AQ453&amp;AR453&amp;AS453&amp;"-"&amp;AT453&amp;AU453&amp;BA453</f>
        <v>B0801-0107</v>
      </c>
      <c r="AY453" s="99" t="str">
        <f>AQ453&amp;AR453&amp;AS453&amp;"-"&amp;AT453&amp;BA453</f>
        <v>B0801-01</v>
      </c>
      <c r="AZ453" s="90"/>
      <c r="BA453" s="1" t="str">
        <f t="shared" ref="BA453:BA516" si="249">IF(AO453="","",UPPER(LEFT(AO453,3)))</f>
        <v/>
      </c>
      <c r="BC453" s="1">
        <f t="shared" si="227"/>
        <v>1</v>
      </c>
      <c r="BD453" s="90">
        <f t="shared" si="228"/>
        <v>1</v>
      </c>
      <c r="BE453" s="1">
        <f t="shared" si="215"/>
        <v>1</v>
      </c>
      <c r="BF453" s="1">
        <f t="shared" si="216"/>
        <v>1</v>
      </c>
      <c r="BI453"/>
      <c r="BJ453"/>
      <c r="BL453"/>
    </row>
    <row r="454" spans="1:64" ht="11.25" customHeight="1">
      <c r="A454" s="26">
        <v>21963</v>
      </c>
      <c r="B454" s="27" t="s">
        <v>2333</v>
      </c>
      <c r="C454" s="28">
        <v>970.99</v>
      </c>
      <c r="D454" s="28">
        <f t="shared" si="240"/>
        <v>485.495</v>
      </c>
      <c r="E454" s="22" t="s">
        <v>2257</v>
      </c>
      <c r="F454" s="22" t="s">
        <v>2347</v>
      </c>
      <c r="G454" s="22" t="s">
        <v>2348</v>
      </c>
      <c r="H454" s="22" t="s">
        <v>2349</v>
      </c>
      <c r="I454" s="23" t="s">
        <v>2337</v>
      </c>
      <c r="J454" s="22" t="s">
        <v>646</v>
      </c>
      <c r="L454" s="23">
        <v>130</v>
      </c>
      <c r="M454" s="23">
        <v>143</v>
      </c>
      <c r="N454" s="3">
        <f t="shared" si="183"/>
        <v>2.4167000000000001</v>
      </c>
      <c r="O454" s="4" t="e">
        <f>(C454-(C454*#REF!))-((C454-(C454*#REF!))*#REF!)</f>
        <v>#REF!</v>
      </c>
      <c r="P454" s="7"/>
      <c r="Q454" s="7"/>
      <c r="R454" s="5">
        <f t="shared" si="230"/>
        <v>0</v>
      </c>
      <c r="S454" s="4">
        <f t="shared" si="231"/>
        <v>0</v>
      </c>
      <c r="T454" s="13">
        <f t="shared" si="241"/>
        <v>679.69299999999998</v>
      </c>
      <c r="U454" s="13">
        <f t="shared" ref="U454:U517" si="250">T454-(T454*$U$1)</f>
        <v>339.84649999999999</v>
      </c>
      <c r="V454" s="14">
        <f>U454/C454</f>
        <v>0.35</v>
      </c>
      <c r="W454" s="14"/>
      <c r="X454" s="19">
        <f t="shared" si="232"/>
        <v>339.84649999999999</v>
      </c>
      <c r="Y454" s="19">
        <f t="shared" si="233"/>
        <v>679.69299999999998</v>
      </c>
      <c r="Z454" s="15" t="e">
        <f t="shared" si="239"/>
        <v>#DIV/0!</v>
      </c>
      <c r="AA454" s="22" t="s">
        <v>2350</v>
      </c>
      <c r="AG454" s="94" t="s">
        <v>1169</v>
      </c>
      <c r="AH454" s="89" t="str">
        <f>VLOOKUP(AG454,Sheet1!$B$3:$D$36,2,FALSE)</f>
        <v>Decors</v>
      </c>
      <c r="AI454" s="89" t="s">
        <v>2263</v>
      </c>
      <c r="AJ454" s="1" t="str">
        <f t="shared" si="242"/>
        <v>Luminary Nud-2Xl</v>
      </c>
      <c r="AK454" s="1" t="str">
        <f t="shared" si="243"/>
        <v>d130 x h143</v>
      </c>
      <c r="AL454" s="1" t="str">
        <f t="shared" si="244"/>
        <v>kubu grey with mud</v>
      </c>
      <c r="AM454" s="1" t="str">
        <f t="shared" si="245"/>
        <v>kubu grey with mud</v>
      </c>
      <c r="AN454" s="1" t="str">
        <f t="shared" si="235"/>
        <v>kubu grey with mud</v>
      </c>
      <c r="AQ454" s="1" t="str">
        <f t="shared" si="246"/>
        <v>B</v>
      </c>
      <c r="AR454" s="1" t="str">
        <f>VLOOKUP(TRIM(AI454),Sheet1!$D$3:$E$36,2,FALSE)</f>
        <v>08</v>
      </c>
      <c r="AS454" s="90" t="str">
        <f t="shared" si="247"/>
        <v>01</v>
      </c>
      <c r="AT454" s="1" t="str">
        <f t="shared" si="248"/>
        <v>01</v>
      </c>
      <c r="AU454" s="90" t="s">
        <v>1198</v>
      </c>
      <c r="AV454" s="90"/>
      <c r="AW454" s="90"/>
      <c r="AX454" s="95" t="str">
        <f>AQ454&amp;AR454&amp;AS454&amp;"-"&amp;AT454&amp;AU454&amp;BA454</f>
        <v>B0801-0107</v>
      </c>
      <c r="AY454" s="99" t="str">
        <f>AQ454&amp;AR454&amp;AS454&amp;"-"&amp;AT454&amp;BA454</f>
        <v>B0801-01</v>
      </c>
      <c r="AZ454" s="90"/>
      <c r="BA454" s="1" t="str">
        <f t="shared" si="249"/>
        <v/>
      </c>
      <c r="BC454" s="1">
        <f t="shared" si="227"/>
        <v>1</v>
      </c>
      <c r="BD454" s="90">
        <f t="shared" si="228"/>
        <v>1</v>
      </c>
      <c r="BE454" s="1">
        <f t="shared" si="215"/>
        <v>1</v>
      </c>
      <c r="BF454" s="1">
        <f t="shared" si="216"/>
        <v>1</v>
      </c>
      <c r="BI454"/>
      <c r="BJ454"/>
      <c r="BL454"/>
    </row>
    <row r="455" spans="1:64" ht="11.25" customHeight="1">
      <c r="A455" s="26">
        <v>21964</v>
      </c>
      <c r="B455" s="27" t="s">
        <v>2333</v>
      </c>
      <c r="C455" s="28">
        <v>2353.9899999999998</v>
      </c>
      <c r="D455" s="28">
        <f t="shared" si="240"/>
        <v>1176.9949999999999</v>
      </c>
      <c r="E455" s="22" t="s">
        <v>2257</v>
      </c>
      <c r="F455" s="22" t="s">
        <v>2351</v>
      </c>
      <c r="G455" s="22" t="s">
        <v>2352</v>
      </c>
      <c r="H455" s="22" t="s">
        <v>2353</v>
      </c>
      <c r="I455" s="23" t="s">
        <v>2331</v>
      </c>
      <c r="J455" s="22" t="s">
        <v>646</v>
      </c>
      <c r="L455" s="23">
        <v>220</v>
      </c>
      <c r="M455" s="23">
        <v>240</v>
      </c>
      <c r="N455" s="3">
        <f t="shared" si="183"/>
        <v>11.616</v>
      </c>
      <c r="O455" s="4" t="e">
        <f>(C455-(C455*#REF!))-((C455-(C455*#REF!))*#REF!)</f>
        <v>#REF!</v>
      </c>
      <c r="P455" s="7"/>
      <c r="Q455" s="7"/>
      <c r="R455" s="5">
        <f t="shared" si="230"/>
        <v>0</v>
      </c>
      <c r="S455" s="4">
        <f t="shared" si="231"/>
        <v>0</v>
      </c>
      <c r="T455" s="13">
        <f t="shared" si="241"/>
        <v>1647.7929999999999</v>
      </c>
      <c r="U455" s="13">
        <f t="shared" si="250"/>
        <v>823.89649999999995</v>
      </c>
      <c r="V455" s="14">
        <f>U455/C455</f>
        <v>0.35000000000000003</v>
      </c>
      <c r="W455" s="14"/>
      <c r="X455" s="19">
        <f t="shared" si="232"/>
        <v>823.89649999999995</v>
      </c>
      <c r="Y455" s="19">
        <f t="shared" si="233"/>
        <v>1647.7929999999999</v>
      </c>
      <c r="Z455" s="15" t="e">
        <f t="shared" si="239"/>
        <v>#DIV/0!</v>
      </c>
      <c r="AA455" s="22" t="s">
        <v>2354</v>
      </c>
      <c r="AG455" s="94" t="s">
        <v>1169</v>
      </c>
      <c r="AH455" s="89" t="str">
        <f>VLOOKUP(AG455,Sheet1!$B$3:$D$36,2,FALSE)</f>
        <v>Decors</v>
      </c>
      <c r="AI455" s="89" t="s">
        <v>2263</v>
      </c>
      <c r="AJ455" s="1" t="str">
        <f t="shared" si="242"/>
        <v>Luminary Nud-3XL</v>
      </c>
      <c r="AK455" s="1" t="str">
        <f t="shared" si="243"/>
        <v>d220 x h240</v>
      </c>
      <c r="AL455" s="1" t="str">
        <f t="shared" si="244"/>
        <v>kubu grey with mud indoor</v>
      </c>
      <c r="AM455" s="1" t="str">
        <f t="shared" si="245"/>
        <v>kubu grey with mud indoor</v>
      </c>
      <c r="AN455" s="1" t="str">
        <f t="shared" ref="AN455:AN482" si="251">SUBSTITUTE(AL455,"indoor","")</f>
        <v xml:space="preserve">kubu grey with mud </v>
      </c>
      <c r="AO455" s="1" t="s">
        <v>54</v>
      </c>
      <c r="AQ455" s="1" t="str">
        <f t="shared" si="246"/>
        <v>B</v>
      </c>
      <c r="AR455" s="1" t="str">
        <f>VLOOKUP(TRIM(AI455),Sheet1!$D$3:$E$36,2,FALSE)</f>
        <v>08</v>
      </c>
      <c r="AS455" s="90" t="str">
        <f t="shared" si="247"/>
        <v>01</v>
      </c>
      <c r="AT455" s="1" t="str">
        <f t="shared" si="248"/>
        <v>01</v>
      </c>
      <c r="AU455" s="90" t="s">
        <v>1198</v>
      </c>
      <c r="AV455" s="90"/>
      <c r="AW455" s="90"/>
      <c r="AX455" s="95" t="str">
        <f>AQ455&amp;AR455&amp;AS455&amp;"-"&amp;AT455&amp;AU455&amp;BA455</f>
        <v>B0801-0107IND</v>
      </c>
      <c r="AY455" s="99" t="str">
        <f>AQ455&amp;AR455&amp;AS455&amp;"-"&amp;AT455&amp;BA455</f>
        <v>B0801-01IND</v>
      </c>
      <c r="AZ455" s="90"/>
      <c r="BA455" s="1" t="str">
        <f t="shared" si="249"/>
        <v>IND</v>
      </c>
      <c r="BC455" s="1">
        <f t="shared" si="227"/>
        <v>1</v>
      </c>
      <c r="BD455" s="90">
        <f t="shared" si="228"/>
        <v>1</v>
      </c>
      <c r="BE455" s="1">
        <f t="shared" si="215"/>
        <v>1</v>
      </c>
      <c r="BF455" s="1">
        <f t="shared" si="216"/>
        <v>1</v>
      </c>
      <c r="BI455"/>
      <c r="BJ455"/>
      <c r="BL455"/>
    </row>
    <row r="456" spans="1:64" ht="11.25" customHeight="1">
      <c r="A456" s="26" t="s">
        <v>2355</v>
      </c>
      <c r="B456" s="27" t="s">
        <v>2356</v>
      </c>
      <c r="C456" s="28">
        <v>63.99</v>
      </c>
      <c r="D456" s="28">
        <f t="shared" si="240"/>
        <v>31.995000000000001</v>
      </c>
      <c r="E456" s="22" t="s">
        <v>2257</v>
      </c>
      <c r="F456" s="22" t="s">
        <v>2357</v>
      </c>
      <c r="G456" s="22" t="s">
        <v>2358</v>
      </c>
      <c r="H456" s="22" t="s">
        <v>2336</v>
      </c>
      <c r="I456" s="23" t="s">
        <v>2310</v>
      </c>
      <c r="J456" s="22" t="s">
        <v>646</v>
      </c>
      <c r="L456" s="23">
        <v>35</v>
      </c>
      <c r="M456" s="23">
        <v>38</v>
      </c>
      <c r="N456" s="3">
        <f t="shared" ref="N456:N491" si="252">(IF(ISBLANK(K456),(L456*L456*M456),(K456*L456*M456)))/1000000</f>
        <v>4.6550000000000001E-2</v>
      </c>
      <c r="O456" s="4" t="e">
        <f>(C456-(C456*#REF!))-((C456-(C456*#REF!))*#REF!)</f>
        <v>#REF!</v>
      </c>
      <c r="P456" s="7"/>
      <c r="Q456" s="7"/>
      <c r="R456" s="5">
        <f t="shared" si="230"/>
        <v>0</v>
      </c>
      <c r="S456" s="4">
        <f t="shared" si="231"/>
        <v>0</v>
      </c>
      <c r="T456" s="13">
        <f t="shared" si="241"/>
        <v>44.793000000000006</v>
      </c>
      <c r="U456" s="13">
        <f t="shared" si="250"/>
        <v>22.396500000000003</v>
      </c>
      <c r="V456" s="14">
        <f>U456/C456</f>
        <v>0.35000000000000003</v>
      </c>
      <c r="W456" s="14"/>
      <c r="X456" s="19">
        <f t="shared" si="232"/>
        <v>22.396500000000003</v>
      </c>
      <c r="Y456" s="19">
        <f t="shared" si="233"/>
        <v>44.793000000000006</v>
      </c>
      <c r="Z456" s="15" t="e">
        <f t="shared" si="239"/>
        <v>#DIV/0!</v>
      </c>
      <c r="AA456" s="22" t="s">
        <v>2359</v>
      </c>
      <c r="AG456" s="94" t="s">
        <v>1169</v>
      </c>
      <c r="AH456" s="89" t="str">
        <f>VLOOKUP(AG456,Sheet1!$B$3:$D$36,2,FALSE)</f>
        <v>Decors</v>
      </c>
      <c r="AI456" s="89" t="s">
        <v>2263</v>
      </c>
      <c r="AJ456" s="1" t="str">
        <f t="shared" si="242"/>
        <v>Elevate no mud S</v>
      </c>
      <c r="AK456" s="1" t="str">
        <f t="shared" si="243"/>
        <v>d35 x h38</v>
      </c>
      <c r="AL456" s="1" t="str">
        <f t="shared" si="244"/>
        <v>kubu grey indoor</v>
      </c>
      <c r="AM456" s="1" t="str">
        <f t="shared" si="245"/>
        <v>kubu grey indoor</v>
      </c>
      <c r="AN456" s="1" t="str">
        <f t="shared" si="251"/>
        <v xml:space="preserve">kubu grey </v>
      </c>
      <c r="AO456" s="1" t="s">
        <v>54</v>
      </c>
      <c r="AQ456" s="1" t="str">
        <f t="shared" si="246"/>
        <v>B</v>
      </c>
      <c r="AR456" s="1" t="str">
        <f>VLOOKUP(TRIM(AI456),Sheet1!$D$3:$E$36,2,FALSE)</f>
        <v>08</v>
      </c>
      <c r="AS456" s="90" t="str">
        <f t="shared" si="247"/>
        <v>01</v>
      </c>
      <c r="AT456" s="1" t="str">
        <f t="shared" si="248"/>
        <v>01</v>
      </c>
      <c r="AU456" s="90" t="s">
        <v>1198</v>
      </c>
      <c r="AV456" s="90"/>
      <c r="AW456" s="90"/>
      <c r="AX456" s="95" t="str">
        <f>AQ456&amp;AR456&amp;AS456&amp;"-"&amp;AT456&amp;AU456&amp;BA456</f>
        <v>B0801-0107IND</v>
      </c>
      <c r="AY456" s="99" t="str">
        <f>AQ456&amp;AR456&amp;AS456&amp;"-"&amp;AT456&amp;BA456</f>
        <v>B0801-01IND</v>
      </c>
      <c r="AZ456" s="90"/>
      <c r="BA456" s="1" t="str">
        <f t="shared" si="249"/>
        <v>IND</v>
      </c>
      <c r="BC456" s="1">
        <f t="shared" si="227"/>
        <v>1</v>
      </c>
      <c r="BD456" s="90">
        <f t="shared" si="228"/>
        <v>1</v>
      </c>
      <c r="BE456" s="1">
        <f t="shared" si="215"/>
        <v>1</v>
      </c>
      <c r="BF456" s="1">
        <f t="shared" si="216"/>
        <v>1</v>
      </c>
      <c r="BI456"/>
      <c r="BJ456"/>
      <c r="BL456"/>
    </row>
    <row r="457" spans="1:64" ht="11.25" customHeight="1">
      <c r="A457" s="26" t="s">
        <v>2360</v>
      </c>
      <c r="B457" s="27" t="s">
        <v>2356</v>
      </c>
      <c r="C457" s="28">
        <v>108.99</v>
      </c>
      <c r="D457" s="28">
        <f t="shared" si="240"/>
        <v>54.494999999999997</v>
      </c>
      <c r="E457" s="22" t="s">
        <v>2257</v>
      </c>
      <c r="F457" s="22" t="s">
        <v>2361</v>
      </c>
      <c r="G457" s="22" t="s">
        <v>2362</v>
      </c>
      <c r="H457" s="22" t="s">
        <v>2341</v>
      </c>
      <c r="I457" s="23" t="s">
        <v>2310</v>
      </c>
      <c r="J457" s="22" t="s">
        <v>646</v>
      </c>
      <c r="L457" s="23">
        <v>50</v>
      </c>
      <c r="M457" s="23">
        <v>55</v>
      </c>
      <c r="N457" s="3">
        <f t="shared" si="252"/>
        <v>0.13750000000000001</v>
      </c>
      <c r="O457" s="4" t="e">
        <f>(C457-(C457*#REF!))-((C457-(C457*#REF!))*#REF!)</f>
        <v>#REF!</v>
      </c>
      <c r="P457" s="7"/>
      <c r="Q457" s="7"/>
      <c r="R457" s="5">
        <f t="shared" si="230"/>
        <v>0</v>
      </c>
      <c r="S457" s="4">
        <f t="shared" si="231"/>
        <v>0</v>
      </c>
      <c r="T457" s="13">
        <f t="shared" si="241"/>
        <v>76.293000000000006</v>
      </c>
      <c r="U457" s="13">
        <f t="shared" si="250"/>
        <v>38.146500000000003</v>
      </c>
      <c r="V457" s="14">
        <f>U457/C457</f>
        <v>0.35000000000000003</v>
      </c>
      <c r="W457" s="14"/>
      <c r="X457" s="19">
        <f t="shared" si="232"/>
        <v>38.146500000000003</v>
      </c>
      <c r="Y457" s="19">
        <f t="shared" si="233"/>
        <v>76.293000000000006</v>
      </c>
      <c r="Z457" s="15" t="e">
        <f t="shared" si="239"/>
        <v>#DIV/0!</v>
      </c>
      <c r="AA457" s="22" t="s">
        <v>2363</v>
      </c>
      <c r="AG457" s="94" t="s">
        <v>1169</v>
      </c>
      <c r="AH457" s="89" t="str">
        <f>VLOOKUP(AG457,Sheet1!$B$3:$D$36,2,FALSE)</f>
        <v>Decors</v>
      </c>
      <c r="AI457" s="89" t="s">
        <v>2263</v>
      </c>
      <c r="AJ457" s="1" t="str">
        <f t="shared" si="242"/>
        <v>Elevate no mud M</v>
      </c>
      <c r="AK457" s="1" t="str">
        <f t="shared" si="243"/>
        <v>d50 x h55</v>
      </c>
      <c r="AL457" s="1" t="str">
        <f t="shared" si="244"/>
        <v>kubu grey indoor</v>
      </c>
      <c r="AM457" s="1" t="str">
        <f t="shared" si="245"/>
        <v>kubu grey indoor</v>
      </c>
      <c r="AN457" s="1" t="str">
        <f t="shared" si="251"/>
        <v xml:space="preserve">kubu grey </v>
      </c>
      <c r="AO457" s="1" t="s">
        <v>54</v>
      </c>
      <c r="AQ457" s="1" t="str">
        <f t="shared" si="246"/>
        <v>B</v>
      </c>
      <c r="AR457" s="1" t="str">
        <f>VLOOKUP(TRIM(AI457),Sheet1!$D$3:$E$36,2,FALSE)</f>
        <v>08</v>
      </c>
      <c r="AS457" s="90" t="str">
        <f t="shared" si="247"/>
        <v>01</v>
      </c>
      <c r="AT457" s="1" t="str">
        <f t="shared" si="248"/>
        <v>01</v>
      </c>
      <c r="AU457" s="90" t="s">
        <v>1198</v>
      </c>
      <c r="AV457" s="90"/>
      <c r="AW457" s="90"/>
      <c r="AX457" s="95" t="str">
        <f>AQ457&amp;AR457&amp;AS457&amp;"-"&amp;AT457&amp;AU457&amp;BA457</f>
        <v>B0801-0107IND</v>
      </c>
      <c r="AY457" s="99" t="str">
        <f>AQ457&amp;AR457&amp;AS457&amp;"-"&amp;AT457&amp;BA457</f>
        <v>B0801-01IND</v>
      </c>
      <c r="AZ457" s="90"/>
      <c r="BA457" s="1" t="str">
        <f t="shared" si="249"/>
        <v>IND</v>
      </c>
      <c r="BC457" s="1">
        <f t="shared" si="227"/>
        <v>1</v>
      </c>
      <c r="BD457" s="90">
        <f t="shared" si="228"/>
        <v>1</v>
      </c>
      <c r="BE457" s="1">
        <f t="shared" si="215"/>
        <v>1</v>
      </c>
      <c r="BF457" s="1">
        <f t="shared" si="216"/>
        <v>1</v>
      </c>
      <c r="BI457"/>
      <c r="BJ457"/>
      <c r="BL457"/>
    </row>
    <row r="458" spans="1:64" ht="11.25" customHeight="1">
      <c r="A458" s="26" t="s">
        <v>2364</v>
      </c>
      <c r="B458" s="27" t="s">
        <v>2356</v>
      </c>
      <c r="C458" s="28">
        <v>216.99</v>
      </c>
      <c r="D458" s="28">
        <f t="shared" si="240"/>
        <v>108.495</v>
      </c>
      <c r="E458" s="22" t="s">
        <v>2257</v>
      </c>
      <c r="F458" s="22" t="s">
        <v>2365</v>
      </c>
      <c r="G458" s="22" t="s">
        <v>2366</v>
      </c>
      <c r="H458" s="22" t="s">
        <v>2345</v>
      </c>
      <c r="I458" s="23" t="s">
        <v>2310</v>
      </c>
      <c r="J458" s="22" t="s">
        <v>646</v>
      </c>
      <c r="L458" s="23">
        <v>70</v>
      </c>
      <c r="M458" s="23">
        <v>77</v>
      </c>
      <c r="N458" s="3">
        <f t="shared" si="252"/>
        <v>0.37730000000000002</v>
      </c>
      <c r="O458" s="4" t="e">
        <f>(C458-(C458*#REF!))-((C458-(C458*#REF!))*#REF!)</f>
        <v>#REF!</v>
      </c>
      <c r="P458" s="7"/>
      <c r="Q458" s="7"/>
      <c r="R458" s="5">
        <f t="shared" si="230"/>
        <v>0</v>
      </c>
      <c r="S458" s="4">
        <f t="shared" si="231"/>
        <v>0</v>
      </c>
      <c r="T458" s="13">
        <f t="shared" si="241"/>
        <v>151.89300000000003</v>
      </c>
      <c r="U458" s="13">
        <f t="shared" si="250"/>
        <v>75.946500000000015</v>
      </c>
      <c r="V458" s="14">
        <f>U458/C458</f>
        <v>0.35000000000000003</v>
      </c>
      <c r="W458" s="14"/>
      <c r="X458" s="19">
        <f t="shared" si="232"/>
        <v>75.946500000000015</v>
      </c>
      <c r="Y458" s="19">
        <f t="shared" si="233"/>
        <v>151.89300000000003</v>
      </c>
      <c r="Z458" s="15" t="e">
        <f t="shared" si="239"/>
        <v>#DIV/0!</v>
      </c>
      <c r="AA458" s="22" t="s">
        <v>2367</v>
      </c>
      <c r="AG458" s="94" t="s">
        <v>1169</v>
      </c>
      <c r="AH458" s="89" t="str">
        <f>VLOOKUP(AG458,Sheet1!$B$3:$D$36,2,FALSE)</f>
        <v>Decors</v>
      </c>
      <c r="AI458" s="89" t="s">
        <v>2263</v>
      </c>
      <c r="AJ458" s="1" t="str">
        <f t="shared" si="242"/>
        <v>Elevate no mud L</v>
      </c>
      <c r="AK458" s="1" t="str">
        <f t="shared" si="243"/>
        <v>d70 x h77</v>
      </c>
      <c r="AL458" s="1" t="str">
        <f t="shared" si="244"/>
        <v>kubu grey indoor</v>
      </c>
      <c r="AM458" s="1" t="str">
        <f t="shared" si="245"/>
        <v>kubu grey indoor</v>
      </c>
      <c r="AN458" s="1" t="str">
        <f t="shared" si="251"/>
        <v xml:space="preserve">kubu grey </v>
      </c>
      <c r="AO458" s="1" t="s">
        <v>54</v>
      </c>
      <c r="AQ458" s="1" t="str">
        <f t="shared" si="246"/>
        <v>B</v>
      </c>
      <c r="AR458" s="1" t="str">
        <f>VLOOKUP(TRIM(AI458),Sheet1!$D$3:$E$36,2,FALSE)</f>
        <v>08</v>
      </c>
      <c r="AS458" s="90" t="str">
        <f t="shared" si="247"/>
        <v>01</v>
      </c>
      <c r="AT458" s="1" t="str">
        <f t="shared" si="248"/>
        <v>01</v>
      </c>
      <c r="AU458" s="90" t="s">
        <v>1198</v>
      </c>
      <c r="AV458" s="90"/>
      <c r="AW458" s="90"/>
      <c r="AX458" s="95" t="str">
        <f>AQ458&amp;AR458&amp;AS458&amp;"-"&amp;AT458&amp;AU458&amp;BA458</f>
        <v>B0801-0107IND</v>
      </c>
      <c r="AY458" s="99" t="str">
        <f>AQ458&amp;AR458&amp;AS458&amp;"-"&amp;AT458&amp;BA458</f>
        <v>B0801-01IND</v>
      </c>
      <c r="AZ458" s="90"/>
      <c r="BA458" s="1" t="str">
        <f t="shared" si="249"/>
        <v>IND</v>
      </c>
      <c r="BC458" s="1">
        <f t="shared" si="227"/>
        <v>1</v>
      </c>
      <c r="BD458" s="90">
        <f t="shared" si="228"/>
        <v>1</v>
      </c>
      <c r="BE458" s="1">
        <f t="shared" si="215"/>
        <v>1</v>
      </c>
      <c r="BF458" s="1">
        <f t="shared" si="216"/>
        <v>1</v>
      </c>
      <c r="BI458"/>
      <c r="BJ458"/>
      <c r="BL458"/>
    </row>
    <row r="459" spans="1:64" ht="11.25" customHeight="1">
      <c r="A459" s="26" t="s">
        <v>2368</v>
      </c>
      <c r="B459" s="27" t="s">
        <v>2356</v>
      </c>
      <c r="C459" s="28">
        <v>931.99</v>
      </c>
      <c r="D459" s="28">
        <f t="shared" si="240"/>
        <v>465.995</v>
      </c>
      <c r="E459" s="22" t="s">
        <v>2257</v>
      </c>
      <c r="F459" s="22" t="s">
        <v>2369</v>
      </c>
      <c r="G459" s="22" t="s">
        <v>2370</v>
      </c>
      <c r="H459" s="22" t="s">
        <v>2371</v>
      </c>
      <c r="I459" s="23" t="s">
        <v>2310</v>
      </c>
      <c r="J459" s="22" t="s">
        <v>646</v>
      </c>
      <c r="L459" s="23">
        <v>130</v>
      </c>
      <c r="M459" s="23">
        <v>143</v>
      </c>
      <c r="N459" s="3">
        <f t="shared" si="252"/>
        <v>2.4167000000000001</v>
      </c>
      <c r="O459" s="4" t="e">
        <f>(C459-(C459*#REF!))-((C459-(C459*#REF!))*#REF!)</f>
        <v>#REF!</v>
      </c>
      <c r="P459" s="7"/>
      <c r="Q459" s="7"/>
      <c r="R459" s="5">
        <f t="shared" si="230"/>
        <v>0</v>
      </c>
      <c r="S459" s="4">
        <f t="shared" si="231"/>
        <v>0</v>
      </c>
      <c r="T459" s="13">
        <f t="shared" si="241"/>
        <v>652.39300000000003</v>
      </c>
      <c r="U459" s="13">
        <f t="shared" si="250"/>
        <v>326.19650000000001</v>
      </c>
      <c r="V459" s="14">
        <f>U459/C459</f>
        <v>0.35000000000000003</v>
      </c>
      <c r="W459" s="14"/>
      <c r="X459" s="19">
        <f t="shared" si="232"/>
        <v>326.19650000000001</v>
      </c>
      <c r="Y459" s="19">
        <f t="shared" si="233"/>
        <v>652.39300000000003</v>
      </c>
      <c r="Z459" s="15" t="e">
        <f t="shared" si="239"/>
        <v>#DIV/0!</v>
      </c>
      <c r="AA459" s="22" t="s">
        <v>2372</v>
      </c>
      <c r="AG459" s="94" t="s">
        <v>1169</v>
      </c>
      <c r="AH459" s="89" t="str">
        <f>VLOOKUP(AG459,Sheet1!$B$3:$D$36,2,FALSE)</f>
        <v>Decors</v>
      </c>
      <c r="AI459" s="89" t="s">
        <v>2263</v>
      </c>
      <c r="AJ459" s="1" t="str">
        <f t="shared" si="242"/>
        <v>Elevate no mud XL</v>
      </c>
      <c r="AK459" s="1" t="str">
        <f t="shared" si="243"/>
        <v>d130 x h143</v>
      </c>
      <c r="AL459" s="1" t="str">
        <f t="shared" si="244"/>
        <v>kubu grey indoor</v>
      </c>
      <c r="AM459" s="1" t="str">
        <f t="shared" si="245"/>
        <v>kubu grey indoor</v>
      </c>
      <c r="AN459" s="1" t="str">
        <f t="shared" si="251"/>
        <v xml:space="preserve">kubu grey </v>
      </c>
      <c r="AO459" s="1" t="s">
        <v>54</v>
      </c>
      <c r="AQ459" s="1" t="str">
        <f t="shared" si="246"/>
        <v>B</v>
      </c>
      <c r="AR459" s="1" t="str">
        <f>VLOOKUP(TRIM(AI459),Sheet1!$D$3:$E$36,2,FALSE)</f>
        <v>08</v>
      </c>
      <c r="AS459" s="90" t="str">
        <f t="shared" si="247"/>
        <v>01</v>
      </c>
      <c r="AT459" s="1" t="str">
        <f t="shared" si="248"/>
        <v>01</v>
      </c>
      <c r="AU459" s="90" t="s">
        <v>1198</v>
      </c>
      <c r="AV459" s="90"/>
      <c r="AW459" s="90"/>
      <c r="AX459" s="95" t="str">
        <f>AQ459&amp;AR459&amp;AS459&amp;"-"&amp;AT459&amp;AU459&amp;BA459</f>
        <v>B0801-0107IND</v>
      </c>
      <c r="AY459" s="99" t="str">
        <f>AQ459&amp;AR459&amp;AS459&amp;"-"&amp;AT459&amp;BA459</f>
        <v>B0801-01IND</v>
      </c>
      <c r="AZ459" s="90"/>
      <c r="BA459" s="1" t="str">
        <f t="shared" si="249"/>
        <v>IND</v>
      </c>
      <c r="BC459" s="1">
        <f t="shared" si="227"/>
        <v>1</v>
      </c>
      <c r="BD459" s="90">
        <f t="shared" si="228"/>
        <v>1</v>
      </c>
      <c r="BE459" s="1">
        <f t="shared" si="215"/>
        <v>1</v>
      </c>
      <c r="BF459" s="1">
        <f t="shared" si="216"/>
        <v>1</v>
      </c>
      <c r="BI459"/>
      <c r="BJ459"/>
      <c r="BL459"/>
    </row>
    <row r="460" spans="1:64" ht="11.25" customHeight="1">
      <c r="A460" s="26" t="s">
        <v>2373</v>
      </c>
      <c r="B460" s="27" t="s">
        <v>2356</v>
      </c>
      <c r="C460" s="28">
        <v>2222.9899999999998</v>
      </c>
      <c r="D460" s="28">
        <f t="shared" si="240"/>
        <v>1111.4949999999999</v>
      </c>
      <c r="E460" s="22" t="s">
        <v>2257</v>
      </c>
      <c r="F460" s="22" t="s">
        <v>2374</v>
      </c>
      <c r="G460" s="22" t="s">
        <v>2375</v>
      </c>
      <c r="H460" s="22" t="s">
        <v>2353</v>
      </c>
      <c r="I460" s="23" t="s">
        <v>2310</v>
      </c>
      <c r="J460" s="22" t="s">
        <v>646</v>
      </c>
      <c r="L460" s="23">
        <v>220</v>
      </c>
      <c r="M460" s="23">
        <v>240</v>
      </c>
      <c r="N460" s="3">
        <f t="shared" si="252"/>
        <v>11.616</v>
      </c>
      <c r="O460" s="4" t="e">
        <f>(C460-(C460*#REF!))-((C460-(C460*#REF!))*#REF!)</f>
        <v>#REF!</v>
      </c>
      <c r="P460" s="7"/>
      <c r="Q460" s="7"/>
      <c r="R460" s="5">
        <f t="shared" si="230"/>
        <v>0</v>
      </c>
      <c r="S460" s="4">
        <f t="shared" si="231"/>
        <v>0</v>
      </c>
      <c r="T460" s="13">
        <f t="shared" si="241"/>
        <v>1556.0929999999998</v>
      </c>
      <c r="U460" s="13">
        <f t="shared" si="250"/>
        <v>778.04649999999992</v>
      </c>
      <c r="V460" s="14">
        <f>U460/C460</f>
        <v>0.35</v>
      </c>
      <c r="W460" s="14"/>
      <c r="X460" s="19">
        <f t="shared" si="232"/>
        <v>778.04649999999992</v>
      </c>
      <c r="Y460" s="19">
        <f t="shared" si="233"/>
        <v>1556.0929999999998</v>
      </c>
      <c r="Z460" s="15" t="e">
        <f t="shared" si="239"/>
        <v>#DIV/0!</v>
      </c>
      <c r="AA460" s="22" t="s">
        <v>2376</v>
      </c>
      <c r="AG460" s="94" t="s">
        <v>1169</v>
      </c>
      <c r="AH460" s="89" t="str">
        <f>VLOOKUP(AG460,Sheet1!$B$3:$D$36,2,FALSE)</f>
        <v>Decors</v>
      </c>
      <c r="AI460" s="89" t="s">
        <v>2263</v>
      </c>
      <c r="AJ460" s="1" t="str">
        <f t="shared" si="242"/>
        <v>Elevate no mud 2XL</v>
      </c>
      <c r="AK460" s="1" t="str">
        <f t="shared" si="243"/>
        <v>d220 x h240</v>
      </c>
      <c r="AL460" s="1" t="str">
        <f t="shared" si="244"/>
        <v>kubu grey indoor</v>
      </c>
      <c r="AM460" s="1" t="str">
        <f t="shared" si="245"/>
        <v>kubu grey indoor</v>
      </c>
      <c r="AN460" s="1" t="str">
        <f t="shared" si="251"/>
        <v xml:space="preserve">kubu grey </v>
      </c>
      <c r="AO460" s="1" t="s">
        <v>54</v>
      </c>
      <c r="AQ460" s="1" t="str">
        <f t="shared" si="246"/>
        <v>B</v>
      </c>
      <c r="AR460" s="1" t="str">
        <f>VLOOKUP(TRIM(AI460),Sheet1!$D$3:$E$36,2,FALSE)</f>
        <v>08</v>
      </c>
      <c r="AS460" s="90" t="str">
        <f t="shared" si="247"/>
        <v>01</v>
      </c>
      <c r="AT460" s="1" t="str">
        <f t="shared" si="248"/>
        <v>01</v>
      </c>
      <c r="AU460" s="90" t="s">
        <v>1198</v>
      </c>
      <c r="AV460" s="90"/>
      <c r="AW460" s="90"/>
      <c r="AX460" s="95" t="str">
        <f>AQ460&amp;AR460&amp;AS460&amp;"-"&amp;AT460&amp;AU460&amp;BA460</f>
        <v>B0801-0107IND</v>
      </c>
      <c r="AY460" s="99" t="str">
        <f>AQ460&amp;AR460&amp;AS460&amp;"-"&amp;AT460&amp;BA460</f>
        <v>B0801-01IND</v>
      </c>
      <c r="AZ460" s="90"/>
      <c r="BA460" s="1" t="str">
        <f t="shared" si="249"/>
        <v>IND</v>
      </c>
      <c r="BC460" s="1">
        <f t="shared" si="227"/>
        <v>1</v>
      </c>
      <c r="BD460" s="90">
        <f t="shared" si="228"/>
        <v>1</v>
      </c>
      <c r="BE460" s="1">
        <f t="shared" si="215"/>
        <v>1</v>
      </c>
      <c r="BF460" s="1">
        <f t="shared" si="216"/>
        <v>1</v>
      </c>
      <c r="BI460"/>
      <c r="BJ460"/>
      <c r="BL460"/>
    </row>
    <row r="461" spans="1:64" ht="11.25" customHeight="1">
      <c r="A461" s="26" t="s">
        <v>2377</v>
      </c>
      <c r="B461" s="27" t="s">
        <v>2378</v>
      </c>
      <c r="C461" s="28">
        <v>109.99</v>
      </c>
      <c r="D461" s="28">
        <f t="shared" si="240"/>
        <v>54.994999999999997</v>
      </c>
      <c r="E461" s="22" t="s">
        <v>2257</v>
      </c>
      <c r="F461" s="22" t="s">
        <v>2379</v>
      </c>
      <c r="G461" s="22" t="s">
        <v>2380</v>
      </c>
      <c r="H461" s="22" t="s">
        <v>2381</v>
      </c>
      <c r="I461" s="23" t="s">
        <v>2382</v>
      </c>
      <c r="J461" s="22" t="s">
        <v>646</v>
      </c>
      <c r="L461" s="23">
        <v>50</v>
      </c>
      <c r="M461" s="23">
        <v>45</v>
      </c>
      <c r="N461" s="3">
        <f t="shared" si="252"/>
        <v>0.1125</v>
      </c>
      <c r="O461" s="4" t="e">
        <f>(C461-(C461*#REF!))-((C461-(C461*#REF!))*#REF!)</f>
        <v>#REF!</v>
      </c>
      <c r="P461" s="7"/>
      <c r="Q461" s="7"/>
      <c r="R461" s="5">
        <f t="shared" si="230"/>
        <v>0</v>
      </c>
      <c r="S461" s="4">
        <f t="shared" si="231"/>
        <v>0</v>
      </c>
      <c r="T461" s="13">
        <f t="shared" si="241"/>
        <v>76.992999999999995</v>
      </c>
      <c r="U461" s="13">
        <f t="shared" si="250"/>
        <v>38.496499999999997</v>
      </c>
      <c r="V461" s="14">
        <f>U461/C461</f>
        <v>0.35</v>
      </c>
      <c r="W461" s="14"/>
      <c r="X461" s="19">
        <f t="shared" si="232"/>
        <v>38.496499999999997</v>
      </c>
      <c r="Y461" s="19">
        <f t="shared" si="233"/>
        <v>76.992999999999995</v>
      </c>
      <c r="Z461" s="15" t="e">
        <f t="shared" si="239"/>
        <v>#DIV/0!</v>
      </c>
      <c r="AA461" s="22" t="s">
        <v>2383</v>
      </c>
      <c r="AG461" s="94" t="s">
        <v>1169</v>
      </c>
      <c r="AH461" s="89" t="str">
        <f>VLOOKUP(AG461,Sheet1!$B$3:$D$36,2,FALSE)</f>
        <v>Decors</v>
      </c>
      <c r="AI461" s="89" t="s">
        <v>2263</v>
      </c>
      <c r="AJ461" s="1" t="str">
        <f t="shared" si="242"/>
        <v>Illumination Lamp H</v>
      </c>
      <c r="AK461" s="1" t="str">
        <f t="shared" si="243"/>
        <v>d50 x h45</v>
      </c>
      <c r="AL461" s="1" t="str">
        <f t="shared" si="244"/>
        <v>old iron indoor</v>
      </c>
      <c r="AM461" s="1" t="str">
        <f t="shared" si="245"/>
        <v>old iron indoor</v>
      </c>
      <c r="AN461" s="1" t="str">
        <f t="shared" si="251"/>
        <v xml:space="preserve">old iron </v>
      </c>
      <c r="AO461" s="1" t="s">
        <v>54</v>
      </c>
      <c r="AQ461" s="1" t="str">
        <f t="shared" si="246"/>
        <v>B</v>
      </c>
      <c r="AR461" s="1" t="str">
        <f>VLOOKUP(TRIM(AI461),Sheet1!$D$3:$E$36,2,FALSE)</f>
        <v>08</v>
      </c>
      <c r="AS461" s="90" t="str">
        <f t="shared" si="247"/>
        <v>01</v>
      </c>
      <c r="AT461" s="1" t="str">
        <f t="shared" si="248"/>
        <v>01</v>
      </c>
      <c r="AU461" s="90" t="s">
        <v>2384</v>
      </c>
      <c r="AV461" s="90"/>
      <c r="AW461" s="90"/>
      <c r="AX461" s="95" t="str">
        <f>AQ461&amp;AR461&amp;AS461&amp;"-"&amp;AT461&amp;AU461&amp;BA461</f>
        <v>B0801-0112IND</v>
      </c>
      <c r="AY461" s="99" t="str">
        <f>AQ461&amp;AR461&amp;AS461&amp;"-"&amp;AT461&amp;BA461</f>
        <v>B0801-01IND</v>
      </c>
      <c r="AZ461" s="90"/>
      <c r="BA461" s="1" t="str">
        <f t="shared" si="249"/>
        <v>IND</v>
      </c>
      <c r="BC461" s="1">
        <f t="shared" si="227"/>
        <v>1</v>
      </c>
      <c r="BD461" s="90">
        <f t="shared" si="228"/>
        <v>1</v>
      </c>
      <c r="BE461" s="1">
        <f t="shared" ref="BE461:BE524" si="253">IF(AK460&lt;&gt;AK461,1,"")</f>
        <v>1</v>
      </c>
      <c r="BF461" s="1">
        <f t="shared" ref="BF461:BF524" si="254">IF(BE461=1,1,BF460+1)</f>
        <v>1</v>
      </c>
      <c r="BI461"/>
      <c r="BJ461"/>
      <c r="BL461"/>
    </row>
    <row r="462" spans="1:64" ht="11.25" customHeight="1">
      <c r="A462" s="26" t="s">
        <v>2385</v>
      </c>
      <c r="B462" s="27" t="s">
        <v>2378</v>
      </c>
      <c r="C462" s="28">
        <v>129.99</v>
      </c>
      <c r="D462" s="28">
        <f t="shared" si="240"/>
        <v>64.995000000000005</v>
      </c>
      <c r="E462" s="22" t="s">
        <v>2257</v>
      </c>
      <c r="F462" s="22" t="s">
        <v>2386</v>
      </c>
      <c r="G462" s="22" t="s">
        <v>2387</v>
      </c>
      <c r="H462" s="22" t="s">
        <v>2388</v>
      </c>
      <c r="I462" s="23" t="s">
        <v>2382</v>
      </c>
      <c r="J462" s="22" t="s">
        <v>646</v>
      </c>
      <c r="L462" s="23">
        <v>50</v>
      </c>
      <c r="M462" s="23">
        <v>85</v>
      </c>
      <c r="N462" s="3">
        <f t="shared" si="252"/>
        <v>0.21249999999999999</v>
      </c>
      <c r="O462" s="4" t="e">
        <f>(C462-(C462*#REF!))-((C462-(C462*#REF!))*#REF!)</f>
        <v>#REF!</v>
      </c>
      <c r="P462" s="7"/>
      <c r="Q462" s="7"/>
      <c r="R462" s="5">
        <f t="shared" si="230"/>
        <v>0</v>
      </c>
      <c r="S462" s="4">
        <f t="shared" si="231"/>
        <v>0</v>
      </c>
      <c r="T462" s="13">
        <f t="shared" si="241"/>
        <v>90.993000000000009</v>
      </c>
      <c r="U462" s="13">
        <f t="shared" si="250"/>
        <v>45.496500000000005</v>
      </c>
      <c r="V462" s="14">
        <f>U462/C462</f>
        <v>0.35000000000000003</v>
      </c>
      <c r="W462" s="14"/>
      <c r="X462" s="19">
        <f t="shared" si="232"/>
        <v>45.496500000000005</v>
      </c>
      <c r="Y462" s="19">
        <f t="shared" si="233"/>
        <v>90.993000000000009</v>
      </c>
      <c r="Z462" s="15" t="e">
        <f t="shared" si="239"/>
        <v>#DIV/0!</v>
      </c>
      <c r="AA462" s="22" t="s">
        <v>2389</v>
      </c>
      <c r="AG462" s="94" t="s">
        <v>1169</v>
      </c>
      <c r="AH462" s="89" t="str">
        <f>VLOOKUP(AG462,Sheet1!$B$3:$D$36,2,FALSE)</f>
        <v>Decors</v>
      </c>
      <c r="AI462" s="89" t="s">
        <v>2263</v>
      </c>
      <c r="AJ462" s="1" t="str">
        <f t="shared" si="242"/>
        <v>Illumination Lamp</v>
      </c>
      <c r="AK462" s="1" t="str">
        <f t="shared" si="243"/>
        <v>d50 x h85</v>
      </c>
      <c r="AL462" s="1" t="str">
        <f t="shared" si="244"/>
        <v>old iron indoor</v>
      </c>
      <c r="AM462" s="1" t="str">
        <f t="shared" si="245"/>
        <v>old iron indoor</v>
      </c>
      <c r="AN462" s="1" t="str">
        <f t="shared" si="251"/>
        <v xml:space="preserve">old iron </v>
      </c>
      <c r="AO462" s="1" t="s">
        <v>54</v>
      </c>
      <c r="AQ462" s="1" t="str">
        <f t="shared" si="246"/>
        <v>B</v>
      </c>
      <c r="AR462" s="1" t="str">
        <f>VLOOKUP(TRIM(AI462),Sheet1!$D$3:$E$36,2,FALSE)</f>
        <v>08</v>
      </c>
      <c r="AS462" s="90" t="str">
        <f t="shared" si="247"/>
        <v>01</v>
      </c>
      <c r="AT462" s="1" t="str">
        <f t="shared" si="248"/>
        <v>01</v>
      </c>
      <c r="AU462" s="90" t="s">
        <v>2384</v>
      </c>
      <c r="AV462" s="90"/>
      <c r="AW462" s="90"/>
      <c r="AX462" s="95" t="str">
        <f>AQ462&amp;AR462&amp;AS462&amp;"-"&amp;AT462&amp;AU462&amp;BA462</f>
        <v>B0801-0112IND</v>
      </c>
      <c r="AY462" s="99" t="str">
        <f>AQ462&amp;AR462&amp;AS462&amp;"-"&amp;AT462&amp;BA462</f>
        <v>B0801-01IND</v>
      </c>
      <c r="AZ462" s="90"/>
      <c r="BA462" s="1" t="str">
        <f t="shared" si="249"/>
        <v>IND</v>
      </c>
      <c r="BC462" s="1">
        <f t="shared" si="227"/>
        <v>1</v>
      </c>
      <c r="BD462" s="90">
        <f t="shared" si="228"/>
        <v>1</v>
      </c>
      <c r="BE462" s="1">
        <f t="shared" si="253"/>
        <v>1</v>
      </c>
      <c r="BF462" s="1">
        <f t="shared" si="254"/>
        <v>1</v>
      </c>
      <c r="BI462"/>
      <c r="BJ462"/>
      <c r="BL462"/>
    </row>
    <row r="463" spans="1:64" ht="11.25" customHeight="1">
      <c r="A463" s="26" t="s">
        <v>2390</v>
      </c>
      <c r="B463" s="27" t="s">
        <v>2391</v>
      </c>
      <c r="C463" s="28">
        <v>134.99</v>
      </c>
      <c r="D463" s="28">
        <f t="shared" si="240"/>
        <v>67.495000000000005</v>
      </c>
      <c r="E463" s="22" t="s">
        <v>2257</v>
      </c>
      <c r="F463" s="22" t="s">
        <v>2392</v>
      </c>
      <c r="G463" s="22" t="s">
        <v>2393</v>
      </c>
      <c r="H463" s="22" t="s">
        <v>2394</v>
      </c>
      <c r="I463" s="23" t="s">
        <v>2395</v>
      </c>
      <c r="J463" s="22" t="s">
        <v>646</v>
      </c>
      <c r="L463" s="23">
        <v>10</v>
      </c>
      <c r="M463" s="23">
        <v>86</v>
      </c>
      <c r="N463" s="3">
        <f t="shared" si="252"/>
        <v>8.6E-3</v>
      </c>
      <c r="O463" s="4" t="e">
        <f>(C463-(C463*#REF!))-((C463-(C463*#REF!))*#REF!)</f>
        <v>#REF!</v>
      </c>
      <c r="P463" s="7"/>
      <c r="Q463" s="7"/>
      <c r="R463" s="5">
        <f t="shared" si="230"/>
        <v>0</v>
      </c>
      <c r="S463" s="4">
        <f t="shared" si="231"/>
        <v>0</v>
      </c>
      <c r="T463" s="13">
        <f t="shared" si="241"/>
        <v>94.493000000000009</v>
      </c>
      <c r="U463" s="13">
        <f t="shared" si="250"/>
        <v>47.246500000000005</v>
      </c>
      <c r="V463" s="14">
        <f>U463/C463</f>
        <v>0.35000000000000003</v>
      </c>
      <c r="W463" s="14"/>
      <c r="X463" s="19">
        <f t="shared" si="232"/>
        <v>47.246500000000005</v>
      </c>
      <c r="Y463" s="19">
        <f t="shared" si="233"/>
        <v>94.493000000000009</v>
      </c>
      <c r="Z463" s="15" t="e">
        <f t="shared" si="239"/>
        <v>#DIV/0!</v>
      </c>
      <c r="AA463" s="22" t="s">
        <v>2396</v>
      </c>
      <c r="AG463" s="94" t="s">
        <v>1169</v>
      </c>
      <c r="AH463" s="89" t="str">
        <f>VLOOKUP(AG463,Sheet1!$B$3:$D$36,2,FALSE)</f>
        <v>Decors</v>
      </c>
      <c r="AI463" s="89" t="s">
        <v>2263</v>
      </c>
      <c r="AJ463" s="1" t="str">
        <f t="shared" si="242"/>
        <v>Starlight 86</v>
      </c>
      <c r="AK463" s="1" t="str">
        <f t="shared" si="243"/>
        <v>d10 x h86</v>
      </c>
      <c r="AL463" s="1" t="str">
        <f t="shared" si="244"/>
        <v>teak branch indoor</v>
      </c>
      <c r="AM463" s="1" t="str">
        <f t="shared" si="245"/>
        <v>teak branch indoor</v>
      </c>
      <c r="AN463" s="1" t="str">
        <f t="shared" si="251"/>
        <v xml:space="preserve">teak branch </v>
      </c>
      <c r="AO463" s="1" t="s">
        <v>54</v>
      </c>
      <c r="AQ463" s="1" t="str">
        <f t="shared" si="246"/>
        <v>B</v>
      </c>
      <c r="AR463" s="1" t="str">
        <f>VLOOKUP(TRIM(AI463),Sheet1!$D$3:$E$36,2,FALSE)</f>
        <v>08</v>
      </c>
      <c r="AS463" s="90" t="str">
        <f t="shared" si="247"/>
        <v>01</v>
      </c>
      <c r="AT463" s="1" t="str">
        <f t="shared" si="248"/>
        <v>01</v>
      </c>
      <c r="AU463" s="90" t="s">
        <v>664</v>
      </c>
      <c r="AV463" s="90"/>
      <c r="AW463" s="90"/>
      <c r="AX463" s="95" t="str">
        <f>AQ463&amp;AR463&amp;AS463&amp;"-"&amp;AT463&amp;AU463&amp;BA463</f>
        <v>B0801-0127IND</v>
      </c>
      <c r="AY463" s="99" t="str">
        <f>AQ463&amp;AR463&amp;AS463&amp;"-"&amp;AT463&amp;BA463</f>
        <v>B0801-01IND</v>
      </c>
      <c r="AZ463" s="90"/>
      <c r="BA463" s="1" t="str">
        <f t="shared" si="249"/>
        <v>IND</v>
      </c>
      <c r="BC463" s="1">
        <f t="shared" si="227"/>
        <v>1</v>
      </c>
      <c r="BD463" s="90">
        <f t="shared" si="228"/>
        <v>1</v>
      </c>
      <c r="BE463" s="1">
        <f t="shared" si="253"/>
        <v>1</v>
      </c>
      <c r="BF463" s="1">
        <f t="shared" si="254"/>
        <v>1</v>
      </c>
      <c r="BI463"/>
      <c r="BJ463"/>
      <c r="BL463"/>
    </row>
    <row r="464" spans="1:64" ht="11.25" customHeight="1">
      <c r="A464" s="26" t="s">
        <v>2397</v>
      </c>
      <c r="B464" s="27" t="s">
        <v>2391</v>
      </c>
      <c r="C464" s="28">
        <v>119.99</v>
      </c>
      <c r="D464" s="28">
        <f t="shared" si="240"/>
        <v>59.994999999999997</v>
      </c>
      <c r="E464" s="22" t="s">
        <v>2257</v>
      </c>
      <c r="F464" s="22" t="s">
        <v>2398</v>
      </c>
      <c r="G464" s="22" t="s">
        <v>2399</v>
      </c>
      <c r="H464" s="22" t="s">
        <v>2400</v>
      </c>
      <c r="I464" s="23" t="s">
        <v>2395</v>
      </c>
      <c r="J464" s="22" t="s">
        <v>646</v>
      </c>
      <c r="L464" s="23">
        <v>10</v>
      </c>
      <c r="M464" s="23">
        <v>42</v>
      </c>
      <c r="N464" s="3">
        <f t="shared" si="252"/>
        <v>4.1999999999999997E-3</v>
      </c>
      <c r="O464" s="4" t="e">
        <f>(C464-(C464*#REF!))-((C464-(C464*#REF!))*#REF!)</f>
        <v>#REF!</v>
      </c>
      <c r="P464" s="7"/>
      <c r="Q464" s="7"/>
      <c r="R464" s="5">
        <f t="shared" si="230"/>
        <v>0</v>
      </c>
      <c r="S464" s="4">
        <f t="shared" si="231"/>
        <v>0</v>
      </c>
      <c r="T464" s="13">
        <f t="shared" si="241"/>
        <v>83.992999999999995</v>
      </c>
      <c r="U464" s="13">
        <f t="shared" si="250"/>
        <v>41.996499999999997</v>
      </c>
      <c r="V464" s="14">
        <f>U464/C464</f>
        <v>0.35</v>
      </c>
      <c r="W464" s="14"/>
      <c r="X464" s="19">
        <f t="shared" si="232"/>
        <v>41.996499999999997</v>
      </c>
      <c r="Y464" s="19">
        <f t="shared" si="233"/>
        <v>83.992999999999995</v>
      </c>
      <c r="Z464" s="15" t="e">
        <f t="shared" si="239"/>
        <v>#DIV/0!</v>
      </c>
      <c r="AA464" s="22" t="s">
        <v>2401</v>
      </c>
      <c r="AG464" s="94" t="s">
        <v>1169</v>
      </c>
      <c r="AH464" s="89" t="str">
        <f>VLOOKUP(AG464,Sheet1!$B$3:$D$36,2,FALSE)</f>
        <v>Decors</v>
      </c>
      <c r="AI464" s="89" t="s">
        <v>2263</v>
      </c>
      <c r="AJ464" s="1" t="str">
        <f t="shared" si="242"/>
        <v>Starlight 42</v>
      </c>
      <c r="AK464" s="1" t="str">
        <f t="shared" si="243"/>
        <v>d10 x h42</v>
      </c>
      <c r="AL464" s="1" t="str">
        <f t="shared" si="244"/>
        <v>teak branch indoor</v>
      </c>
      <c r="AM464" s="1" t="str">
        <f t="shared" si="245"/>
        <v>teak branch indoor</v>
      </c>
      <c r="AN464" s="1" t="str">
        <f t="shared" si="251"/>
        <v xml:space="preserve">teak branch </v>
      </c>
      <c r="AO464" s="1" t="s">
        <v>54</v>
      </c>
      <c r="AQ464" s="1" t="str">
        <f t="shared" si="246"/>
        <v>B</v>
      </c>
      <c r="AR464" s="1" t="str">
        <f>VLOOKUP(TRIM(AI464),Sheet1!$D$3:$E$36,2,FALSE)</f>
        <v>08</v>
      </c>
      <c r="AS464" s="90" t="str">
        <f t="shared" si="247"/>
        <v>01</v>
      </c>
      <c r="AT464" s="1" t="str">
        <f t="shared" si="248"/>
        <v>01</v>
      </c>
      <c r="AU464" s="90" t="s">
        <v>664</v>
      </c>
      <c r="AV464" s="90"/>
      <c r="AW464" s="90"/>
      <c r="AX464" s="95" t="str">
        <f>AQ464&amp;AR464&amp;AS464&amp;"-"&amp;AT464&amp;AU464&amp;BA464</f>
        <v>B0801-0127IND</v>
      </c>
      <c r="AY464" s="99" t="str">
        <f>AQ464&amp;AR464&amp;AS464&amp;"-"&amp;AT464&amp;BA464</f>
        <v>B0801-01IND</v>
      </c>
      <c r="AZ464" s="90"/>
      <c r="BA464" s="1" t="str">
        <f t="shared" si="249"/>
        <v>IND</v>
      </c>
      <c r="BC464" s="1">
        <f t="shared" si="227"/>
        <v>1</v>
      </c>
      <c r="BD464" s="90">
        <f t="shared" si="228"/>
        <v>1</v>
      </c>
      <c r="BE464" s="1">
        <f t="shared" si="253"/>
        <v>1</v>
      </c>
      <c r="BF464" s="1">
        <f t="shared" si="254"/>
        <v>1</v>
      </c>
      <c r="BI464"/>
      <c r="BJ464"/>
      <c r="BL464"/>
    </row>
    <row r="465" spans="1:64" ht="11.25" customHeight="1">
      <c r="A465" s="26" t="s">
        <v>2402</v>
      </c>
      <c r="B465" s="27" t="s">
        <v>2403</v>
      </c>
      <c r="C465" s="28">
        <v>234.99</v>
      </c>
      <c r="D465" s="28">
        <f t="shared" si="240"/>
        <v>117.495</v>
      </c>
      <c r="E465" s="22" t="s">
        <v>2257</v>
      </c>
      <c r="F465" s="22" t="s">
        <v>2404</v>
      </c>
      <c r="G465" s="22" t="s">
        <v>2405</v>
      </c>
      <c r="H465" s="22" t="s">
        <v>2406</v>
      </c>
      <c r="I465" s="25" t="s">
        <v>2407</v>
      </c>
      <c r="J465" s="22" t="s">
        <v>50</v>
      </c>
      <c r="L465" s="23">
        <v>12</v>
      </c>
      <c r="M465" s="23">
        <v>38</v>
      </c>
      <c r="N465" s="3">
        <f t="shared" si="252"/>
        <v>5.4720000000000003E-3</v>
      </c>
      <c r="O465" s="4" t="e">
        <f>(C465-(C465*#REF!))-((C465-(C465*#REF!))*#REF!)</f>
        <v>#REF!</v>
      </c>
      <c r="P465" s="7">
        <v>757416.11919624161</v>
      </c>
      <c r="Q465" s="7">
        <v>0</v>
      </c>
      <c r="R465" s="5">
        <f t="shared" si="230"/>
        <v>757416.11919624161</v>
      </c>
      <c r="S465" s="4">
        <f t="shared" si="231"/>
        <v>50.494407946416104</v>
      </c>
      <c r="T465" s="13">
        <f t="shared" si="241"/>
        <v>164.49299999999999</v>
      </c>
      <c r="U465" s="13">
        <f t="shared" si="250"/>
        <v>82.246499999999997</v>
      </c>
      <c r="V465" s="14">
        <f>U465/C465</f>
        <v>0.35</v>
      </c>
      <c r="W465" s="18">
        <f>S465*$W$1</f>
        <v>100.98881589283221</v>
      </c>
      <c r="X465" s="19">
        <f t="shared" si="232"/>
        <v>100.98881589283221</v>
      </c>
      <c r="Y465" s="19">
        <f t="shared" si="233"/>
        <v>201.97763178566441</v>
      </c>
      <c r="Z465" s="15">
        <v>2</v>
      </c>
      <c r="AA465" s="22" t="s">
        <v>2408</v>
      </c>
      <c r="AG465" s="94" t="s">
        <v>1169</v>
      </c>
      <c r="AH465" s="89" t="str">
        <f>VLOOKUP(AG465,Sheet1!$B$3:$D$36,2,FALSE)</f>
        <v>Decors</v>
      </c>
      <c r="AI465" s="89" t="s">
        <v>2263</v>
      </c>
      <c r="AJ465" s="1" t="str">
        <f t="shared" si="242"/>
        <v>Elegance Black 12</v>
      </c>
      <c r="AK465" s="1" t="str">
        <f t="shared" si="243"/>
        <v>d12 x h38</v>
      </c>
      <c r="AL465" s="1" t="str">
        <f t="shared" si="244"/>
        <v>teak root indoor</v>
      </c>
      <c r="AM465" s="1" t="str">
        <f t="shared" si="245"/>
        <v>teak root indoor</v>
      </c>
      <c r="AN465" s="1" t="str">
        <f t="shared" si="251"/>
        <v xml:space="preserve">teak root </v>
      </c>
      <c r="AO465" s="1" t="s">
        <v>54</v>
      </c>
      <c r="AQ465" s="1" t="str">
        <f t="shared" si="246"/>
        <v>B</v>
      </c>
      <c r="AR465" s="1" t="str">
        <f>VLOOKUP(TRIM(AI465),Sheet1!$D$3:$E$36,2,FALSE)</f>
        <v>08</v>
      </c>
      <c r="AS465" s="90" t="str">
        <f t="shared" si="247"/>
        <v>01</v>
      </c>
      <c r="AT465" s="1" t="str">
        <f t="shared" si="248"/>
        <v>01</v>
      </c>
      <c r="AU465" s="90" t="s">
        <v>648</v>
      </c>
      <c r="AV465" s="90"/>
      <c r="AW465" s="90"/>
      <c r="AX465" s="95" t="str">
        <f>AQ465&amp;AR465&amp;AS465&amp;"-"&amp;AT465&amp;AU465&amp;BA465</f>
        <v>B0801-0132IND</v>
      </c>
      <c r="AY465" s="99" t="str">
        <f>AQ465&amp;AR465&amp;AS465&amp;"-"&amp;AT465&amp;BA465</f>
        <v>B0801-01IND</v>
      </c>
      <c r="AZ465" s="90"/>
      <c r="BA465" s="1" t="str">
        <f t="shared" si="249"/>
        <v>IND</v>
      </c>
      <c r="BC465" s="1">
        <f t="shared" si="227"/>
        <v>1</v>
      </c>
      <c r="BD465" s="90">
        <f t="shared" si="228"/>
        <v>1</v>
      </c>
      <c r="BE465" s="1">
        <f t="shared" si="253"/>
        <v>1</v>
      </c>
      <c r="BF465" s="1">
        <f t="shared" si="254"/>
        <v>1</v>
      </c>
      <c r="BI465"/>
      <c r="BJ465"/>
      <c r="BL465"/>
    </row>
    <row r="466" spans="1:64" ht="11.25" customHeight="1">
      <c r="A466" s="26" t="s">
        <v>2409</v>
      </c>
      <c r="B466" s="27" t="s">
        <v>2403</v>
      </c>
      <c r="C466" s="28">
        <v>289.99</v>
      </c>
      <c r="D466" s="28">
        <f t="shared" si="240"/>
        <v>144.995</v>
      </c>
      <c r="E466" s="22" t="s">
        <v>2257</v>
      </c>
      <c r="F466" s="22" t="s">
        <v>2410</v>
      </c>
      <c r="G466" s="22" t="s">
        <v>2411</v>
      </c>
      <c r="H466" s="22" t="s">
        <v>2412</v>
      </c>
      <c r="I466" s="25" t="s">
        <v>2407</v>
      </c>
      <c r="J466" s="22" t="s">
        <v>646</v>
      </c>
      <c r="L466" s="23">
        <v>15</v>
      </c>
      <c r="M466" s="23">
        <v>64</v>
      </c>
      <c r="N466" s="3">
        <f t="shared" si="252"/>
        <v>1.44E-2</v>
      </c>
      <c r="O466" s="4" t="e">
        <f>(C466-(C466*#REF!))-((C466-(C466*#REF!))*#REF!)</f>
        <v>#REF!</v>
      </c>
      <c r="P466" s="7"/>
      <c r="Q466" s="7"/>
      <c r="R466" s="5">
        <f t="shared" si="230"/>
        <v>0</v>
      </c>
      <c r="S466" s="4">
        <f t="shared" si="231"/>
        <v>0</v>
      </c>
      <c r="T466" s="13">
        <f t="shared" si="241"/>
        <v>202.99299999999999</v>
      </c>
      <c r="U466" s="13">
        <f t="shared" si="250"/>
        <v>101.4965</v>
      </c>
      <c r="V466" s="14">
        <f>U466/C466</f>
        <v>0.35</v>
      </c>
      <c r="W466" s="14"/>
      <c r="X466" s="19">
        <f t="shared" si="232"/>
        <v>101.4965</v>
      </c>
      <c r="Y466" s="19">
        <f t="shared" si="233"/>
        <v>202.99299999999999</v>
      </c>
      <c r="Z466" s="15" t="e">
        <f>U466/S466</f>
        <v>#DIV/0!</v>
      </c>
      <c r="AA466" s="22" t="s">
        <v>2413</v>
      </c>
      <c r="AG466" s="94" t="s">
        <v>1169</v>
      </c>
      <c r="AH466" s="89" t="str">
        <f>VLOOKUP(AG466,Sheet1!$B$3:$D$36,2,FALSE)</f>
        <v>Decors</v>
      </c>
      <c r="AI466" s="89" t="s">
        <v>2263</v>
      </c>
      <c r="AJ466" s="1" t="str">
        <f t="shared" si="242"/>
        <v>Elegance Black 15</v>
      </c>
      <c r="AK466" s="1" t="str">
        <f t="shared" si="243"/>
        <v>d15 x h64</v>
      </c>
      <c r="AL466" s="1" t="str">
        <f t="shared" si="244"/>
        <v>teak root indoor</v>
      </c>
      <c r="AM466" s="1" t="str">
        <f t="shared" si="245"/>
        <v>teak root indoor</v>
      </c>
      <c r="AN466" s="1" t="str">
        <f t="shared" si="251"/>
        <v xml:space="preserve">teak root </v>
      </c>
      <c r="AO466" s="1" t="s">
        <v>54</v>
      </c>
      <c r="AQ466" s="1" t="str">
        <f t="shared" si="246"/>
        <v>B</v>
      </c>
      <c r="AR466" s="1" t="str">
        <f>VLOOKUP(TRIM(AI466),Sheet1!$D$3:$E$36,2,FALSE)</f>
        <v>08</v>
      </c>
      <c r="AS466" s="90" t="str">
        <f t="shared" si="247"/>
        <v>01</v>
      </c>
      <c r="AT466" s="1" t="str">
        <f t="shared" si="248"/>
        <v>01</v>
      </c>
      <c r="AU466" s="90" t="s">
        <v>648</v>
      </c>
      <c r="AV466" s="90"/>
      <c r="AW466" s="90"/>
      <c r="AX466" s="95" t="str">
        <f>AQ466&amp;AR466&amp;AS466&amp;"-"&amp;AT466&amp;AU466&amp;BA466</f>
        <v>B0801-0132IND</v>
      </c>
      <c r="AY466" s="99" t="str">
        <f>AQ466&amp;AR466&amp;AS466&amp;"-"&amp;AT466&amp;BA466</f>
        <v>B0801-01IND</v>
      </c>
      <c r="AZ466" s="90"/>
      <c r="BA466" s="1" t="str">
        <f t="shared" si="249"/>
        <v>IND</v>
      </c>
      <c r="BC466" s="1">
        <f t="shared" si="227"/>
        <v>1</v>
      </c>
      <c r="BD466" s="90">
        <f t="shared" si="228"/>
        <v>1</v>
      </c>
      <c r="BE466" s="1">
        <f t="shared" si="253"/>
        <v>1</v>
      </c>
      <c r="BF466" s="1">
        <f t="shared" si="254"/>
        <v>1</v>
      </c>
      <c r="BI466"/>
      <c r="BJ466"/>
      <c r="BL466"/>
    </row>
    <row r="467" spans="1:64" ht="11.25" customHeight="1">
      <c r="A467" s="26" t="s">
        <v>2414</v>
      </c>
      <c r="B467" s="27" t="s">
        <v>2415</v>
      </c>
      <c r="C467" s="28">
        <v>282.99</v>
      </c>
      <c r="D467" s="28">
        <f t="shared" si="240"/>
        <v>141.495</v>
      </c>
      <c r="E467" s="22" t="s">
        <v>2257</v>
      </c>
      <c r="F467" s="22" t="s">
        <v>2416</v>
      </c>
      <c r="G467" s="22" t="s">
        <v>2417</v>
      </c>
      <c r="H467" s="22" t="s">
        <v>2418</v>
      </c>
      <c r="I467" s="23" t="s">
        <v>2419</v>
      </c>
      <c r="J467" s="22" t="s">
        <v>646</v>
      </c>
      <c r="K467" s="23">
        <v>26</v>
      </c>
      <c r="L467" s="23">
        <v>26</v>
      </c>
      <c r="M467" s="23">
        <v>54</v>
      </c>
      <c r="N467" s="3">
        <f t="shared" si="252"/>
        <v>3.6504000000000002E-2</v>
      </c>
      <c r="O467" s="4" t="e">
        <f>(C467-(C467*#REF!))-((C467-(C467*#REF!))*#REF!)</f>
        <v>#REF!</v>
      </c>
      <c r="P467" s="7">
        <f>1259528.3388413-Q467</f>
        <v>159528.33884129999</v>
      </c>
      <c r="Q467" s="7">
        <v>1100000</v>
      </c>
      <c r="R467" s="5">
        <f t="shared" si="230"/>
        <v>1259528.3388413</v>
      </c>
      <c r="S467" s="4">
        <f t="shared" si="231"/>
        <v>83.968555922753339</v>
      </c>
      <c r="T467" s="13">
        <f t="shared" si="241"/>
        <v>198.09300000000002</v>
      </c>
      <c r="U467" s="13">
        <f t="shared" si="250"/>
        <v>99.046500000000009</v>
      </c>
      <c r="V467" s="14">
        <f>U467/C467</f>
        <v>0.35000000000000003</v>
      </c>
      <c r="W467" s="18">
        <f>S467*1.65</f>
        <v>138.54811727254301</v>
      </c>
      <c r="X467" s="19">
        <f t="shared" si="232"/>
        <v>138.54811727254301</v>
      </c>
      <c r="Y467" s="19">
        <f t="shared" si="233"/>
        <v>277.09623454508602</v>
      </c>
      <c r="Z467" s="15">
        <v>2</v>
      </c>
      <c r="AA467" s="22" t="s">
        <v>2420</v>
      </c>
      <c r="AG467" s="94" t="s">
        <v>1169</v>
      </c>
      <c r="AH467" s="89" t="str">
        <f>VLOOKUP(AG467,Sheet1!$B$3:$D$36,2,FALSE)</f>
        <v>Decors</v>
      </c>
      <c r="AI467" s="89" t="s">
        <v>2263</v>
      </c>
      <c r="AJ467" s="1" t="str">
        <f t="shared" si="242"/>
        <v>Brilliance Copper Lamp</v>
      </c>
      <c r="AK467" s="1" t="str">
        <f t="shared" si="243"/>
        <v>w26 x d26 x h54</v>
      </c>
      <c r="AL467" s="1" t="str">
        <f t="shared" si="244"/>
        <v>lavastone &amp; copper indoor</v>
      </c>
      <c r="AM467" s="1" t="str">
        <f t="shared" si="245"/>
        <v>lavastone &amp; copper indoor</v>
      </c>
      <c r="AN467" s="1" t="str">
        <f t="shared" si="251"/>
        <v xml:space="preserve">lavastone &amp; copper </v>
      </c>
      <c r="AO467" s="1" t="s">
        <v>54</v>
      </c>
      <c r="AQ467" s="1" t="str">
        <f t="shared" si="246"/>
        <v>B</v>
      </c>
      <c r="AR467" s="1" t="str">
        <f>VLOOKUP(TRIM(AI467),Sheet1!$D$3:$E$36,2,FALSE)</f>
        <v>08</v>
      </c>
      <c r="AS467" s="90" t="str">
        <f t="shared" si="247"/>
        <v>01</v>
      </c>
      <c r="AT467" s="1" t="str">
        <f t="shared" si="248"/>
        <v>01</v>
      </c>
      <c r="AU467" s="90" t="s">
        <v>823</v>
      </c>
      <c r="AV467" s="90"/>
      <c r="AW467" s="90"/>
      <c r="AX467" s="95" t="str">
        <f>AQ467&amp;AR467&amp;AS467&amp;"-"&amp;AT467&amp;AU467&amp;BA467</f>
        <v>B0801-0108IND</v>
      </c>
      <c r="AY467" s="99" t="str">
        <f>AQ467&amp;AR467&amp;AS467&amp;"-"&amp;AT467&amp;BA467</f>
        <v>B0801-01IND</v>
      </c>
      <c r="AZ467" s="90"/>
      <c r="BA467" s="1" t="str">
        <f t="shared" si="249"/>
        <v>IND</v>
      </c>
      <c r="BC467" s="1">
        <f t="shared" si="227"/>
        <v>1</v>
      </c>
      <c r="BD467" s="90">
        <f t="shared" si="228"/>
        <v>1</v>
      </c>
      <c r="BE467" s="1">
        <f t="shared" si="253"/>
        <v>1</v>
      </c>
      <c r="BF467" s="1">
        <f t="shared" si="254"/>
        <v>1</v>
      </c>
      <c r="BI467"/>
      <c r="BJ467"/>
      <c r="BL467"/>
    </row>
    <row r="468" spans="1:64" ht="11.25" customHeight="1">
      <c r="A468" s="26" t="s">
        <v>2421</v>
      </c>
      <c r="B468" s="27" t="s">
        <v>2422</v>
      </c>
      <c r="C468" s="28">
        <v>115.99</v>
      </c>
      <c r="D468" s="28">
        <f t="shared" si="240"/>
        <v>57.994999999999997</v>
      </c>
      <c r="E468" s="22" t="s">
        <v>2257</v>
      </c>
      <c r="F468" s="22" t="s">
        <v>2423</v>
      </c>
      <c r="G468" s="22" t="s">
        <v>2424</v>
      </c>
      <c r="H468" s="22" t="s">
        <v>2425</v>
      </c>
      <c r="I468" s="23" t="s">
        <v>2407</v>
      </c>
      <c r="J468" s="22" t="s">
        <v>646</v>
      </c>
      <c r="L468" s="23">
        <v>8</v>
      </c>
      <c r="M468" s="23">
        <v>40</v>
      </c>
      <c r="N468" s="3">
        <f t="shared" si="252"/>
        <v>2.5600000000000002E-3</v>
      </c>
      <c r="O468" s="4" t="e">
        <f>(C468-(C468*#REF!))-((C468-(C468*#REF!))*#REF!)</f>
        <v>#REF!</v>
      </c>
      <c r="P468" s="7"/>
      <c r="Q468" s="7"/>
      <c r="R468" s="5">
        <f t="shared" si="230"/>
        <v>0</v>
      </c>
      <c r="S468" s="4">
        <f t="shared" si="231"/>
        <v>0</v>
      </c>
      <c r="T468" s="13">
        <f t="shared" si="241"/>
        <v>81.192999999999998</v>
      </c>
      <c r="U468" s="13">
        <f t="shared" si="250"/>
        <v>40.596499999999999</v>
      </c>
      <c r="V468" s="14">
        <f>U468/C468</f>
        <v>0.35000000000000003</v>
      </c>
      <c r="W468" s="14"/>
      <c r="X468" s="19">
        <f t="shared" si="232"/>
        <v>40.596499999999999</v>
      </c>
      <c r="Y468" s="19">
        <f t="shared" si="233"/>
        <v>81.192999999999998</v>
      </c>
      <c r="Z468" s="15" t="e">
        <f t="shared" ref="Z468:Z489" si="255">U468/S468</f>
        <v>#DIV/0!</v>
      </c>
      <c r="AA468" s="22" t="s">
        <v>2426</v>
      </c>
      <c r="AG468" s="94" t="s">
        <v>1169</v>
      </c>
      <c r="AH468" s="89" t="str">
        <f>VLOOKUP(AG468,Sheet1!$B$3:$D$36,2,FALSE)</f>
        <v>Decors</v>
      </c>
      <c r="AI468" s="89" t="s">
        <v>2263</v>
      </c>
      <c r="AJ468" s="1" t="str">
        <f t="shared" si="242"/>
        <v>Luminance wood lamp 40</v>
      </c>
      <c r="AK468" s="1" t="str">
        <f t="shared" si="243"/>
        <v>d8 x h40</v>
      </c>
      <c r="AL468" s="1" t="str">
        <f t="shared" si="244"/>
        <v>teak root indoor</v>
      </c>
      <c r="AM468" s="1" t="str">
        <f t="shared" si="245"/>
        <v>teak root indoor</v>
      </c>
      <c r="AN468" s="1" t="str">
        <f t="shared" si="251"/>
        <v xml:space="preserve">teak root </v>
      </c>
      <c r="AO468" s="1" t="s">
        <v>54</v>
      </c>
      <c r="AQ468" s="1" t="str">
        <f t="shared" si="246"/>
        <v>B</v>
      </c>
      <c r="AR468" s="1" t="str">
        <f>VLOOKUP(TRIM(AI468),Sheet1!$D$3:$E$36,2,FALSE)</f>
        <v>08</v>
      </c>
      <c r="AS468" s="90" t="str">
        <f t="shared" si="247"/>
        <v>01</v>
      </c>
      <c r="AT468" s="1" t="str">
        <f t="shared" si="248"/>
        <v>01</v>
      </c>
      <c r="AU468" s="90" t="s">
        <v>648</v>
      </c>
      <c r="AV468" s="90"/>
      <c r="AW468" s="90"/>
      <c r="AX468" s="95" t="str">
        <f>AQ468&amp;AR468&amp;AS468&amp;"-"&amp;AT468&amp;AU468&amp;BA468</f>
        <v>B0801-0132IND</v>
      </c>
      <c r="AY468" s="99" t="str">
        <f>AQ468&amp;AR468&amp;AS468&amp;"-"&amp;AT468&amp;BA468</f>
        <v>B0801-01IND</v>
      </c>
      <c r="AZ468" s="90"/>
      <c r="BA468" s="1" t="str">
        <f t="shared" si="249"/>
        <v>IND</v>
      </c>
      <c r="BC468" s="1">
        <f t="shared" si="227"/>
        <v>1</v>
      </c>
      <c r="BD468" s="90">
        <f t="shared" si="228"/>
        <v>1</v>
      </c>
      <c r="BE468" s="1">
        <f t="shared" si="253"/>
        <v>1</v>
      </c>
      <c r="BF468" s="1">
        <f t="shared" si="254"/>
        <v>1</v>
      </c>
      <c r="BI468"/>
      <c r="BJ468"/>
      <c r="BL468"/>
    </row>
    <row r="469" spans="1:64" ht="11.25" customHeight="1">
      <c r="A469" s="26" t="s">
        <v>2427</v>
      </c>
      <c r="B469" s="27" t="s">
        <v>2422</v>
      </c>
      <c r="C469" s="28">
        <v>130.99</v>
      </c>
      <c r="D469" s="28">
        <f t="shared" si="240"/>
        <v>65.495000000000005</v>
      </c>
      <c r="E469" s="22" t="s">
        <v>2257</v>
      </c>
      <c r="F469" s="22" t="s">
        <v>2428</v>
      </c>
      <c r="G469" s="22" t="s">
        <v>2429</v>
      </c>
      <c r="H469" s="22" t="s">
        <v>2430</v>
      </c>
      <c r="I469" s="23" t="s">
        <v>2407</v>
      </c>
      <c r="J469" s="22" t="s">
        <v>646</v>
      </c>
      <c r="L469" s="23">
        <v>8</v>
      </c>
      <c r="M469" s="23">
        <v>60</v>
      </c>
      <c r="N469" s="3">
        <f t="shared" si="252"/>
        <v>3.8400000000000001E-3</v>
      </c>
      <c r="O469" s="4" t="e">
        <f>(C469-(C469*#REF!))-((C469-(C469*#REF!))*#REF!)</f>
        <v>#REF!</v>
      </c>
      <c r="P469" s="7"/>
      <c r="Q469" s="7"/>
      <c r="R469" s="5">
        <f t="shared" si="230"/>
        <v>0</v>
      </c>
      <c r="S469" s="4">
        <f t="shared" si="231"/>
        <v>0</v>
      </c>
      <c r="T469" s="13">
        <f t="shared" si="241"/>
        <v>91.693000000000012</v>
      </c>
      <c r="U469" s="13">
        <f t="shared" si="250"/>
        <v>45.846500000000006</v>
      </c>
      <c r="V469" s="14">
        <f>U469/C469</f>
        <v>0.35000000000000003</v>
      </c>
      <c r="W469" s="14"/>
      <c r="X469" s="19">
        <f t="shared" si="232"/>
        <v>45.846500000000006</v>
      </c>
      <c r="Y469" s="19">
        <f t="shared" si="233"/>
        <v>91.693000000000012</v>
      </c>
      <c r="Z469" s="15" t="e">
        <f t="shared" si="255"/>
        <v>#DIV/0!</v>
      </c>
      <c r="AA469" s="22" t="s">
        <v>2431</v>
      </c>
      <c r="AG469" s="94" t="s">
        <v>1169</v>
      </c>
      <c r="AH469" s="89" t="str">
        <f>VLOOKUP(AG469,Sheet1!$B$3:$D$36,2,FALSE)</f>
        <v>Decors</v>
      </c>
      <c r="AI469" s="89" t="s">
        <v>2263</v>
      </c>
      <c r="AJ469" s="1" t="str">
        <f t="shared" si="242"/>
        <v>Luminance wood lamp 60</v>
      </c>
      <c r="AK469" s="1" t="str">
        <f t="shared" si="243"/>
        <v>d8 x h60</v>
      </c>
      <c r="AL469" s="1" t="str">
        <f t="shared" si="244"/>
        <v>teak root indoor</v>
      </c>
      <c r="AM469" s="1" t="str">
        <f t="shared" si="245"/>
        <v>teak root indoor</v>
      </c>
      <c r="AN469" s="1" t="str">
        <f t="shared" si="251"/>
        <v xml:space="preserve">teak root </v>
      </c>
      <c r="AO469" s="1" t="s">
        <v>54</v>
      </c>
      <c r="AQ469" s="1" t="str">
        <f t="shared" si="246"/>
        <v>B</v>
      </c>
      <c r="AR469" s="1" t="str">
        <f>VLOOKUP(TRIM(AI469),Sheet1!$D$3:$E$36,2,FALSE)</f>
        <v>08</v>
      </c>
      <c r="AS469" s="90" t="str">
        <f t="shared" si="247"/>
        <v>01</v>
      </c>
      <c r="AT469" s="1" t="str">
        <f t="shared" si="248"/>
        <v>01</v>
      </c>
      <c r="AU469" s="90" t="s">
        <v>648</v>
      </c>
      <c r="AV469" s="90"/>
      <c r="AW469" s="90"/>
      <c r="AX469" s="95" t="str">
        <f>AQ469&amp;AR469&amp;AS469&amp;"-"&amp;AT469&amp;AU469&amp;BA469</f>
        <v>B0801-0132IND</v>
      </c>
      <c r="AY469" s="99" t="str">
        <f>AQ469&amp;AR469&amp;AS469&amp;"-"&amp;AT469&amp;BA469</f>
        <v>B0801-01IND</v>
      </c>
      <c r="AZ469" s="90"/>
      <c r="BA469" s="1" t="str">
        <f t="shared" si="249"/>
        <v>IND</v>
      </c>
      <c r="BC469" s="1">
        <f t="shared" si="227"/>
        <v>1</v>
      </c>
      <c r="BD469" s="90">
        <f t="shared" si="228"/>
        <v>1</v>
      </c>
      <c r="BE469" s="1">
        <f t="shared" si="253"/>
        <v>1</v>
      </c>
      <c r="BF469" s="1">
        <f t="shared" si="254"/>
        <v>1</v>
      </c>
      <c r="BI469"/>
      <c r="BJ469"/>
      <c r="BL469"/>
    </row>
    <row r="470" spans="1:64" ht="11.25" customHeight="1">
      <c r="A470" s="26" t="s">
        <v>2432</v>
      </c>
      <c r="B470" s="27" t="s">
        <v>2422</v>
      </c>
      <c r="C470" s="28">
        <v>146.99</v>
      </c>
      <c r="D470" s="28">
        <f t="shared" si="240"/>
        <v>73.495000000000005</v>
      </c>
      <c r="E470" s="22" t="s">
        <v>2257</v>
      </c>
      <c r="F470" s="22" t="s">
        <v>2433</v>
      </c>
      <c r="G470" s="22" t="s">
        <v>2434</v>
      </c>
      <c r="H470" s="22" t="s">
        <v>2435</v>
      </c>
      <c r="I470" s="23" t="s">
        <v>2407</v>
      </c>
      <c r="J470" s="22" t="s">
        <v>646</v>
      </c>
      <c r="L470" s="23">
        <v>8</v>
      </c>
      <c r="M470" s="23">
        <v>80</v>
      </c>
      <c r="N470" s="3">
        <f t="shared" si="252"/>
        <v>5.1200000000000004E-3</v>
      </c>
      <c r="O470" s="4" t="e">
        <f>(C470-(C470*#REF!))-((C470-(C470*#REF!))*#REF!)</f>
        <v>#REF!</v>
      </c>
      <c r="P470" s="7"/>
      <c r="Q470" s="7"/>
      <c r="R470" s="5">
        <f t="shared" si="230"/>
        <v>0</v>
      </c>
      <c r="S470" s="4">
        <f t="shared" si="231"/>
        <v>0</v>
      </c>
      <c r="T470" s="13">
        <f t="shared" si="241"/>
        <v>102.893</v>
      </c>
      <c r="U470" s="13">
        <f t="shared" si="250"/>
        <v>51.4465</v>
      </c>
      <c r="V470" s="14">
        <f>U470/C470</f>
        <v>0.35</v>
      </c>
      <c r="W470" s="14"/>
      <c r="X470" s="19">
        <f t="shared" si="232"/>
        <v>51.4465</v>
      </c>
      <c r="Y470" s="19">
        <f t="shared" si="233"/>
        <v>102.893</v>
      </c>
      <c r="Z470" s="15" t="e">
        <f t="shared" si="255"/>
        <v>#DIV/0!</v>
      </c>
      <c r="AA470" s="22" t="s">
        <v>2436</v>
      </c>
      <c r="AG470" s="94" t="s">
        <v>1169</v>
      </c>
      <c r="AH470" s="89" t="str">
        <f>VLOOKUP(AG470,Sheet1!$B$3:$D$36,2,FALSE)</f>
        <v>Decors</v>
      </c>
      <c r="AI470" s="89" t="s">
        <v>2263</v>
      </c>
      <c r="AJ470" s="1" t="str">
        <f t="shared" si="242"/>
        <v>Luminance wood lamp 80</v>
      </c>
      <c r="AK470" s="1" t="str">
        <f t="shared" si="243"/>
        <v>d8 x h80</v>
      </c>
      <c r="AL470" s="1" t="str">
        <f t="shared" si="244"/>
        <v>teak root indoor</v>
      </c>
      <c r="AM470" s="1" t="str">
        <f t="shared" si="245"/>
        <v>teak root indoor</v>
      </c>
      <c r="AN470" s="1" t="str">
        <f t="shared" si="251"/>
        <v xml:space="preserve">teak root </v>
      </c>
      <c r="AO470" s="1" t="s">
        <v>54</v>
      </c>
      <c r="AQ470" s="1" t="str">
        <f t="shared" si="246"/>
        <v>B</v>
      </c>
      <c r="AR470" s="1" t="str">
        <f>VLOOKUP(TRIM(AI470),Sheet1!$D$3:$E$36,2,FALSE)</f>
        <v>08</v>
      </c>
      <c r="AS470" s="90" t="str">
        <f t="shared" si="247"/>
        <v>01</v>
      </c>
      <c r="AT470" s="1" t="str">
        <f t="shared" si="248"/>
        <v>01</v>
      </c>
      <c r="AU470" s="90" t="s">
        <v>648</v>
      </c>
      <c r="AV470" s="90"/>
      <c r="AW470" s="90"/>
      <c r="AX470" s="95" t="str">
        <f>AQ470&amp;AR470&amp;AS470&amp;"-"&amp;AT470&amp;AU470&amp;BA470</f>
        <v>B0801-0132IND</v>
      </c>
      <c r="AY470" s="99" t="str">
        <f>AQ470&amp;AR470&amp;AS470&amp;"-"&amp;AT470&amp;BA470</f>
        <v>B0801-01IND</v>
      </c>
      <c r="AZ470" s="90"/>
      <c r="BA470" s="1" t="str">
        <f t="shared" si="249"/>
        <v>IND</v>
      </c>
      <c r="BC470" s="1">
        <f t="shared" si="227"/>
        <v>1</v>
      </c>
      <c r="BD470" s="90">
        <f t="shared" si="228"/>
        <v>1</v>
      </c>
      <c r="BE470" s="1">
        <f t="shared" si="253"/>
        <v>1</v>
      </c>
      <c r="BF470" s="1">
        <f t="shared" si="254"/>
        <v>1</v>
      </c>
      <c r="BI470"/>
      <c r="BJ470"/>
      <c r="BL470"/>
    </row>
    <row r="471" spans="1:64" ht="11.25" customHeight="1">
      <c r="A471" s="26" t="s">
        <v>2437</v>
      </c>
      <c r="B471" s="27" t="s">
        <v>2422</v>
      </c>
      <c r="C471" s="28">
        <v>300.99</v>
      </c>
      <c r="D471" s="28">
        <f t="shared" si="240"/>
        <v>150.495</v>
      </c>
      <c r="E471" s="22" t="s">
        <v>2257</v>
      </c>
      <c r="F471" s="22" t="s">
        <v>2438</v>
      </c>
      <c r="G471" s="22" t="s">
        <v>2439</v>
      </c>
      <c r="H471" s="22" t="s">
        <v>2440</v>
      </c>
      <c r="I471" s="23" t="s">
        <v>2407</v>
      </c>
      <c r="J471" s="22" t="s">
        <v>646</v>
      </c>
      <c r="L471" s="23">
        <v>8</v>
      </c>
      <c r="M471" s="23">
        <v>170</v>
      </c>
      <c r="N471" s="3">
        <f>(IF(ISBLANK(K471),(L471*L471*M471),(K471*L471*M471)))/1000000</f>
        <v>1.0880000000000001E-2</v>
      </c>
      <c r="O471" s="4" t="e">
        <f>(C471-(C471*#REF!))-((C471-(C471*#REF!))*#REF!)</f>
        <v>#REF!</v>
      </c>
      <c r="P471" s="7"/>
      <c r="Q471" s="7"/>
      <c r="R471" s="5">
        <f t="shared" si="230"/>
        <v>0</v>
      </c>
      <c r="S471" s="4">
        <f t="shared" si="231"/>
        <v>0</v>
      </c>
      <c r="T471" s="13">
        <f t="shared" si="241"/>
        <v>210.69300000000001</v>
      </c>
      <c r="U471" s="13">
        <f t="shared" si="250"/>
        <v>105.34650000000001</v>
      </c>
      <c r="V471" s="14">
        <f>U471/C471</f>
        <v>0.35000000000000003</v>
      </c>
      <c r="W471" s="14"/>
      <c r="X471" s="19">
        <f t="shared" si="232"/>
        <v>105.34650000000001</v>
      </c>
      <c r="Y471" s="19">
        <f t="shared" si="233"/>
        <v>210.69300000000001</v>
      </c>
      <c r="Z471" s="15" t="e">
        <f t="shared" si="255"/>
        <v>#DIV/0!</v>
      </c>
      <c r="AA471" s="22" t="s">
        <v>2441</v>
      </c>
      <c r="AG471" s="94" t="s">
        <v>1169</v>
      </c>
      <c r="AH471" s="89" t="str">
        <f>VLOOKUP(AG471,Sheet1!$B$3:$D$36,2,FALSE)</f>
        <v>Decors</v>
      </c>
      <c r="AI471" s="89" t="s">
        <v>2263</v>
      </c>
      <c r="AJ471" s="1" t="str">
        <f t="shared" si="242"/>
        <v>Luminance wood lamp 170</v>
      </c>
      <c r="AK471" s="1" t="str">
        <f t="shared" si="243"/>
        <v>d8 x h170</v>
      </c>
      <c r="AL471" s="1" t="str">
        <f t="shared" si="244"/>
        <v>teak root indoor</v>
      </c>
      <c r="AM471" s="1" t="str">
        <f t="shared" si="245"/>
        <v>teak root indoor</v>
      </c>
      <c r="AN471" s="1" t="str">
        <f t="shared" si="251"/>
        <v xml:space="preserve">teak root </v>
      </c>
      <c r="AO471" s="1" t="s">
        <v>54</v>
      </c>
      <c r="AQ471" s="1" t="str">
        <f t="shared" si="246"/>
        <v>B</v>
      </c>
      <c r="AR471" s="1" t="str">
        <f>VLOOKUP(TRIM(AI471),Sheet1!$D$3:$E$36,2,FALSE)</f>
        <v>08</v>
      </c>
      <c r="AS471" s="90" t="str">
        <f t="shared" si="247"/>
        <v>01</v>
      </c>
      <c r="AT471" s="1" t="str">
        <f t="shared" si="248"/>
        <v>01</v>
      </c>
      <c r="AU471" s="90" t="s">
        <v>648</v>
      </c>
      <c r="AV471" s="90"/>
      <c r="AW471" s="90"/>
      <c r="AX471" s="95" t="str">
        <f>AQ471&amp;AR471&amp;AS471&amp;"-"&amp;AT471&amp;AU471&amp;BA471</f>
        <v>B0801-0132IND</v>
      </c>
      <c r="AY471" s="99" t="str">
        <f>AQ471&amp;AR471&amp;AS471&amp;"-"&amp;AT471&amp;BA471</f>
        <v>B0801-01IND</v>
      </c>
      <c r="AZ471" s="90"/>
      <c r="BA471" s="1" t="str">
        <f t="shared" si="249"/>
        <v>IND</v>
      </c>
      <c r="BC471" s="1">
        <f t="shared" si="227"/>
        <v>1</v>
      </c>
      <c r="BD471" s="90">
        <f t="shared" si="228"/>
        <v>1</v>
      </c>
      <c r="BE471" s="1">
        <f t="shared" si="253"/>
        <v>1</v>
      </c>
      <c r="BF471" s="1">
        <f t="shared" si="254"/>
        <v>1</v>
      </c>
      <c r="BI471"/>
      <c r="BJ471"/>
      <c r="BL471"/>
    </row>
    <row r="472" spans="1:64" ht="11.25" customHeight="1">
      <c r="A472" s="26" t="s">
        <v>2442</v>
      </c>
      <c r="B472" s="27" t="s">
        <v>2443</v>
      </c>
      <c r="C472" s="28">
        <v>197.99</v>
      </c>
      <c r="D472" s="28">
        <f t="shared" si="240"/>
        <v>98.995000000000005</v>
      </c>
      <c r="E472" s="22" t="s">
        <v>2257</v>
      </c>
      <c r="F472" s="22" t="s">
        <v>2444</v>
      </c>
      <c r="G472" s="22" t="s">
        <v>2445</v>
      </c>
      <c r="H472" s="22" t="s">
        <v>2191</v>
      </c>
      <c r="I472" s="23" t="s">
        <v>2192</v>
      </c>
      <c r="J472" s="22" t="s">
        <v>50</v>
      </c>
      <c r="L472" s="23">
        <v>13</v>
      </c>
      <c r="M472" s="23">
        <v>20</v>
      </c>
      <c r="N472" s="3">
        <f t="shared" si="252"/>
        <v>3.3800000000000002E-3</v>
      </c>
      <c r="O472" s="4" t="e">
        <f>(C472-(C472*#REF!))-((C472-(C472*#REF!))*#REF!)</f>
        <v>#REF!</v>
      </c>
      <c r="P472" s="7">
        <v>181252.62655334146</v>
      </c>
      <c r="Q472" s="7">
        <v>0</v>
      </c>
      <c r="R472" s="5">
        <f t="shared" si="230"/>
        <v>181252.62655334146</v>
      </c>
      <c r="S472" s="4">
        <f t="shared" si="231"/>
        <v>12.08350843688943</v>
      </c>
      <c r="T472" s="13">
        <f t="shared" si="241"/>
        <v>138.59300000000002</v>
      </c>
      <c r="U472" s="13">
        <f t="shared" si="250"/>
        <v>69.296500000000009</v>
      </c>
      <c r="V472" s="14">
        <f>U472/C472</f>
        <v>0.35000000000000003</v>
      </c>
      <c r="W472" s="14"/>
      <c r="X472" s="19">
        <f t="shared" si="232"/>
        <v>69.296500000000009</v>
      </c>
      <c r="Y472" s="19">
        <f t="shared" si="233"/>
        <v>138.59300000000002</v>
      </c>
      <c r="Z472" s="15">
        <f t="shared" si="255"/>
        <v>5.7347996537534183</v>
      </c>
      <c r="AA472" s="22" t="s">
        <v>2446</v>
      </c>
      <c r="AG472" s="94" t="s">
        <v>1169</v>
      </c>
      <c r="AH472" s="89" t="str">
        <f>VLOOKUP(AG472,Sheet1!$B$3:$D$36,2,FALSE)</f>
        <v>Decors</v>
      </c>
      <c r="AI472" s="89" t="s">
        <v>2263</v>
      </c>
      <c r="AJ472" s="1" t="str">
        <f t="shared" si="242"/>
        <v>Metal Lattice Lamp-R20</v>
      </c>
      <c r="AK472" s="1" t="str">
        <f t="shared" si="243"/>
        <v>d13 x h20</v>
      </c>
      <c r="AL472" s="1" t="str">
        <f t="shared" si="244"/>
        <v>rebar net &amp; reclaimed teak indoor</v>
      </c>
      <c r="AM472" s="1" t="str">
        <f t="shared" si="245"/>
        <v>rebar net &amp; reclaimed teak indoor</v>
      </c>
      <c r="AN472" s="1" t="str">
        <f t="shared" si="251"/>
        <v xml:space="preserve">rebar net &amp; reclaimed teak </v>
      </c>
      <c r="AO472" s="1" t="s">
        <v>54</v>
      </c>
      <c r="AQ472" s="1" t="str">
        <f t="shared" si="246"/>
        <v>B</v>
      </c>
      <c r="AR472" s="1" t="str">
        <f>VLOOKUP(TRIM(AI472),Sheet1!$D$3:$E$36,2,FALSE)</f>
        <v>08</v>
      </c>
      <c r="AS472" s="90" t="str">
        <f t="shared" si="247"/>
        <v>01</v>
      </c>
      <c r="AT472" s="1" t="str">
        <f t="shared" si="248"/>
        <v>01</v>
      </c>
      <c r="AU472" s="90" t="s">
        <v>1033</v>
      </c>
      <c r="AV472" s="90"/>
      <c r="AW472" s="90"/>
      <c r="AX472" s="95" t="str">
        <f>AQ472&amp;AR472&amp;AS472&amp;"-"&amp;AT472&amp;AU472&amp;BA472</f>
        <v>B0801-0117IND</v>
      </c>
      <c r="AY472" s="99" t="str">
        <f>AQ472&amp;AR472&amp;AS472&amp;"-"&amp;AT472&amp;BA472</f>
        <v>B0801-01IND</v>
      </c>
      <c r="AZ472" s="90"/>
      <c r="BA472" s="1" t="str">
        <f t="shared" si="249"/>
        <v>IND</v>
      </c>
      <c r="BC472" s="1">
        <f t="shared" si="227"/>
        <v>1</v>
      </c>
      <c r="BD472" s="90">
        <f t="shared" si="228"/>
        <v>1</v>
      </c>
      <c r="BE472" s="1">
        <f t="shared" si="253"/>
        <v>1</v>
      </c>
      <c r="BF472" s="1">
        <f t="shared" si="254"/>
        <v>1</v>
      </c>
      <c r="BI472"/>
      <c r="BJ472"/>
      <c r="BL472"/>
    </row>
    <row r="473" spans="1:64" ht="11.25" customHeight="1">
      <c r="A473" s="26" t="s">
        <v>2447</v>
      </c>
      <c r="B473" s="27" t="s">
        <v>2443</v>
      </c>
      <c r="C473" s="28">
        <v>211.99</v>
      </c>
      <c r="D473" s="28">
        <f t="shared" si="240"/>
        <v>105.995</v>
      </c>
      <c r="E473" s="22" t="s">
        <v>2257</v>
      </c>
      <c r="F473" s="22" t="s">
        <v>2448</v>
      </c>
      <c r="G473" s="22" t="s">
        <v>2449</v>
      </c>
      <c r="H473" s="22" t="s">
        <v>2198</v>
      </c>
      <c r="I473" s="23" t="s">
        <v>2192</v>
      </c>
      <c r="J473" s="22" t="s">
        <v>50</v>
      </c>
      <c r="L473" s="23">
        <v>13</v>
      </c>
      <c r="M473" s="23">
        <v>25</v>
      </c>
      <c r="N473" s="3">
        <f t="shared" si="252"/>
        <v>4.2249999999999996E-3</v>
      </c>
      <c r="O473" s="4" t="e">
        <f>(C473-(C473*#REF!))-((C473-(C473*#REF!))*#REF!)</f>
        <v>#REF!</v>
      </c>
      <c r="P473" s="7"/>
      <c r="Q473" s="7"/>
      <c r="R473" s="5">
        <f t="shared" si="230"/>
        <v>0</v>
      </c>
      <c r="S473" s="4">
        <f t="shared" si="231"/>
        <v>0</v>
      </c>
      <c r="T473" s="13">
        <f t="shared" si="241"/>
        <v>148.393</v>
      </c>
      <c r="U473" s="13">
        <f t="shared" si="250"/>
        <v>74.1965</v>
      </c>
      <c r="V473" s="14">
        <f>U473/C473</f>
        <v>0.35</v>
      </c>
      <c r="W473" s="14"/>
      <c r="X473" s="19">
        <f t="shared" si="232"/>
        <v>74.1965</v>
      </c>
      <c r="Y473" s="19">
        <f t="shared" si="233"/>
        <v>148.393</v>
      </c>
      <c r="Z473" s="15" t="e">
        <f t="shared" si="255"/>
        <v>#DIV/0!</v>
      </c>
      <c r="AA473" s="22" t="s">
        <v>2450</v>
      </c>
      <c r="AG473" s="94" t="s">
        <v>1169</v>
      </c>
      <c r="AH473" s="89" t="str">
        <f>VLOOKUP(AG473,Sheet1!$B$3:$D$36,2,FALSE)</f>
        <v>Decors</v>
      </c>
      <c r="AI473" s="89" t="s">
        <v>2263</v>
      </c>
      <c r="AJ473" s="1" t="str">
        <f t="shared" si="242"/>
        <v>Metal Lattice Lamp-R25</v>
      </c>
      <c r="AK473" s="1" t="str">
        <f t="shared" si="243"/>
        <v>d13 x h25</v>
      </c>
      <c r="AL473" s="1" t="str">
        <f t="shared" si="244"/>
        <v>rebar net &amp; reclaimed teak indoor</v>
      </c>
      <c r="AM473" s="1" t="str">
        <f t="shared" si="245"/>
        <v>rebar net &amp; reclaimed teak indoor</v>
      </c>
      <c r="AN473" s="1" t="str">
        <f t="shared" si="251"/>
        <v xml:space="preserve">rebar net &amp; reclaimed teak </v>
      </c>
      <c r="AO473" s="1" t="s">
        <v>54</v>
      </c>
      <c r="AQ473" s="1" t="str">
        <f t="shared" si="246"/>
        <v>B</v>
      </c>
      <c r="AR473" s="1" t="str">
        <f>VLOOKUP(TRIM(AI473),Sheet1!$D$3:$E$36,2,FALSE)</f>
        <v>08</v>
      </c>
      <c r="AS473" s="90" t="str">
        <f t="shared" si="247"/>
        <v>01</v>
      </c>
      <c r="AT473" s="1" t="str">
        <f t="shared" si="248"/>
        <v>01</v>
      </c>
      <c r="AU473" s="90" t="s">
        <v>1033</v>
      </c>
      <c r="AV473" s="90"/>
      <c r="AW473" s="90"/>
      <c r="AX473" s="95" t="str">
        <f>AQ473&amp;AR473&amp;AS473&amp;"-"&amp;AT473&amp;AU473&amp;BA473</f>
        <v>B0801-0117IND</v>
      </c>
      <c r="AY473" s="99" t="str">
        <f>AQ473&amp;AR473&amp;AS473&amp;"-"&amp;AT473&amp;BA473</f>
        <v>B0801-01IND</v>
      </c>
      <c r="AZ473" s="90"/>
      <c r="BA473" s="1" t="str">
        <f t="shared" si="249"/>
        <v>IND</v>
      </c>
      <c r="BC473" s="1">
        <f t="shared" si="227"/>
        <v>1</v>
      </c>
      <c r="BD473" s="90">
        <f t="shared" si="228"/>
        <v>1</v>
      </c>
      <c r="BE473" s="1">
        <f t="shared" si="253"/>
        <v>1</v>
      </c>
      <c r="BF473" s="1">
        <f t="shared" si="254"/>
        <v>1</v>
      </c>
      <c r="BI473"/>
      <c r="BJ473"/>
      <c r="BL473"/>
    </row>
    <row r="474" spans="1:64" ht="11.25" customHeight="1">
      <c r="A474" s="26" t="s">
        <v>2451</v>
      </c>
      <c r="B474" s="27" t="s">
        <v>2443</v>
      </c>
      <c r="C474" s="28">
        <v>221.99</v>
      </c>
      <c r="D474" s="28">
        <f t="shared" si="240"/>
        <v>110.995</v>
      </c>
      <c r="E474" s="22" t="s">
        <v>2257</v>
      </c>
      <c r="F474" s="22" t="s">
        <v>2452</v>
      </c>
      <c r="G474" s="22" t="s">
        <v>2453</v>
      </c>
      <c r="H474" s="22" t="s">
        <v>2203</v>
      </c>
      <c r="I474" s="23" t="s">
        <v>2192</v>
      </c>
      <c r="J474" s="22" t="s">
        <v>50</v>
      </c>
      <c r="L474" s="23">
        <v>13</v>
      </c>
      <c r="M474" s="23">
        <v>30</v>
      </c>
      <c r="N474" s="3">
        <f t="shared" si="252"/>
        <v>5.0699999999999999E-3</v>
      </c>
      <c r="O474" s="4" t="e">
        <f>(C474-(C474*#REF!))-((C474-(C474*#REF!))*#REF!)</f>
        <v>#REF!</v>
      </c>
      <c r="P474" s="7"/>
      <c r="Q474" s="7"/>
      <c r="R474" s="5">
        <f t="shared" si="230"/>
        <v>0</v>
      </c>
      <c r="S474" s="4">
        <f t="shared" si="231"/>
        <v>0</v>
      </c>
      <c r="T474" s="13">
        <f t="shared" si="241"/>
        <v>155.39300000000003</v>
      </c>
      <c r="U474" s="13">
        <f t="shared" si="250"/>
        <v>77.696500000000015</v>
      </c>
      <c r="V474" s="14">
        <f>U474/C474</f>
        <v>0.35000000000000003</v>
      </c>
      <c r="W474" s="14"/>
      <c r="X474" s="19">
        <f t="shared" si="232"/>
        <v>77.696500000000015</v>
      </c>
      <c r="Y474" s="19">
        <f t="shared" si="233"/>
        <v>155.39300000000003</v>
      </c>
      <c r="Z474" s="15" t="e">
        <f t="shared" si="255"/>
        <v>#DIV/0!</v>
      </c>
      <c r="AA474" s="22" t="s">
        <v>2454</v>
      </c>
      <c r="AG474" s="94" t="s">
        <v>1169</v>
      </c>
      <c r="AH474" s="89" t="str">
        <f>VLOOKUP(AG474,Sheet1!$B$3:$D$36,2,FALSE)</f>
        <v>Decors</v>
      </c>
      <c r="AI474" s="89" t="s">
        <v>2263</v>
      </c>
      <c r="AJ474" s="1" t="str">
        <f t="shared" si="242"/>
        <v>Metal Lattice Lamp-R30</v>
      </c>
      <c r="AK474" s="1" t="str">
        <f t="shared" si="243"/>
        <v>d13 x h30</v>
      </c>
      <c r="AL474" s="1" t="str">
        <f t="shared" si="244"/>
        <v>rebar net &amp; reclaimed teak indoor</v>
      </c>
      <c r="AM474" s="1" t="str">
        <f t="shared" si="245"/>
        <v>rebar net &amp; reclaimed teak indoor</v>
      </c>
      <c r="AN474" s="1" t="str">
        <f t="shared" si="251"/>
        <v xml:space="preserve">rebar net &amp; reclaimed teak </v>
      </c>
      <c r="AO474" s="1" t="s">
        <v>54</v>
      </c>
      <c r="AQ474" s="1" t="str">
        <f t="shared" si="246"/>
        <v>B</v>
      </c>
      <c r="AR474" s="1" t="str">
        <f>VLOOKUP(TRIM(AI474),Sheet1!$D$3:$E$36,2,FALSE)</f>
        <v>08</v>
      </c>
      <c r="AS474" s="90" t="str">
        <f t="shared" si="247"/>
        <v>01</v>
      </c>
      <c r="AT474" s="1" t="str">
        <f t="shared" si="248"/>
        <v>01</v>
      </c>
      <c r="AU474" s="90" t="s">
        <v>1033</v>
      </c>
      <c r="AV474" s="90"/>
      <c r="AW474" s="90"/>
      <c r="AX474" s="95" t="str">
        <f>AQ474&amp;AR474&amp;AS474&amp;"-"&amp;AT474&amp;AU474&amp;BA474</f>
        <v>B0801-0117IND</v>
      </c>
      <c r="AY474" s="99" t="str">
        <f>AQ474&amp;AR474&amp;AS474&amp;"-"&amp;AT474&amp;BA474</f>
        <v>B0801-01IND</v>
      </c>
      <c r="AZ474" s="90"/>
      <c r="BA474" s="1" t="str">
        <f t="shared" si="249"/>
        <v>IND</v>
      </c>
      <c r="BC474" s="1">
        <f t="shared" si="227"/>
        <v>1</v>
      </c>
      <c r="BD474" s="90">
        <f t="shared" si="228"/>
        <v>1</v>
      </c>
      <c r="BE474" s="1">
        <f t="shared" si="253"/>
        <v>1</v>
      </c>
      <c r="BF474" s="1">
        <f t="shared" si="254"/>
        <v>1</v>
      </c>
      <c r="BI474"/>
      <c r="BJ474"/>
      <c r="BL474"/>
    </row>
    <row r="475" spans="1:64" ht="11.25" customHeight="1">
      <c r="A475" s="26" t="s">
        <v>2455</v>
      </c>
      <c r="B475" s="27" t="s">
        <v>2456</v>
      </c>
      <c r="C475" s="28">
        <v>347.99</v>
      </c>
      <c r="D475" s="28">
        <f t="shared" si="240"/>
        <v>173.995</v>
      </c>
      <c r="E475" s="22" t="s">
        <v>2257</v>
      </c>
      <c r="F475" s="22" t="s">
        <v>2457</v>
      </c>
      <c r="G475" s="22" t="s">
        <v>2458</v>
      </c>
      <c r="H475" s="22" t="s">
        <v>2209</v>
      </c>
      <c r="I475" s="23" t="s">
        <v>2192</v>
      </c>
      <c r="J475" s="22" t="s">
        <v>50</v>
      </c>
      <c r="K475" s="23">
        <v>16</v>
      </c>
      <c r="L475" s="23">
        <v>16</v>
      </c>
      <c r="M475" s="23">
        <v>35</v>
      </c>
      <c r="N475" s="3">
        <f t="shared" si="252"/>
        <v>8.9599999999999992E-3</v>
      </c>
      <c r="O475" s="4" t="e">
        <f>(C475-(C475*#REF!))-((C475-(C475*#REF!))*#REF!)</f>
        <v>#REF!</v>
      </c>
      <c r="P475" s="7"/>
      <c r="Q475" s="7"/>
      <c r="R475" s="5">
        <f t="shared" si="230"/>
        <v>0</v>
      </c>
      <c r="S475" s="4">
        <f t="shared" si="231"/>
        <v>0</v>
      </c>
      <c r="T475" s="13">
        <f t="shared" si="241"/>
        <v>243.59300000000002</v>
      </c>
      <c r="U475" s="13">
        <f t="shared" si="250"/>
        <v>121.79650000000001</v>
      </c>
      <c r="V475" s="14">
        <f>U475/C475</f>
        <v>0.35000000000000003</v>
      </c>
      <c r="W475" s="14"/>
      <c r="X475" s="19">
        <f t="shared" si="232"/>
        <v>121.79650000000001</v>
      </c>
      <c r="Y475" s="19">
        <f t="shared" si="233"/>
        <v>243.59300000000002</v>
      </c>
      <c r="Z475" s="15" t="e">
        <f t="shared" si="255"/>
        <v>#DIV/0!</v>
      </c>
      <c r="AA475" s="22" t="s">
        <v>2459</v>
      </c>
      <c r="AG475" s="94" t="s">
        <v>1169</v>
      </c>
      <c r="AH475" s="89" t="str">
        <f>VLOOKUP(AG475,Sheet1!$B$3:$D$36,2,FALSE)</f>
        <v>Decors</v>
      </c>
      <c r="AI475" s="89" t="s">
        <v>2263</v>
      </c>
      <c r="AJ475" s="1" t="str">
        <f t="shared" si="242"/>
        <v>Metal Lattice Lamp-S35</v>
      </c>
      <c r="AK475" s="1" t="str">
        <f t="shared" si="243"/>
        <v>w16 x d16 x h35</v>
      </c>
      <c r="AL475" s="1" t="str">
        <f t="shared" si="244"/>
        <v>rebar net &amp; reclaimed teak indoor</v>
      </c>
      <c r="AM475" s="1" t="str">
        <f t="shared" si="245"/>
        <v>rebar net &amp; reclaimed teak indoor</v>
      </c>
      <c r="AN475" s="1" t="str">
        <f t="shared" si="251"/>
        <v xml:space="preserve">rebar net &amp; reclaimed teak </v>
      </c>
      <c r="AO475" s="1" t="s">
        <v>54</v>
      </c>
      <c r="AQ475" s="1" t="str">
        <f t="shared" si="246"/>
        <v>B</v>
      </c>
      <c r="AR475" s="1" t="str">
        <f>VLOOKUP(TRIM(AI475),Sheet1!$D$3:$E$36,2,FALSE)</f>
        <v>08</v>
      </c>
      <c r="AS475" s="90" t="str">
        <f t="shared" si="247"/>
        <v>01</v>
      </c>
      <c r="AT475" s="1" t="str">
        <f t="shared" si="248"/>
        <v>01</v>
      </c>
      <c r="AU475" s="90" t="s">
        <v>1033</v>
      </c>
      <c r="AV475" s="90"/>
      <c r="AW475" s="90"/>
      <c r="AX475" s="95" t="str">
        <f>AQ475&amp;AR475&amp;AS475&amp;"-"&amp;AT475&amp;AU475&amp;BA475</f>
        <v>B0801-0117IND</v>
      </c>
      <c r="AY475" s="99" t="str">
        <f>AQ475&amp;AR475&amp;AS475&amp;"-"&amp;AT475&amp;BA475</f>
        <v>B0801-01IND</v>
      </c>
      <c r="AZ475" s="90"/>
      <c r="BA475" s="1" t="str">
        <f t="shared" si="249"/>
        <v>IND</v>
      </c>
      <c r="BC475" s="1">
        <f t="shared" si="227"/>
        <v>1</v>
      </c>
      <c r="BD475" s="90">
        <f t="shared" si="228"/>
        <v>1</v>
      </c>
      <c r="BE475" s="1">
        <f t="shared" si="253"/>
        <v>1</v>
      </c>
      <c r="BF475" s="1">
        <f t="shared" si="254"/>
        <v>1</v>
      </c>
      <c r="BI475"/>
      <c r="BJ475"/>
      <c r="BL475"/>
    </row>
    <row r="476" spans="1:64" ht="11.25" customHeight="1">
      <c r="A476" s="26" t="s">
        <v>2460</v>
      </c>
      <c r="B476" s="27" t="s">
        <v>2456</v>
      </c>
      <c r="C476" s="28">
        <v>475.99</v>
      </c>
      <c r="D476" s="28">
        <f t="shared" si="240"/>
        <v>237.995</v>
      </c>
      <c r="E476" s="22" t="s">
        <v>2257</v>
      </c>
      <c r="F476" s="22" t="s">
        <v>2461</v>
      </c>
      <c r="G476" s="22" t="s">
        <v>2462</v>
      </c>
      <c r="H476" s="22" t="s">
        <v>2463</v>
      </c>
      <c r="I476" s="23" t="s">
        <v>2192</v>
      </c>
      <c r="J476" s="22" t="s">
        <v>50</v>
      </c>
      <c r="K476" s="23">
        <v>16</v>
      </c>
      <c r="L476" s="23">
        <v>16</v>
      </c>
      <c r="M476" s="23">
        <v>110</v>
      </c>
      <c r="N476" s="3">
        <f t="shared" si="252"/>
        <v>2.8160000000000001E-2</v>
      </c>
      <c r="O476" s="4" t="e">
        <f>(C476-(C476*#REF!))-((C476-(C476*#REF!))*#REF!)</f>
        <v>#REF!</v>
      </c>
      <c r="P476" s="7">
        <v>537194.8922901795</v>
      </c>
      <c r="Q476" s="7">
        <v>0</v>
      </c>
      <c r="R476" s="5">
        <f t="shared" si="230"/>
        <v>537194.8922901795</v>
      </c>
      <c r="S476" s="4">
        <f t="shared" si="231"/>
        <v>35.812992819345297</v>
      </c>
      <c r="T476" s="13">
        <f t="shared" si="241"/>
        <v>333.19299999999998</v>
      </c>
      <c r="U476" s="13">
        <f t="shared" si="250"/>
        <v>166.59649999999999</v>
      </c>
      <c r="V476" s="14">
        <f>U476/C476</f>
        <v>0.35</v>
      </c>
      <c r="W476" s="14"/>
      <c r="X476" s="19">
        <f t="shared" si="232"/>
        <v>166.59649999999999</v>
      </c>
      <c r="Y476" s="19">
        <f t="shared" si="233"/>
        <v>333.19299999999998</v>
      </c>
      <c r="Z476" s="15">
        <f t="shared" si="255"/>
        <v>4.6518452350625292</v>
      </c>
      <c r="AA476" s="22" t="s">
        <v>2464</v>
      </c>
      <c r="AG476" s="94" t="s">
        <v>1169</v>
      </c>
      <c r="AH476" s="89" t="str">
        <f>VLOOKUP(AG476,Sheet1!$B$3:$D$36,2,FALSE)</f>
        <v>Decors</v>
      </c>
      <c r="AI476" s="89" t="s">
        <v>2263</v>
      </c>
      <c r="AJ476" s="1" t="str">
        <f t="shared" si="242"/>
        <v>Metal Lattice Lamp-S110</v>
      </c>
      <c r="AK476" s="1" t="str">
        <f t="shared" si="243"/>
        <v>w16 x d16 x h110</v>
      </c>
      <c r="AL476" s="1" t="str">
        <f t="shared" si="244"/>
        <v>rebar net &amp; reclaimed teak indoor</v>
      </c>
      <c r="AM476" s="1" t="str">
        <f t="shared" si="245"/>
        <v>rebar net &amp; reclaimed teak indoor</v>
      </c>
      <c r="AN476" s="1" t="str">
        <f t="shared" si="251"/>
        <v xml:space="preserve">rebar net &amp; reclaimed teak </v>
      </c>
      <c r="AO476" s="1" t="s">
        <v>54</v>
      </c>
      <c r="AQ476" s="1" t="str">
        <f t="shared" si="246"/>
        <v>B</v>
      </c>
      <c r="AR476" s="1" t="str">
        <f>VLOOKUP(TRIM(AI476),Sheet1!$D$3:$E$36,2,FALSE)</f>
        <v>08</v>
      </c>
      <c r="AS476" s="90" t="str">
        <f t="shared" si="247"/>
        <v>01</v>
      </c>
      <c r="AT476" s="1" t="str">
        <f t="shared" si="248"/>
        <v>01</v>
      </c>
      <c r="AU476" s="90" t="s">
        <v>1033</v>
      </c>
      <c r="AV476" s="90"/>
      <c r="AW476" s="90"/>
      <c r="AX476" s="95" t="str">
        <f>AQ476&amp;AR476&amp;AS476&amp;"-"&amp;AT476&amp;AU476&amp;BA476</f>
        <v>B0801-0117IND</v>
      </c>
      <c r="AY476" s="99" t="str">
        <f>AQ476&amp;AR476&amp;AS476&amp;"-"&amp;AT476&amp;BA476</f>
        <v>B0801-01IND</v>
      </c>
      <c r="AZ476" s="90"/>
      <c r="BA476" s="1" t="str">
        <f t="shared" si="249"/>
        <v>IND</v>
      </c>
      <c r="BC476" s="1">
        <f t="shared" si="227"/>
        <v>1</v>
      </c>
      <c r="BD476" s="90">
        <f t="shared" si="228"/>
        <v>1</v>
      </c>
      <c r="BE476" s="1">
        <f t="shared" si="253"/>
        <v>1</v>
      </c>
      <c r="BF476" s="1">
        <f t="shared" si="254"/>
        <v>1</v>
      </c>
      <c r="BI476"/>
      <c r="BJ476"/>
      <c r="BL476"/>
    </row>
    <row r="477" spans="1:64" ht="11.25" customHeight="1">
      <c r="A477" s="26" t="s">
        <v>2465</v>
      </c>
      <c r="B477" s="27" t="s">
        <v>2456</v>
      </c>
      <c r="C477" s="28">
        <v>670.99</v>
      </c>
      <c r="D477" s="28">
        <f t="shared" si="240"/>
        <v>335.495</v>
      </c>
      <c r="E477" s="22" t="s">
        <v>2257</v>
      </c>
      <c r="F477" s="22" t="s">
        <v>2466</v>
      </c>
      <c r="G477" s="22" t="s">
        <v>2467</v>
      </c>
      <c r="H477" s="22" t="s">
        <v>2468</v>
      </c>
      <c r="I477" s="23" t="s">
        <v>2192</v>
      </c>
      <c r="J477" s="22" t="s">
        <v>50</v>
      </c>
      <c r="K477" s="23">
        <v>16</v>
      </c>
      <c r="L477" s="23">
        <v>16</v>
      </c>
      <c r="M477" s="23">
        <v>170</v>
      </c>
      <c r="N477" s="3">
        <f t="shared" si="252"/>
        <v>4.3520000000000003E-2</v>
      </c>
      <c r="O477" s="4" t="e">
        <f>(C477-(C477*#REF!))-((C477-(C477*#REF!))*#REF!)</f>
        <v>#REF!</v>
      </c>
      <c r="P477" s="7"/>
      <c r="Q477" s="7"/>
      <c r="R477" s="5">
        <f t="shared" si="230"/>
        <v>0</v>
      </c>
      <c r="S477" s="4">
        <f t="shared" si="231"/>
        <v>0</v>
      </c>
      <c r="T477" s="13">
        <f t="shared" si="241"/>
        <v>469.69299999999998</v>
      </c>
      <c r="U477" s="13">
        <f t="shared" si="250"/>
        <v>234.84649999999999</v>
      </c>
      <c r="V477" s="14">
        <f>U477/C477</f>
        <v>0.35</v>
      </c>
      <c r="W477" s="14"/>
      <c r="X477" s="19">
        <f t="shared" si="232"/>
        <v>234.84649999999999</v>
      </c>
      <c r="Y477" s="19">
        <f t="shared" si="233"/>
        <v>469.69299999999998</v>
      </c>
      <c r="Z477" s="15" t="e">
        <f t="shared" si="255"/>
        <v>#DIV/0!</v>
      </c>
      <c r="AA477" s="22" t="s">
        <v>2469</v>
      </c>
      <c r="AG477" s="94" t="s">
        <v>1169</v>
      </c>
      <c r="AH477" s="89" t="str">
        <f>VLOOKUP(AG477,Sheet1!$B$3:$D$36,2,FALSE)</f>
        <v>Decors</v>
      </c>
      <c r="AI477" s="89" t="s">
        <v>2263</v>
      </c>
      <c r="AJ477" s="1" t="str">
        <f t="shared" si="242"/>
        <v>Metal Lattice Lamp-S170</v>
      </c>
      <c r="AK477" s="1" t="str">
        <f t="shared" si="243"/>
        <v>w16 x d16 x h170</v>
      </c>
      <c r="AL477" s="1" t="str">
        <f t="shared" si="244"/>
        <v>rebar net &amp; reclaimed teak indoor</v>
      </c>
      <c r="AM477" s="1" t="str">
        <f t="shared" si="245"/>
        <v>rebar net &amp; reclaimed teak indoor</v>
      </c>
      <c r="AN477" s="1" t="str">
        <f t="shared" si="251"/>
        <v xml:space="preserve">rebar net &amp; reclaimed teak </v>
      </c>
      <c r="AO477" s="1" t="s">
        <v>54</v>
      </c>
      <c r="AQ477" s="1" t="str">
        <f t="shared" si="246"/>
        <v>B</v>
      </c>
      <c r="AR477" s="1" t="str">
        <f>VLOOKUP(TRIM(AI477),Sheet1!$D$3:$E$36,2,FALSE)</f>
        <v>08</v>
      </c>
      <c r="AS477" s="90" t="str">
        <f t="shared" si="247"/>
        <v>01</v>
      </c>
      <c r="AT477" s="1" t="str">
        <f t="shared" si="248"/>
        <v>01</v>
      </c>
      <c r="AU477" s="90" t="s">
        <v>1033</v>
      </c>
      <c r="AV477" s="90"/>
      <c r="AW477" s="90"/>
      <c r="AX477" s="95" t="str">
        <f>AQ477&amp;AR477&amp;AS477&amp;"-"&amp;AT477&amp;AU477&amp;BA477</f>
        <v>B0801-0117IND</v>
      </c>
      <c r="AY477" s="99" t="str">
        <f>AQ477&amp;AR477&amp;AS477&amp;"-"&amp;AT477&amp;BA477</f>
        <v>B0801-01IND</v>
      </c>
      <c r="AZ477" s="90"/>
      <c r="BA477" s="1" t="str">
        <f t="shared" si="249"/>
        <v>IND</v>
      </c>
      <c r="BC477" s="1">
        <f t="shared" si="227"/>
        <v>1</v>
      </c>
      <c r="BD477" s="90">
        <f t="shared" si="228"/>
        <v>1</v>
      </c>
      <c r="BE477" s="1">
        <f t="shared" si="253"/>
        <v>1</v>
      </c>
      <c r="BF477" s="1">
        <f t="shared" si="254"/>
        <v>1</v>
      </c>
      <c r="BI477"/>
      <c r="BJ477"/>
      <c r="BL477"/>
    </row>
    <row r="478" spans="1:64" ht="11.25" customHeight="1">
      <c r="A478" s="26" t="s">
        <v>2470</v>
      </c>
      <c r="B478" s="27" t="s">
        <v>2471</v>
      </c>
      <c r="D478" s="28">
        <f t="shared" si="240"/>
        <v>0</v>
      </c>
      <c r="E478" s="22" t="s">
        <v>2257</v>
      </c>
      <c r="F478" s="22" t="s">
        <v>2472</v>
      </c>
      <c r="G478" s="22" t="s">
        <v>2473</v>
      </c>
      <c r="H478" s="22" t="s">
        <v>2474</v>
      </c>
      <c r="I478" s="23" t="s">
        <v>2475</v>
      </c>
      <c r="J478" s="22" t="s">
        <v>50</v>
      </c>
      <c r="K478" s="23">
        <v>90</v>
      </c>
      <c r="L478" s="23">
        <v>90</v>
      </c>
      <c r="M478" s="23">
        <v>30</v>
      </c>
      <c r="N478" s="3">
        <f t="shared" si="252"/>
        <v>0.24299999999999999</v>
      </c>
      <c r="O478" s="4" t="e">
        <f>(C478-(C478*#REF!))-((C478-(C478*#REF!))*#REF!)</f>
        <v>#REF!</v>
      </c>
      <c r="P478" s="7"/>
      <c r="Q478" s="7"/>
      <c r="R478" s="5">
        <f t="shared" si="230"/>
        <v>0</v>
      </c>
      <c r="S478" s="4">
        <f t="shared" si="231"/>
        <v>0</v>
      </c>
      <c r="T478" s="13">
        <f t="shared" si="241"/>
        <v>0</v>
      </c>
      <c r="U478" s="13">
        <f t="shared" si="250"/>
        <v>0</v>
      </c>
      <c r="V478" s="14" t="e">
        <f>U478/C478</f>
        <v>#DIV/0!</v>
      </c>
      <c r="W478" s="14"/>
      <c r="X478" s="19">
        <f t="shared" si="232"/>
        <v>0</v>
      </c>
      <c r="Y478" s="19">
        <f t="shared" si="233"/>
        <v>0</v>
      </c>
      <c r="Z478" s="15" t="e">
        <f t="shared" si="255"/>
        <v>#DIV/0!</v>
      </c>
      <c r="AA478" s="22" t="s">
        <v>2476</v>
      </c>
      <c r="AG478" s="94" t="s">
        <v>1169</v>
      </c>
      <c r="AH478" s="89" t="str">
        <f>VLOOKUP(AG478,Sheet1!$B$3:$D$36,2,FALSE)</f>
        <v>Decors</v>
      </c>
      <c r="AI478" s="89" t="s">
        <v>2263</v>
      </c>
      <c r="AJ478" s="1" t="str">
        <f t="shared" si="242"/>
        <v>Beirut Luminance Lamp M</v>
      </c>
      <c r="AK478" s="1" t="str">
        <f t="shared" si="243"/>
        <v>w90 x d90 x h30</v>
      </c>
      <c r="AL478" s="1" t="str">
        <f t="shared" si="244"/>
        <v>stretched metal
Indoor</v>
      </c>
      <c r="AM478" s="1" t="str">
        <f t="shared" si="245"/>
        <v>stretched metal
Indoor</v>
      </c>
      <c r="AN478" s="1" t="str">
        <f t="shared" si="251"/>
        <v>stretched metal
Indoor</v>
      </c>
      <c r="AO478" s="1" t="s">
        <v>54</v>
      </c>
      <c r="AQ478" s="1" t="str">
        <f t="shared" si="246"/>
        <v>B</v>
      </c>
      <c r="AR478" s="1" t="str">
        <f>VLOOKUP(TRIM(AI478),Sheet1!$D$3:$E$36,2,FALSE)</f>
        <v>08</v>
      </c>
      <c r="AS478" s="90" t="str">
        <f t="shared" si="247"/>
        <v>01</v>
      </c>
      <c r="AT478" s="1" t="str">
        <f t="shared" si="248"/>
        <v>01</v>
      </c>
      <c r="AU478" s="90" t="s">
        <v>2477</v>
      </c>
      <c r="AV478" s="90"/>
      <c r="AW478" s="90"/>
      <c r="AX478" s="95" t="str">
        <f>AQ478&amp;AR478&amp;AS478&amp;"-"&amp;AT478&amp;AU478&amp;BA478</f>
        <v>B0801-0125IND</v>
      </c>
      <c r="AY478" s="99" t="str">
        <f>AQ478&amp;AR478&amp;AS478&amp;"-"&amp;AT478&amp;BA478</f>
        <v>B0801-01IND</v>
      </c>
      <c r="AZ478" s="90"/>
      <c r="BA478" s="1" t="str">
        <f t="shared" si="249"/>
        <v>IND</v>
      </c>
      <c r="BC478" s="1">
        <f t="shared" si="227"/>
        <v>1</v>
      </c>
      <c r="BD478" s="90">
        <f t="shared" si="228"/>
        <v>1</v>
      </c>
      <c r="BE478" s="1">
        <f t="shared" si="253"/>
        <v>1</v>
      </c>
      <c r="BF478" s="1">
        <f t="shared" si="254"/>
        <v>1</v>
      </c>
      <c r="BI478"/>
      <c r="BJ478"/>
      <c r="BL478"/>
    </row>
    <row r="479" spans="1:64" ht="11.25" customHeight="1">
      <c r="A479" s="26" t="s">
        <v>2478</v>
      </c>
      <c r="B479" s="27" t="s">
        <v>2471</v>
      </c>
      <c r="D479" s="28">
        <f t="shared" si="240"/>
        <v>0</v>
      </c>
      <c r="E479" s="22" t="s">
        <v>2257</v>
      </c>
      <c r="F479" s="22" t="s">
        <v>2479</v>
      </c>
      <c r="G479" s="22" t="s">
        <v>2480</v>
      </c>
      <c r="H479" s="22" t="s">
        <v>2481</v>
      </c>
      <c r="I479" s="23" t="s">
        <v>2475</v>
      </c>
      <c r="J479" s="22" t="s">
        <v>50</v>
      </c>
      <c r="K479" s="23">
        <v>125</v>
      </c>
      <c r="L479" s="23">
        <v>125</v>
      </c>
      <c r="M479" s="23">
        <v>4</v>
      </c>
      <c r="N479" s="3">
        <f t="shared" si="252"/>
        <v>6.25E-2</v>
      </c>
      <c r="O479" s="4" t="e">
        <f>(C479-(C479*#REF!))-((C479-(C479*#REF!))*#REF!)</f>
        <v>#REF!</v>
      </c>
      <c r="P479" s="7"/>
      <c r="Q479" s="7"/>
      <c r="R479" s="5">
        <f t="shared" si="230"/>
        <v>0</v>
      </c>
      <c r="S479" s="4">
        <f t="shared" si="231"/>
        <v>0</v>
      </c>
      <c r="T479" s="13">
        <f t="shared" si="241"/>
        <v>0</v>
      </c>
      <c r="U479" s="13">
        <f t="shared" si="250"/>
        <v>0</v>
      </c>
      <c r="V479" s="14" t="e">
        <f>U479/C479</f>
        <v>#DIV/0!</v>
      </c>
      <c r="W479" s="14"/>
      <c r="X479" s="19">
        <f t="shared" si="232"/>
        <v>0</v>
      </c>
      <c r="Y479" s="19">
        <f t="shared" si="233"/>
        <v>0</v>
      </c>
      <c r="Z479" s="15" t="e">
        <f t="shared" si="255"/>
        <v>#DIV/0!</v>
      </c>
      <c r="AA479" s="22" t="s">
        <v>2482</v>
      </c>
      <c r="AG479" s="94" t="s">
        <v>1169</v>
      </c>
      <c r="AH479" s="89" t="str">
        <f>VLOOKUP(AG479,Sheet1!$B$3:$D$36,2,FALSE)</f>
        <v>Decors</v>
      </c>
      <c r="AI479" s="89" t="s">
        <v>2263</v>
      </c>
      <c r="AJ479" s="1" t="str">
        <f t="shared" si="242"/>
        <v>Beirut Luminance Lamp L</v>
      </c>
      <c r="AK479" s="1" t="str">
        <f t="shared" si="243"/>
        <v>w125 x d125 x h4</v>
      </c>
      <c r="AL479" s="1" t="str">
        <f t="shared" si="244"/>
        <v>stretched metal
Indoor</v>
      </c>
      <c r="AM479" s="1" t="str">
        <f t="shared" si="245"/>
        <v>stretched metal
Indoor</v>
      </c>
      <c r="AN479" s="1" t="str">
        <f t="shared" si="251"/>
        <v>stretched metal
Indoor</v>
      </c>
      <c r="AO479" s="1" t="s">
        <v>54</v>
      </c>
      <c r="AQ479" s="1" t="str">
        <f t="shared" si="246"/>
        <v>B</v>
      </c>
      <c r="AR479" s="1" t="str">
        <f>VLOOKUP(TRIM(AI479),Sheet1!$D$3:$E$36,2,FALSE)</f>
        <v>08</v>
      </c>
      <c r="AS479" s="90" t="str">
        <f t="shared" si="247"/>
        <v>01</v>
      </c>
      <c r="AT479" s="1" t="str">
        <f t="shared" si="248"/>
        <v>01</v>
      </c>
      <c r="AU479" s="90" t="s">
        <v>2477</v>
      </c>
      <c r="AV479" s="90"/>
      <c r="AW479" s="90"/>
      <c r="AX479" s="95" t="str">
        <f>AQ479&amp;AR479&amp;AS479&amp;"-"&amp;AT479&amp;AU479&amp;BA479</f>
        <v>B0801-0125IND</v>
      </c>
      <c r="AY479" s="99" t="str">
        <f>AQ479&amp;AR479&amp;AS479&amp;"-"&amp;AT479&amp;BA479</f>
        <v>B0801-01IND</v>
      </c>
      <c r="AZ479" s="90"/>
      <c r="BA479" s="1" t="str">
        <f t="shared" si="249"/>
        <v>IND</v>
      </c>
      <c r="BC479" s="1">
        <f t="shared" si="227"/>
        <v>1</v>
      </c>
      <c r="BD479" s="90">
        <f t="shared" si="228"/>
        <v>1</v>
      </c>
      <c r="BE479" s="1">
        <f t="shared" si="253"/>
        <v>1</v>
      </c>
      <c r="BF479" s="1">
        <f t="shared" si="254"/>
        <v>1</v>
      </c>
      <c r="BI479"/>
      <c r="BJ479"/>
      <c r="BL479"/>
    </row>
    <row r="480" spans="1:64" ht="11.25" customHeight="1">
      <c r="A480" s="26" t="s">
        <v>2483</v>
      </c>
      <c r="B480" s="27" t="s">
        <v>2471</v>
      </c>
      <c r="C480" s="28">
        <v>384.99</v>
      </c>
      <c r="D480" s="28">
        <f t="shared" si="240"/>
        <v>192.495</v>
      </c>
      <c r="E480" s="22" t="s">
        <v>2257</v>
      </c>
      <c r="F480" s="22" t="s">
        <v>2484</v>
      </c>
      <c r="G480" s="22" t="s">
        <v>2485</v>
      </c>
      <c r="H480" s="22" t="s">
        <v>2486</v>
      </c>
      <c r="I480" s="23" t="s">
        <v>2487</v>
      </c>
      <c r="J480" s="22" t="s">
        <v>646</v>
      </c>
      <c r="K480" s="23">
        <v>90</v>
      </c>
      <c r="L480" s="23">
        <v>90</v>
      </c>
      <c r="M480" s="23">
        <v>25</v>
      </c>
      <c r="N480" s="3">
        <f t="shared" si="252"/>
        <v>0.20250000000000001</v>
      </c>
      <c r="O480" s="4" t="e">
        <f>(C480-(C480*#REF!))-((C480-(C480*#REF!))*#REF!)</f>
        <v>#REF!</v>
      </c>
      <c r="P480" s="7"/>
      <c r="Q480" s="7"/>
      <c r="R480" s="5">
        <f t="shared" si="230"/>
        <v>0</v>
      </c>
      <c r="S480" s="4">
        <f t="shared" si="231"/>
        <v>0</v>
      </c>
      <c r="T480" s="13">
        <f t="shared" si="241"/>
        <v>269.49299999999999</v>
      </c>
      <c r="U480" s="13">
        <f t="shared" si="250"/>
        <v>134.7465</v>
      </c>
      <c r="V480" s="14">
        <f>U480/C480</f>
        <v>0.35</v>
      </c>
      <c r="W480" s="14"/>
      <c r="X480" s="19">
        <f t="shared" si="232"/>
        <v>134.7465</v>
      </c>
      <c r="Y480" s="19">
        <f t="shared" si="233"/>
        <v>269.49299999999999</v>
      </c>
      <c r="Z480" s="15" t="e">
        <f t="shared" si="255"/>
        <v>#DIV/0!</v>
      </c>
      <c r="AA480" s="22" t="s">
        <v>2488</v>
      </c>
      <c r="AG480" s="94" t="s">
        <v>1169</v>
      </c>
      <c r="AH480" s="89" t="str">
        <f>VLOOKUP(AG480,Sheet1!$B$3:$D$36,2,FALSE)</f>
        <v>Decors</v>
      </c>
      <c r="AI480" s="89" t="s">
        <v>2263</v>
      </c>
      <c r="AJ480" s="1" t="str">
        <f t="shared" si="242"/>
        <v>Luminosity Lamp S</v>
      </c>
      <c r="AK480" s="1" t="str">
        <f t="shared" si="243"/>
        <v>w90 x d90 x h25</v>
      </c>
      <c r="AL480" s="1" t="str">
        <f t="shared" si="244"/>
        <v>bresentas rustic plain indoor</v>
      </c>
      <c r="AM480" s="1" t="str">
        <f t="shared" si="245"/>
        <v>bresentas rustic plain indoor</v>
      </c>
      <c r="AN480" s="1" t="str">
        <f t="shared" si="251"/>
        <v xml:space="preserve">bresentas rustic plain </v>
      </c>
      <c r="AO480" s="1" t="s">
        <v>54</v>
      </c>
      <c r="AQ480" s="1" t="str">
        <f t="shared" si="246"/>
        <v>B</v>
      </c>
      <c r="AR480" s="1" t="str">
        <f>VLOOKUP(TRIM(AI480),Sheet1!$D$3:$E$36,2,FALSE)</f>
        <v>08</v>
      </c>
      <c r="AS480" s="90" t="str">
        <f t="shared" si="247"/>
        <v>01</v>
      </c>
      <c r="AT480" s="1" t="str">
        <f t="shared" si="248"/>
        <v>01</v>
      </c>
      <c r="AU480" s="90" t="s">
        <v>2489</v>
      </c>
      <c r="AV480" s="90"/>
      <c r="AW480" s="90"/>
      <c r="AX480" s="95" t="str">
        <f>AQ480&amp;AR480&amp;AS480&amp;"-"&amp;AT480&amp;AU480&amp;BA480</f>
        <v>B0801-0105IND</v>
      </c>
      <c r="AY480" s="99" t="str">
        <f>AQ480&amp;AR480&amp;AS480&amp;"-"&amp;AT480&amp;BA480</f>
        <v>B0801-01IND</v>
      </c>
      <c r="AZ480" s="90"/>
      <c r="BA480" s="1" t="str">
        <f t="shared" si="249"/>
        <v>IND</v>
      </c>
      <c r="BC480" s="1">
        <f t="shared" si="227"/>
        <v>1</v>
      </c>
      <c r="BD480" s="90">
        <f t="shared" si="228"/>
        <v>1</v>
      </c>
      <c r="BE480" s="1">
        <f t="shared" si="253"/>
        <v>1</v>
      </c>
      <c r="BF480" s="1">
        <f t="shared" si="254"/>
        <v>1</v>
      </c>
      <c r="BI480"/>
      <c r="BJ480"/>
      <c r="BL480"/>
    </row>
    <row r="481" spans="1:64" ht="11.25" customHeight="1">
      <c r="A481" s="26" t="s">
        <v>2470</v>
      </c>
      <c r="B481" s="27" t="s">
        <v>2490</v>
      </c>
      <c r="D481" s="28">
        <f t="shared" si="240"/>
        <v>0</v>
      </c>
      <c r="E481" s="22" t="s">
        <v>2257</v>
      </c>
      <c r="F481" s="22" t="s">
        <v>2491</v>
      </c>
      <c r="G481" s="22" t="s">
        <v>2492</v>
      </c>
      <c r="H481" s="22" t="s">
        <v>2481</v>
      </c>
      <c r="I481" s="23" t="s">
        <v>2493</v>
      </c>
      <c r="J481" s="22" t="s">
        <v>646</v>
      </c>
      <c r="K481" s="23">
        <v>125</v>
      </c>
      <c r="L481" s="23">
        <v>125</v>
      </c>
      <c r="M481" s="23">
        <v>4</v>
      </c>
      <c r="N481" s="3">
        <f t="shared" si="252"/>
        <v>6.25E-2</v>
      </c>
      <c r="O481" s="4" t="e">
        <f>(C481-(C481*#REF!))-((C481-(C481*#REF!))*#REF!)</f>
        <v>#REF!</v>
      </c>
      <c r="P481" s="7"/>
      <c r="Q481" s="7"/>
      <c r="R481" s="5">
        <f t="shared" si="230"/>
        <v>0</v>
      </c>
      <c r="S481" s="4">
        <f t="shared" si="231"/>
        <v>0</v>
      </c>
      <c r="T481" s="13">
        <f t="shared" si="241"/>
        <v>0</v>
      </c>
      <c r="U481" s="13">
        <f t="shared" si="250"/>
        <v>0</v>
      </c>
      <c r="V481" s="14" t="e">
        <f>U481/C481</f>
        <v>#DIV/0!</v>
      </c>
      <c r="W481" s="14"/>
      <c r="X481" s="19">
        <f t="shared" si="232"/>
        <v>0</v>
      </c>
      <c r="Y481" s="19">
        <f t="shared" si="233"/>
        <v>0</v>
      </c>
      <c r="Z481" s="15" t="e">
        <f t="shared" si="255"/>
        <v>#DIV/0!</v>
      </c>
      <c r="AA481" s="22" t="s">
        <v>2494</v>
      </c>
      <c r="AG481" s="94" t="s">
        <v>1169</v>
      </c>
      <c r="AH481" s="89" t="str">
        <f>VLOOKUP(AG481,Sheet1!$B$3:$D$36,2,FALSE)</f>
        <v>Decors</v>
      </c>
      <c r="AI481" s="89" t="s">
        <v>2263</v>
      </c>
      <c r="AJ481" s="1" t="str">
        <f t="shared" si="242"/>
        <v>Luminosity Lamp M</v>
      </c>
      <c r="AK481" s="1" t="str">
        <f t="shared" si="243"/>
        <v>w125 x d125 x h4</v>
      </c>
      <c r="AL481" s="1" t="str">
        <f t="shared" si="244"/>
        <v>bresentas rustic plain
indoor</v>
      </c>
      <c r="AM481" s="1" t="str">
        <f t="shared" si="245"/>
        <v>bresentas rustic plain
indoor</v>
      </c>
      <c r="AN481" s="1" t="str">
        <f t="shared" si="251"/>
        <v xml:space="preserve">bresentas rustic plain
</v>
      </c>
      <c r="AO481" s="1" t="s">
        <v>54</v>
      </c>
      <c r="AQ481" s="1" t="str">
        <f t="shared" si="246"/>
        <v>B</v>
      </c>
      <c r="AR481" s="1" t="str">
        <f>VLOOKUP(TRIM(AI481),Sheet1!$D$3:$E$36,2,FALSE)</f>
        <v>08</v>
      </c>
      <c r="AS481" s="90" t="str">
        <f t="shared" si="247"/>
        <v>01</v>
      </c>
      <c r="AT481" s="1" t="str">
        <f t="shared" si="248"/>
        <v>01</v>
      </c>
      <c r="AU481" s="90" t="s">
        <v>2489</v>
      </c>
      <c r="AV481" s="90"/>
      <c r="AW481" s="90"/>
      <c r="AX481" s="95" t="str">
        <f>AQ481&amp;AR481&amp;AS481&amp;"-"&amp;AT481&amp;AU481&amp;BA481</f>
        <v>B0801-0105IND</v>
      </c>
      <c r="AY481" s="99" t="str">
        <f>AQ481&amp;AR481&amp;AS481&amp;"-"&amp;AT481&amp;BA481</f>
        <v>B0801-01IND</v>
      </c>
      <c r="AZ481" s="90"/>
      <c r="BA481" s="1" t="str">
        <f t="shared" si="249"/>
        <v>IND</v>
      </c>
      <c r="BC481" s="1">
        <f t="shared" si="227"/>
        <v>1</v>
      </c>
      <c r="BD481" s="90">
        <f t="shared" si="228"/>
        <v>1</v>
      </c>
      <c r="BE481" s="1">
        <f t="shared" si="253"/>
        <v>1</v>
      </c>
      <c r="BF481" s="1">
        <f t="shared" si="254"/>
        <v>1</v>
      </c>
      <c r="BI481"/>
      <c r="BJ481"/>
      <c r="BL481"/>
    </row>
    <row r="482" spans="1:64" ht="11.25" customHeight="1">
      <c r="A482" s="26" t="s">
        <v>2495</v>
      </c>
      <c r="B482" s="27" t="s">
        <v>2496</v>
      </c>
      <c r="C482" s="28">
        <v>309.99</v>
      </c>
      <c r="D482" s="28">
        <f t="shared" si="240"/>
        <v>154.995</v>
      </c>
      <c r="E482" s="22" t="s">
        <v>2257</v>
      </c>
      <c r="F482" s="22" t="s">
        <v>2497</v>
      </c>
      <c r="G482" s="22" t="s">
        <v>2498</v>
      </c>
      <c r="H482" s="22" t="s">
        <v>2499</v>
      </c>
      <c r="I482" s="23" t="s">
        <v>2125</v>
      </c>
      <c r="J482" s="22" t="s">
        <v>646</v>
      </c>
      <c r="L482" s="23">
        <v>40</v>
      </c>
      <c r="M482" s="23">
        <v>200</v>
      </c>
      <c r="N482" s="3">
        <f t="shared" si="252"/>
        <v>0.32</v>
      </c>
      <c r="O482" s="4" t="e">
        <f>(C482-(C482*#REF!))-((C482-(C482*#REF!))*#REF!)</f>
        <v>#REF!</v>
      </c>
      <c r="P482" s="7"/>
      <c r="Q482" s="7"/>
      <c r="R482" s="5">
        <f t="shared" si="230"/>
        <v>0</v>
      </c>
      <c r="S482" s="4">
        <f t="shared" si="231"/>
        <v>0</v>
      </c>
      <c r="T482" s="13">
        <f t="shared" si="241"/>
        <v>216.99299999999999</v>
      </c>
      <c r="U482" s="13">
        <f t="shared" si="250"/>
        <v>108.4965</v>
      </c>
      <c r="V482" s="14">
        <f>U482/C482</f>
        <v>0.35</v>
      </c>
      <c r="W482" s="14"/>
      <c r="X482" s="19">
        <f t="shared" si="232"/>
        <v>108.4965</v>
      </c>
      <c r="Y482" s="19">
        <f t="shared" si="233"/>
        <v>216.99299999999999</v>
      </c>
      <c r="Z482" s="15" t="e">
        <f t="shared" si="255"/>
        <v>#DIV/0!</v>
      </c>
      <c r="AA482" s="22" t="s">
        <v>2500</v>
      </c>
      <c r="AG482" s="94" t="s">
        <v>1169</v>
      </c>
      <c r="AH482" s="89" t="str">
        <f>VLOOKUP(AG482,Sheet1!$B$3:$D$36,2,FALSE)</f>
        <v>Decors</v>
      </c>
      <c r="AI482" s="89" t="s">
        <v>2263</v>
      </c>
      <c r="AJ482" s="1" t="str">
        <f t="shared" si="242"/>
        <v>Hanging Plank Lamp</v>
      </c>
      <c r="AK482" s="1" t="str">
        <f t="shared" si="243"/>
        <v>d40 x h200</v>
      </c>
      <c r="AL482" s="1" t="str">
        <f t="shared" si="244"/>
        <v>teak branches indoor</v>
      </c>
      <c r="AM482" s="1" t="str">
        <f t="shared" si="245"/>
        <v>teak branches indoor</v>
      </c>
      <c r="AN482" s="1" t="str">
        <f t="shared" si="251"/>
        <v xml:space="preserve">teak branches </v>
      </c>
      <c r="AO482" s="1" t="s">
        <v>54</v>
      </c>
      <c r="AQ482" s="1" t="str">
        <f t="shared" si="246"/>
        <v>B</v>
      </c>
      <c r="AR482" s="1" t="str">
        <f>VLOOKUP(TRIM(AI482),Sheet1!$D$3:$E$36,2,FALSE)</f>
        <v>08</v>
      </c>
      <c r="AS482" s="90" t="str">
        <f t="shared" si="247"/>
        <v>01</v>
      </c>
      <c r="AT482" s="1" t="str">
        <f t="shared" si="248"/>
        <v>01</v>
      </c>
      <c r="AU482" s="90" t="s">
        <v>664</v>
      </c>
      <c r="AV482" s="90"/>
      <c r="AW482" s="90"/>
      <c r="AX482" s="95" t="str">
        <f>AQ482&amp;AR482&amp;AS482&amp;"-"&amp;AT482&amp;AU482&amp;BA482</f>
        <v>B0801-0127IND</v>
      </c>
      <c r="AY482" s="99" t="str">
        <f>AQ482&amp;AR482&amp;AS482&amp;"-"&amp;AT482&amp;BA482</f>
        <v>B0801-01IND</v>
      </c>
      <c r="AZ482" s="90"/>
      <c r="BA482" s="1" t="str">
        <f t="shared" si="249"/>
        <v>IND</v>
      </c>
      <c r="BC482" s="1">
        <f t="shared" si="227"/>
        <v>1</v>
      </c>
      <c r="BD482" s="90">
        <f t="shared" si="228"/>
        <v>1</v>
      </c>
      <c r="BE482" s="1">
        <f t="shared" si="253"/>
        <v>1</v>
      </c>
      <c r="BF482" s="1">
        <f t="shared" si="254"/>
        <v>1</v>
      </c>
      <c r="BI482"/>
      <c r="BJ482"/>
      <c r="BL482"/>
    </row>
    <row r="483" spans="1:64" ht="11.25" customHeight="1">
      <c r="A483" s="26" t="s">
        <v>2501</v>
      </c>
      <c r="B483" s="27" t="s">
        <v>2502</v>
      </c>
      <c r="C483" s="28">
        <v>71.989999999999995</v>
      </c>
      <c r="D483" s="28">
        <f t="shared" si="240"/>
        <v>35.994999999999997</v>
      </c>
      <c r="E483" s="22" t="s">
        <v>2257</v>
      </c>
      <c r="F483" s="22" t="s">
        <v>2503</v>
      </c>
      <c r="G483" s="22" t="s">
        <v>2504</v>
      </c>
      <c r="H483" s="22" t="s">
        <v>1946</v>
      </c>
      <c r="I483" s="23" t="s">
        <v>2505</v>
      </c>
      <c r="J483" s="22" t="s">
        <v>670</v>
      </c>
      <c r="N483" s="3">
        <f t="shared" si="252"/>
        <v>0</v>
      </c>
      <c r="O483" s="4" t="e">
        <f>(C483-(C483*#REF!))-((C483-(C483*#REF!))*#REF!)</f>
        <v>#REF!</v>
      </c>
      <c r="P483" s="7"/>
      <c r="Q483" s="7"/>
      <c r="R483" s="5">
        <f t="shared" si="230"/>
        <v>0</v>
      </c>
      <c r="S483" s="4">
        <f t="shared" si="231"/>
        <v>0</v>
      </c>
      <c r="T483" s="13">
        <f t="shared" si="241"/>
        <v>50.393000000000001</v>
      </c>
      <c r="U483" s="13">
        <f t="shared" si="250"/>
        <v>25.1965</v>
      </c>
      <c r="V483" s="14">
        <f>U483/C483</f>
        <v>0.35000000000000003</v>
      </c>
      <c r="W483" s="14"/>
      <c r="X483" s="19">
        <f t="shared" si="232"/>
        <v>25.1965</v>
      </c>
      <c r="Y483" s="19">
        <f t="shared" si="233"/>
        <v>50.393000000000001</v>
      </c>
      <c r="Z483" s="15" t="e">
        <f t="shared" si="255"/>
        <v>#DIV/0!</v>
      </c>
      <c r="AA483" s="22" t="s">
        <v>2506</v>
      </c>
      <c r="AG483" s="94" t="s">
        <v>1169</v>
      </c>
      <c r="AH483" s="89" t="str">
        <f>VLOOKUP(AG483,Sheet1!$B$3:$D$36,2,FALSE)</f>
        <v>Decors</v>
      </c>
      <c r="AI483" s="89" t="s">
        <v>2263</v>
      </c>
      <c r="AJ483" s="1" t="str">
        <f t="shared" si="242"/>
        <v>Base Plank Lamp</v>
      </c>
      <c r="AK483" s="1" t="str">
        <f t="shared" si="243"/>
        <v>-</v>
      </c>
      <c r="AL483" s="1" t="str">
        <f t="shared" si="244"/>
        <v>Stone</v>
      </c>
      <c r="AM483" s="1" t="str">
        <f t="shared" si="245"/>
        <v>Stone</v>
      </c>
      <c r="AN483" s="1" t="str">
        <f t="shared" ref="AN483:AN546" si="256">SUBSTITUTE(AL483,"indoor","")</f>
        <v>Stone</v>
      </c>
      <c r="AQ483" s="1" t="str">
        <f t="shared" si="246"/>
        <v>B</v>
      </c>
      <c r="AR483" s="1" t="str">
        <f>VLOOKUP(TRIM(AI483),Sheet1!$D$3:$E$36,2,FALSE)</f>
        <v>08</v>
      </c>
      <c r="AS483" s="90" t="str">
        <f t="shared" si="247"/>
        <v>01</v>
      </c>
      <c r="AT483" s="1" t="str">
        <f t="shared" si="248"/>
        <v>01</v>
      </c>
      <c r="AU483" s="90" t="s">
        <v>2507</v>
      </c>
      <c r="AV483" s="90"/>
      <c r="AW483" s="90"/>
      <c r="AX483" s="95" t="str">
        <f>AQ483&amp;AR483&amp;AS483&amp;"-"&amp;AT483&amp;AU483&amp;BA483</f>
        <v>B0801-0123</v>
      </c>
      <c r="AY483" s="99" t="str">
        <f>AQ483&amp;AR483&amp;AS483&amp;"-"&amp;AT483&amp;BA483</f>
        <v>B0801-01</v>
      </c>
      <c r="AZ483" s="90"/>
      <c r="BA483" s="1" t="str">
        <f t="shared" si="249"/>
        <v/>
      </c>
      <c r="BC483" s="1">
        <f t="shared" si="227"/>
        <v>1</v>
      </c>
      <c r="BD483" s="90">
        <f t="shared" si="228"/>
        <v>1</v>
      </c>
      <c r="BE483" s="1">
        <f t="shared" si="253"/>
        <v>1</v>
      </c>
      <c r="BF483" s="1">
        <f t="shared" si="254"/>
        <v>1</v>
      </c>
      <c r="BI483"/>
      <c r="BJ483"/>
      <c r="BL483"/>
    </row>
    <row r="484" spans="1:64" ht="11.25" customHeight="1">
      <c r="A484" s="26" t="s">
        <v>2508</v>
      </c>
      <c r="B484" s="27" t="s">
        <v>2509</v>
      </c>
      <c r="C484" s="28">
        <v>289.99</v>
      </c>
      <c r="D484" s="28">
        <f t="shared" si="240"/>
        <v>144.995</v>
      </c>
      <c r="E484" s="22" t="s">
        <v>2257</v>
      </c>
      <c r="F484" s="22" t="s">
        <v>2510</v>
      </c>
      <c r="G484" s="22" t="s">
        <v>2511</v>
      </c>
      <c r="H484" s="22" t="s">
        <v>2512</v>
      </c>
      <c r="I484" s="23" t="s">
        <v>2513</v>
      </c>
      <c r="J484" s="22" t="s">
        <v>50</v>
      </c>
      <c r="L484" s="23">
        <v>46</v>
      </c>
      <c r="M484" s="23">
        <v>41</v>
      </c>
      <c r="N484" s="3">
        <f t="shared" si="252"/>
        <v>8.6756E-2</v>
      </c>
      <c r="O484" s="4" t="e">
        <f>(C484-(C484*#REF!))-((C484-(C484*#REF!))*#REF!)</f>
        <v>#REF!</v>
      </c>
      <c r="P484" s="7"/>
      <c r="Q484" s="7"/>
      <c r="R484" s="5">
        <f t="shared" si="230"/>
        <v>0</v>
      </c>
      <c r="S484" s="4">
        <f t="shared" si="231"/>
        <v>0</v>
      </c>
      <c r="T484" s="13">
        <f t="shared" si="241"/>
        <v>202.99299999999999</v>
      </c>
      <c r="U484" s="13">
        <f t="shared" si="250"/>
        <v>101.4965</v>
      </c>
      <c r="V484" s="14">
        <f>U484/C484</f>
        <v>0.35</v>
      </c>
      <c r="W484" s="14"/>
      <c r="X484" s="19">
        <f t="shared" si="232"/>
        <v>101.4965</v>
      </c>
      <c r="Y484" s="19">
        <f t="shared" si="233"/>
        <v>202.99299999999999</v>
      </c>
      <c r="Z484" s="15" t="e">
        <f t="shared" si="255"/>
        <v>#DIV/0!</v>
      </c>
      <c r="AA484" s="22" t="s">
        <v>2514</v>
      </c>
      <c r="AG484" s="94" t="s">
        <v>1169</v>
      </c>
      <c r="AH484" s="89" t="str">
        <f>VLOOKUP(AG484,Sheet1!$B$3:$D$36,2,FALSE)</f>
        <v>Decors</v>
      </c>
      <c r="AI484" s="89" t="s">
        <v>2263</v>
      </c>
      <c r="AJ484" s="1" t="str">
        <f t="shared" si="242"/>
        <v>Illumination Hanging Lamp</v>
      </c>
      <c r="AK484" s="1" t="str">
        <f t="shared" si="243"/>
        <v>d46 x h41</v>
      </c>
      <c r="AL484" s="1" t="str">
        <f t="shared" si="244"/>
        <v>teak sauvage (brushed teak original) indoor</v>
      </c>
      <c r="AM484" s="1" t="str">
        <f t="shared" si="245"/>
        <v>teak sauvage (brushed teak original) indoor</v>
      </c>
      <c r="AN484" s="1" t="str">
        <f t="shared" si="256"/>
        <v xml:space="preserve">teak sauvage (brushed teak original) </v>
      </c>
      <c r="AO484" s="1" t="s">
        <v>54</v>
      </c>
      <c r="AQ484" s="1" t="str">
        <f t="shared" si="246"/>
        <v>B</v>
      </c>
      <c r="AR484" s="1" t="str">
        <f>VLOOKUP(TRIM(AI484),Sheet1!$D$3:$E$36,2,FALSE)</f>
        <v>08</v>
      </c>
      <c r="AS484" s="90" t="str">
        <f t="shared" si="247"/>
        <v>01</v>
      </c>
      <c r="AT484" s="1" t="str">
        <f t="shared" si="248"/>
        <v>01</v>
      </c>
      <c r="AU484" s="90" t="s">
        <v>2515</v>
      </c>
      <c r="AV484" s="90"/>
      <c r="AW484" s="90"/>
      <c r="AX484" s="95" t="str">
        <f>AQ484&amp;AR484&amp;AS484&amp;"-"&amp;AT484&amp;AU484&amp;BA484</f>
        <v>B0801-0134IND</v>
      </c>
      <c r="AY484" s="99" t="str">
        <f>AQ484&amp;AR484&amp;AS484&amp;"-"&amp;AT484&amp;BA484</f>
        <v>B0801-01IND</v>
      </c>
      <c r="AZ484" s="90"/>
      <c r="BA484" s="1" t="str">
        <f t="shared" si="249"/>
        <v>IND</v>
      </c>
      <c r="BC484" s="1">
        <f t="shared" si="227"/>
        <v>1</v>
      </c>
      <c r="BD484" s="90">
        <f t="shared" si="228"/>
        <v>1</v>
      </c>
      <c r="BE484" s="1">
        <f t="shared" si="253"/>
        <v>1</v>
      </c>
      <c r="BF484" s="1">
        <f t="shared" si="254"/>
        <v>1</v>
      </c>
      <c r="BI484"/>
      <c r="BJ484"/>
      <c r="BL484"/>
    </row>
    <row r="485" spans="1:64" ht="11.25" customHeight="1">
      <c r="A485" s="26" t="s">
        <v>2516</v>
      </c>
      <c r="B485" s="27" t="s">
        <v>2517</v>
      </c>
      <c r="C485" s="28">
        <v>755.99</v>
      </c>
      <c r="D485" s="28">
        <f t="shared" si="240"/>
        <v>377.995</v>
      </c>
      <c r="E485" s="22" t="s">
        <v>2257</v>
      </c>
      <c r="F485" s="22" t="s">
        <v>2518</v>
      </c>
      <c r="G485" s="22" t="s">
        <v>2519</v>
      </c>
      <c r="H485" s="22" t="s">
        <v>2520</v>
      </c>
      <c r="I485" s="23" t="s">
        <v>2513</v>
      </c>
      <c r="J485" s="22" t="s">
        <v>50</v>
      </c>
      <c r="L485" s="23">
        <v>50</v>
      </c>
      <c r="M485" s="23">
        <v>170</v>
      </c>
      <c r="N485" s="3">
        <f t="shared" si="252"/>
        <v>0.42499999999999999</v>
      </c>
      <c r="O485" s="4" t="e">
        <f>(C485-(C485*#REF!))-((C485-(C485*#REF!))*#REF!)</f>
        <v>#REF!</v>
      </c>
      <c r="P485" s="7"/>
      <c r="Q485" s="7"/>
      <c r="R485" s="5">
        <f t="shared" si="230"/>
        <v>0</v>
      </c>
      <c r="S485" s="4">
        <f t="shared" si="231"/>
        <v>0</v>
      </c>
      <c r="T485" s="13">
        <f t="shared" si="241"/>
        <v>529.19299999999998</v>
      </c>
      <c r="U485" s="13">
        <f t="shared" si="250"/>
        <v>264.59649999999999</v>
      </c>
      <c r="V485" s="14">
        <f>U485/C485</f>
        <v>0.35</v>
      </c>
      <c r="W485" s="14"/>
      <c r="X485" s="19">
        <f t="shared" si="232"/>
        <v>264.59649999999999</v>
      </c>
      <c r="Y485" s="19">
        <f t="shared" si="233"/>
        <v>529.19299999999998</v>
      </c>
      <c r="Z485" s="15" t="e">
        <f t="shared" si="255"/>
        <v>#DIV/0!</v>
      </c>
      <c r="AA485" s="22" t="s">
        <v>2521</v>
      </c>
      <c r="AG485" s="94" t="s">
        <v>1169</v>
      </c>
      <c r="AH485" s="89" t="str">
        <f>VLOOKUP(AG485,Sheet1!$B$3:$D$36,2,FALSE)</f>
        <v>Decors</v>
      </c>
      <c r="AI485" s="89" t="s">
        <v>2263</v>
      </c>
      <c r="AJ485" s="1" t="str">
        <f t="shared" si="242"/>
        <v>Jackson Living lamp</v>
      </c>
      <c r="AK485" s="1" t="str">
        <f t="shared" si="243"/>
        <v>d50 x h170</v>
      </c>
      <c r="AL485" s="1" t="str">
        <f t="shared" si="244"/>
        <v>teak sauvage (brushed teak original) indoor</v>
      </c>
      <c r="AM485" s="1" t="str">
        <f t="shared" si="245"/>
        <v>teak sauvage (brushed teak original) indoor</v>
      </c>
      <c r="AN485" s="1" t="str">
        <f t="shared" si="256"/>
        <v xml:space="preserve">teak sauvage (brushed teak original) </v>
      </c>
      <c r="AO485" s="1" t="s">
        <v>54</v>
      </c>
      <c r="AQ485" s="1" t="str">
        <f t="shared" si="246"/>
        <v>B</v>
      </c>
      <c r="AR485" s="1" t="str">
        <f>VLOOKUP(TRIM(AI485),Sheet1!$D$3:$E$36,2,FALSE)</f>
        <v>08</v>
      </c>
      <c r="AS485" s="90" t="str">
        <f t="shared" si="247"/>
        <v>01</v>
      </c>
      <c r="AT485" s="1" t="str">
        <f t="shared" si="248"/>
        <v>01</v>
      </c>
      <c r="AU485" s="90" t="s">
        <v>2515</v>
      </c>
      <c r="AV485" s="90"/>
      <c r="AW485" s="90"/>
      <c r="AX485" s="95" t="str">
        <f>AQ485&amp;AR485&amp;AS485&amp;"-"&amp;AT485&amp;AU485&amp;BA485</f>
        <v>B0801-0134IND</v>
      </c>
      <c r="AY485" s="99" t="str">
        <f>AQ485&amp;AR485&amp;AS485&amp;"-"&amp;AT485&amp;BA485</f>
        <v>B0801-01IND</v>
      </c>
      <c r="AZ485" s="90"/>
      <c r="BA485" s="1" t="str">
        <f t="shared" si="249"/>
        <v>IND</v>
      </c>
      <c r="BC485" s="1">
        <f t="shared" si="227"/>
        <v>1</v>
      </c>
      <c r="BD485" s="90">
        <f t="shared" si="228"/>
        <v>1</v>
      </c>
      <c r="BE485" s="1">
        <f t="shared" si="253"/>
        <v>1</v>
      </c>
      <c r="BF485" s="1">
        <f t="shared" si="254"/>
        <v>1</v>
      </c>
      <c r="BI485"/>
      <c r="BJ485"/>
      <c r="BL485"/>
    </row>
    <row r="486" spans="1:64" ht="11.25" customHeight="1">
      <c r="A486" s="26" t="s">
        <v>2522</v>
      </c>
      <c r="B486" s="27" t="s">
        <v>2523</v>
      </c>
      <c r="C486" s="28">
        <v>271.99</v>
      </c>
      <c r="D486" s="28">
        <f t="shared" si="240"/>
        <v>135.995</v>
      </c>
      <c r="E486" s="22" t="s">
        <v>2257</v>
      </c>
      <c r="F486" s="22" t="s">
        <v>2524</v>
      </c>
      <c r="G486" s="22" t="s">
        <v>2525</v>
      </c>
      <c r="H486" s="22" t="s">
        <v>2526</v>
      </c>
      <c r="I486" s="23" t="s">
        <v>2513</v>
      </c>
      <c r="J486" s="22" t="s">
        <v>50</v>
      </c>
      <c r="L486" s="23">
        <v>32</v>
      </c>
      <c r="M486" s="23">
        <v>38</v>
      </c>
      <c r="N486" s="3">
        <f t="shared" si="252"/>
        <v>3.8912000000000002E-2</v>
      </c>
      <c r="O486" s="4" t="e">
        <f>(C486-(C486*#REF!))-((C486-(C486*#REF!))*#REF!)</f>
        <v>#REF!</v>
      </c>
      <c r="P486" s="7"/>
      <c r="Q486" s="7"/>
      <c r="R486" s="5">
        <f t="shared" si="230"/>
        <v>0</v>
      </c>
      <c r="S486" s="4">
        <f t="shared" si="231"/>
        <v>0</v>
      </c>
      <c r="T486" s="13">
        <f t="shared" si="241"/>
        <v>190.39300000000003</v>
      </c>
      <c r="U486" s="13">
        <f t="shared" si="250"/>
        <v>95.196500000000015</v>
      </c>
      <c r="V486" s="14">
        <f>U486/C486</f>
        <v>0.35000000000000003</v>
      </c>
      <c r="W486" s="14"/>
      <c r="X486" s="19">
        <f t="shared" si="232"/>
        <v>95.196500000000015</v>
      </c>
      <c r="Y486" s="19">
        <f t="shared" si="233"/>
        <v>190.39300000000003</v>
      </c>
      <c r="Z486" s="15" t="e">
        <f t="shared" si="255"/>
        <v>#DIV/0!</v>
      </c>
      <c r="AA486" s="22" t="s">
        <v>2527</v>
      </c>
      <c r="AG486" s="94" t="s">
        <v>1169</v>
      </c>
      <c r="AH486" s="89" t="str">
        <f>VLOOKUP(AG486,Sheet1!$B$3:$D$36,2,FALSE)</f>
        <v>Decors</v>
      </c>
      <c r="AI486" s="89" t="s">
        <v>2263</v>
      </c>
      <c r="AJ486" s="1" t="str">
        <f t="shared" si="242"/>
        <v>Cove Office Lamp</v>
      </c>
      <c r="AK486" s="1" t="str">
        <f t="shared" si="243"/>
        <v>d32 x h38</v>
      </c>
      <c r="AL486" s="1" t="str">
        <f t="shared" si="244"/>
        <v>teak sauvage (brushed teak original) indoor</v>
      </c>
      <c r="AM486" s="1" t="str">
        <f t="shared" si="245"/>
        <v>teak sauvage (brushed teak original) indoor</v>
      </c>
      <c r="AN486" s="1" t="str">
        <f t="shared" si="256"/>
        <v xml:space="preserve">teak sauvage (brushed teak original) </v>
      </c>
      <c r="AO486" s="1" t="s">
        <v>54</v>
      </c>
      <c r="AQ486" s="1" t="str">
        <f t="shared" si="246"/>
        <v>B</v>
      </c>
      <c r="AR486" s="1" t="str">
        <f>VLOOKUP(TRIM(AI486),Sheet1!$D$3:$E$36,2,FALSE)</f>
        <v>08</v>
      </c>
      <c r="AS486" s="90" t="str">
        <f t="shared" si="247"/>
        <v>01</v>
      </c>
      <c r="AT486" s="1" t="str">
        <f t="shared" si="248"/>
        <v>01</v>
      </c>
      <c r="AU486" s="90" t="s">
        <v>2515</v>
      </c>
      <c r="AV486" s="90"/>
      <c r="AW486" s="90"/>
      <c r="AX486" s="95" t="str">
        <f>AQ486&amp;AR486&amp;AS486&amp;"-"&amp;AT486&amp;AU486&amp;BA486</f>
        <v>B0801-0134IND</v>
      </c>
      <c r="AY486" s="99" t="str">
        <f>AQ486&amp;AR486&amp;AS486&amp;"-"&amp;AT486&amp;BA486</f>
        <v>B0801-01IND</v>
      </c>
      <c r="AZ486" s="90"/>
      <c r="BA486" s="1" t="str">
        <f t="shared" si="249"/>
        <v>IND</v>
      </c>
      <c r="BC486" s="1">
        <f t="shared" si="227"/>
        <v>1</v>
      </c>
      <c r="BD486" s="90">
        <f t="shared" si="228"/>
        <v>1</v>
      </c>
      <c r="BE486" s="1">
        <f t="shared" si="253"/>
        <v>1</v>
      </c>
      <c r="BF486" s="1">
        <f t="shared" si="254"/>
        <v>1</v>
      </c>
      <c r="BI486"/>
      <c r="BJ486"/>
      <c r="BL486"/>
    </row>
    <row r="487" spans="1:64" ht="11.25" customHeight="1">
      <c r="A487" s="26">
        <v>22017</v>
      </c>
      <c r="B487" s="27" t="s">
        <v>2528</v>
      </c>
      <c r="C487" s="28">
        <v>79.989999999999995</v>
      </c>
      <c r="D487" s="28">
        <f t="shared" si="240"/>
        <v>39.994999999999997</v>
      </c>
      <c r="E487" s="22" t="s">
        <v>2257</v>
      </c>
      <c r="F487" s="22" t="s">
        <v>2529</v>
      </c>
      <c r="G487" s="22" t="s">
        <v>2530</v>
      </c>
      <c r="H487" s="22" t="s">
        <v>2252</v>
      </c>
      <c r="I487" s="23" t="s">
        <v>2253</v>
      </c>
      <c r="J487" s="22" t="s">
        <v>646</v>
      </c>
      <c r="L487" s="23">
        <v>20</v>
      </c>
      <c r="M487" s="23">
        <v>17</v>
      </c>
      <c r="N487" s="3">
        <f t="shared" si="252"/>
        <v>6.7999999999999996E-3</v>
      </c>
      <c r="O487" s="4" t="e">
        <f>(C487-(C487*#REF!))-((C487-(C487*#REF!))*#REF!)</f>
        <v>#REF!</v>
      </c>
      <c r="P487" s="7"/>
      <c r="Q487" s="7"/>
      <c r="R487" s="5">
        <f t="shared" si="230"/>
        <v>0</v>
      </c>
      <c r="S487" s="4">
        <f t="shared" si="231"/>
        <v>0</v>
      </c>
      <c r="T487" s="13">
        <f t="shared" si="241"/>
        <v>55.992999999999995</v>
      </c>
      <c r="U487" s="13">
        <f t="shared" si="250"/>
        <v>27.996499999999997</v>
      </c>
      <c r="V487" s="14">
        <f>U487/C487</f>
        <v>0.35</v>
      </c>
      <c r="W487" s="14"/>
      <c r="X487" s="19">
        <f t="shared" si="232"/>
        <v>27.996499999999997</v>
      </c>
      <c r="Y487" s="19">
        <f t="shared" si="233"/>
        <v>55.992999999999995</v>
      </c>
      <c r="Z487" s="15" t="e">
        <f t="shared" si="255"/>
        <v>#DIV/0!</v>
      </c>
      <c r="AA487" s="22" t="s">
        <v>2531</v>
      </c>
      <c r="AG487" s="94" t="s">
        <v>1169</v>
      </c>
      <c r="AH487" s="89" t="str">
        <f>VLOOKUP(AG487,Sheet1!$B$3:$D$36,2,FALSE)</f>
        <v>Decors</v>
      </c>
      <c r="AI487" s="89" t="s">
        <v>2263</v>
      </c>
      <c r="AJ487" s="1" t="str">
        <f t="shared" si="242"/>
        <v>Eventide Lamp</v>
      </c>
      <c r="AK487" s="1" t="str">
        <f t="shared" si="243"/>
        <v>d20 x h17</v>
      </c>
      <c r="AL487" s="1" t="str">
        <f t="shared" si="244"/>
        <v>palm leaf &amp; iron indoor</v>
      </c>
      <c r="AM487" s="1" t="str">
        <f t="shared" si="245"/>
        <v>palm leaf &amp; iron indoor</v>
      </c>
      <c r="AN487" s="1" t="str">
        <f t="shared" si="256"/>
        <v xml:space="preserve">palm leaf &amp; iron </v>
      </c>
      <c r="AO487" s="1" t="s">
        <v>54</v>
      </c>
      <c r="AQ487" s="1" t="str">
        <f t="shared" si="246"/>
        <v>B</v>
      </c>
      <c r="AR487" s="1" t="str">
        <f>VLOOKUP(TRIM(AI487),Sheet1!$D$3:$E$36,2,FALSE)</f>
        <v>08</v>
      </c>
      <c r="AS487" s="90" t="str">
        <f t="shared" si="247"/>
        <v>01</v>
      </c>
      <c r="AT487" s="1" t="str">
        <f t="shared" si="248"/>
        <v>01</v>
      </c>
      <c r="AU487" s="90" t="s">
        <v>2014</v>
      </c>
      <c r="AV487" s="90"/>
      <c r="AW487" s="90"/>
      <c r="AX487" s="95" t="str">
        <f>AQ487&amp;AR487&amp;AS487&amp;"-"&amp;AT487&amp;AU487&amp;BA487</f>
        <v>B0801-0113IND</v>
      </c>
      <c r="AY487" s="99" t="str">
        <f>AQ487&amp;AR487&amp;AS487&amp;"-"&amp;AT487&amp;BA487</f>
        <v>B0801-01IND</v>
      </c>
      <c r="AZ487" s="90"/>
      <c r="BA487" s="1" t="str">
        <f t="shared" si="249"/>
        <v>IND</v>
      </c>
      <c r="BC487" s="1">
        <f t="shared" si="227"/>
        <v>1</v>
      </c>
      <c r="BD487" s="90">
        <f t="shared" si="228"/>
        <v>1</v>
      </c>
      <c r="BE487" s="1">
        <f t="shared" si="253"/>
        <v>1</v>
      </c>
      <c r="BF487" s="1">
        <f t="shared" si="254"/>
        <v>1</v>
      </c>
      <c r="BI487"/>
      <c r="BJ487"/>
      <c r="BL487"/>
    </row>
    <row r="488" spans="1:64" ht="11.25" customHeight="1">
      <c r="A488" s="26">
        <v>33002</v>
      </c>
      <c r="B488" s="27" t="s">
        <v>2532</v>
      </c>
      <c r="C488" s="28">
        <v>140.99</v>
      </c>
      <c r="D488" s="28">
        <f t="shared" si="240"/>
        <v>70.495000000000005</v>
      </c>
      <c r="E488" s="22" t="s">
        <v>2257</v>
      </c>
      <c r="F488" s="22" t="s">
        <v>2533</v>
      </c>
      <c r="G488" s="22" t="s">
        <v>2534</v>
      </c>
      <c r="H488" s="22" t="s">
        <v>2535</v>
      </c>
      <c r="I488" s="23" t="s">
        <v>2536</v>
      </c>
      <c r="J488" s="22" t="s">
        <v>646</v>
      </c>
      <c r="L488" s="23">
        <v>25</v>
      </c>
      <c r="M488" s="23">
        <v>140</v>
      </c>
      <c r="N488" s="3">
        <f t="shared" si="252"/>
        <v>8.7499999999999994E-2</v>
      </c>
      <c r="O488" s="4" t="e">
        <f>(C488-(C488*#REF!))-((C488-(C488*#REF!))*#REF!)</f>
        <v>#REF!</v>
      </c>
      <c r="P488" s="7"/>
      <c r="Q488" s="7"/>
      <c r="R488" s="5">
        <f t="shared" si="230"/>
        <v>0</v>
      </c>
      <c r="S488" s="4">
        <f t="shared" si="231"/>
        <v>0</v>
      </c>
      <c r="T488" s="13">
        <f t="shared" si="241"/>
        <v>98.693000000000012</v>
      </c>
      <c r="U488" s="13">
        <f t="shared" si="250"/>
        <v>49.346500000000006</v>
      </c>
      <c r="V488" s="14">
        <f>U488/C488</f>
        <v>0.35000000000000003</v>
      </c>
      <c r="W488" s="14"/>
      <c r="X488" s="19">
        <f t="shared" si="232"/>
        <v>49.346500000000006</v>
      </c>
      <c r="Y488" s="19">
        <f t="shared" si="233"/>
        <v>98.693000000000012</v>
      </c>
      <c r="Z488" s="15" t="e">
        <f t="shared" si="255"/>
        <v>#DIV/0!</v>
      </c>
      <c r="AA488" s="22" t="s">
        <v>2537</v>
      </c>
      <c r="AG488" s="94" t="s">
        <v>1169</v>
      </c>
      <c r="AH488" s="89" t="str">
        <f>VLOOKUP(AG488,Sheet1!$B$3:$D$36,2,FALSE)</f>
        <v>Decors</v>
      </c>
      <c r="AI488" s="89" t="s">
        <v>2263</v>
      </c>
      <c r="AJ488" s="1" t="str">
        <f t="shared" si="242"/>
        <v>Abyss Glow Lamp</v>
      </c>
      <c r="AK488" s="1" t="str">
        <f t="shared" si="243"/>
        <v>d25 x h140</v>
      </c>
      <c r="AL488" s="1" t="str">
        <f t="shared" si="244"/>
        <v>rattan skin indoor</v>
      </c>
      <c r="AM488" s="1" t="str">
        <f t="shared" si="245"/>
        <v>rattan skin indoor</v>
      </c>
      <c r="AN488" s="1" t="str">
        <f t="shared" si="256"/>
        <v xml:space="preserve">rattan skin </v>
      </c>
      <c r="AO488" s="1" t="s">
        <v>54</v>
      </c>
      <c r="AQ488" s="1" t="str">
        <f t="shared" si="246"/>
        <v>B</v>
      </c>
      <c r="AR488" s="1" t="str">
        <f>VLOOKUP(TRIM(AI488),Sheet1!$D$3:$E$36,2,FALSE)</f>
        <v>08</v>
      </c>
      <c r="AS488" s="90" t="str">
        <f t="shared" si="247"/>
        <v>01</v>
      </c>
      <c r="AT488" s="1" t="str">
        <f t="shared" si="248"/>
        <v>01</v>
      </c>
      <c r="AU488" s="90" t="s">
        <v>1878</v>
      </c>
      <c r="AV488" s="90"/>
      <c r="AW488" s="90"/>
      <c r="AX488" s="95" t="str">
        <f>AQ488&amp;AR488&amp;AS488&amp;"-"&amp;AT488&amp;AU488&amp;BA488</f>
        <v>B0801-0116IND</v>
      </c>
      <c r="AY488" s="99" t="str">
        <f>AQ488&amp;AR488&amp;AS488&amp;"-"&amp;AT488&amp;BA488</f>
        <v>B0801-01IND</v>
      </c>
      <c r="AZ488" s="90"/>
      <c r="BA488" s="1" t="str">
        <f t="shared" si="249"/>
        <v>IND</v>
      </c>
      <c r="BC488" s="1">
        <f t="shared" si="227"/>
        <v>1</v>
      </c>
      <c r="BD488" s="90">
        <f t="shared" si="228"/>
        <v>1</v>
      </c>
      <c r="BE488" s="1">
        <f t="shared" si="253"/>
        <v>1</v>
      </c>
      <c r="BF488" s="1">
        <f t="shared" si="254"/>
        <v>1</v>
      </c>
      <c r="BI488"/>
      <c r="BJ488"/>
      <c r="BL488"/>
    </row>
    <row r="489" spans="1:64" ht="11.25" customHeight="1">
      <c r="A489" s="26">
        <v>33003</v>
      </c>
      <c r="B489" s="27" t="s">
        <v>2538</v>
      </c>
      <c r="C489" s="28">
        <v>130.99</v>
      </c>
      <c r="D489" s="28">
        <f t="shared" si="240"/>
        <v>65.495000000000005</v>
      </c>
      <c r="E489" s="22" t="s">
        <v>2257</v>
      </c>
      <c r="F489" s="22" t="s">
        <v>2539</v>
      </c>
      <c r="G489" s="22" t="s">
        <v>2540</v>
      </c>
      <c r="H489" s="22" t="s">
        <v>2541</v>
      </c>
      <c r="I489" s="23" t="s">
        <v>2536</v>
      </c>
      <c r="J489" s="22" t="s">
        <v>646</v>
      </c>
      <c r="L489" s="23">
        <v>35</v>
      </c>
      <c r="M489" s="23">
        <v>100</v>
      </c>
      <c r="N489" s="3">
        <f t="shared" si="252"/>
        <v>0.1225</v>
      </c>
      <c r="O489" s="4" t="e">
        <f>(C489-(C489*#REF!))-((C489-(C489*#REF!))*#REF!)</f>
        <v>#REF!</v>
      </c>
      <c r="P489" s="7"/>
      <c r="Q489" s="7"/>
      <c r="R489" s="5">
        <f t="shared" si="230"/>
        <v>0</v>
      </c>
      <c r="S489" s="4">
        <f t="shared" si="231"/>
        <v>0</v>
      </c>
      <c r="T489" s="13">
        <f t="shared" si="241"/>
        <v>91.693000000000012</v>
      </c>
      <c r="U489" s="13">
        <f t="shared" si="250"/>
        <v>45.846500000000006</v>
      </c>
      <c r="V489" s="14">
        <f>U489/C489</f>
        <v>0.35000000000000003</v>
      </c>
      <c r="W489" s="14"/>
      <c r="X489" s="19">
        <f t="shared" si="232"/>
        <v>45.846500000000006</v>
      </c>
      <c r="Y489" s="19">
        <f t="shared" si="233"/>
        <v>91.693000000000012</v>
      </c>
      <c r="Z489" s="15" t="e">
        <f t="shared" si="255"/>
        <v>#DIV/0!</v>
      </c>
      <c r="AA489" s="22" t="s">
        <v>2542</v>
      </c>
      <c r="AG489" s="94" t="s">
        <v>1169</v>
      </c>
      <c r="AH489" s="89" t="str">
        <f>VLOOKUP(AG489,Sheet1!$B$3:$D$36,2,FALSE)</f>
        <v>Decors</v>
      </c>
      <c r="AI489" s="89" t="s">
        <v>2263</v>
      </c>
      <c r="AJ489" s="1" t="str">
        <f t="shared" si="242"/>
        <v>Ethereal Silhouette Lamp</v>
      </c>
      <c r="AK489" s="1" t="str">
        <f t="shared" si="243"/>
        <v>d35 x h100</v>
      </c>
      <c r="AL489" s="1" t="str">
        <f t="shared" si="244"/>
        <v>rattan skin indoor</v>
      </c>
      <c r="AM489" s="1" t="str">
        <f t="shared" si="245"/>
        <v>rattan skin indoor</v>
      </c>
      <c r="AN489" s="1" t="str">
        <f t="shared" si="256"/>
        <v xml:space="preserve">rattan skin </v>
      </c>
      <c r="AO489" s="1" t="s">
        <v>54</v>
      </c>
      <c r="AQ489" s="1" t="str">
        <f t="shared" si="246"/>
        <v>B</v>
      </c>
      <c r="AR489" s="1" t="str">
        <f>VLOOKUP(TRIM(AI489),Sheet1!$D$3:$E$36,2,FALSE)</f>
        <v>08</v>
      </c>
      <c r="AS489" s="90" t="str">
        <f t="shared" si="247"/>
        <v>01</v>
      </c>
      <c r="AT489" s="1" t="str">
        <f t="shared" si="248"/>
        <v>01</v>
      </c>
      <c r="AU489" s="90" t="s">
        <v>1878</v>
      </c>
      <c r="AV489" s="90"/>
      <c r="AW489" s="90"/>
      <c r="AX489" s="95" t="str">
        <f>AQ489&amp;AR489&amp;AS489&amp;"-"&amp;AT489&amp;AU489&amp;BA489</f>
        <v>B0801-0116IND</v>
      </c>
      <c r="AY489" s="99" t="str">
        <f>AQ489&amp;AR489&amp;AS489&amp;"-"&amp;AT489&amp;BA489</f>
        <v>B0801-01IND</v>
      </c>
      <c r="AZ489" s="90"/>
      <c r="BA489" s="1" t="str">
        <f t="shared" si="249"/>
        <v>IND</v>
      </c>
      <c r="BC489" s="1">
        <f t="shared" ref="BC489:BC552" si="257">IF(AJ488&lt;&gt;AJ489,1,"")</f>
        <v>1</v>
      </c>
      <c r="BD489" s="90">
        <f t="shared" ref="BD489:BD552" si="258">IF(BC489=1,1,BD488+1)</f>
        <v>1</v>
      </c>
      <c r="BE489" s="1">
        <f t="shared" si="253"/>
        <v>1</v>
      </c>
      <c r="BF489" s="1">
        <f t="shared" si="254"/>
        <v>1</v>
      </c>
      <c r="BI489"/>
      <c r="BJ489"/>
      <c r="BL489"/>
    </row>
    <row r="490" spans="1:64" ht="11.25" customHeight="1">
      <c r="A490" s="26" t="s">
        <v>2543</v>
      </c>
      <c r="B490" s="27" t="s">
        <v>2544</v>
      </c>
      <c r="C490" s="28">
        <v>424.99</v>
      </c>
      <c r="D490" s="28">
        <f t="shared" si="240"/>
        <v>212.495</v>
      </c>
      <c r="E490" s="22" t="s">
        <v>2257</v>
      </c>
      <c r="F490" s="22" t="s">
        <v>2545</v>
      </c>
      <c r="G490" s="22" t="s">
        <v>2546</v>
      </c>
      <c r="H490" s="22" t="s">
        <v>2547</v>
      </c>
      <c r="I490" s="23" t="s">
        <v>2548</v>
      </c>
      <c r="J490" s="22" t="s">
        <v>646</v>
      </c>
      <c r="K490" s="23">
        <v>40</v>
      </c>
      <c r="L490" s="23">
        <v>30</v>
      </c>
      <c r="M490" s="23">
        <v>200</v>
      </c>
      <c r="N490" s="3">
        <f t="shared" si="252"/>
        <v>0.24</v>
      </c>
      <c r="O490" s="4" t="e">
        <f>(C490-(C490*#REF!))-((C490-(C490*#REF!))*#REF!)</f>
        <v>#REF!</v>
      </c>
      <c r="P490" s="7">
        <f>1214656.18691898-Q490</f>
        <v>464656.18691897998</v>
      </c>
      <c r="Q490" s="7">
        <v>750000</v>
      </c>
      <c r="R490" s="5">
        <f t="shared" si="230"/>
        <v>1214656.18691898</v>
      </c>
      <c r="S490" s="4">
        <f t="shared" si="231"/>
        <v>80.977079127932001</v>
      </c>
      <c r="T490" s="13">
        <f t="shared" si="241"/>
        <v>297.49299999999999</v>
      </c>
      <c r="U490" s="13">
        <f t="shared" si="250"/>
        <v>148.7465</v>
      </c>
      <c r="V490" s="14">
        <f>U490/C490</f>
        <v>0.35</v>
      </c>
      <c r="W490" s="18">
        <f>S490*$W$1</f>
        <v>161.954158255864</v>
      </c>
      <c r="X490" s="19">
        <f t="shared" si="232"/>
        <v>161.954158255864</v>
      </c>
      <c r="Y490" s="19">
        <f t="shared" si="233"/>
        <v>323.908316511728</v>
      </c>
      <c r="Z490" s="15">
        <v>2</v>
      </c>
      <c r="AA490" s="22" t="s">
        <v>2549</v>
      </c>
      <c r="AG490" s="94" t="s">
        <v>1169</v>
      </c>
      <c r="AH490" s="89" t="str">
        <f>VLOOKUP(AG490,Sheet1!$B$3:$D$36,2,FALSE)</f>
        <v>Decors</v>
      </c>
      <c r="AI490" s="89" t="s">
        <v>2263</v>
      </c>
      <c r="AJ490" s="1" t="str">
        <f t="shared" si="242"/>
        <v>Zenith Elegance Lamp</v>
      </c>
      <c r="AK490" s="1" t="str">
        <f t="shared" si="243"/>
        <v>w40 x d30 x h200</v>
      </c>
      <c r="AL490" s="1" t="str">
        <f t="shared" si="244"/>
        <v>teak branches with jute indoor</v>
      </c>
      <c r="AM490" s="1" t="str">
        <f t="shared" si="245"/>
        <v>teak branches with jute indoor</v>
      </c>
      <c r="AN490" s="1" t="str">
        <f t="shared" si="256"/>
        <v xml:space="preserve">teak branches with jute </v>
      </c>
      <c r="AO490" s="1" t="s">
        <v>54</v>
      </c>
      <c r="AQ490" s="1" t="str">
        <f t="shared" si="246"/>
        <v>B</v>
      </c>
      <c r="AR490" s="1" t="str">
        <f>VLOOKUP(TRIM(AI490),Sheet1!$D$3:$E$36,2,FALSE)</f>
        <v>08</v>
      </c>
      <c r="AS490" s="90" t="str">
        <f t="shared" si="247"/>
        <v>01</v>
      </c>
      <c r="AT490" s="1" t="str">
        <f t="shared" si="248"/>
        <v>01</v>
      </c>
      <c r="AU490" s="90" t="s">
        <v>664</v>
      </c>
      <c r="AV490" s="90"/>
      <c r="AW490" s="90"/>
      <c r="AX490" s="95" t="str">
        <f>AQ490&amp;AR490&amp;AS490&amp;"-"&amp;AT490&amp;AU490&amp;BA490</f>
        <v>B0801-0127IND</v>
      </c>
      <c r="AY490" s="99" t="str">
        <f>AQ490&amp;AR490&amp;AS490&amp;"-"&amp;AT490&amp;BA490</f>
        <v>B0801-01IND</v>
      </c>
      <c r="AZ490" s="90"/>
      <c r="BA490" s="1" t="str">
        <f t="shared" si="249"/>
        <v>IND</v>
      </c>
      <c r="BC490" s="1">
        <f t="shared" si="257"/>
        <v>1</v>
      </c>
      <c r="BD490" s="90">
        <f t="shared" si="258"/>
        <v>1</v>
      </c>
      <c r="BE490" s="1">
        <f t="shared" si="253"/>
        <v>1</v>
      </c>
      <c r="BF490" s="1">
        <f t="shared" si="254"/>
        <v>1</v>
      </c>
      <c r="BI490"/>
      <c r="BJ490"/>
      <c r="BL490"/>
    </row>
    <row r="491" spans="1:64" ht="11.25" customHeight="1">
      <c r="A491" s="26" t="s">
        <v>2550</v>
      </c>
      <c r="B491" s="27" t="s">
        <v>2551</v>
      </c>
      <c r="C491" s="28">
        <v>109.99</v>
      </c>
      <c r="D491" s="28">
        <f t="shared" si="240"/>
        <v>54.994999999999997</v>
      </c>
      <c r="E491" s="22" t="s">
        <v>2257</v>
      </c>
      <c r="F491" s="22" t="s">
        <v>2552</v>
      </c>
      <c r="G491" s="22" t="s">
        <v>2553</v>
      </c>
      <c r="H491" s="22" t="s">
        <v>2554</v>
      </c>
      <c r="I491" s="23" t="s">
        <v>2555</v>
      </c>
      <c r="J491" s="22" t="s">
        <v>646</v>
      </c>
      <c r="L491" s="23">
        <v>53</v>
      </c>
      <c r="M491" s="23">
        <v>50</v>
      </c>
      <c r="N491" s="3">
        <f t="shared" si="252"/>
        <v>0.14044999999999999</v>
      </c>
      <c r="O491" s="4" t="e">
        <f>(C491-(C491*#REF!))-((C491-(C491*#REF!))*#REF!)</f>
        <v>#REF!</v>
      </c>
      <c r="P491" s="7"/>
      <c r="Q491" s="7"/>
      <c r="R491" s="5">
        <f t="shared" si="230"/>
        <v>0</v>
      </c>
      <c r="S491" s="4">
        <f t="shared" si="231"/>
        <v>0</v>
      </c>
      <c r="T491" s="13">
        <f t="shared" si="241"/>
        <v>76.992999999999995</v>
      </c>
      <c r="U491" s="13">
        <f t="shared" si="250"/>
        <v>38.496499999999997</v>
      </c>
      <c r="V491" s="14">
        <f>U491/C491</f>
        <v>0.35</v>
      </c>
      <c r="W491" s="14"/>
      <c r="X491" s="19">
        <f t="shared" si="232"/>
        <v>38.496499999999997</v>
      </c>
      <c r="Y491" s="19">
        <f t="shared" si="233"/>
        <v>76.992999999999995</v>
      </c>
      <c r="Z491" s="15" t="e">
        <f t="shared" ref="Z491:Z554" si="259">U491/S491</f>
        <v>#DIV/0!</v>
      </c>
      <c r="AA491" s="22" t="s">
        <v>2556</v>
      </c>
      <c r="AG491" s="94" t="s">
        <v>1169</v>
      </c>
      <c r="AH491" s="89" t="str">
        <f>VLOOKUP(AG491,Sheet1!$B$3:$D$36,2,FALSE)</f>
        <v>Decors</v>
      </c>
      <c r="AI491" s="89" t="s">
        <v>2263</v>
      </c>
      <c r="AJ491" s="1" t="str">
        <f t="shared" si="242"/>
        <v>Lumina Lamp</v>
      </c>
      <c r="AK491" s="1" t="str">
        <f t="shared" si="243"/>
        <v>d53 x h50</v>
      </c>
      <c r="AL491" s="1" t="str">
        <f t="shared" si="244"/>
        <v>fishing net &amp; iron indoor</v>
      </c>
      <c r="AM491" s="1" t="str">
        <f t="shared" si="245"/>
        <v>fishing net &amp; iron indoor</v>
      </c>
      <c r="AN491" s="1" t="str">
        <f t="shared" si="256"/>
        <v xml:space="preserve">fishing net &amp; iron </v>
      </c>
      <c r="AO491" s="1" t="s">
        <v>54</v>
      </c>
      <c r="AQ491" s="1" t="str">
        <f t="shared" si="246"/>
        <v>B</v>
      </c>
      <c r="AR491" s="1" t="str">
        <f>VLOOKUP(TRIM(AI491),Sheet1!$D$3:$E$36,2,FALSE)</f>
        <v>08</v>
      </c>
      <c r="AS491" s="90" t="str">
        <f t="shared" si="247"/>
        <v>01</v>
      </c>
      <c r="AT491" s="1" t="str">
        <f t="shared" si="248"/>
        <v>01</v>
      </c>
      <c r="AU491" s="90" t="s">
        <v>2557</v>
      </c>
      <c r="AV491" s="90"/>
      <c r="AW491" s="90"/>
      <c r="AX491" s="95" t="str">
        <f>AQ491&amp;AR491&amp;AS491&amp;"-"&amp;AT491&amp;AU491&amp;BA491</f>
        <v>B0801-0140IND</v>
      </c>
      <c r="AY491" s="99" t="str">
        <f>AQ491&amp;AR491&amp;AS491&amp;"-"&amp;AT491&amp;BA491</f>
        <v>B0801-01IND</v>
      </c>
      <c r="AZ491" s="90"/>
      <c r="BA491" s="1" t="str">
        <f t="shared" si="249"/>
        <v>IND</v>
      </c>
      <c r="BC491" s="1">
        <f t="shared" si="257"/>
        <v>1</v>
      </c>
      <c r="BD491" s="90">
        <f t="shared" si="258"/>
        <v>1</v>
      </c>
      <c r="BE491" s="1">
        <f t="shared" si="253"/>
        <v>1</v>
      </c>
      <c r="BF491" s="1">
        <f t="shared" si="254"/>
        <v>1</v>
      </c>
      <c r="BI491"/>
      <c r="BJ491"/>
      <c r="BL491"/>
    </row>
    <row r="492" spans="1:64" s="63" customFormat="1" ht="15.75">
      <c r="A492" s="33" t="s">
        <v>2558</v>
      </c>
      <c r="B492" s="34"/>
      <c r="C492" s="35"/>
      <c r="D492" s="36"/>
      <c r="E492" s="39"/>
      <c r="F492" s="40"/>
      <c r="G492" s="39"/>
      <c r="H492" s="39"/>
      <c r="I492" s="41"/>
      <c r="J492" s="39"/>
      <c r="K492" s="41"/>
      <c r="L492" s="41"/>
      <c r="M492" s="41"/>
      <c r="N492" s="48"/>
      <c r="O492" s="48"/>
      <c r="P492" s="49"/>
      <c r="Q492" s="49"/>
      <c r="R492" s="50"/>
      <c r="S492" s="48"/>
      <c r="T492" s="13"/>
      <c r="U492" s="13"/>
      <c r="V492" s="14"/>
      <c r="W492" s="14"/>
      <c r="X492" s="60"/>
      <c r="Y492" s="60"/>
      <c r="Z492" s="15"/>
      <c r="AA492" s="39"/>
      <c r="AG492" s="93"/>
      <c r="AH492" s="89"/>
      <c r="AI492" s="89"/>
      <c r="AJ492" s="1"/>
      <c r="AK492" s="1"/>
      <c r="AL492" s="1"/>
      <c r="AM492" s="1"/>
      <c r="AN492" s="1"/>
      <c r="AQ492" s="1"/>
      <c r="AR492" s="1"/>
      <c r="AS492" s="90"/>
      <c r="AT492" s="1"/>
      <c r="AU492" s="90"/>
      <c r="AV492" s="90"/>
      <c r="AW492" s="90"/>
      <c r="AX492" s="95"/>
      <c r="AY492" s="99" t="str">
        <f>AQ492&amp;AR492&amp;AS492&amp;"-"&amp;AT492&amp;BA492</f>
        <v>-</v>
      </c>
      <c r="AZ492" s="90"/>
      <c r="BA492" s="1"/>
      <c r="BC492" s="1"/>
      <c r="BD492" s="90"/>
      <c r="BE492" s="1"/>
      <c r="BF492" s="1"/>
      <c r="BI492"/>
      <c r="BJ492"/>
      <c r="BK492" s="1"/>
      <c r="BL492"/>
    </row>
    <row r="493" spans="1:64" ht="11.25" customHeight="1">
      <c r="A493" s="26" t="s">
        <v>2559</v>
      </c>
      <c r="B493" s="27" t="s">
        <v>2560</v>
      </c>
      <c r="C493" s="28">
        <v>49.99</v>
      </c>
      <c r="D493" s="28">
        <f t="shared" si="240"/>
        <v>24.995000000000001</v>
      </c>
      <c r="E493" s="22" t="s">
        <v>2561</v>
      </c>
      <c r="F493" s="22" t="s">
        <v>2562</v>
      </c>
      <c r="G493" s="22" t="s">
        <v>135</v>
      </c>
      <c r="H493" s="22" t="s">
        <v>2563</v>
      </c>
      <c r="I493" s="23" t="s">
        <v>2564</v>
      </c>
      <c r="J493" s="22" t="s">
        <v>670</v>
      </c>
      <c r="L493" s="23">
        <v>15</v>
      </c>
      <c r="M493" s="23">
        <v>30</v>
      </c>
      <c r="N493" s="3">
        <f t="shared" ref="N493:N549" si="260">(IF(ISBLANK(K493),(L493*L493*M493),(K493*L493*M493)))/1000000</f>
        <v>6.7499999999999999E-3</v>
      </c>
      <c r="O493" s="4" t="e">
        <f>(C493-(C493*#REF!))-((C493-(C493*#REF!))*#REF!)</f>
        <v>#REF!</v>
      </c>
      <c r="P493" s="7"/>
      <c r="Q493" s="7"/>
      <c r="R493" s="5">
        <f t="shared" ref="R493:R549" si="261">P493+Q493</f>
        <v>0</v>
      </c>
      <c r="S493" s="4">
        <f t="shared" ref="S493:S549" si="262">R493/15000</f>
        <v>0</v>
      </c>
      <c r="T493" s="13">
        <f t="shared" si="241"/>
        <v>34.993000000000002</v>
      </c>
      <c r="U493" s="13">
        <f t="shared" si="250"/>
        <v>17.496500000000001</v>
      </c>
      <c r="V493" s="14">
        <f>U493/C493</f>
        <v>0.35000000000000003</v>
      </c>
      <c r="W493" s="14"/>
      <c r="X493" s="19">
        <f t="shared" ref="X493:X549" si="263">IF(ISBLANK(W493),U493, W493)</f>
        <v>17.496500000000001</v>
      </c>
      <c r="Y493" s="19">
        <f t="shared" ref="Y493:Y549" si="264">X493*2</f>
        <v>34.993000000000002</v>
      </c>
      <c r="Z493" s="15" t="e">
        <f t="shared" si="259"/>
        <v>#DIV/0!</v>
      </c>
      <c r="AA493" s="22" t="s">
        <v>2565</v>
      </c>
      <c r="AG493" s="94" t="s">
        <v>1169</v>
      </c>
      <c r="AH493" s="89" t="str">
        <f>VLOOKUP(AG493,Sheet1!$B$3:$D$36,2,FALSE)</f>
        <v>Decors</v>
      </c>
      <c r="AI493" s="89" t="s">
        <v>2566</v>
      </c>
      <c r="AJ493" s="1" t="str">
        <f t="shared" si="242"/>
        <v>Bogdan dia 15 cm</v>
      </c>
      <c r="AK493" s="1" t="str">
        <f t="shared" si="243"/>
        <v>ø15 x h30</v>
      </c>
      <c r="AL493" s="1" t="str">
        <f t="shared" si="244"/>
        <v>clear glass semi</v>
      </c>
      <c r="AM493" s="1" t="str">
        <f t="shared" si="245"/>
        <v>clear glass semi</v>
      </c>
      <c r="AN493" s="1" t="str">
        <f t="shared" si="256"/>
        <v>clear glass semi</v>
      </c>
      <c r="AQ493" s="1" t="str">
        <f t="shared" si="246"/>
        <v>B</v>
      </c>
      <c r="AR493" s="1" t="str">
        <f>VLOOKUP(TRIM(AI493),Sheet1!$D$3:$E$36,2,FALSE)</f>
        <v>09</v>
      </c>
      <c r="AS493" s="90" t="str">
        <f t="shared" si="247"/>
        <v>01</v>
      </c>
      <c r="AT493" s="1" t="str">
        <f t="shared" si="248"/>
        <v>01</v>
      </c>
      <c r="AU493" s="90" t="s">
        <v>2567</v>
      </c>
      <c r="AV493" s="90"/>
      <c r="AW493" s="90"/>
      <c r="AX493" s="95" t="str">
        <f>AQ493&amp;AR493&amp;AS493&amp;"-"&amp;AT493&amp;AU493&amp;BA493</f>
        <v>B0901-0138</v>
      </c>
      <c r="AY493" s="99" t="str">
        <f>AQ493&amp;AR493&amp;AS493&amp;"-"&amp;AT493&amp;BA493</f>
        <v>B0901-01</v>
      </c>
      <c r="AZ493" s="90"/>
      <c r="BA493" s="1" t="str">
        <f t="shared" si="249"/>
        <v/>
      </c>
      <c r="BC493" s="1">
        <f t="shared" si="257"/>
        <v>1</v>
      </c>
      <c r="BD493" s="90">
        <f t="shared" si="258"/>
        <v>1</v>
      </c>
      <c r="BE493" s="1">
        <f t="shared" si="253"/>
        <v>1</v>
      </c>
      <c r="BF493" s="1">
        <f t="shared" si="254"/>
        <v>1</v>
      </c>
      <c r="BI493"/>
      <c r="BJ493"/>
      <c r="BL493"/>
    </row>
    <row r="494" spans="1:64" ht="11.25" customHeight="1">
      <c r="A494" s="26" t="s">
        <v>2568</v>
      </c>
      <c r="B494" s="27" t="s">
        <v>2560</v>
      </c>
      <c r="C494" s="28">
        <v>41.99</v>
      </c>
      <c r="D494" s="28">
        <f t="shared" si="240"/>
        <v>20.995000000000001</v>
      </c>
      <c r="E494" s="22" t="s">
        <v>2561</v>
      </c>
      <c r="F494" s="22" t="s">
        <v>2569</v>
      </c>
      <c r="G494" s="22" t="s">
        <v>135</v>
      </c>
      <c r="H494" s="22" t="s">
        <v>2570</v>
      </c>
      <c r="I494" s="23" t="s">
        <v>2564</v>
      </c>
      <c r="J494" s="22" t="s">
        <v>670</v>
      </c>
      <c r="L494" s="23">
        <v>15</v>
      </c>
      <c r="M494" s="23">
        <v>20</v>
      </c>
      <c r="N494" s="3">
        <f t="shared" si="260"/>
        <v>4.4999999999999997E-3</v>
      </c>
      <c r="O494" s="4" t="e">
        <f>(C494-(C494*#REF!))-((C494-(C494*#REF!))*#REF!)</f>
        <v>#REF!</v>
      </c>
      <c r="P494" s="7"/>
      <c r="Q494" s="7"/>
      <c r="R494" s="5">
        <f t="shared" si="261"/>
        <v>0</v>
      </c>
      <c r="S494" s="4">
        <f t="shared" si="262"/>
        <v>0</v>
      </c>
      <c r="T494" s="13">
        <f t="shared" si="241"/>
        <v>29.393000000000001</v>
      </c>
      <c r="U494" s="13">
        <f t="shared" si="250"/>
        <v>14.6965</v>
      </c>
      <c r="V494" s="14">
        <f>U494/C494</f>
        <v>0.35</v>
      </c>
      <c r="W494" s="14"/>
      <c r="X494" s="19">
        <f t="shared" si="263"/>
        <v>14.6965</v>
      </c>
      <c r="Y494" s="19">
        <f t="shared" si="264"/>
        <v>29.393000000000001</v>
      </c>
      <c r="Z494" s="15" t="e">
        <f t="shared" si="259"/>
        <v>#DIV/0!</v>
      </c>
      <c r="AA494" s="22" t="s">
        <v>2571</v>
      </c>
      <c r="AG494" s="94" t="s">
        <v>1169</v>
      </c>
      <c r="AH494" s="89" t="str">
        <f>VLOOKUP(AG494,Sheet1!$B$3:$D$36,2,FALSE)</f>
        <v>Decors</v>
      </c>
      <c r="AI494" s="89" t="s">
        <v>2566</v>
      </c>
      <c r="AJ494" s="1" t="str">
        <f t="shared" si="242"/>
        <v>Bogdan dia 15 cm</v>
      </c>
      <c r="AK494" s="1" t="str">
        <f t="shared" si="243"/>
        <v>ø15 x h20</v>
      </c>
      <c r="AL494" s="1" t="str">
        <f t="shared" si="244"/>
        <v>clear glass semi</v>
      </c>
      <c r="AM494" s="1" t="str">
        <f t="shared" si="245"/>
        <v>clear glass semi</v>
      </c>
      <c r="AN494" s="1" t="str">
        <f t="shared" si="256"/>
        <v>clear glass semi</v>
      </c>
      <c r="AQ494" s="1" t="str">
        <f t="shared" si="246"/>
        <v>B</v>
      </c>
      <c r="AR494" s="1" t="str">
        <f>VLOOKUP(TRIM(AI494),Sheet1!$D$3:$E$36,2,FALSE)</f>
        <v>09</v>
      </c>
      <c r="AS494" s="90" t="str">
        <f t="shared" si="247"/>
        <v>02</v>
      </c>
      <c r="AT494" s="1" t="str">
        <f t="shared" si="248"/>
        <v>01</v>
      </c>
      <c r="AU494" s="90" t="s">
        <v>2567</v>
      </c>
      <c r="AV494" s="90"/>
      <c r="AW494" s="90"/>
      <c r="AX494" s="95" t="str">
        <f>AQ494&amp;AR494&amp;AS494&amp;"-"&amp;AT494&amp;AU494&amp;BA494</f>
        <v>B0902-0138</v>
      </c>
      <c r="AY494" s="99" t="str">
        <f>AQ494&amp;AR494&amp;AS494&amp;"-"&amp;AT494&amp;BA494</f>
        <v>B0902-01</v>
      </c>
      <c r="AZ494" s="90"/>
      <c r="BA494" s="1" t="str">
        <f t="shared" si="249"/>
        <v/>
      </c>
      <c r="BC494" s="1" t="str">
        <f t="shared" si="257"/>
        <v/>
      </c>
      <c r="BD494" s="90">
        <f t="shared" si="258"/>
        <v>2</v>
      </c>
      <c r="BE494" s="1">
        <f t="shared" si="253"/>
        <v>1</v>
      </c>
      <c r="BF494" s="1">
        <f t="shared" si="254"/>
        <v>1</v>
      </c>
      <c r="BI494"/>
      <c r="BJ494"/>
      <c r="BL494"/>
    </row>
    <row r="495" spans="1:64" ht="11.25" customHeight="1">
      <c r="A495" s="26" t="s">
        <v>2572</v>
      </c>
      <c r="B495" s="27" t="s">
        <v>2573</v>
      </c>
      <c r="C495" s="28">
        <v>25.99</v>
      </c>
      <c r="D495" s="28">
        <f t="shared" si="240"/>
        <v>12.994999999999999</v>
      </c>
      <c r="E495" s="22" t="s">
        <v>2561</v>
      </c>
      <c r="F495" s="22" t="s">
        <v>2574</v>
      </c>
      <c r="G495" s="22" t="s">
        <v>2575</v>
      </c>
      <c r="H495" s="22" t="s">
        <v>2576</v>
      </c>
      <c r="I495" s="23" t="s">
        <v>2564</v>
      </c>
      <c r="J495" s="22" t="s">
        <v>670</v>
      </c>
      <c r="L495" s="23">
        <v>12</v>
      </c>
      <c r="M495" s="23">
        <v>13</v>
      </c>
      <c r="N495" s="3">
        <f t="shared" si="260"/>
        <v>1.872E-3</v>
      </c>
      <c r="O495" s="4" t="e">
        <f>(C495-(C495*#REF!))-((C495-(C495*#REF!))*#REF!)</f>
        <v>#REF!</v>
      </c>
      <c r="P495" s="7"/>
      <c r="Q495" s="7"/>
      <c r="R495" s="5">
        <f t="shared" si="261"/>
        <v>0</v>
      </c>
      <c r="S495" s="4">
        <f t="shared" si="262"/>
        <v>0</v>
      </c>
      <c r="T495" s="13">
        <f t="shared" si="241"/>
        <v>18.192999999999998</v>
      </c>
      <c r="U495" s="13">
        <f t="shared" si="250"/>
        <v>9.0964999999999989</v>
      </c>
      <c r="V495" s="14">
        <f>U495/C495</f>
        <v>0.35</v>
      </c>
      <c r="W495" s="14"/>
      <c r="X495" s="19">
        <f t="shared" si="263"/>
        <v>9.0964999999999989</v>
      </c>
      <c r="Y495" s="19">
        <f t="shared" si="264"/>
        <v>18.192999999999998</v>
      </c>
      <c r="Z495" s="15" t="e">
        <f t="shared" si="259"/>
        <v>#DIV/0!</v>
      </c>
      <c r="AA495" s="22" t="s">
        <v>2577</v>
      </c>
      <c r="AG495" s="94" t="s">
        <v>1169</v>
      </c>
      <c r="AH495" s="89" t="str">
        <f>VLOOKUP(AG495,Sheet1!$B$3:$D$36,2,FALSE)</f>
        <v>Decors</v>
      </c>
      <c r="AI495" s="89" t="s">
        <v>2566</v>
      </c>
      <c r="AJ495" s="1" t="str">
        <f t="shared" si="242"/>
        <v>Bogdan dia 12 cm</v>
      </c>
      <c r="AK495" s="1" t="str">
        <f t="shared" si="243"/>
        <v>ø12 x h13</v>
      </c>
      <c r="AL495" s="1" t="str">
        <f t="shared" si="244"/>
        <v>clear glass semi</v>
      </c>
      <c r="AM495" s="1" t="str">
        <f t="shared" si="245"/>
        <v>clear glass semi</v>
      </c>
      <c r="AN495" s="1" t="str">
        <f t="shared" si="256"/>
        <v>clear glass semi</v>
      </c>
      <c r="AQ495" s="1" t="str">
        <f t="shared" si="246"/>
        <v>B</v>
      </c>
      <c r="AR495" s="1" t="str">
        <f>VLOOKUP(TRIM(AI495),Sheet1!$D$3:$E$36,2,FALSE)</f>
        <v>09</v>
      </c>
      <c r="AS495" s="90" t="str">
        <f t="shared" si="247"/>
        <v>01</v>
      </c>
      <c r="AT495" s="1" t="str">
        <f t="shared" si="248"/>
        <v>01</v>
      </c>
      <c r="AU495" s="90" t="s">
        <v>2567</v>
      </c>
      <c r="AV495" s="90"/>
      <c r="AW495" s="90"/>
      <c r="AX495" s="95" t="str">
        <f>AQ495&amp;AR495&amp;AS495&amp;"-"&amp;AT495&amp;AU495&amp;BA495</f>
        <v>B0901-0138</v>
      </c>
      <c r="AY495" s="99" t="str">
        <f>AQ495&amp;AR495&amp;AS495&amp;"-"&amp;AT495&amp;BA495</f>
        <v>B0901-01</v>
      </c>
      <c r="AZ495" s="90"/>
      <c r="BA495" s="1" t="str">
        <f t="shared" si="249"/>
        <v/>
      </c>
      <c r="BC495" s="1">
        <f t="shared" si="257"/>
        <v>1</v>
      </c>
      <c r="BD495" s="90">
        <f t="shared" si="258"/>
        <v>1</v>
      </c>
      <c r="BE495" s="1">
        <f t="shared" si="253"/>
        <v>1</v>
      </c>
      <c r="BF495" s="1">
        <f t="shared" si="254"/>
        <v>1</v>
      </c>
      <c r="BI495"/>
      <c r="BJ495"/>
      <c r="BL495"/>
    </row>
    <row r="496" spans="1:64" ht="11.25" customHeight="1">
      <c r="A496" s="26" t="s">
        <v>2578</v>
      </c>
      <c r="B496" s="27" t="s">
        <v>2579</v>
      </c>
      <c r="C496" s="28">
        <v>116.99</v>
      </c>
      <c r="D496" s="28">
        <f t="shared" si="240"/>
        <v>58.494999999999997</v>
      </c>
      <c r="E496" s="22" t="s">
        <v>2561</v>
      </c>
      <c r="F496" s="22" t="s">
        <v>2580</v>
      </c>
      <c r="G496" s="22" t="s">
        <v>140</v>
      </c>
      <c r="H496" s="22" t="s">
        <v>2581</v>
      </c>
      <c r="I496" s="23" t="s">
        <v>2564</v>
      </c>
      <c r="J496" s="22" t="s">
        <v>670</v>
      </c>
      <c r="L496" s="23">
        <v>25</v>
      </c>
      <c r="M496" s="23">
        <v>16</v>
      </c>
      <c r="N496" s="3">
        <f t="shared" si="260"/>
        <v>0.01</v>
      </c>
      <c r="O496" s="4" t="e">
        <f>(C496-(C496*#REF!))-((C496-(C496*#REF!))*#REF!)</f>
        <v>#REF!</v>
      </c>
      <c r="P496" s="7"/>
      <c r="Q496" s="7"/>
      <c r="R496" s="5">
        <f t="shared" si="261"/>
        <v>0</v>
      </c>
      <c r="S496" s="4">
        <f t="shared" si="262"/>
        <v>0</v>
      </c>
      <c r="T496" s="13">
        <f t="shared" si="241"/>
        <v>81.893000000000001</v>
      </c>
      <c r="U496" s="13">
        <f t="shared" si="250"/>
        <v>40.9465</v>
      </c>
      <c r="V496" s="14">
        <f>U496/C496</f>
        <v>0.35000000000000003</v>
      </c>
      <c r="W496" s="14"/>
      <c r="X496" s="19">
        <f t="shared" si="263"/>
        <v>40.9465</v>
      </c>
      <c r="Y496" s="19">
        <f t="shared" si="264"/>
        <v>81.893000000000001</v>
      </c>
      <c r="Z496" s="15" t="e">
        <f t="shared" si="259"/>
        <v>#DIV/0!</v>
      </c>
      <c r="AA496" s="22" t="s">
        <v>2582</v>
      </c>
      <c r="AG496" s="94" t="s">
        <v>1169</v>
      </c>
      <c r="AH496" s="89" t="str">
        <f>VLOOKUP(AG496,Sheet1!$B$3:$D$36,2,FALSE)</f>
        <v>Decors</v>
      </c>
      <c r="AI496" s="89" t="s">
        <v>2566</v>
      </c>
      <c r="AJ496" s="1" t="str">
        <f t="shared" si="242"/>
        <v>Bogdan dia 25 cm</v>
      </c>
      <c r="AK496" s="1" t="str">
        <f t="shared" si="243"/>
        <v>ø25 x h16</v>
      </c>
      <c r="AL496" s="1" t="str">
        <f t="shared" si="244"/>
        <v>clear glass semi</v>
      </c>
      <c r="AM496" s="1" t="str">
        <f t="shared" si="245"/>
        <v>clear glass semi</v>
      </c>
      <c r="AN496" s="1" t="str">
        <f t="shared" si="256"/>
        <v>clear glass semi</v>
      </c>
      <c r="AQ496" s="1" t="str">
        <f t="shared" si="246"/>
        <v>B</v>
      </c>
      <c r="AR496" s="1" t="str">
        <f>VLOOKUP(TRIM(AI496),Sheet1!$D$3:$E$36,2,FALSE)</f>
        <v>09</v>
      </c>
      <c r="AS496" s="90" t="str">
        <f t="shared" si="247"/>
        <v>01</v>
      </c>
      <c r="AT496" s="1" t="str">
        <f t="shared" si="248"/>
        <v>01</v>
      </c>
      <c r="AU496" s="90" t="s">
        <v>2567</v>
      </c>
      <c r="AV496" s="90"/>
      <c r="AW496" s="90"/>
      <c r="AX496" s="95" t="str">
        <f>AQ496&amp;AR496&amp;AS496&amp;"-"&amp;AT496&amp;AU496&amp;BA496</f>
        <v>B0901-0138</v>
      </c>
      <c r="AY496" s="99" t="str">
        <f>AQ496&amp;AR496&amp;AS496&amp;"-"&amp;AT496&amp;BA496</f>
        <v>B0901-01</v>
      </c>
      <c r="AZ496" s="90"/>
      <c r="BA496" s="1" t="str">
        <f t="shared" si="249"/>
        <v/>
      </c>
      <c r="BC496" s="1">
        <f t="shared" si="257"/>
        <v>1</v>
      </c>
      <c r="BD496" s="90">
        <f t="shared" si="258"/>
        <v>1</v>
      </c>
      <c r="BE496" s="1">
        <f t="shared" si="253"/>
        <v>1</v>
      </c>
      <c r="BF496" s="1">
        <f t="shared" si="254"/>
        <v>1</v>
      </c>
      <c r="BI496"/>
      <c r="BJ496"/>
      <c r="BL496"/>
    </row>
    <row r="497" spans="1:64" ht="11.25" customHeight="1">
      <c r="A497" s="26" t="s">
        <v>2583</v>
      </c>
      <c r="B497" s="27" t="s">
        <v>2579</v>
      </c>
      <c r="C497" s="28">
        <v>126.99</v>
      </c>
      <c r="D497" s="28">
        <f t="shared" si="240"/>
        <v>63.494999999999997</v>
      </c>
      <c r="E497" s="22" t="s">
        <v>2561</v>
      </c>
      <c r="F497" s="22" t="s">
        <v>2584</v>
      </c>
      <c r="G497" s="22" t="s">
        <v>140</v>
      </c>
      <c r="H497" s="22" t="s">
        <v>2585</v>
      </c>
      <c r="I497" s="23" t="s">
        <v>2564</v>
      </c>
      <c r="J497" s="22" t="s">
        <v>670</v>
      </c>
      <c r="L497" s="23">
        <v>25</v>
      </c>
      <c r="M497" s="23">
        <v>25</v>
      </c>
      <c r="N497" s="3">
        <f t="shared" si="260"/>
        <v>1.5625E-2</v>
      </c>
      <c r="O497" s="4" t="e">
        <f>(C497-(C497*#REF!))-((C497-(C497*#REF!))*#REF!)</f>
        <v>#REF!</v>
      </c>
      <c r="P497" s="7"/>
      <c r="Q497" s="7"/>
      <c r="R497" s="5">
        <f t="shared" si="261"/>
        <v>0</v>
      </c>
      <c r="S497" s="4">
        <f t="shared" si="262"/>
        <v>0</v>
      </c>
      <c r="T497" s="13">
        <f t="shared" si="241"/>
        <v>88.893000000000001</v>
      </c>
      <c r="U497" s="13">
        <f t="shared" si="250"/>
        <v>44.4465</v>
      </c>
      <c r="V497" s="14">
        <f>U497/C497</f>
        <v>0.35000000000000003</v>
      </c>
      <c r="W497" s="14"/>
      <c r="X497" s="19">
        <f t="shared" si="263"/>
        <v>44.4465</v>
      </c>
      <c r="Y497" s="19">
        <f t="shared" si="264"/>
        <v>88.893000000000001</v>
      </c>
      <c r="Z497" s="15" t="e">
        <f t="shared" si="259"/>
        <v>#DIV/0!</v>
      </c>
      <c r="AA497" s="22" t="s">
        <v>2586</v>
      </c>
      <c r="AG497" s="94" t="s">
        <v>1169</v>
      </c>
      <c r="AH497" s="89" t="str">
        <f>VLOOKUP(AG497,Sheet1!$B$3:$D$36,2,FALSE)</f>
        <v>Decors</v>
      </c>
      <c r="AI497" s="89" t="s">
        <v>2566</v>
      </c>
      <c r="AJ497" s="1" t="str">
        <f t="shared" si="242"/>
        <v>Bogdan dia 25 cm</v>
      </c>
      <c r="AK497" s="1" t="str">
        <f t="shared" si="243"/>
        <v>ø25 x h25</v>
      </c>
      <c r="AL497" s="1" t="str">
        <f t="shared" si="244"/>
        <v>clear glass semi</v>
      </c>
      <c r="AM497" s="1" t="str">
        <f t="shared" si="245"/>
        <v>clear glass semi</v>
      </c>
      <c r="AN497" s="1" t="str">
        <f t="shared" si="256"/>
        <v>clear glass semi</v>
      </c>
      <c r="AQ497" s="1" t="str">
        <f t="shared" si="246"/>
        <v>B</v>
      </c>
      <c r="AR497" s="1" t="str">
        <f>VLOOKUP(TRIM(AI497),Sheet1!$D$3:$E$36,2,FALSE)</f>
        <v>09</v>
      </c>
      <c r="AS497" s="90" t="str">
        <f t="shared" si="247"/>
        <v>02</v>
      </c>
      <c r="AT497" s="1" t="str">
        <f t="shared" si="248"/>
        <v>01</v>
      </c>
      <c r="AU497" s="90" t="s">
        <v>2567</v>
      </c>
      <c r="AV497" s="90"/>
      <c r="AW497" s="90"/>
      <c r="AX497" s="95" t="str">
        <f>AQ497&amp;AR497&amp;AS497&amp;"-"&amp;AT497&amp;AU497&amp;BA497</f>
        <v>B0902-0138</v>
      </c>
      <c r="AY497" s="99" t="str">
        <f>AQ497&amp;AR497&amp;AS497&amp;"-"&amp;AT497&amp;BA497</f>
        <v>B0902-01</v>
      </c>
      <c r="AZ497" s="90"/>
      <c r="BA497" s="1" t="str">
        <f t="shared" si="249"/>
        <v/>
      </c>
      <c r="BC497" s="1" t="str">
        <f t="shared" si="257"/>
        <v/>
      </c>
      <c r="BD497" s="90">
        <f t="shared" si="258"/>
        <v>2</v>
      </c>
      <c r="BE497" s="1">
        <f t="shared" si="253"/>
        <v>1</v>
      </c>
      <c r="BF497" s="1">
        <f t="shared" si="254"/>
        <v>1</v>
      </c>
      <c r="BI497"/>
      <c r="BJ497"/>
      <c r="BL497"/>
    </row>
    <row r="498" spans="1:64" ht="11.25" customHeight="1">
      <c r="A498" s="26" t="s">
        <v>2587</v>
      </c>
      <c r="B498" s="27" t="s">
        <v>2579</v>
      </c>
      <c r="C498" s="28">
        <v>184.99</v>
      </c>
      <c r="D498" s="28">
        <f t="shared" si="240"/>
        <v>92.495000000000005</v>
      </c>
      <c r="E498" s="22" t="s">
        <v>2561</v>
      </c>
      <c r="F498" s="22" t="s">
        <v>2588</v>
      </c>
      <c r="G498" s="22" t="s">
        <v>140</v>
      </c>
      <c r="H498" s="22" t="s">
        <v>2589</v>
      </c>
      <c r="I498" s="23" t="s">
        <v>2564</v>
      </c>
      <c r="J498" s="22" t="s">
        <v>670</v>
      </c>
      <c r="L498" s="23">
        <v>25</v>
      </c>
      <c r="M498" s="23">
        <v>40</v>
      </c>
      <c r="N498" s="3">
        <f t="shared" si="260"/>
        <v>2.5000000000000001E-2</v>
      </c>
      <c r="O498" s="4" t="e">
        <f>(C498-(C498*#REF!))-((C498-(C498*#REF!))*#REF!)</f>
        <v>#REF!</v>
      </c>
      <c r="P498" s="7"/>
      <c r="Q498" s="7"/>
      <c r="R498" s="5">
        <f t="shared" si="261"/>
        <v>0</v>
      </c>
      <c r="S498" s="4">
        <f t="shared" si="262"/>
        <v>0</v>
      </c>
      <c r="T498" s="13">
        <f t="shared" si="241"/>
        <v>129.49299999999999</v>
      </c>
      <c r="U498" s="13">
        <f t="shared" si="250"/>
        <v>64.746499999999997</v>
      </c>
      <c r="V498" s="14">
        <f>U498/C498</f>
        <v>0.35</v>
      </c>
      <c r="W498" s="14"/>
      <c r="X498" s="19">
        <f t="shared" si="263"/>
        <v>64.746499999999997</v>
      </c>
      <c r="Y498" s="19">
        <f t="shared" si="264"/>
        <v>129.49299999999999</v>
      </c>
      <c r="Z498" s="15" t="e">
        <f t="shared" si="259"/>
        <v>#DIV/0!</v>
      </c>
      <c r="AA498" s="22" t="s">
        <v>2586</v>
      </c>
      <c r="AG498" s="94" t="s">
        <v>1169</v>
      </c>
      <c r="AH498" s="89" t="str">
        <f>VLOOKUP(AG498,Sheet1!$B$3:$D$36,2,FALSE)</f>
        <v>Decors</v>
      </c>
      <c r="AI498" s="89" t="s">
        <v>2566</v>
      </c>
      <c r="AJ498" s="1" t="str">
        <f t="shared" si="242"/>
        <v>Bogdan dia 25 cm</v>
      </c>
      <c r="AK498" s="1" t="str">
        <f t="shared" si="243"/>
        <v>ø25 x h40</v>
      </c>
      <c r="AL498" s="1" t="str">
        <f t="shared" si="244"/>
        <v>clear glass semi</v>
      </c>
      <c r="AM498" s="1" t="str">
        <f t="shared" si="245"/>
        <v>clear glass semi</v>
      </c>
      <c r="AN498" s="1" t="str">
        <f t="shared" si="256"/>
        <v>clear glass semi</v>
      </c>
      <c r="AQ498" s="1" t="str">
        <f t="shared" si="246"/>
        <v>B</v>
      </c>
      <c r="AR498" s="1" t="str">
        <f>VLOOKUP(TRIM(AI498),Sheet1!$D$3:$E$36,2,FALSE)</f>
        <v>09</v>
      </c>
      <c r="AS498" s="90" t="str">
        <f t="shared" si="247"/>
        <v>03</v>
      </c>
      <c r="AT498" s="1" t="str">
        <f t="shared" si="248"/>
        <v>01</v>
      </c>
      <c r="AU498" s="90" t="s">
        <v>2567</v>
      </c>
      <c r="AV498" s="90"/>
      <c r="AW498" s="90"/>
      <c r="AX498" s="95" t="str">
        <f>AQ498&amp;AR498&amp;AS498&amp;"-"&amp;AT498&amp;AU498&amp;BA498</f>
        <v>B0903-0138</v>
      </c>
      <c r="AY498" s="99" t="str">
        <f>AQ498&amp;AR498&amp;AS498&amp;"-"&amp;AT498&amp;BA498</f>
        <v>B0903-01</v>
      </c>
      <c r="AZ498" s="90"/>
      <c r="BA498" s="1" t="str">
        <f t="shared" si="249"/>
        <v/>
      </c>
      <c r="BC498" s="1" t="str">
        <f t="shared" si="257"/>
        <v/>
      </c>
      <c r="BD498" s="90">
        <f t="shared" si="258"/>
        <v>3</v>
      </c>
      <c r="BE498" s="1">
        <f t="shared" si="253"/>
        <v>1</v>
      </c>
      <c r="BF498" s="1">
        <f t="shared" si="254"/>
        <v>1</v>
      </c>
      <c r="BI498"/>
      <c r="BJ498"/>
      <c r="BL498"/>
    </row>
    <row r="499" spans="1:64" ht="11.25" customHeight="1">
      <c r="A499" s="26" t="s">
        <v>2590</v>
      </c>
      <c r="B499" s="27" t="s">
        <v>2591</v>
      </c>
      <c r="C499" s="28">
        <v>118.99</v>
      </c>
      <c r="D499" s="28">
        <f t="shared" si="240"/>
        <v>59.494999999999997</v>
      </c>
      <c r="E499" s="22" t="s">
        <v>2561</v>
      </c>
      <c r="F499" s="22" t="s">
        <v>2592</v>
      </c>
      <c r="G499" s="22" t="s">
        <v>144</v>
      </c>
      <c r="H499" s="22" t="s">
        <v>2593</v>
      </c>
      <c r="I499" s="23" t="s">
        <v>2564</v>
      </c>
      <c r="J499" s="22" t="s">
        <v>670</v>
      </c>
      <c r="L499" s="23">
        <v>30</v>
      </c>
      <c r="M499" s="23">
        <v>19</v>
      </c>
      <c r="N499" s="3">
        <f t="shared" si="260"/>
        <v>1.7100000000000001E-2</v>
      </c>
      <c r="O499" s="4" t="e">
        <f>(C499-(C499*#REF!))-((C499-(C499*#REF!))*#REF!)</f>
        <v>#REF!</v>
      </c>
      <c r="P499" s="7"/>
      <c r="Q499" s="7"/>
      <c r="R499" s="5">
        <f t="shared" si="261"/>
        <v>0</v>
      </c>
      <c r="S499" s="4">
        <f t="shared" si="262"/>
        <v>0</v>
      </c>
      <c r="T499" s="13">
        <f t="shared" si="241"/>
        <v>83.293000000000006</v>
      </c>
      <c r="U499" s="13">
        <f t="shared" si="250"/>
        <v>41.646500000000003</v>
      </c>
      <c r="V499" s="14">
        <f>U499/C499</f>
        <v>0.35000000000000003</v>
      </c>
      <c r="W499" s="14"/>
      <c r="X499" s="19">
        <f t="shared" si="263"/>
        <v>41.646500000000003</v>
      </c>
      <c r="Y499" s="19">
        <f t="shared" si="264"/>
        <v>83.293000000000006</v>
      </c>
      <c r="Z499" s="15" t="e">
        <f t="shared" si="259"/>
        <v>#DIV/0!</v>
      </c>
      <c r="AA499" s="22" t="s">
        <v>2594</v>
      </c>
      <c r="AG499" s="94" t="s">
        <v>1169</v>
      </c>
      <c r="AH499" s="89" t="str">
        <f>VLOOKUP(AG499,Sheet1!$B$3:$D$36,2,FALSE)</f>
        <v>Decors</v>
      </c>
      <c r="AI499" s="89" t="s">
        <v>2566</v>
      </c>
      <c r="AJ499" s="1" t="str">
        <f t="shared" si="242"/>
        <v>Bogdan dia 30 cm</v>
      </c>
      <c r="AK499" s="1" t="str">
        <f t="shared" si="243"/>
        <v>ø30 x h19</v>
      </c>
      <c r="AL499" s="1" t="str">
        <f t="shared" si="244"/>
        <v>clear glass semi</v>
      </c>
      <c r="AM499" s="1" t="str">
        <f t="shared" si="245"/>
        <v>clear glass semi</v>
      </c>
      <c r="AN499" s="1" t="str">
        <f t="shared" si="256"/>
        <v>clear glass semi</v>
      </c>
      <c r="AQ499" s="1" t="str">
        <f t="shared" si="246"/>
        <v>B</v>
      </c>
      <c r="AR499" s="1" t="str">
        <f>VLOOKUP(TRIM(AI499),Sheet1!$D$3:$E$36,2,FALSE)</f>
        <v>09</v>
      </c>
      <c r="AS499" s="90" t="str">
        <f t="shared" si="247"/>
        <v>01</v>
      </c>
      <c r="AT499" s="1" t="str">
        <f t="shared" si="248"/>
        <v>01</v>
      </c>
      <c r="AU499" s="90" t="s">
        <v>2567</v>
      </c>
      <c r="AV499" s="90"/>
      <c r="AW499" s="90"/>
      <c r="AX499" s="95" t="str">
        <f>AQ499&amp;AR499&amp;AS499&amp;"-"&amp;AT499&amp;AU499&amp;BA499</f>
        <v>B0901-0138</v>
      </c>
      <c r="AY499" s="99" t="str">
        <f>AQ499&amp;AR499&amp;AS499&amp;"-"&amp;AT499&amp;BA499</f>
        <v>B0901-01</v>
      </c>
      <c r="AZ499" s="90"/>
      <c r="BA499" s="1" t="str">
        <f t="shared" si="249"/>
        <v/>
      </c>
      <c r="BC499" s="1">
        <f t="shared" si="257"/>
        <v>1</v>
      </c>
      <c r="BD499" s="90">
        <f t="shared" si="258"/>
        <v>1</v>
      </c>
      <c r="BE499" s="1">
        <f t="shared" si="253"/>
        <v>1</v>
      </c>
      <c r="BF499" s="1">
        <f t="shared" si="254"/>
        <v>1</v>
      </c>
      <c r="BI499"/>
      <c r="BJ499"/>
      <c r="BL499"/>
    </row>
    <row r="500" spans="1:64" ht="11.25" customHeight="1">
      <c r="A500" s="26" t="s">
        <v>2595</v>
      </c>
      <c r="B500" s="27" t="s">
        <v>2591</v>
      </c>
      <c r="C500" s="28">
        <v>174.99</v>
      </c>
      <c r="D500" s="28">
        <f t="shared" si="240"/>
        <v>87.495000000000005</v>
      </c>
      <c r="E500" s="22" t="s">
        <v>2561</v>
      </c>
      <c r="F500" s="22" t="s">
        <v>2596</v>
      </c>
      <c r="G500" s="22" t="s">
        <v>144</v>
      </c>
      <c r="H500" s="22" t="s">
        <v>2597</v>
      </c>
      <c r="I500" s="23" t="s">
        <v>2564</v>
      </c>
      <c r="J500" s="22" t="s">
        <v>670</v>
      </c>
      <c r="L500" s="23">
        <v>30</v>
      </c>
      <c r="M500" s="23">
        <v>32</v>
      </c>
      <c r="N500" s="3">
        <f t="shared" si="260"/>
        <v>2.8799999999999999E-2</v>
      </c>
      <c r="O500" s="4" t="e">
        <f>(C500-(C500*#REF!))-((C500-(C500*#REF!))*#REF!)</f>
        <v>#REF!</v>
      </c>
      <c r="P500" s="7"/>
      <c r="Q500" s="7"/>
      <c r="R500" s="5">
        <f t="shared" si="261"/>
        <v>0</v>
      </c>
      <c r="S500" s="4">
        <f t="shared" si="262"/>
        <v>0</v>
      </c>
      <c r="T500" s="13">
        <f t="shared" si="241"/>
        <v>122.49300000000001</v>
      </c>
      <c r="U500" s="13">
        <f t="shared" si="250"/>
        <v>61.246500000000005</v>
      </c>
      <c r="V500" s="14">
        <f>U500/C500</f>
        <v>0.35000000000000003</v>
      </c>
      <c r="W500" s="14"/>
      <c r="X500" s="19">
        <f t="shared" si="263"/>
        <v>61.246500000000005</v>
      </c>
      <c r="Y500" s="19">
        <f t="shared" si="264"/>
        <v>122.49300000000001</v>
      </c>
      <c r="Z500" s="15" t="e">
        <f t="shared" si="259"/>
        <v>#DIV/0!</v>
      </c>
      <c r="AA500" s="22" t="s">
        <v>2598</v>
      </c>
      <c r="AG500" s="94" t="s">
        <v>1169</v>
      </c>
      <c r="AH500" s="89" t="str">
        <f>VLOOKUP(AG500,Sheet1!$B$3:$D$36,2,FALSE)</f>
        <v>Decors</v>
      </c>
      <c r="AI500" s="89" t="s">
        <v>2566</v>
      </c>
      <c r="AJ500" s="1" t="str">
        <f t="shared" si="242"/>
        <v>Bogdan dia 30 cm</v>
      </c>
      <c r="AK500" s="1" t="str">
        <f t="shared" si="243"/>
        <v>ø30 x h32</v>
      </c>
      <c r="AL500" s="1" t="str">
        <f t="shared" si="244"/>
        <v>clear glass semi</v>
      </c>
      <c r="AM500" s="1" t="str">
        <f t="shared" si="245"/>
        <v>clear glass semi</v>
      </c>
      <c r="AN500" s="1" t="str">
        <f t="shared" si="256"/>
        <v>clear glass semi</v>
      </c>
      <c r="AQ500" s="1" t="str">
        <f t="shared" si="246"/>
        <v>B</v>
      </c>
      <c r="AR500" s="1" t="str">
        <f>VLOOKUP(TRIM(AI500),Sheet1!$D$3:$E$36,2,FALSE)</f>
        <v>09</v>
      </c>
      <c r="AS500" s="90" t="str">
        <f t="shared" si="247"/>
        <v>02</v>
      </c>
      <c r="AT500" s="1" t="str">
        <f t="shared" si="248"/>
        <v>01</v>
      </c>
      <c r="AU500" s="90" t="s">
        <v>2567</v>
      </c>
      <c r="AV500" s="90"/>
      <c r="AW500" s="90"/>
      <c r="AX500" s="95" t="str">
        <f>AQ500&amp;AR500&amp;AS500&amp;"-"&amp;AT500&amp;AU500&amp;BA500</f>
        <v>B0902-0138</v>
      </c>
      <c r="AY500" s="99" t="str">
        <f>AQ500&amp;AR500&amp;AS500&amp;"-"&amp;AT500&amp;BA500</f>
        <v>B0902-01</v>
      </c>
      <c r="AZ500" s="90"/>
      <c r="BA500" s="1" t="str">
        <f t="shared" si="249"/>
        <v/>
      </c>
      <c r="BC500" s="1" t="str">
        <f t="shared" si="257"/>
        <v/>
      </c>
      <c r="BD500" s="90">
        <f t="shared" si="258"/>
        <v>2</v>
      </c>
      <c r="BE500" s="1">
        <f t="shared" si="253"/>
        <v>1</v>
      </c>
      <c r="BF500" s="1">
        <f t="shared" si="254"/>
        <v>1</v>
      </c>
      <c r="BI500"/>
      <c r="BJ500"/>
      <c r="BL500"/>
    </row>
    <row r="501" spans="1:64" ht="11.25" customHeight="1">
      <c r="A501" s="26" t="s">
        <v>2599</v>
      </c>
      <c r="B501" s="27" t="s">
        <v>2591</v>
      </c>
      <c r="C501" s="28">
        <v>235.99</v>
      </c>
      <c r="D501" s="28">
        <f t="shared" si="240"/>
        <v>117.995</v>
      </c>
      <c r="E501" s="22" t="s">
        <v>2561</v>
      </c>
      <c r="F501" s="22" t="s">
        <v>2600</v>
      </c>
      <c r="G501" s="22" t="s">
        <v>144</v>
      </c>
      <c r="H501" s="22" t="s">
        <v>2601</v>
      </c>
      <c r="I501" s="23" t="s">
        <v>2564</v>
      </c>
      <c r="J501" s="22" t="s">
        <v>670</v>
      </c>
      <c r="L501" s="23">
        <v>30</v>
      </c>
      <c r="M501" s="23">
        <v>40</v>
      </c>
      <c r="N501" s="3">
        <f t="shared" si="260"/>
        <v>3.5999999999999997E-2</v>
      </c>
      <c r="O501" s="4" t="e">
        <f>(C501-(C501*#REF!))-((C501-(C501*#REF!))*#REF!)</f>
        <v>#REF!</v>
      </c>
      <c r="P501" s="7"/>
      <c r="Q501" s="7"/>
      <c r="R501" s="5">
        <f t="shared" si="261"/>
        <v>0</v>
      </c>
      <c r="S501" s="4">
        <f t="shared" si="262"/>
        <v>0</v>
      </c>
      <c r="T501" s="13">
        <f t="shared" si="241"/>
        <v>165.19300000000001</v>
      </c>
      <c r="U501" s="13">
        <f t="shared" si="250"/>
        <v>82.596500000000006</v>
      </c>
      <c r="V501" s="14">
        <f>U501/C501</f>
        <v>0.35000000000000003</v>
      </c>
      <c r="W501" s="14"/>
      <c r="X501" s="19">
        <f t="shared" si="263"/>
        <v>82.596500000000006</v>
      </c>
      <c r="Y501" s="19">
        <f t="shared" si="264"/>
        <v>165.19300000000001</v>
      </c>
      <c r="Z501" s="15" t="e">
        <f t="shared" si="259"/>
        <v>#DIV/0!</v>
      </c>
      <c r="AA501" s="22" t="s">
        <v>2594</v>
      </c>
      <c r="AG501" s="94" t="s">
        <v>1169</v>
      </c>
      <c r="AH501" s="89" t="str">
        <f>VLOOKUP(AG501,Sheet1!$B$3:$D$36,2,FALSE)</f>
        <v>Decors</v>
      </c>
      <c r="AI501" s="89" t="s">
        <v>2566</v>
      </c>
      <c r="AJ501" s="1" t="str">
        <f t="shared" si="242"/>
        <v>Bogdan dia 30 cm</v>
      </c>
      <c r="AK501" s="1" t="str">
        <f t="shared" si="243"/>
        <v>ø30 x h40</v>
      </c>
      <c r="AL501" s="1" t="str">
        <f t="shared" si="244"/>
        <v>clear glass semi</v>
      </c>
      <c r="AM501" s="1" t="str">
        <f t="shared" si="245"/>
        <v>clear glass semi</v>
      </c>
      <c r="AN501" s="1" t="str">
        <f t="shared" si="256"/>
        <v>clear glass semi</v>
      </c>
      <c r="AQ501" s="1" t="str">
        <f t="shared" si="246"/>
        <v>B</v>
      </c>
      <c r="AR501" s="1" t="str">
        <f>VLOOKUP(TRIM(AI501),Sheet1!$D$3:$E$36,2,FALSE)</f>
        <v>09</v>
      </c>
      <c r="AS501" s="90" t="str">
        <f t="shared" si="247"/>
        <v>03</v>
      </c>
      <c r="AT501" s="1" t="str">
        <f t="shared" si="248"/>
        <v>01</v>
      </c>
      <c r="AU501" s="90" t="s">
        <v>2567</v>
      </c>
      <c r="AV501" s="90"/>
      <c r="AW501" s="90"/>
      <c r="AX501" s="95" t="str">
        <f>AQ501&amp;AR501&amp;AS501&amp;"-"&amp;AT501&amp;AU501&amp;BA501</f>
        <v>B0903-0138</v>
      </c>
      <c r="AY501" s="99" t="str">
        <f>AQ501&amp;AR501&amp;AS501&amp;"-"&amp;AT501&amp;BA501</f>
        <v>B0903-01</v>
      </c>
      <c r="AZ501" s="90"/>
      <c r="BA501" s="1" t="str">
        <f t="shared" si="249"/>
        <v/>
      </c>
      <c r="BC501" s="1" t="str">
        <f t="shared" si="257"/>
        <v/>
      </c>
      <c r="BD501" s="90">
        <f t="shared" si="258"/>
        <v>3</v>
      </c>
      <c r="BE501" s="1">
        <f t="shared" si="253"/>
        <v>1</v>
      </c>
      <c r="BF501" s="1">
        <f t="shared" si="254"/>
        <v>1</v>
      </c>
      <c r="BI501"/>
      <c r="BJ501"/>
      <c r="BL501"/>
    </row>
    <row r="502" spans="1:64" ht="11.25" customHeight="1">
      <c r="A502" s="26" t="s">
        <v>2602</v>
      </c>
      <c r="B502" s="27" t="s">
        <v>2603</v>
      </c>
      <c r="C502" s="28">
        <v>147.99</v>
      </c>
      <c r="D502" s="28">
        <f t="shared" si="240"/>
        <v>73.995000000000005</v>
      </c>
      <c r="E502" s="22" t="s">
        <v>2561</v>
      </c>
      <c r="F502" s="22" t="s">
        <v>2604</v>
      </c>
      <c r="G502" s="22" t="s">
        <v>2605</v>
      </c>
      <c r="H502" s="22" t="s">
        <v>2606</v>
      </c>
      <c r="I502" s="23" t="s">
        <v>2564</v>
      </c>
      <c r="J502" s="22" t="s">
        <v>670</v>
      </c>
      <c r="L502" s="23">
        <v>20</v>
      </c>
      <c r="M502" s="23">
        <v>60</v>
      </c>
      <c r="N502" s="3">
        <f t="shared" si="260"/>
        <v>2.4E-2</v>
      </c>
      <c r="O502" s="4" t="e">
        <f>(C502-(C502*#REF!))-((C502-(C502*#REF!))*#REF!)</f>
        <v>#REF!</v>
      </c>
      <c r="P502" s="7"/>
      <c r="Q502" s="7"/>
      <c r="R502" s="5">
        <f t="shared" si="261"/>
        <v>0</v>
      </c>
      <c r="S502" s="4">
        <f t="shared" si="262"/>
        <v>0</v>
      </c>
      <c r="T502" s="13">
        <f t="shared" si="241"/>
        <v>103.59300000000002</v>
      </c>
      <c r="U502" s="13">
        <f t="shared" si="250"/>
        <v>51.796500000000009</v>
      </c>
      <c r="V502" s="14">
        <f>U502/C502</f>
        <v>0.35000000000000003</v>
      </c>
      <c r="W502" s="14"/>
      <c r="X502" s="19">
        <f t="shared" si="263"/>
        <v>51.796500000000009</v>
      </c>
      <c r="Y502" s="19">
        <f t="shared" si="264"/>
        <v>103.59300000000002</v>
      </c>
      <c r="Z502" s="15" t="e">
        <f t="shared" si="259"/>
        <v>#DIV/0!</v>
      </c>
      <c r="AA502" s="22" t="s">
        <v>2607</v>
      </c>
      <c r="AG502" s="94" t="s">
        <v>1169</v>
      </c>
      <c r="AH502" s="89" t="str">
        <f>VLOOKUP(AG502,Sheet1!$B$3:$D$36,2,FALSE)</f>
        <v>Decors</v>
      </c>
      <c r="AI502" s="89" t="s">
        <v>2566</v>
      </c>
      <c r="AJ502" s="1" t="str">
        <f t="shared" si="242"/>
        <v>Bogdan high</v>
      </c>
      <c r="AK502" s="1" t="str">
        <f t="shared" si="243"/>
        <v>ø20 x h60</v>
      </c>
      <c r="AL502" s="1" t="str">
        <f t="shared" si="244"/>
        <v>clear glass semi</v>
      </c>
      <c r="AM502" s="1" t="str">
        <f t="shared" si="245"/>
        <v>clear glass semi</v>
      </c>
      <c r="AN502" s="1" t="str">
        <f t="shared" si="256"/>
        <v>clear glass semi</v>
      </c>
      <c r="AQ502" s="1" t="str">
        <f t="shared" si="246"/>
        <v>B</v>
      </c>
      <c r="AR502" s="1" t="str">
        <f>VLOOKUP(TRIM(AI502),Sheet1!$D$3:$E$36,2,FALSE)</f>
        <v>09</v>
      </c>
      <c r="AS502" s="90" t="str">
        <f t="shared" si="247"/>
        <v>01</v>
      </c>
      <c r="AT502" s="1" t="str">
        <f t="shared" si="248"/>
        <v>01</v>
      </c>
      <c r="AU502" s="90" t="s">
        <v>2567</v>
      </c>
      <c r="AV502" s="90"/>
      <c r="AW502" s="90"/>
      <c r="AX502" s="95" t="str">
        <f>AQ502&amp;AR502&amp;AS502&amp;"-"&amp;AT502&amp;AU502&amp;BA502</f>
        <v>B0901-0138</v>
      </c>
      <c r="AY502" s="99" t="str">
        <f>AQ502&amp;AR502&amp;AS502&amp;"-"&amp;AT502&amp;BA502</f>
        <v>B0901-01</v>
      </c>
      <c r="AZ502" s="90"/>
      <c r="BA502" s="1" t="str">
        <f t="shared" si="249"/>
        <v/>
      </c>
      <c r="BC502" s="1">
        <f t="shared" si="257"/>
        <v>1</v>
      </c>
      <c r="BD502" s="90">
        <f t="shared" si="258"/>
        <v>1</v>
      </c>
      <c r="BE502" s="1">
        <f t="shared" si="253"/>
        <v>1</v>
      </c>
      <c r="BF502" s="1">
        <f t="shared" si="254"/>
        <v>1</v>
      </c>
      <c r="BI502"/>
      <c r="BJ502"/>
      <c r="BL502"/>
    </row>
    <row r="503" spans="1:64" ht="11.25" customHeight="1">
      <c r="A503" s="26" t="s">
        <v>2608</v>
      </c>
      <c r="B503" s="27" t="s">
        <v>2609</v>
      </c>
      <c r="C503" s="28">
        <v>217.99</v>
      </c>
      <c r="D503" s="28">
        <f t="shared" si="240"/>
        <v>108.995</v>
      </c>
      <c r="E503" s="22" t="s">
        <v>2561</v>
      </c>
      <c r="F503" s="22" t="s">
        <v>2610</v>
      </c>
      <c r="G503" s="22" t="s">
        <v>2611</v>
      </c>
      <c r="H503" s="22" t="s">
        <v>2606</v>
      </c>
      <c r="I503" s="23" t="s">
        <v>2564</v>
      </c>
      <c r="J503" s="22" t="s">
        <v>670</v>
      </c>
      <c r="L503" s="23">
        <v>20</v>
      </c>
      <c r="M503" s="23">
        <v>60</v>
      </c>
      <c r="N503" s="3">
        <f t="shared" si="260"/>
        <v>2.4E-2</v>
      </c>
      <c r="O503" s="4" t="e">
        <f>(C503-(C503*#REF!))-((C503-(C503*#REF!))*#REF!)</f>
        <v>#REF!</v>
      </c>
      <c r="P503" s="7"/>
      <c r="Q503" s="7"/>
      <c r="R503" s="5">
        <f t="shared" si="261"/>
        <v>0</v>
      </c>
      <c r="S503" s="4">
        <f t="shared" si="262"/>
        <v>0</v>
      </c>
      <c r="T503" s="13">
        <f t="shared" si="241"/>
        <v>152.59300000000002</v>
      </c>
      <c r="U503" s="13">
        <f t="shared" si="250"/>
        <v>76.296500000000009</v>
      </c>
      <c r="V503" s="14">
        <f>U503/C503</f>
        <v>0.35000000000000003</v>
      </c>
      <c r="W503" s="14"/>
      <c r="X503" s="19">
        <f t="shared" si="263"/>
        <v>76.296500000000009</v>
      </c>
      <c r="Y503" s="19">
        <f t="shared" si="264"/>
        <v>152.59300000000002</v>
      </c>
      <c r="Z503" s="15" t="e">
        <f t="shared" si="259"/>
        <v>#DIV/0!</v>
      </c>
      <c r="AA503" s="22" t="s">
        <v>2612</v>
      </c>
      <c r="AG503" s="94" t="s">
        <v>1169</v>
      </c>
      <c r="AH503" s="89" t="str">
        <f>VLOOKUP(AG503,Sheet1!$B$3:$D$36,2,FALSE)</f>
        <v>Decors</v>
      </c>
      <c r="AI503" s="89" t="s">
        <v>2566</v>
      </c>
      <c r="AJ503" s="1" t="str">
        <f t="shared" si="242"/>
        <v>gri glass</v>
      </c>
      <c r="AK503" s="1" t="str">
        <f t="shared" si="243"/>
        <v>ø20 x h60</v>
      </c>
      <c r="AL503" s="1" t="str">
        <f t="shared" si="244"/>
        <v>clear glass semi</v>
      </c>
      <c r="AM503" s="1" t="str">
        <f t="shared" si="245"/>
        <v>clear glass semi</v>
      </c>
      <c r="AN503" s="1" t="str">
        <f t="shared" si="256"/>
        <v>clear glass semi</v>
      </c>
      <c r="AQ503" s="1" t="str">
        <f t="shared" si="246"/>
        <v>B</v>
      </c>
      <c r="AR503" s="1" t="str">
        <f>VLOOKUP(TRIM(AI503),Sheet1!$D$3:$E$36,2,FALSE)</f>
        <v>09</v>
      </c>
      <c r="AS503" s="90" t="str">
        <f t="shared" si="247"/>
        <v>01</v>
      </c>
      <c r="AT503" s="1" t="str">
        <f t="shared" si="248"/>
        <v>02</v>
      </c>
      <c r="AU503" s="90" t="s">
        <v>2567</v>
      </c>
      <c r="AV503" s="90"/>
      <c r="AW503" s="90"/>
      <c r="AX503" s="95" t="str">
        <f>AQ503&amp;AR503&amp;AS503&amp;"-"&amp;AT503&amp;AU503&amp;BA503</f>
        <v>B0901-0238</v>
      </c>
      <c r="AY503" s="99" t="str">
        <f>AQ503&amp;AR503&amp;AS503&amp;"-"&amp;AT503&amp;BA503</f>
        <v>B0901-02</v>
      </c>
      <c r="AZ503" s="90"/>
      <c r="BA503" s="1" t="str">
        <f t="shared" si="249"/>
        <v/>
      </c>
      <c r="BC503" s="1">
        <f t="shared" si="257"/>
        <v>1</v>
      </c>
      <c r="BD503" s="90">
        <f t="shared" si="258"/>
        <v>1</v>
      </c>
      <c r="BE503" s="1" t="str">
        <f t="shared" si="253"/>
        <v/>
      </c>
      <c r="BF503" s="1">
        <f t="shared" si="254"/>
        <v>2</v>
      </c>
      <c r="BI503"/>
      <c r="BJ503"/>
      <c r="BL503"/>
    </row>
    <row r="504" spans="1:64" ht="11.25" customHeight="1">
      <c r="A504" s="26" t="s">
        <v>2613</v>
      </c>
      <c r="B504" s="27" t="s">
        <v>2614</v>
      </c>
      <c r="C504" s="28">
        <v>57.99</v>
      </c>
      <c r="D504" s="28">
        <f t="shared" si="240"/>
        <v>28.995000000000001</v>
      </c>
      <c r="E504" s="22" t="s">
        <v>2561</v>
      </c>
      <c r="F504" s="22" t="s">
        <v>2615</v>
      </c>
      <c r="G504" s="22" t="s">
        <v>172</v>
      </c>
      <c r="H504" s="22" t="s">
        <v>2616</v>
      </c>
      <c r="I504" s="23" t="s">
        <v>2564</v>
      </c>
      <c r="J504" s="22" t="s">
        <v>670</v>
      </c>
      <c r="L504" s="23">
        <v>8</v>
      </c>
      <c r="M504" s="23">
        <v>50</v>
      </c>
      <c r="N504" s="3">
        <f t="shared" si="260"/>
        <v>3.2000000000000002E-3</v>
      </c>
      <c r="O504" s="4" t="e">
        <f>(C504-(C504*#REF!))-((C504-(C504*#REF!))*#REF!)</f>
        <v>#REF!</v>
      </c>
      <c r="P504" s="7"/>
      <c r="Q504" s="7"/>
      <c r="R504" s="5">
        <f t="shared" si="261"/>
        <v>0</v>
      </c>
      <c r="S504" s="4">
        <f t="shared" si="262"/>
        <v>0</v>
      </c>
      <c r="T504" s="13">
        <f t="shared" si="241"/>
        <v>40.593000000000004</v>
      </c>
      <c r="U504" s="13">
        <f t="shared" si="250"/>
        <v>20.296500000000002</v>
      </c>
      <c r="V504" s="14">
        <f>U504/C504</f>
        <v>0.35000000000000003</v>
      </c>
      <c r="W504" s="14"/>
      <c r="X504" s="19">
        <f t="shared" si="263"/>
        <v>20.296500000000002</v>
      </c>
      <c r="Y504" s="19">
        <f t="shared" si="264"/>
        <v>40.593000000000004</v>
      </c>
      <c r="Z504" s="15" t="e">
        <f t="shared" si="259"/>
        <v>#DIV/0!</v>
      </c>
      <c r="AA504" s="22" t="s">
        <v>2617</v>
      </c>
      <c r="AG504" s="94" t="s">
        <v>1169</v>
      </c>
      <c r="AH504" s="89" t="str">
        <f>VLOOKUP(AG504,Sheet1!$B$3:$D$36,2,FALSE)</f>
        <v>Decors</v>
      </c>
      <c r="AI504" s="89" t="s">
        <v>2566</v>
      </c>
      <c r="AJ504" s="1" t="str">
        <f t="shared" si="242"/>
        <v>Carl</v>
      </c>
      <c r="AK504" s="1" t="str">
        <f t="shared" si="243"/>
        <v>ø8 x h50</v>
      </c>
      <c r="AL504" s="1" t="str">
        <f t="shared" si="244"/>
        <v>clear glass semi</v>
      </c>
      <c r="AM504" s="1" t="str">
        <f t="shared" si="245"/>
        <v>clear glass semi</v>
      </c>
      <c r="AN504" s="1" t="str">
        <f t="shared" si="256"/>
        <v>clear glass semi</v>
      </c>
      <c r="AQ504" s="1" t="str">
        <f t="shared" si="246"/>
        <v>B</v>
      </c>
      <c r="AR504" s="1" t="str">
        <f>VLOOKUP(TRIM(AI504),Sheet1!$D$3:$E$36,2,FALSE)</f>
        <v>09</v>
      </c>
      <c r="AS504" s="90" t="str">
        <f t="shared" si="247"/>
        <v>01</v>
      </c>
      <c r="AT504" s="1" t="str">
        <f t="shared" si="248"/>
        <v>01</v>
      </c>
      <c r="AU504" s="90" t="s">
        <v>2567</v>
      </c>
      <c r="AV504" s="90"/>
      <c r="AW504" s="90"/>
      <c r="AX504" s="95" t="str">
        <f>AQ504&amp;AR504&amp;AS504&amp;"-"&amp;AT504&amp;AU504&amp;BA504</f>
        <v>B0901-0138</v>
      </c>
      <c r="AY504" s="99" t="str">
        <f>AQ504&amp;AR504&amp;AS504&amp;"-"&amp;AT504&amp;BA504</f>
        <v>B0901-01</v>
      </c>
      <c r="AZ504" s="90"/>
      <c r="BA504" s="1" t="str">
        <f t="shared" si="249"/>
        <v/>
      </c>
      <c r="BC504" s="1">
        <f t="shared" si="257"/>
        <v>1</v>
      </c>
      <c r="BD504" s="90">
        <f t="shared" si="258"/>
        <v>1</v>
      </c>
      <c r="BE504" s="1">
        <f t="shared" si="253"/>
        <v>1</v>
      </c>
      <c r="BF504" s="1">
        <f t="shared" si="254"/>
        <v>1</v>
      </c>
      <c r="BI504"/>
      <c r="BJ504"/>
      <c r="BL504"/>
    </row>
    <row r="505" spans="1:64" ht="11.25" customHeight="1">
      <c r="A505" s="26" t="s">
        <v>2618</v>
      </c>
      <c r="B505" s="27" t="s">
        <v>2614</v>
      </c>
      <c r="C505" s="28">
        <v>78.989999999999995</v>
      </c>
      <c r="D505" s="28">
        <f t="shared" si="240"/>
        <v>39.494999999999997</v>
      </c>
      <c r="E505" s="22" t="s">
        <v>2561</v>
      </c>
      <c r="F505" s="22" t="s">
        <v>2619</v>
      </c>
      <c r="G505" s="22" t="s">
        <v>172</v>
      </c>
      <c r="H505" s="22" t="s">
        <v>2620</v>
      </c>
      <c r="I505" s="23" t="s">
        <v>2564</v>
      </c>
      <c r="J505" s="22" t="s">
        <v>670</v>
      </c>
      <c r="L505" s="23">
        <v>8</v>
      </c>
      <c r="M505" s="23">
        <v>72</v>
      </c>
      <c r="N505" s="3">
        <f t="shared" si="260"/>
        <v>4.6080000000000001E-3</v>
      </c>
      <c r="O505" s="4" t="e">
        <f>(C505-(C505*#REF!))-((C505-(C505*#REF!))*#REF!)</f>
        <v>#REF!</v>
      </c>
      <c r="P505" s="7"/>
      <c r="Q505" s="7"/>
      <c r="R505" s="5">
        <f t="shared" si="261"/>
        <v>0</v>
      </c>
      <c r="S505" s="4">
        <f t="shared" si="262"/>
        <v>0</v>
      </c>
      <c r="T505" s="13">
        <f t="shared" si="241"/>
        <v>55.292999999999992</v>
      </c>
      <c r="U505" s="13">
        <f t="shared" si="250"/>
        <v>27.646499999999996</v>
      </c>
      <c r="V505" s="14">
        <f>U505/C505</f>
        <v>0.35</v>
      </c>
      <c r="W505" s="14"/>
      <c r="X505" s="19">
        <f t="shared" si="263"/>
        <v>27.646499999999996</v>
      </c>
      <c r="Y505" s="19">
        <f t="shared" si="264"/>
        <v>55.292999999999992</v>
      </c>
      <c r="Z505" s="15" t="e">
        <f t="shared" si="259"/>
        <v>#DIV/0!</v>
      </c>
      <c r="AA505" s="22" t="s">
        <v>2621</v>
      </c>
      <c r="AG505" s="94" t="s">
        <v>1169</v>
      </c>
      <c r="AH505" s="89" t="str">
        <f>VLOOKUP(AG505,Sheet1!$B$3:$D$36,2,FALSE)</f>
        <v>Decors</v>
      </c>
      <c r="AI505" s="89" t="s">
        <v>2566</v>
      </c>
      <c r="AJ505" s="1" t="str">
        <f t="shared" si="242"/>
        <v>Carl</v>
      </c>
      <c r="AK505" s="1" t="str">
        <f t="shared" si="243"/>
        <v>ø8 x h72</v>
      </c>
      <c r="AL505" s="1" t="str">
        <f t="shared" si="244"/>
        <v>clear glass semi</v>
      </c>
      <c r="AM505" s="1" t="str">
        <f t="shared" si="245"/>
        <v>clear glass semi</v>
      </c>
      <c r="AN505" s="1" t="str">
        <f t="shared" si="256"/>
        <v>clear glass semi</v>
      </c>
      <c r="AQ505" s="1" t="str">
        <f t="shared" si="246"/>
        <v>B</v>
      </c>
      <c r="AR505" s="1" t="str">
        <f>VLOOKUP(TRIM(AI505),Sheet1!$D$3:$E$36,2,FALSE)</f>
        <v>09</v>
      </c>
      <c r="AS505" s="90" t="str">
        <f t="shared" si="247"/>
        <v>02</v>
      </c>
      <c r="AT505" s="1" t="str">
        <f t="shared" si="248"/>
        <v>01</v>
      </c>
      <c r="AU505" s="90" t="s">
        <v>2567</v>
      </c>
      <c r="AV505" s="90"/>
      <c r="AW505" s="90"/>
      <c r="AX505" s="95" t="str">
        <f>AQ505&amp;AR505&amp;AS505&amp;"-"&amp;AT505&amp;AU505&amp;BA505</f>
        <v>B0902-0138</v>
      </c>
      <c r="AY505" s="99" t="str">
        <f>AQ505&amp;AR505&amp;AS505&amp;"-"&amp;AT505&amp;BA505</f>
        <v>B0902-01</v>
      </c>
      <c r="AZ505" s="90"/>
      <c r="BA505" s="1" t="str">
        <f t="shared" si="249"/>
        <v/>
      </c>
      <c r="BC505" s="1" t="str">
        <f t="shared" si="257"/>
        <v/>
      </c>
      <c r="BD505" s="90">
        <f t="shared" si="258"/>
        <v>2</v>
      </c>
      <c r="BE505" s="1">
        <f t="shared" si="253"/>
        <v>1</v>
      </c>
      <c r="BF505" s="1">
        <f t="shared" si="254"/>
        <v>1</v>
      </c>
      <c r="BI505"/>
      <c r="BJ505"/>
      <c r="BL505"/>
    </row>
    <row r="506" spans="1:64" ht="11.25" customHeight="1">
      <c r="A506" s="26" t="s">
        <v>2622</v>
      </c>
      <c r="B506" s="27" t="s">
        <v>2623</v>
      </c>
      <c r="C506" s="28">
        <v>204.99</v>
      </c>
      <c r="D506" s="28">
        <f t="shared" si="240"/>
        <v>102.495</v>
      </c>
      <c r="E506" s="22" t="s">
        <v>2561</v>
      </c>
      <c r="F506" s="22" t="s">
        <v>2624</v>
      </c>
      <c r="G506" s="22" t="s">
        <v>2625</v>
      </c>
      <c r="H506" s="22" t="s">
        <v>2626</v>
      </c>
      <c r="I506" s="23" t="s">
        <v>2627</v>
      </c>
      <c r="J506" s="22" t="s">
        <v>670</v>
      </c>
      <c r="K506" s="23">
        <v>35</v>
      </c>
      <c r="L506" s="23">
        <v>20</v>
      </c>
      <c r="M506" s="23">
        <v>20</v>
      </c>
      <c r="N506" s="3">
        <f t="shared" si="260"/>
        <v>1.4E-2</v>
      </c>
      <c r="O506" s="4" t="e">
        <f>(C506-(C506*#REF!))-((C506-(C506*#REF!))*#REF!)</f>
        <v>#REF!</v>
      </c>
      <c r="P506" s="7"/>
      <c r="Q506" s="7"/>
      <c r="R506" s="5">
        <f t="shared" si="261"/>
        <v>0</v>
      </c>
      <c r="S506" s="4">
        <f t="shared" si="262"/>
        <v>0</v>
      </c>
      <c r="T506" s="13">
        <f t="shared" si="241"/>
        <v>143.49299999999999</v>
      </c>
      <c r="U506" s="13">
        <f t="shared" si="250"/>
        <v>71.746499999999997</v>
      </c>
      <c r="V506" s="14">
        <f>U506/C506</f>
        <v>0.35</v>
      </c>
      <c r="W506" s="14"/>
      <c r="X506" s="19">
        <f t="shared" si="263"/>
        <v>71.746499999999997</v>
      </c>
      <c r="Y506" s="19">
        <f t="shared" si="264"/>
        <v>143.49299999999999</v>
      </c>
      <c r="Z506" s="15" t="e">
        <f t="shared" si="259"/>
        <v>#DIV/0!</v>
      </c>
      <c r="AA506" s="22" t="s">
        <v>2628</v>
      </c>
      <c r="AG506" s="94" t="s">
        <v>1169</v>
      </c>
      <c r="AH506" s="89" t="str">
        <f>VLOOKUP(AG506,Sheet1!$B$3:$D$36,2,FALSE)</f>
        <v>Decors</v>
      </c>
      <c r="AI506" s="89" t="s">
        <v>2566</v>
      </c>
      <c r="AJ506" s="1" t="str">
        <f t="shared" si="242"/>
        <v>Piatra Carl bluestone pure</v>
      </c>
      <c r="AK506" s="1" t="str">
        <f t="shared" si="243"/>
        <v>w35 x d20 x h20</v>
      </c>
      <c r="AL506" s="1" t="str">
        <f t="shared" si="244"/>
        <v xml:space="preserve">bluestone </v>
      </c>
      <c r="AM506" s="1" t="str">
        <f t="shared" si="245"/>
        <v xml:space="preserve">bluestone </v>
      </c>
      <c r="AN506" s="1" t="str">
        <f t="shared" si="256"/>
        <v xml:space="preserve">bluestone </v>
      </c>
      <c r="AQ506" s="1" t="str">
        <f t="shared" si="246"/>
        <v>B</v>
      </c>
      <c r="AR506" s="1" t="str">
        <f>VLOOKUP(TRIM(AI506),Sheet1!$D$3:$E$36,2,FALSE)</f>
        <v>09</v>
      </c>
      <c r="AS506" s="90" t="str">
        <f t="shared" si="247"/>
        <v>01</v>
      </c>
      <c r="AT506" s="1" t="str">
        <f t="shared" si="248"/>
        <v>01</v>
      </c>
      <c r="AU506" s="90" t="s">
        <v>1871</v>
      </c>
      <c r="AV506" s="90"/>
      <c r="AW506" s="90"/>
      <c r="AX506" s="95" t="str">
        <f>AQ506&amp;AR506&amp;AS506&amp;"-"&amp;AT506&amp;AU506&amp;BA506</f>
        <v>B0901-0104</v>
      </c>
      <c r="AY506" s="99" t="str">
        <f>AQ506&amp;AR506&amp;AS506&amp;"-"&amp;AT506&amp;BA506</f>
        <v>B0901-01</v>
      </c>
      <c r="AZ506" s="90"/>
      <c r="BA506" s="1" t="str">
        <f t="shared" si="249"/>
        <v/>
      </c>
      <c r="BC506" s="1">
        <f t="shared" si="257"/>
        <v>1</v>
      </c>
      <c r="BD506" s="90">
        <f t="shared" si="258"/>
        <v>1</v>
      </c>
      <c r="BE506" s="1">
        <f t="shared" si="253"/>
        <v>1</v>
      </c>
      <c r="BF506" s="1">
        <f t="shared" si="254"/>
        <v>1</v>
      </c>
      <c r="BI506"/>
      <c r="BJ506"/>
      <c r="BL506"/>
    </row>
    <row r="507" spans="1:64" ht="11.25" customHeight="1">
      <c r="A507" s="26" t="s">
        <v>2629</v>
      </c>
      <c r="B507" s="27" t="s">
        <v>2630</v>
      </c>
      <c r="C507" s="28">
        <v>59.99</v>
      </c>
      <c r="D507" s="28">
        <f t="shared" si="240"/>
        <v>29.995000000000001</v>
      </c>
      <c r="E507" s="22" t="s">
        <v>2561</v>
      </c>
      <c r="F507" s="22" t="s">
        <v>2624</v>
      </c>
      <c r="G507" s="22" t="s">
        <v>2631</v>
      </c>
      <c r="H507" s="22" t="s">
        <v>2626</v>
      </c>
      <c r="I507" s="23" t="s">
        <v>822</v>
      </c>
      <c r="J507" s="22" t="s">
        <v>670</v>
      </c>
      <c r="K507" s="23">
        <v>35</v>
      </c>
      <c r="L507" s="23">
        <v>20</v>
      </c>
      <c r="M507" s="23">
        <v>20</v>
      </c>
      <c r="N507" s="3">
        <f t="shared" si="260"/>
        <v>1.4E-2</v>
      </c>
      <c r="O507" s="4" t="e">
        <f>(C507-(C507*#REF!))-((C507-(C507*#REF!))*#REF!)</f>
        <v>#REF!</v>
      </c>
      <c r="P507" s="7"/>
      <c r="Q507" s="7"/>
      <c r="R507" s="5">
        <f t="shared" si="261"/>
        <v>0</v>
      </c>
      <c r="S507" s="4">
        <f t="shared" si="262"/>
        <v>0</v>
      </c>
      <c r="T507" s="13">
        <f t="shared" si="241"/>
        <v>41.993000000000002</v>
      </c>
      <c r="U507" s="13">
        <f t="shared" si="250"/>
        <v>20.996500000000001</v>
      </c>
      <c r="V507" s="14">
        <f>U507/C507</f>
        <v>0.35000000000000003</v>
      </c>
      <c r="W507" s="14"/>
      <c r="X507" s="19">
        <f t="shared" si="263"/>
        <v>20.996500000000001</v>
      </c>
      <c r="Y507" s="19">
        <f t="shared" si="264"/>
        <v>41.993000000000002</v>
      </c>
      <c r="Z507" s="15" t="e">
        <f t="shared" si="259"/>
        <v>#DIV/0!</v>
      </c>
      <c r="AA507" s="22" t="s">
        <v>2632</v>
      </c>
      <c r="AG507" s="94" t="s">
        <v>1169</v>
      </c>
      <c r="AH507" s="89" t="str">
        <f>VLOOKUP(AG507,Sheet1!$B$3:$D$36,2,FALSE)</f>
        <v>Decors</v>
      </c>
      <c r="AI507" s="89" t="s">
        <v>2566</v>
      </c>
      <c r="AJ507" s="1" t="str">
        <f t="shared" si="242"/>
        <v>Piatra Carl lavastone</v>
      </c>
      <c r="AK507" s="1" t="str">
        <f t="shared" si="243"/>
        <v>w35 x d20 x h20</v>
      </c>
      <c r="AL507" s="1" t="str">
        <f t="shared" si="244"/>
        <v>lavastone</v>
      </c>
      <c r="AM507" s="1" t="str">
        <f t="shared" si="245"/>
        <v>lavastone</v>
      </c>
      <c r="AN507" s="1" t="str">
        <f t="shared" si="256"/>
        <v>lavastone</v>
      </c>
      <c r="AQ507" s="1" t="str">
        <f t="shared" si="246"/>
        <v>B</v>
      </c>
      <c r="AR507" s="1" t="str">
        <f>VLOOKUP(TRIM(AI507),Sheet1!$D$3:$E$36,2,FALSE)</f>
        <v>09</v>
      </c>
      <c r="AS507" s="90" t="str">
        <f t="shared" si="247"/>
        <v>01</v>
      </c>
      <c r="AT507" s="1" t="str">
        <f t="shared" si="248"/>
        <v>02</v>
      </c>
      <c r="AU507" s="90" t="s">
        <v>823</v>
      </c>
      <c r="AV507" s="90"/>
      <c r="AW507" s="90"/>
      <c r="AX507" s="95" t="str">
        <f>AQ507&amp;AR507&amp;AS507&amp;"-"&amp;AT507&amp;AU507&amp;BA507</f>
        <v>B0901-0208</v>
      </c>
      <c r="AY507" s="99" t="str">
        <f>AQ507&amp;AR507&amp;AS507&amp;"-"&amp;AT507&amp;BA507</f>
        <v>B0901-02</v>
      </c>
      <c r="AZ507" s="90"/>
      <c r="BA507" s="1" t="str">
        <f t="shared" si="249"/>
        <v/>
      </c>
      <c r="BC507" s="1">
        <f t="shared" si="257"/>
        <v>1</v>
      </c>
      <c r="BD507" s="90">
        <f t="shared" si="258"/>
        <v>1</v>
      </c>
      <c r="BE507" s="1" t="str">
        <f t="shared" si="253"/>
        <v/>
      </c>
      <c r="BF507" s="1">
        <f t="shared" si="254"/>
        <v>2</v>
      </c>
      <c r="BI507"/>
      <c r="BJ507"/>
      <c r="BL507"/>
    </row>
    <row r="508" spans="1:64" ht="11.25" customHeight="1">
      <c r="A508" s="26" t="s">
        <v>2633</v>
      </c>
      <c r="B508" s="27" t="s">
        <v>2634</v>
      </c>
      <c r="C508" s="28">
        <v>147.99</v>
      </c>
      <c r="D508" s="28">
        <f t="shared" si="240"/>
        <v>73.995000000000005</v>
      </c>
      <c r="E508" s="22" t="s">
        <v>2561</v>
      </c>
      <c r="F508" s="22" t="s">
        <v>2635</v>
      </c>
      <c r="G508" s="22" t="s">
        <v>886</v>
      </c>
      <c r="H508" s="22" t="s">
        <v>2636</v>
      </c>
      <c r="I508" s="23" t="s">
        <v>2637</v>
      </c>
      <c r="J508" s="22" t="s">
        <v>670</v>
      </c>
      <c r="K508" s="23">
        <v>20</v>
      </c>
      <c r="L508" s="23">
        <v>20</v>
      </c>
      <c r="M508" s="23">
        <v>25</v>
      </c>
      <c r="N508" s="3">
        <f t="shared" si="260"/>
        <v>0.01</v>
      </c>
      <c r="O508" s="4" t="e">
        <f>(C508-(C508*#REF!))-((C508-(C508*#REF!))*#REF!)</f>
        <v>#REF!</v>
      </c>
      <c r="P508" s="7"/>
      <c r="Q508" s="7"/>
      <c r="R508" s="5">
        <f t="shared" si="261"/>
        <v>0</v>
      </c>
      <c r="S508" s="4">
        <f t="shared" si="262"/>
        <v>0</v>
      </c>
      <c r="T508" s="13">
        <f t="shared" si="241"/>
        <v>103.59300000000002</v>
      </c>
      <c r="U508" s="13">
        <f t="shared" si="250"/>
        <v>51.796500000000009</v>
      </c>
      <c r="V508" s="14">
        <f>U508/C508</f>
        <v>0.35000000000000003</v>
      </c>
      <c r="W508" s="14"/>
      <c r="X508" s="19">
        <f t="shared" si="263"/>
        <v>51.796500000000009</v>
      </c>
      <c r="Y508" s="19">
        <f t="shared" si="264"/>
        <v>103.59300000000002</v>
      </c>
      <c r="Z508" s="15" t="e">
        <f t="shared" si="259"/>
        <v>#DIV/0!</v>
      </c>
      <c r="AA508" s="22" t="s">
        <v>2638</v>
      </c>
      <c r="AG508" s="94" t="s">
        <v>1169</v>
      </c>
      <c r="AH508" s="89" t="str">
        <f>VLOOKUP(AG508,Sheet1!$B$3:$D$36,2,FALSE)</f>
        <v>Decors</v>
      </c>
      <c r="AI508" s="89" t="s">
        <v>2566</v>
      </c>
      <c r="AJ508" s="1" t="str">
        <f t="shared" si="242"/>
        <v>Vasile</v>
      </c>
      <c r="AK508" s="1" t="str">
        <f t="shared" si="243"/>
        <v>w20 x d20 x h25</v>
      </c>
      <c r="AL508" s="1" t="str">
        <f t="shared" si="244"/>
        <v>grey glass semi</v>
      </c>
      <c r="AM508" s="1" t="str">
        <f t="shared" si="245"/>
        <v>grey glass semi</v>
      </c>
      <c r="AN508" s="1" t="str">
        <f t="shared" si="256"/>
        <v>grey glass semi</v>
      </c>
      <c r="AQ508" s="1" t="str">
        <f t="shared" si="246"/>
        <v>B</v>
      </c>
      <c r="AR508" s="1" t="str">
        <f>VLOOKUP(TRIM(AI508),Sheet1!$D$3:$E$36,2,FALSE)</f>
        <v>09</v>
      </c>
      <c r="AS508" s="90" t="str">
        <f t="shared" si="247"/>
        <v>01</v>
      </c>
      <c r="AT508" s="1" t="str">
        <f t="shared" si="248"/>
        <v>01</v>
      </c>
      <c r="AU508" s="90" t="s">
        <v>2639</v>
      </c>
      <c r="AV508" s="90"/>
      <c r="AW508" s="90"/>
      <c r="AX508" s="95" t="str">
        <f>AQ508&amp;AR508&amp;AS508&amp;"-"&amp;AT508&amp;AU508&amp;BA508</f>
        <v>B0901-0141</v>
      </c>
      <c r="AY508" s="99" t="str">
        <f>AQ508&amp;AR508&amp;AS508&amp;"-"&amp;AT508&amp;BA508</f>
        <v>B0901-01</v>
      </c>
      <c r="AZ508" s="90"/>
      <c r="BA508" s="1" t="str">
        <f t="shared" si="249"/>
        <v/>
      </c>
      <c r="BC508" s="1">
        <f t="shared" si="257"/>
        <v>1</v>
      </c>
      <c r="BD508" s="90">
        <f t="shared" si="258"/>
        <v>1</v>
      </c>
      <c r="BE508" s="1">
        <f t="shared" si="253"/>
        <v>1</v>
      </c>
      <c r="BF508" s="1">
        <f t="shared" si="254"/>
        <v>1</v>
      </c>
      <c r="BI508"/>
      <c r="BJ508"/>
      <c r="BL508"/>
    </row>
    <row r="509" spans="1:64" ht="11.25" customHeight="1">
      <c r="A509" s="26" t="s">
        <v>2640</v>
      </c>
      <c r="B509" s="27" t="s">
        <v>2634</v>
      </c>
      <c r="C509" s="28">
        <v>236.99</v>
      </c>
      <c r="D509" s="28">
        <f t="shared" si="240"/>
        <v>118.495</v>
      </c>
      <c r="E509" s="22" t="s">
        <v>2561</v>
      </c>
      <c r="F509" s="22" t="s">
        <v>2641</v>
      </c>
      <c r="G509" s="22" t="s">
        <v>886</v>
      </c>
      <c r="H509" s="22" t="s">
        <v>2642</v>
      </c>
      <c r="I509" s="23" t="s">
        <v>2637</v>
      </c>
      <c r="J509" s="22" t="s">
        <v>670</v>
      </c>
      <c r="K509" s="23">
        <v>20</v>
      </c>
      <c r="L509" s="23">
        <v>20</v>
      </c>
      <c r="M509" s="23">
        <v>35</v>
      </c>
      <c r="N509" s="3">
        <f t="shared" si="260"/>
        <v>1.4E-2</v>
      </c>
      <c r="O509" s="4" t="e">
        <f>(C509-(C509*#REF!))-((C509-(C509*#REF!))*#REF!)</f>
        <v>#REF!</v>
      </c>
      <c r="P509" s="7"/>
      <c r="Q509" s="7"/>
      <c r="R509" s="5">
        <f t="shared" si="261"/>
        <v>0</v>
      </c>
      <c r="S509" s="4">
        <f t="shared" si="262"/>
        <v>0</v>
      </c>
      <c r="T509" s="13">
        <f t="shared" si="241"/>
        <v>165.89300000000003</v>
      </c>
      <c r="U509" s="13">
        <f t="shared" si="250"/>
        <v>82.946500000000015</v>
      </c>
      <c r="V509" s="14">
        <f>U509/C509</f>
        <v>0.35000000000000003</v>
      </c>
      <c r="W509" s="14"/>
      <c r="X509" s="19">
        <f t="shared" si="263"/>
        <v>82.946500000000015</v>
      </c>
      <c r="Y509" s="19">
        <f t="shared" si="264"/>
        <v>165.89300000000003</v>
      </c>
      <c r="Z509" s="15" t="e">
        <f t="shared" si="259"/>
        <v>#DIV/0!</v>
      </c>
      <c r="AA509" s="22" t="s">
        <v>2643</v>
      </c>
      <c r="AG509" s="94" t="s">
        <v>1169</v>
      </c>
      <c r="AH509" s="89" t="str">
        <f>VLOOKUP(AG509,Sheet1!$B$3:$D$36,2,FALSE)</f>
        <v>Decors</v>
      </c>
      <c r="AI509" s="89" t="s">
        <v>2566</v>
      </c>
      <c r="AJ509" s="1" t="str">
        <f t="shared" si="242"/>
        <v>Vasile</v>
      </c>
      <c r="AK509" s="1" t="str">
        <f t="shared" si="243"/>
        <v>w20 x d20 x h35</v>
      </c>
      <c r="AL509" s="1" t="str">
        <f t="shared" si="244"/>
        <v>grey glass semi</v>
      </c>
      <c r="AM509" s="1" t="str">
        <f t="shared" si="245"/>
        <v>grey glass semi</v>
      </c>
      <c r="AN509" s="1" t="str">
        <f t="shared" si="256"/>
        <v>grey glass semi</v>
      </c>
      <c r="AQ509" s="1" t="str">
        <f t="shared" si="246"/>
        <v>B</v>
      </c>
      <c r="AR509" s="1" t="str">
        <f>VLOOKUP(TRIM(AI509),Sheet1!$D$3:$E$36,2,FALSE)</f>
        <v>09</v>
      </c>
      <c r="AS509" s="90" t="str">
        <f t="shared" si="247"/>
        <v>02</v>
      </c>
      <c r="AT509" s="1" t="str">
        <f t="shared" si="248"/>
        <v>01</v>
      </c>
      <c r="AU509" s="90" t="s">
        <v>2639</v>
      </c>
      <c r="AV509" s="90"/>
      <c r="AW509" s="90"/>
      <c r="AX509" s="95" t="str">
        <f>AQ509&amp;AR509&amp;AS509&amp;"-"&amp;AT509&amp;AU509&amp;BA509</f>
        <v>B0902-0141</v>
      </c>
      <c r="AY509" s="99" t="str">
        <f>AQ509&amp;AR509&amp;AS509&amp;"-"&amp;AT509&amp;BA509</f>
        <v>B0902-01</v>
      </c>
      <c r="AZ509" s="90"/>
      <c r="BA509" s="1" t="str">
        <f t="shared" si="249"/>
        <v/>
      </c>
      <c r="BC509" s="1" t="str">
        <f t="shared" si="257"/>
        <v/>
      </c>
      <c r="BD509" s="90">
        <f t="shared" si="258"/>
        <v>2</v>
      </c>
      <c r="BE509" s="1">
        <f t="shared" si="253"/>
        <v>1</v>
      </c>
      <c r="BF509" s="1">
        <f t="shared" si="254"/>
        <v>1</v>
      </c>
      <c r="BI509"/>
      <c r="BJ509"/>
      <c r="BL509"/>
    </row>
    <row r="510" spans="1:64" ht="11.25" customHeight="1">
      <c r="A510" s="26" t="s">
        <v>2644</v>
      </c>
      <c r="B510" s="27" t="s">
        <v>2645</v>
      </c>
      <c r="C510" s="28">
        <v>72.989999999999995</v>
      </c>
      <c r="D510" s="28">
        <f t="shared" si="240"/>
        <v>36.494999999999997</v>
      </c>
      <c r="E510" s="22" t="s">
        <v>2561</v>
      </c>
      <c r="F510" s="22" t="s">
        <v>2646</v>
      </c>
      <c r="G510" s="22" t="s">
        <v>222</v>
      </c>
      <c r="H510" s="22" t="s">
        <v>2647</v>
      </c>
      <c r="I510" s="23" t="s">
        <v>2648</v>
      </c>
      <c r="J510" s="22" t="s">
        <v>670</v>
      </c>
      <c r="K510" s="23">
        <v>12</v>
      </c>
      <c r="L510" s="23">
        <v>12</v>
      </c>
      <c r="M510" s="23">
        <v>12</v>
      </c>
      <c r="N510" s="3">
        <f t="shared" si="260"/>
        <v>1.7279999999999999E-3</v>
      </c>
      <c r="O510" s="4" t="e">
        <f>(C510-(C510*#REF!))-((C510-(C510*#REF!))*#REF!)</f>
        <v>#REF!</v>
      </c>
      <c r="P510" s="7"/>
      <c r="Q510" s="7"/>
      <c r="R510" s="5">
        <f t="shared" si="261"/>
        <v>0</v>
      </c>
      <c r="S510" s="4">
        <f t="shared" si="262"/>
        <v>0</v>
      </c>
      <c r="T510" s="13">
        <f t="shared" si="241"/>
        <v>51.092999999999996</v>
      </c>
      <c r="U510" s="13">
        <f t="shared" si="250"/>
        <v>25.546499999999998</v>
      </c>
      <c r="V510" s="14">
        <f>U510/C510</f>
        <v>0.35</v>
      </c>
      <c r="W510" s="14"/>
      <c r="X510" s="19">
        <f t="shared" si="263"/>
        <v>25.546499999999998</v>
      </c>
      <c r="Y510" s="19">
        <f t="shared" si="264"/>
        <v>51.092999999999996</v>
      </c>
      <c r="Z510" s="15" t="e">
        <f t="shared" si="259"/>
        <v>#DIV/0!</v>
      </c>
      <c r="AA510" s="22" t="s">
        <v>2649</v>
      </c>
      <c r="AG510" s="94" t="s">
        <v>1169</v>
      </c>
      <c r="AH510" s="89" t="str">
        <f>VLOOKUP(AG510,Sheet1!$B$3:$D$36,2,FALSE)</f>
        <v>Decors</v>
      </c>
      <c r="AI510" s="89" t="s">
        <v>2566</v>
      </c>
      <c r="AJ510" s="1" t="str">
        <f t="shared" si="242"/>
        <v>Eduard cracked square</v>
      </c>
      <c r="AK510" s="1" t="str">
        <f t="shared" si="243"/>
        <v>w12 x d12 x h12</v>
      </c>
      <c r="AL510" s="1" t="str">
        <f t="shared" si="244"/>
        <v>grey glass cracked semi</v>
      </c>
      <c r="AM510" s="1" t="str">
        <f t="shared" si="245"/>
        <v>grey glass cracked semi</v>
      </c>
      <c r="AN510" s="1" t="str">
        <f t="shared" si="256"/>
        <v>grey glass cracked semi</v>
      </c>
      <c r="AQ510" s="1" t="str">
        <f t="shared" si="246"/>
        <v>B</v>
      </c>
      <c r="AR510" s="1" t="str">
        <f>VLOOKUP(TRIM(AI510),Sheet1!$D$3:$E$36,2,FALSE)</f>
        <v>09</v>
      </c>
      <c r="AS510" s="90" t="str">
        <f t="shared" si="247"/>
        <v>01</v>
      </c>
      <c r="AT510" s="1" t="str">
        <f t="shared" si="248"/>
        <v>01</v>
      </c>
      <c r="AU510" s="90" t="s">
        <v>2639</v>
      </c>
      <c r="AV510" s="90"/>
      <c r="AW510" s="90"/>
      <c r="AX510" s="95" t="str">
        <f>AQ510&amp;AR510&amp;AS510&amp;"-"&amp;AT510&amp;AU510&amp;BA510</f>
        <v>B0901-0141</v>
      </c>
      <c r="AY510" s="99" t="str">
        <f>AQ510&amp;AR510&amp;AS510&amp;"-"&amp;AT510&amp;BA510</f>
        <v>B0901-01</v>
      </c>
      <c r="AZ510" s="90"/>
      <c r="BA510" s="1" t="str">
        <f t="shared" si="249"/>
        <v/>
      </c>
      <c r="BC510" s="1">
        <f t="shared" si="257"/>
        <v>1</v>
      </c>
      <c r="BD510" s="90">
        <f t="shared" si="258"/>
        <v>1</v>
      </c>
      <c r="BE510" s="1">
        <f t="shared" si="253"/>
        <v>1</v>
      </c>
      <c r="BF510" s="1">
        <f t="shared" si="254"/>
        <v>1</v>
      </c>
      <c r="BI510"/>
      <c r="BJ510"/>
      <c r="BL510"/>
    </row>
    <row r="511" spans="1:64" ht="11.25" customHeight="1">
      <c r="A511" s="26" t="s">
        <v>2650</v>
      </c>
      <c r="B511" s="27" t="s">
        <v>2645</v>
      </c>
      <c r="C511" s="28">
        <v>36.99</v>
      </c>
      <c r="D511" s="28">
        <f t="shared" si="240"/>
        <v>18.495000000000001</v>
      </c>
      <c r="E511" s="22" t="s">
        <v>2561</v>
      </c>
      <c r="F511" s="22" t="s">
        <v>2646</v>
      </c>
      <c r="G511" s="22" t="s">
        <v>222</v>
      </c>
      <c r="H511" s="22" t="s">
        <v>2647</v>
      </c>
      <c r="I511" s="23" t="s">
        <v>2564</v>
      </c>
      <c r="J511" s="22" t="s">
        <v>670</v>
      </c>
      <c r="K511" s="23">
        <v>12</v>
      </c>
      <c r="L511" s="23">
        <v>12</v>
      </c>
      <c r="M511" s="23">
        <v>12</v>
      </c>
      <c r="N511" s="3">
        <f t="shared" si="260"/>
        <v>1.7279999999999999E-3</v>
      </c>
      <c r="O511" s="4" t="e">
        <f>(C511-(C511*#REF!))-((C511-(C511*#REF!))*#REF!)</f>
        <v>#REF!</v>
      </c>
      <c r="P511" s="7"/>
      <c r="Q511" s="7"/>
      <c r="R511" s="5">
        <f t="shared" si="261"/>
        <v>0</v>
      </c>
      <c r="S511" s="4">
        <f t="shared" si="262"/>
        <v>0</v>
      </c>
      <c r="T511" s="13">
        <f t="shared" si="241"/>
        <v>25.893000000000001</v>
      </c>
      <c r="U511" s="13">
        <f t="shared" si="250"/>
        <v>12.9465</v>
      </c>
      <c r="V511" s="14">
        <f>U511/C511</f>
        <v>0.35</v>
      </c>
      <c r="W511" s="14"/>
      <c r="X511" s="19">
        <f t="shared" si="263"/>
        <v>12.9465</v>
      </c>
      <c r="Y511" s="19">
        <f t="shared" si="264"/>
        <v>25.893000000000001</v>
      </c>
      <c r="Z511" s="15" t="e">
        <f t="shared" si="259"/>
        <v>#DIV/0!</v>
      </c>
      <c r="AA511" s="22" t="s">
        <v>2651</v>
      </c>
      <c r="AG511" s="94" t="s">
        <v>1169</v>
      </c>
      <c r="AH511" s="89" t="str">
        <f>VLOOKUP(AG511,Sheet1!$B$3:$D$36,2,FALSE)</f>
        <v>Decors</v>
      </c>
      <c r="AI511" s="89" t="s">
        <v>2566</v>
      </c>
      <c r="AJ511" s="1" t="str">
        <f t="shared" si="242"/>
        <v>Eduard cracked square</v>
      </c>
      <c r="AK511" s="1" t="str">
        <f t="shared" si="243"/>
        <v>w12 x d12 x h12</v>
      </c>
      <c r="AL511" s="1" t="str">
        <f t="shared" si="244"/>
        <v>clear glass semi</v>
      </c>
      <c r="AM511" s="1" t="str">
        <f t="shared" si="245"/>
        <v>clear glass semi</v>
      </c>
      <c r="AN511" s="1" t="str">
        <f t="shared" si="256"/>
        <v>clear glass semi</v>
      </c>
      <c r="AQ511" s="1" t="str">
        <f t="shared" si="246"/>
        <v>B</v>
      </c>
      <c r="AR511" s="1" t="str">
        <f>VLOOKUP(TRIM(AI511),Sheet1!$D$3:$E$36,2,FALSE)</f>
        <v>09</v>
      </c>
      <c r="AS511" s="90" t="str">
        <f t="shared" si="247"/>
        <v>02</v>
      </c>
      <c r="AT511" s="1" t="str">
        <f t="shared" si="248"/>
        <v>02</v>
      </c>
      <c r="AU511" s="90" t="s">
        <v>2567</v>
      </c>
      <c r="AV511" s="90"/>
      <c r="AW511" s="90"/>
      <c r="AX511" s="95" t="str">
        <f>AQ511&amp;AR511&amp;AS511&amp;"-"&amp;AT511&amp;AU511&amp;BA511</f>
        <v>B0902-0238</v>
      </c>
      <c r="AY511" s="99" t="str">
        <f>AQ511&amp;AR511&amp;AS511&amp;"-"&amp;AT511&amp;BA511</f>
        <v>B0902-02</v>
      </c>
      <c r="AZ511" s="90"/>
      <c r="BA511" s="1" t="str">
        <f t="shared" si="249"/>
        <v/>
      </c>
      <c r="BC511" s="1" t="str">
        <f t="shared" si="257"/>
        <v/>
      </c>
      <c r="BD511" s="90">
        <f t="shared" si="258"/>
        <v>2</v>
      </c>
      <c r="BE511" s="1" t="str">
        <f t="shared" si="253"/>
        <v/>
      </c>
      <c r="BF511" s="1">
        <f t="shared" si="254"/>
        <v>2</v>
      </c>
      <c r="BI511"/>
      <c r="BJ511"/>
      <c r="BL511"/>
    </row>
    <row r="512" spans="1:64" ht="11.25" customHeight="1">
      <c r="A512" s="26" t="s">
        <v>2652</v>
      </c>
      <c r="B512" s="27" t="s">
        <v>2653</v>
      </c>
      <c r="C512" s="28">
        <v>44.99</v>
      </c>
      <c r="D512" s="28">
        <f t="shared" si="240"/>
        <v>22.495000000000001</v>
      </c>
      <c r="E512" s="22" t="s">
        <v>2561</v>
      </c>
      <c r="F512" s="22" t="s">
        <v>2654</v>
      </c>
      <c r="G512" s="22" t="s">
        <v>465</v>
      </c>
      <c r="H512" s="22" t="s">
        <v>2655</v>
      </c>
      <c r="I512" s="23" t="s">
        <v>2564</v>
      </c>
      <c r="J512" s="22" t="s">
        <v>670</v>
      </c>
      <c r="L512" s="23">
        <v>16</v>
      </c>
      <c r="M512" s="23">
        <v>26</v>
      </c>
      <c r="N512" s="3">
        <f t="shared" si="260"/>
        <v>6.6559999999999996E-3</v>
      </c>
      <c r="O512" s="4" t="e">
        <f>(C512-(C512*#REF!))-((C512-(C512*#REF!))*#REF!)</f>
        <v>#REF!</v>
      </c>
      <c r="P512" s="7"/>
      <c r="Q512" s="7"/>
      <c r="R512" s="5">
        <f t="shared" si="261"/>
        <v>0</v>
      </c>
      <c r="S512" s="4">
        <f t="shared" si="262"/>
        <v>0</v>
      </c>
      <c r="T512" s="13">
        <f t="shared" si="241"/>
        <v>31.493000000000002</v>
      </c>
      <c r="U512" s="13">
        <f t="shared" si="250"/>
        <v>15.746500000000001</v>
      </c>
      <c r="V512" s="14">
        <f>U512/C512</f>
        <v>0.35000000000000003</v>
      </c>
      <c r="W512" s="14"/>
      <c r="X512" s="19">
        <f t="shared" si="263"/>
        <v>15.746500000000001</v>
      </c>
      <c r="Y512" s="19">
        <f t="shared" si="264"/>
        <v>31.493000000000002</v>
      </c>
      <c r="Z512" s="15" t="e">
        <f t="shared" si="259"/>
        <v>#DIV/0!</v>
      </c>
      <c r="AA512" s="22" t="s">
        <v>2656</v>
      </c>
      <c r="AG512" s="94" t="s">
        <v>1169</v>
      </c>
      <c r="AH512" s="89" t="str">
        <f>VLOOKUP(AG512,Sheet1!$B$3:$D$36,2,FALSE)</f>
        <v>Decors</v>
      </c>
      <c r="AI512" s="89" t="s">
        <v>2566</v>
      </c>
      <c r="AJ512" s="1" t="str">
        <f t="shared" si="242"/>
        <v>Madalina</v>
      </c>
      <c r="AK512" s="1" t="str">
        <f t="shared" si="243"/>
        <v>ø16 x h26</v>
      </c>
      <c r="AL512" s="1" t="str">
        <f t="shared" si="244"/>
        <v>clear glass semi</v>
      </c>
      <c r="AM512" s="1" t="str">
        <f t="shared" si="245"/>
        <v>clear glass semi</v>
      </c>
      <c r="AN512" s="1" t="str">
        <f t="shared" si="256"/>
        <v>clear glass semi</v>
      </c>
      <c r="AQ512" s="1" t="str">
        <f t="shared" si="246"/>
        <v>B</v>
      </c>
      <c r="AR512" s="1" t="str">
        <f>VLOOKUP(TRIM(AI512),Sheet1!$D$3:$E$36,2,FALSE)</f>
        <v>09</v>
      </c>
      <c r="AS512" s="90" t="str">
        <f t="shared" si="247"/>
        <v>01</v>
      </c>
      <c r="AT512" s="1" t="str">
        <f t="shared" si="248"/>
        <v>01</v>
      </c>
      <c r="AU512" s="90" t="s">
        <v>2567</v>
      </c>
      <c r="AV512" s="90"/>
      <c r="AW512" s="90"/>
      <c r="AX512" s="95" t="str">
        <f>AQ512&amp;AR512&amp;AS512&amp;"-"&amp;AT512&amp;AU512&amp;BA512</f>
        <v>B0901-0138</v>
      </c>
      <c r="AY512" s="99" t="str">
        <f>AQ512&amp;AR512&amp;AS512&amp;"-"&amp;AT512&amp;BA512</f>
        <v>B0901-01</v>
      </c>
      <c r="AZ512" s="90"/>
      <c r="BA512" s="1" t="str">
        <f t="shared" si="249"/>
        <v/>
      </c>
      <c r="BC512" s="1">
        <f t="shared" si="257"/>
        <v>1</v>
      </c>
      <c r="BD512" s="90">
        <f t="shared" si="258"/>
        <v>1</v>
      </c>
      <c r="BE512" s="1">
        <f t="shared" si="253"/>
        <v>1</v>
      </c>
      <c r="BF512" s="1">
        <f t="shared" si="254"/>
        <v>1</v>
      </c>
      <c r="BI512"/>
      <c r="BJ512"/>
      <c r="BL512"/>
    </row>
    <row r="513" spans="1:64" ht="11.25" customHeight="1">
      <c r="A513" s="26" t="s">
        <v>2657</v>
      </c>
      <c r="B513" s="27" t="s">
        <v>2653</v>
      </c>
      <c r="C513" s="28">
        <v>76.989999999999995</v>
      </c>
      <c r="D513" s="28">
        <f t="shared" si="240"/>
        <v>38.494999999999997</v>
      </c>
      <c r="E513" s="22" t="s">
        <v>2561</v>
      </c>
      <c r="F513" s="22" t="s">
        <v>2658</v>
      </c>
      <c r="G513" s="22" t="s">
        <v>465</v>
      </c>
      <c r="H513" s="22" t="s">
        <v>2659</v>
      </c>
      <c r="I513" s="23" t="s">
        <v>2564</v>
      </c>
      <c r="J513" s="22" t="s">
        <v>670</v>
      </c>
      <c r="L513" s="23">
        <v>18</v>
      </c>
      <c r="M513" s="23">
        <v>46</v>
      </c>
      <c r="N513" s="3">
        <f t="shared" si="260"/>
        <v>1.4904000000000001E-2</v>
      </c>
      <c r="O513" s="4" t="e">
        <f>(C513-(C513*#REF!))-((C513-(C513*#REF!))*#REF!)</f>
        <v>#REF!</v>
      </c>
      <c r="P513" s="7"/>
      <c r="Q513" s="7"/>
      <c r="R513" s="5">
        <f t="shared" si="261"/>
        <v>0</v>
      </c>
      <c r="S513" s="4">
        <f t="shared" si="262"/>
        <v>0</v>
      </c>
      <c r="T513" s="13">
        <f t="shared" si="241"/>
        <v>53.893000000000001</v>
      </c>
      <c r="U513" s="13">
        <f t="shared" si="250"/>
        <v>26.9465</v>
      </c>
      <c r="V513" s="14">
        <f>U513/C513</f>
        <v>0.35000000000000003</v>
      </c>
      <c r="W513" s="14"/>
      <c r="X513" s="19">
        <f t="shared" si="263"/>
        <v>26.9465</v>
      </c>
      <c r="Y513" s="19">
        <f t="shared" si="264"/>
        <v>53.893000000000001</v>
      </c>
      <c r="Z513" s="15" t="e">
        <f t="shared" si="259"/>
        <v>#DIV/0!</v>
      </c>
      <c r="AA513" s="22" t="s">
        <v>2660</v>
      </c>
      <c r="AG513" s="94" t="s">
        <v>1169</v>
      </c>
      <c r="AH513" s="89" t="str">
        <f>VLOOKUP(AG513,Sheet1!$B$3:$D$36,2,FALSE)</f>
        <v>Decors</v>
      </c>
      <c r="AI513" s="89" t="s">
        <v>2566</v>
      </c>
      <c r="AJ513" s="1" t="str">
        <f t="shared" si="242"/>
        <v>Madalina</v>
      </c>
      <c r="AK513" s="1" t="str">
        <f t="shared" si="243"/>
        <v>ø18 x h46</v>
      </c>
      <c r="AL513" s="1" t="str">
        <f t="shared" si="244"/>
        <v>clear glass semi</v>
      </c>
      <c r="AM513" s="1" t="str">
        <f t="shared" si="245"/>
        <v>clear glass semi</v>
      </c>
      <c r="AN513" s="1" t="str">
        <f t="shared" si="256"/>
        <v>clear glass semi</v>
      </c>
      <c r="AQ513" s="1" t="str">
        <f t="shared" si="246"/>
        <v>B</v>
      </c>
      <c r="AR513" s="1" t="str">
        <f>VLOOKUP(TRIM(AI513),Sheet1!$D$3:$E$36,2,FALSE)</f>
        <v>09</v>
      </c>
      <c r="AS513" s="90" t="str">
        <f t="shared" si="247"/>
        <v>02</v>
      </c>
      <c r="AT513" s="1" t="str">
        <f t="shared" si="248"/>
        <v>01</v>
      </c>
      <c r="AU513" s="90" t="s">
        <v>2567</v>
      </c>
      <c r="AV513" s="90"/>
      <c r="AW513" s="90"/>
      <c r="AX513" s="95" t="str">
        <f>AQ513&amp;AR513&amp;AS513&amp;"-"&amp;AT513&amp;AU513&amp;BA513</f>
        <v>B0902-0138</v>
      </c>
      <c r="AY513" s="99" t="str">
        <f>AQ513&amp;AR513&amp;AS513&amp;"-"&amp;AT513&amp;BA513</f>
        <v>B0902-01</v>
      </c>
      <c r="AZ513" s="90"/>
      <c r="BA513" s="1" t="str">
        <f t="shared" si="249"/>
        <v/>
      </c>
      <c r="BC513" s="1" t="str">
        <f t="shared" si="257"/>
        <v/>
      </c>
      <c r="BD513" s="90">
        <f t="shared" si="258"/>
        <v>2</v>
      </c>
      <c r="BE513" s="1">
        <f t="shared" si="253"/>
        <v>1</v>
      </c>
      <c r="BF513" s="1">
        <f t="shared" si="254"/>
        <v>1</v>
      </c>
      <c r="BI513"/>
      <c r="BJ513"/>
      <c r="BL513"/>
    </row>
    <row r="514" spans="1:64" ht="11.25" customHeight="1">
      <c r="A514" s="26" t="s">
        <v>2661</v>
      </c>
      <c r="B514" s="27" t="s">
        <v>2653</v>
      </c>
      <c r="C514" s="28">
        <v>112.99</v>
      </c>
      <c r="D514" s="28">
        <f t="shared" si="240"/>
        <v>56.494999999999997</v>
      </c>
      <c r="E514" s="22" t="s">
        <v>2561</v>
      </c>
      <c r="F514" s="22" t="s">
        <v>2662</v>
      </c>
      <c r="G514" s="22" t="s">
        <v>465</v>
      </c>
      <c r="H514" s="22" t="s">
        <v>2663</v>
      </c>
      <c r="I514" s="23" t="s">
        <v>2564</v>
      </c>
      <c r="J514" s="22" t="s">
        <v>670</v>
      </c>
      <c r="L514" s="23">
        <v>24</v>
      </c>
      <c r="M514" s="23">
        <v>76</v>
      </c>
      <c r="N514" s="3">
        <f t="shared" si="260"/>
        <v>4.3776000000000002E-2</v>
      </c>
      <c r="O514" s="4" t="e">
        <f>(C514-(C514*#REF!))-((C514-(C514*#REF!))*#REF!)</f>
        <v>#REF!</v>
      </c>
      <c r="P514" s="7"/>
      <c r="Q514" s="7"/>
      <c r="R514" s="5">
        <f t="shared" si="261"/>
        <v>0</v>
      </c>
      <c r="S514" s="4">
        <f t="shared" si="262"/>
        <v>0</v>
      </c>
      <c r="T514" s="13">
        <f t="shared" si="241"/>
        <v>79.092999999999989</v>
      </c>
      <c r="U514" s="13">
        <f t="shared" si="250"/>
        <v>39.546499999999995</v>
      </c>
      <c r="V514" s="14">
        <f>U514/C514</f>
        <v>0.35</v>
      </c>
      <c r="W514" s="14"/>
      <c r="X514" s="19">
        <f t="shared" si="263"/>
        <v>39.546499999999995</v>
      </c>
      <c r="Y514" s="19">
        <f t="shared" si="264"/>
        <v>79.092999999999989</v>
      </c>
      <c r="Z514" s="15" t="e">
        <f t="shared" si="259"/>
        <v>#DIV/0!</v>
      </c>
      <c r="AA514" s="22" t="s">
        <v>2664</v>
      </c>
      <c r="AG514" s="94" t="s">
        <v>1169</v>
      </c>
      <c r="AH514" s="89" t="str">
        <f>VLOOKUP(AG514,Sheet1!$B$3:$D$36,2,FALSE)</f>
        <v>Decors</v>
      </c>
      <c r="AI514" s="89" t="s">
        <v>2566</v>
      </c>
      <c r="AJ514" s="1" t="str">
        <f t="shared" si="242"/>
        <v>Madalina</v>
      </c>
      <c r="AK514" s="1" t="str">
        <f t="shared" si="243"/>
        <v>ø24 x h76</v>
      </c>
      <c r="AL514" s="1" t="str">
        <f t="shared" si="244"/>
        <v>clear glass semi</v>
      </c>
      <c r="AM514" s="1" t="str">
        <f t="shared" si="245"/>
        <v>clear glass semi</v>
      </c>
      <c r="AN514" s="1" t="str">
        <f t="shared" si="256"/>
        <v>clear glass semi</v>
      </c>
      <c r="AQ514" s="1" t="str">
        <f t="shared" si="246"/>
        <v>B</v>
      </c>
      <c r="AR514" s="1" t="str">
        <f>VLOOKUP(TRIM(AI514),Sheet1!$D$3:$E$36,2,FALSE)</f>
        <v>09</v>
      </c>
      <c r="AS514" s="90" t="str">
        <f t="shared" si="247"/>
        <v>03</v>
      </c>
      <c r="AT514" s="1" t="str">
        <f t="shared" si="248"/>
        <v>01</v>
      </c>
      <c r="AU514" s="90" t="s">
        <v>2567</v>
      </c>
      <c r="AV514" s="90"/>
      <c r="AW514" s="90"/>
      <c r="AX514" s="95" t="str">
        <f>AQ514&amp;AR514&amp;AS514&amp;"-"&amp;AT514&amp;AU514&amp;BA514</f>
        <v>B0903-0138</v>
      </c>
      <c r="AY514" s="99" t="str">
        <f>AQ514&amp;AR514&amp;AS514&amp;"-"&amp;AT514&amp;BA514</f>
        <v>B0903-01</v>
      </c>
      <c r="AZ514" s="90"/>
      <c r="BA514" s="1" t="str">
        <f t="shared" si="249"/>
        <v/>
      </c>
      <c r="BC514" s="1" t="str">
        <f t="shared" si="257"/>
        <v/>
      </c>
      <c r="BD514" s="90">
        <f t="shared" si="258"/>
        <v>3</v>
      </c>
      <c r="BE514" s="1">
        <f t="shared" si="253"/>
        <v>1</v>
      </c>
      <c r="BF514" s="1">
        <f t="shared" si="254"/>
        <v>1</v>
      </c>
      <c r="BI514"/>
      <c r="BJ514"/>
      <c r="BL514"/>
    </row>
    <row r="515" spans="1:64" ht="11.25" customHeight="1">
      <c r="A515" s="26" t="s">
        <v>2665</v>
      </c>
      <c r="B515" s="27" t="s">
        <v>2666</v>
      </c>
      <c r="C515" s="28">
        <v>221.99</v>
      </c>
      <c r="D515" s="28">
        <f t="shared" si="240"/>
        <v>110.995</v>
      </c>
      <c r="E515" s="22" t="s">
        <v>2561</v>
      </c>
      <c r="F515" s="22" t="s">
        <v>2667</v>
      </c>
      <c r="G515" s="22" t="s">
        <v>2668</v>
      </c>
      <c r="H515" s="22" t="s">
        <v>2669</v>
      </c>
      <c r="I515" s="23" t="s">
        <v>2564</v>
      </c>
      <c r="J515" s="22" t="s">
        <v>670</v>
      </c>
      <c r="K515" s="23">
        <v>25</v>
      </c>
      <c r="L515" s="23">
        <v>7</v>
      </c>
      <c r="M515" s="23">
        <v>28</v>
      </c>
      <c r="N515" s="3">
        <f t="shared" si="260"/>
        <v>4.8999999999999998E-3</v>
      </c>
      <c r="O515" s="4" t="e">
        <f>(C515-(C515*#REF!))-((C515-(C515*#REF!))*#REF!)</f>
        <v>#REF!</v>
      </c>
      <c r="P515" s="7"/>
      <c r="Q515" s="7"/>
      <c r="R515" s="5">
        <f t="shared" si="261"/>
        <v>0</v>
      </c>
      <c r="S515" s="4">
        <f t="shared" si="262"/>
        <v>0</v>
      </c>
      <c r="T515" s="13">
        <f t="shared" si="241"/>
        <v>155.39300000000003</v>
      </c>
      <c r="U515" s="13">
        <f t="shared" si="250"/>
        <v>77.696500000000015</v>
      </c>
      <c r="V515" s="14">
        <f>U515/C515</f>
        <v>0.35000000000000003</v>
      </c>
      <c r="W515" s="14"/>
      <c r="X515" s="19">
        <f t="shared" si="263"/>
        <v>77.696500000000015</v>
      </c>
      <c r="Y515" s="19">
        <f t="shared" si="264"/>
        <v>155.39300000000003</v>
      </c>
      <c r="Z515" s="15" t="e">
        <f t="shared" si="259"/>
        <v>#DIV/0!</v>
      </c>
      <c r="AA515" s="22" t="s">
        <v>2670</v>
      </c>
      <c r="AG515" s="94" t="s">
        <v>1169</v>
      </c>
      <c r="AH515" s="89" t="str">
        <f>VLOOKUP(AG515,Sheet1!$B$3:$D$36,2,FALSE)</f>
        <v>Decors</v>
      </c>
      <c r="AI515" s="89" t="s">
        <v>2566</v>
      </c>
      <c r="AJ515" s="1" t="str">
        <f t="shared" si="242"/>
        <v>Elisabeta</v>
      </c>
      <c r="AK515" s="1" t="str">
        <f t="shared" si="243"/>
        <v>w25 x d7 x h28</v>
      </c>
      <c r="AL515" s="1" t="str">
        <f t="shared" si="244"/>
        <v>clear glass semi</v>
      </c>
      <c r="AM515" s="1" t="str">
        <f t="shared" si="245"/>
        <v>clear glass semi</v>
      </c>
      <c r="AN515" s="1" t="str">
        <f t="shared" si="256"/>
        <v>clear glass semi</v>
      </c>
      <c r="AQ515" s="1" t="str">
        <f t="shared" si="246"/>
        <v>B</v>
      </c>
      <c r="AR515" s="1" t="str">
        <f>VLOOKUP(TRIM(AI515),Sheet1!$D$3:$E$36,2,FALSE)</f>
        <v>09</v>
      </c>
      <c r="AS515" s="90" t="str">
        <f t="shared" si="247"/>
        <v>01</v>
      </c>
      <c r="AT515" s="1" t="str">
        <f t="shared" si="248"/>
        <v>01</v>
      </c>
      <c r="AU515" s="90" t="s">
        <v>2567</v>
      </c>
      <c r="AV515" s="90"/>
      <c r="AW515" s="90"/>
      <c r="AX515" s="95" t="str">
        <f>AQ515&amp;AR515&amp;AS515&amp;"-"&amp;AT515&amp;AU515&amp;BA515</f>
        <v>B0901-0138</v>
      </c>
      <c r="AY515" s="99" t="str">
        <f>AQ515&amp;AR515&amp;AS515&amp;"-"&amp;AT515&amp;BA515</f>
        <v>B0901-01</v>
      </c>
      <c r="AZ515" s="90"/>
      <c r="BA515" s="1" t="str">
        <f t="shared" si="249"/>
        <v/>
      </c>
      <c r="BC515" s="1">
        <f t="shared" si="257"/>
        <v>1</v>
      </c>
      <c r="BD515" s="90">
        <f t="shared" si="258"/>
        <v>1</v>
      </c>
      <c r="BE515" s="1">
        <f t="shared" si="253"/>
        <v>1</v>
      </c>
      <c r="BF515" s="1">
        <f t="shared" si="254"/>
        <v>1</v>
      </c>
      <c r="BI515"/>
      <c r="BJ515"/>
      <c r="BL515"/>
    </row>
    <row r="516" spans="1:64" ht="11.25" customHeight="1">
      <c r="A516" s="26" t="s">
        <v>2671</v>
      </c>
      <c r="B516" s="27" t="s">
        <v>2666</v>
      </c>
      <c r="C516" s="28">
        <v>295.99</v>
      </c>
      <c r="D516" s="28">
        <f t="shared" si="240"/>
        <v>147.995</v>
      </c>
      <c r="E516" s="22" t="s">
        <v>2561</v>
      </c>
      <c r="F516" s="22" t="s">
        <v>2672</v>
      </c>
      <c r="G516" s="22" t="s">
        <v>2673</v>
      </c>
      <c r="H516" s="22" t="s">
        <v>2674</v>
      </c>
      <c r="I516" s="23" t="s">
        <v>2637</v>
      </c>
      <c r="J516" s="22" t="s">
        <v>670</v>
      </c>
      <c r="K516" s="23">
        <v>25</v>
      </c>
      <c r="L516" s="23">
        <v>7</v>
      </c>
      <c r="M516" s="23">
        <v>28</v>
      </c>
      <c r="N516" s="3">
        <f t="shared" si="260"/>
        <v>4.8999999999999998E-3</v>
      </c>
      <c r="O516" s="4" t="e">
        <f>(C516-(C516*#REF!))-((C516-(C516*#REF!))*#REF!)</f>
        <v>#REF!</v>
      </c>
      <c r="P516" s="7"/>
      <c r="Q516" s="7"/>
      <c r="R516" s="5">
        <f t="shared" si="261"/>
        <v>0</v>
      </c>
      <c r="S516" s="4">
        <f t="shared" si="262"/>
        <v>0</v>
      </c>
      <c r="T516" s="13">
        <f t="shared" si="241"/>
        <v>207.19300000000001</v>
      </c>
      <c r="U516" s="13">
        <f t="shared" si="250"/>
        <v>103.59650000000001</v>
      </c>
      <c r="V516" s="14">
        <f>U516/C516</f>
        <v>0.35000000000000003</v>
      </c>
      <c r="W516" s="14"/>
      <c r="X516" s="19">
        <f t="shared" si="263"/>
        <v>103.59650000000001</v>
      </c>
      <c r="Y516" s="19">
        <f t="shared" si="264"/>
        <v>207.19300000000001</v>
      </c>
      <c r="Z516" s="15" t="e">
        <f t="shared" si="259"/>
        <v>#DIV/0!</v>
      </c>
      <c r="AA516" s="22" t="s">
        <v>2675</v>
      </c>
      <c r="AG516" s="94" t="s">
        <v>1169</v>
      </c>
      <c r="AH516" s="89" t="str">
        <f>VLOOKUP(AG516,Sheet1!$B$3:$D$36,2,FALSE)</f>
        <v>Decors</v>
      </c>
      <c r="AI516" s="89" t="s">
        <v>2566</v>
      </c>
      <c r="AJ516" s="1" t="str">
        <f t="shared" si="242"/>
        <v>Elisabeta Smoke</v>
      </c>
      <c r="AK516" s="1" t="str">
        <f t="shared" si="243"/>
        <v>w25 x d7 x h28</v>
      </c>
      <c r="AL516" s="1" t="str">
        <f t="shared" si="244"/>
        <v>grey glass semi</v>
      </c>
      <c r="AM516" s="1" t="str">
        <f t="shared" si="245"/>
        <v>grey glass semi</v>
      </c>
      <c r="AN516" s="1" t="str">
        <f t="shared" si="256"/>
        <v>grey glass semi</v>
      </c>
      <c r="AQ516" s="1" t="str">
        <f t="shared" si="246"/>
        <v>B</v>
      </c>
      <c r="AR516" s="1" t="str">
        <f>VLOOKUP(TRIM(AI516),Sheet1!$D$3:$E$36,2,FALSE)</f>
        <v>09</v>
      </c>
      <c r="AS516" s="90" t="str">
        <f t="shared" si="247"/>
        <v>01</v>
      </c>
      <c r="AT516" s="1" t="str">
        <f t="shared" si="248"/>
        <v>02</v>
      </c>
      <c r="AU516" s="90" t="s">
        <v>2639</v>
      </c>
      <c r="AV516" s="90"/>
      <c r="AW516" s="90"/>
      <c r="AX516" s="95" t="str">
        <f>AQ516&amp;AR516&amp;AS516&amp;"-"&amp;AT516&amp;AU516&amp;BA516</f>
        <v>B0901-0241</v>
      </c>
      <c r="AY516" s="99" t="str">
        <f>AQ516&amp;AR516&amp;AS516&amp;"-"&amp;AT516&amp;BA516</f>
        <v>B0901-02</v>
      </c>
      <c r="AZ516" s="90"/>
      <c r="BA516" s="1" t="str">
        <f t="shared" si="249"/>
        <v/>
      </c>
      <c r="BC516" s="1">
        <f t="shared" si="257"/>
        <v>1</v>
      </c>
      <c r="BD516" s="90">
        <f t="shared" si="258"/>
        <v>1</v>
      </c>
      <c r="BE516" s="1" t="str">
        <f t="shared" si="253"/>
        <v/>
      </c>
      <c r="BF516" s="1">
        <f t="shared" si="254"/>
        <v>2</v>
      </c>
      <c r="BI516"/>
      <c r="BJ516"/>
      <c r="BL516"/>
    </row>
    <row r="517" spans="1:64" ht="11.25" customHeight="1">
      <c r="A517" s="26" t="s">
        <v>2676</v>
      </c>
      <c r="B517" s="27" t="s">
        <v>2677</v>
      </c>
      <c r="C517" s="28">
        <v>461.99</v>
      </c>
      <c r="D517" s="28">
        <f t="shared" ref="D517:D580" si="265">C517*$D$1</f>
        <v>230.995</v>
      </c>
      <c r="E517" s="22" t="s">
        <v>2561</v>
      </c>
      <c r="F517" s="22" t="s">
        <v>2678</v>
      </c>
      <c r="G517" s="22" t="s">
        <v>2679</v>
      </c>
      <c r="H517" s="22" t="s">
        <v>2680</v>
      </c>
      <c r="I517" s="23" t="s">
        <v>2564</v>
      </c>
      <c r="J517" s="22" t="s">
        <v>670</v>
      </c>
      <c r="K517" s="23">
        <v>40</v>
      </c>
      <c r="L517" s="23">
        <v>20</v>
      </c>
      <c r="M517" s="23">
        <v>50</v>
      </c>
      <c r="N517" s="3">
        <f t="shared" si="260"/>
        <v>0.04</v>
      </c>
      <c r="O517" s="4" t="e">
        <f>(C517-(C517*#REF!))-((C517-(C517*#REF!))*#REF!)</f>
        <v>#REF!</v>
      </c>
      <c r="P517" s="7"/>
      <c r="Q517" s="7"/>
      <c r="R517" s="5">
        <f t="shared" si="261"/>
        <v>0</v>
      </c>
      <c r="S517" s="4">
        <f t="shared" si="262"/>
        <v>0</v>
      </c>
      <c r="T517" s="13">
        <f t="shared" ref="T517:T580" si="266">C517-(C517*$T$1)</f>
        <v>323.39300000000003</v>
      </c>
      <c r="U517" s="13">
        <f t="shared" si="250"/>
        <v>161.69650000000001</v>
      </c>
      <c r="V517" s="14">
        <f>U517/C517</f>
        <v>0.35000000000000003</v>
      </c>
      <c r="W517" s="14"/>
      <c r="X517" s="19">
        <f t="shared" si="263"/>
        <v>161.69650000000001</v>
      </c>
      <c r="Y517" s="19">
        <f t="shared" si="264"/>
        <v>323.39300000000003</v>
      </c>
      <c r="Z517" s="15" t="e">
        <f t="shared" si="259"/>
        <v>#DIV/0!</v>
      </c>
      <c r="AA517" s="22" t="s">
        <v>2681</v>
      </c>
      <c r="AG517" s="94" t="s">
        <v>1169</v>
      </c>
      <c r="AH517" s="89" t="str">
        <f>VLOOKUP(AG517,Sheet1!$B$3:$D$36,2,FALSE)</f>
        <v>Decors</v>
      </c>
      <c r="AI517" s="89" t="s">
        <v>2566</v>
      </c>
      <c r="AJ517" s="1" t="str">
        <f t="shared" ref="AJ517:AJ580" si="267">G517</f>
        <v>Eleonora</v>
      </c>
      <c r="AK517" s="1" t="str">
        <f t="shared" ref="AK517:AK580" si="268">TRIM(H517)</f>
        <v>w40 x d20 x h50</v>
      </c>
      <c r="AL517" s="1" t="str">
        <f t="shared" ref="AL517:AL580" si="269">I517</f>
        <v>clear glass semi</v>
      </c>
      <c r="AM517" s="1" t="str">
        <f t="shared" ref="AM517:AM580" si="270">I517</f>
        <v>clear glass semi</v>
      </c>
      <c r="AN517" s="1" t="str">
        <f t="shared" si="256"/>
        <v>clear glass semi</v>
      </c>
      <c r="AQ517" s="1" t="str">
        <f t="shared" ref="AQ517:AQ580" si="271">IF(TRIM(AG517)="01","A",IF(TRIM(AG517)="02","B",IF(TRIM(AG517)="03","C",IF(TRIM(AG517)="04","D",IF(TRIM(AG517)="05","E","F")))))</f>
        <v>B</v>
      </c>
      <c r="AR517" s="1" t="str">
        <f>VLOOKUP(TRIM(AI517),Sheet1!$D$3:$E$36,2,FALSE)</f>
        <v>09</v>
      </c>
      <c r="AS517" s="90" t="str">
        <f t="shared" ref="AS517:AS580" si="272">IF(LEN(BD517)=1,"0"&amp;BD517,BD517)</f>
        <v>01</v>
      </c>
      <c r="AT517" s="1" t="str">
        <f t="shared" ref="AT517:AT580" si="273">IF(LEN(BF517)=1,"0"&amp;BF517,BF517)</f>
        <v>01</v>
      </c>
      <c r="AU517" s="90" t="s">
        <v>2567</v>
      </c>
      <c r="AV517" s="90"/>
      <c r="AW517" s="90"/>
      <c r="AX517" s="95" t="str">
        <f>AQ517&amp;AR517&amp;AS517&amp;"-"&amp;AT517&amp;AU517&amp;BA517</f>
        <v>B0901-0138</v>
      </c>
      <c r="AY517" s="99" t="str">
        <f>AQ517&amp;AR517&amp;AS517&amp;"-"&amp;AT517&amp;BA517</f>
        <v>B0901-01</v>
      </c>
      <c r="AZ517" s="90"/>
      <c r="BA517" s="1" t="str">
        <f t="shared" ref="BA517:BA580" si="274">IF(AO517="","",UPPER(LEFT(AO517,3)))</f>
        <v/>
      </c>
      <c r="BC517" s="1">
        <f t="shared" si="257"/>
        <v>1</v>
      </c>
      <c r="BD517" s="90">
        <f t="shared" si="258"/>
        <v>1</v>
      </c>
      <c r="BE517" s="1">
        <f t="shared" si="253"/>
        <v>1</v>
      </c>
      <c r="BF517" s="1">
        <f t="shared" si="254"/>
        <v>1</v>
      </c>
      <c r="BI517"/>
      <c r="BJ517"/>
      <c r="BL517"/>
    </row>
    <row r="518" spans="1:64" ht="11.25" customHeight="1">
      <c r="A518" s="26" t="s">
        <v>2682</v>
      </c>
      <c r="B518" s="27" t="s">
        <v>2683</v>
      </c>
      <c r="C518" s="28">
        <v>422.99</v>
      </c>
      <c r="D518" s="28">
        <f t="shared" si="265"/>
        <v>211.495</v>
      </c>
      <c r="E518" s="22" t="s">
        <v>2561</v>
      </c>
      <c r="F518" s="22" t="s">
        <v>2684</v>
      </c>
      <c r="G518" s="22" t="s">
        <v>2685</v>
      </c>
      <c r="H518" s="22" t="s">
        <v>2686</v>
      </c>
      <c r="I518" s="23" t="s">
        <v>2564</v>
      </c>
      <c r="J518" s="22" t="s">
        <v>670</v>
      </c>
      <c r="K518" s="23">
        <v>40</v>
      </c>
      <c r="L518" s="23">
        <v>10</v>
      </c>
      <c r="M518" s="23">
        <v>40</v>
      </c>
      <c r="N518" s="3">
        <f t="shared" si="260"/>
        <v>1.6E-2</v>
      </c>
      <c r="O518" s="4" t="e">
        <f>(C518-(C518*#REF!))-((C518-(C518*#REF!))*#REF!)</f>
        <v>#REF!</v>
      </c>
      <c r="P518" s="7"/>
      <c r="Q518" s="7"/>
      <c r="R518" s="5">
        <f t="shared" si="261"/>
        <v>0</v>
      </c>
      <c r="S518" s="4">
        <f t="shared" si="262"/>
        <v>0</v>
      </c>
      <c r="T518" s="13">
        <f t="shared" si="266"/>
        <v>296.09300000000002</v>
      </c>
      <c r="U518" s="13">
        <f t="shared" ref="U518:U581" si="275">T518-(T518*$U$1)</f>
        <v>148.04650000000001</v>
      </c>
      <c r="V518" s="14">
        <f>U518/C518</f>
        <v>0.35000000000000003</v>
      </c>
      <c r="W518" s="14"/>
      <c r="X518" s="19">
        <f t="shared" si="263"/>
        <v>148.04650000000001</v>
      </c>
      <c r="Y518" s="19">
        <f t="shared" si="264"/>
        <v>296.09300000000002</v>
      </c>
      <c r="Z518" s="15" t="e">
        <f t="shared" si="259"/>
        <v>#DIV/0!</v>
      </c>
      <c r="AA518" s="22" t="s">
        <v>2687</v>
      </c>
      <c r="AG518" s="94" t="s">
        <v>1169</v>
      </c>
      <c r="AH518" s="89" t="str">
        <f>VLOOKUP(AG518,Sheet1!$B$3:$D$36,2,FALSE)</f>
        <v>Decors</v>
      </c>
      <c r="AI518" s="89" t="s">
        <v>2566</v>
      </c>
      <c r="AJ518" s="1" t="str">
        <f t="shared" si="267"/>
        <v>Luliana</v>
      </c>
      <c r="AK518" s="1" t="str">
        <f t="shared" si="268"/>
        <v>w40 x d10 x h40</v>
      </c>
      <c r="AL518" s="1" t="str">
        <f t="shared" si="269"/>
        <v>clear glass semi</v>
      </c>
      <c r="AM518" s="1" t="str">
        <f t="shared" si="270"/>
        <v>clear glass semi</v>
      </c>
      <c r="AN518" s="1" t="str">
        <f t="shared" si="256"/>
        <v>clear glass semi</v>
      </c>
      <c r="AQ518" s="1" t="str">
        <f t="shared" si="271"/>
        <v>B</v>
      </c>
      <c r="AR518" s="1" t="str">
        <f>VLOOKUP(TRIM(AI518),Sheet1!$D$3:$E$36,2,FALSE)</f>
        <v>09</v>
      </c>
      <c r="AS518" s="90" t="str">
        <f t="shared" si="272"/>
        <v>01</v>
      </c>
      <c r="AT518" s="1" t="str">
        <f t="shared" si="273"/>
        <v>01</v>
      </c>
      <c r="AU518" s="90" t="s">
        <v>2567</v>
      </c>
      <c r="AV518" s="90"/>
      <c r="AW518" s="90"/>
      <c r="AX518" s="95" t="str">
        <f>AQ518&amp;AR518&amp;AS518&amp;"-"&amp;AT518&amp;AU518&amp;BA518</f>
        <v>B0901-0138</v>
      </c>
      <c r="AY518" s="99" t="str">
        <f>AQ518&amp;AR518&amp;AS518&amp;"-"&amp;AT518&amp;BA518</f>
        <v>B0901-01</v>
      </c>
      <c r="AZ518" s="90"/>
      <c r="BA518" s="1" t="str">
        <f t="shared" si="274"/>
        <v/>
      </c>
      <c r="BC518" s="1">
        <f t="shared" si="257"/>
        <v>1</v>
      </c>
      <c r="BD518" s="90">
        <f t="shared" si="258"/>
        <v>1</v>
      </c>
      <c r="BE518" s="1">
        <f t="shared" si="253"/>
        <v>1</v>
      </c>
      <c r="BF518" s="1">
        <f t="shared" si="254"/>
        <v>1</v>
      </c>
      <c r="BI518"/>
      <c r="BJ518"/>
      <c r="BL518"/>
    </row>
    <row r="519" spans="1:64" ht="11.25" customHeight="1">
      <c r="A519" s="26" t="s">
        <v>2688</v>
      </c>
      <c r="B519" s="27" t="s">
        <v>2689</v>
      </c>
      <c r="C519" s="28">
        <v>88.99</v>
      </c>
      <c r="D519" s="28">
        <f t="shared" si="265"/>
        <v>44.494999999999997</v>
      </c>
      <c r="E519" s="22" t="s">
        <v>2561</v>
      </c>
      <c r="F519" s="22" t="s">
        <v>2690</v>
      </c>
      <c r="G519" s="22" t="s">
        <v>2691</v>
      </c>
      <c r="H519" s="22" t="s">
        <v>2692</v>
      </c>
      <c r="I519" s="23" t="s">
        <v>2564</v>
      </c>
      <c r="J519" s="22" t="s">
        <v>670</v>
      </c>
      <c r="L519" s="23">
        <v>12</v>
      </c>
      <c r="M519" s="23">
        <v>45</v>
      </c>
      <c r="N519" s="3">
        <f t="shared" si="260"/>
        <v>6.4799999999999996E-3</v>
      </c>
      <c r="O519" s="4" t="e">
        <f>(C519-(C519*#REF!))-((C519-(C519*#REF!))*#REF!)</f>
        <v>#REF!</v>
      </c>
      <c r="P519" s="7"/>
      <c r="Q519" s="7"/>
      <c r="R519" s="5">
        <f t="shared" si="261"/>
        <v>0</v>
      </c>
      <c r="S519" s="4">
        <f t="shared" si="262"/>
        <v>0</v>
      </c>
      <c r="T519" s="13">
        <f t="shared" si="266"/>
        <v>62.292999999999992</v>
      </c>
      <c r="U519" s="13">
        <f t="shared" si="275"/>
        <v>31.146499999999996</v>
      </c>
      <c r="V519" s="14">
        <f>U519/C519</f>
        <v>0.35</v>
      </c>
      <c r="W519" s="14"/>
      <c r="X519" s="19">
        <f t="shared" si="263"/>
        <v>31.146499999999996</v>
      </c>
      <c r="Y519" s="19">
        <f t="shared" si="264"/>
        <v>62.292999999999992</v>
      </c>
      <c r="Z519" s="15" t="e">
        <f t="shared" si="259"/>
        <v>#DIV/0!</v>
      </c>
      <c r="AA519" s="22" t="s">
        <v>2693</v>
      </c>
      <c r="AG519" s="94" t="s">
        <v>1169</v>
      </c>
      <c r="AH519" s="89" t="str">
        <f>VLOOKUP(AG519,Sheet1!$B$3:$D$36,2,FALSE)</f>
        <v>Decors</v>
      </c>
      <c r="AI519" s="89" t="s">
        <v>2566</v>
      </c>
      <c r="AJ519" s="1" t="str">
        <f t="shared" si="267"/>
        <v>Romano</v>
      </c>
      <c r="AK519" s="1" t="str">
        <f t="shared" si="268"/>
        <v>ø12 x h45</v>
      </c>
      <c r="AL519" s="1" t="str">
        <f t="shared" si="269"/>
        <v>clear glass semi</v>
      </c>
      <c r="AM519" s="1" t="str">
        <f t="shared" si="270"/>
        <v>clear glass semi</v>
      </c>
      <c r="AN519" s="1" t="str">
        <f t="shared" si="256"/>
        <v>clear glass semi</v>
      </c>
      <c r="AQ519" s="1" t="str">
        <f t="shared" si="271"/>
        <v>B</v>
      </c>
      <c r="AR519" s="1" t="str">
        <f>VLOOKUP(TRIM(AI519),Sheet1!$D$3:$E$36,2,FALSE)</f>
        <v>09</v>
      </c>
      <c r="AS519" s="90" t="str">
        <f t="shared" si="272"/>
        <v>01</v>
      </c>
      <c r="AT519" s="1" t="str">
        <f t="shared" si="273"/>
        <v>01</v>
      </c>
      <c r="AU519" s="90" t="s">
        <v>2567</v>
      </c>
      <c r="AV519" s="90"/>
      <c r="AW519" s="90"/>
      <c r="AX519" s="95" t="str">
        <f>AQ519&amp;AR519&amp;AS519&amp;"-"&amp;AT519&amp;AU519&amp;BA519</f>
        <v>B0901-0138</v>
      </c>
      <c r="AY519" s="99" t="str">
        <f>AQ519&amp;AR519&amp;AS519&amp;"-"&amp;AT519&amp;BA519</f>
        <v>B0901-01</v>
      </c>
      <c r="AZ519" s="90"/>
      <c r="BA519" s="1" t="str">
        <f t="shared" si="274"/>
        <v/>
      </c>
      <c r="BC519" s="1">
        <f t="shared" si="257"/>
        <v>1</v>
      </c>
      <c r="BD519" s="90">
        <f t="shared" si="258"/>
        <v>1</v>
      </c>
      <c r="BE519" s="1">
        <f t="shared" si="253"/>
        <v>1</v>
      </c>
      <c r="BF519" s="1">
        <f t="shared" si="254"/>
        <v>1</v>
      </c>
      <c r="BI519"/>
      <c r="BJ519"/>
      <c r="BL519"/>
    </row>
    <row r="520" spans="1:64" ht="11.25" customHeight="1">
      <c r="A520" s="26" t="s">
        <v>2694</v>
      </c>
      <c r="B520" s="27" t="s">
        <v>162</v>
      </c>
      <c r="C520" s="28">
        <v>29.99</v>
      </c>
      <c r="D520" s="28">
        <f t="shared" si="265"/>
        <v>14.994999999999999</v>
      </c>
      <c r="E520" s="22" t="s">
        <v>2561</v>
      </c>
      <c r="F520" s="22" t="s">
        <v>2695</v>
      </c>
      <c r="G520" s="22" t="s">
        <v>162</v>
      </c>
      <c r="I520" s="23" t="s">
        <v>2696</v>
      </c>
      <c r="J520" s="22" t="s">
        <v>50</v>
      </c>
      <c r="N520" s="3">
        <f t="shared" si="260"/>
        <v>0</v>
      </c>
      <c r="O520" s="4" t="e">
        <f>(C520-(C520*#REF!))-((C520-(C520*#REF!))*#REF!)</f>
        <v>#REF!</v>
      </c>
      <c r="P520" s="7"/>
      <c r="Q520" s="7"/>
      <c r="R520" s="5">
        <f t="shared" si="261"/>
        <v>0</v>
      </c>
      <c r="S520" s="4">
        <f t="shared" si="262"/>
        <v>0</v>
      </c>
      <c r="T520" s="13">
        <f t="shared" si="266"/>
        <v>20.992999999999999</v>
      </c>
      <c r="U520" s="13">
        <f t="shared" si="275"/>
        <v>10.496499999999999</v>
      </c>
      <c r="V520" s="14">
        <f>U520/C520</f>
        <v>0.35</v>
      </c>
      <c r="W520" s="14"/>
      <c r="X520" s="19">
        <f t="shared" si="263"/>
        <v>10.496499999999999</v>
      </c>
      <c r="Y520" s="19">
        <f t="shared" si="264"/>
        <v>20.992999999999999</v>
      </c>
      <c r="Z520" s="15" t="e">
        <f t="shared" si="259"/>
        <v>#DIV/0!</v>
      </c>
      <c r="AA520" s="22" t="s">
        <v>2697</v>
      </c>
      <c r="AG520" s="94" t="s">
        <v>1169</v>
      </c>
      <c r="AH520" s="89" t="str">
        <f>VLOOKUP(AG520,Sheet1!$B$3:$D$36,2,FALSE)</f>
        <v>Decors</v>
      </c>
      <c r="AI520" s="89" t="s">
        <v>2566</v>
      </c>
      <c r="AJ520" s="1" t="str">
        <f t="shared" si="267"/>
        <v>bottle stop wood</v>
      </c>
      <c r="AK520" s="1" t="str">
        <f t="shared" si="268"/>
        <v/>
      </c>
      <c r="AL520" s="1" t="str">
        <f t="shared" si="269"/>
        <v>Wood</v>
      </c>
      <c r="AM520" s="1" t="str">
        <f t="shared" si="270"/>
        <v>Wood</v>
      </c>
      <c r="AN520" s="1" t="str">
        <f t="shared" si="256"/>
        <v>Wood</v>
      </c>
      <c r="AQ520" s="1" t="str">
        <f t="shared" si="271"/>
        <v>B</v>
      </c>
      <c r="AR520" s="1" t="str">
        <f>VLOOKUP(TRIM(AI520),Sheet1!$D$3:$E$36,2,FALSE)</f>
        <v>09</v>
      </c>
      <c r="AS520" s="90" t="str">
        <f t="shared" si="272"/>
        <v>01</v>
      </c>
      <c r="AT520" s="1" t="str">
        <f t="shared" si="273"/>
        <v>01</v>
      </c>
      <c r="AU520" s="90" t="s">
        <v>2698</v>
      </c>
      <c r="AV520" s="90"/>
      <c r="AW520" s="90"/>
      <c r="AX520" s="95" t="str">
        <f>AQ520&amp;AR520&amp;AS520&amp;"-"&amp;AT520&amp;AU520&amp;BA520</f>
        <v>B0901-0145</v>
      </c>
      <c r="AY520" s="99" t="str">
        <f>AQ520&amp;AR520&amp;AS520&amp;"-"&amp;AT520&amp;BA520</f>
        <v>B0901-01</v>
      </c>
      <c r="AZ520" s="90"/>
      <c r="BA520" s="1" t="str">
        <f t="shared" si="274"/>
        <v/>
      </c>
      <c r="BC520" s="1">
        <f t="shared" si="257"/>
        <v>1</v>
      </c>
      <c r="BD520" s="90">
        <f t="shared" si="258"/>
        <v>1</v>
      </c>
      <c r="BE520" s="1">
        <f t="shared" si="253"/>
        <v>1</v>
      </c>
      <c r="BF520" s="1">
        <f t="shared" si="254"/>
        <v>1</v>
      </c>
      <c r="BI520"/>
      <c r="BJ520"/>
      <c r="BL520"/>
    </row>
    <row r="521" spans="1:64" ht="11.25" customHeight="1">
      <c r="A521" s="26" t="s">
        <v>2699</v>
      </c>
      <c r="B521" s="27" t="s">
        <v>2700</v>
      </c>
      <c r="C521" s="28">
        <v>269.99</v>
      </c>
      <c r="D521" s="28">
        <f t="shared" si="265"/>
        <v>134.995</v>
      </c>
      <c r="E521" s="22" t="s">
        <v>2561</v>
      </c>
      <c r="F521" s="22" t="s">
        <v>2701</v>
      </c>
      <c r="G521" s="22" t="s">
        <v>186</v>
      </c>
      <c r="H521" s="22" t="s">
        <v>2702</v>
      </c>
      <c r="I521" s="23" t="s">
        <v>2564</v>
      </c>
      <c r="J521" s="22" t="s">
        <v>670</v>
      </c>
      <c r="L521" s="23">
        <v>25</v>
      </c>
      <c r="M521" s="23">
        <v>30</v>
      </c>
      <c r="N521" s="3">
        <f t="shared" si="260"/>
        <v>1.8749999999999999E-2</v>
      </c>
      <c r="O521" s="4" t="e">
        <f>(C521-(C521*#REF!))-((C521-(C521*#REF!))*#REF!)</f>
        <v>#REF!</v>
      </c>
      <c r="P521" s="7"/>
      <c r="Q521" s="7"/>
      <c r="R521" s="5">
        <f t="shared" si="261"/>
        <v>0</v>
      </c>
      <c r="S521" s="4">
        <f t="shared" si="262"/>
        <v>0</v>
      </c>
      <c r="T521" s="13">
        <f t="shared" si="266"/>
        <v>188.99299999999999</v>
      </c>
      <c r="U521" s="13">
        <f t="shared" si="275"/>
        <v>94.496499999999997</v>
      </c>
      <c r="V521" s="14">
        <f>U521/C521</f>
        <v>0.35</v>
      </c>
      <c r="W521" s="14"/>
      <c r="X521" s="19">
        <f t="shared" si="263"/>
        <v>94.496499999999997</v>
      </c>
      <c r="Y521" s="19">
        <f t="shared" si="264"/>
        <v>188.99299999999999</v>
      </c>
      <c r="Z521" s="15" t="e">
        <f t="shared" si="259"/>
        <v>#DIV/0!</v>
      </c>
      <c r="AA521" s="22" t="s">
        <v>2703</v>
      </c>
      <c r="AG521" s="94" t="s">
        <v>1169</v>
      </c>
      <c r="AH521" s="89" t="str">
        <f>VLOOKUP(AG521,Sheet1!$B$3:$D$36,2,FALSE)</f>
        <v>Decors</v>
      </c>
      <c r="AI521" s="89" t="s">
        <v>2566</v>
      </c>
      <c r="AJ521" s="1" t="str">
        <f t="shared" si="267"/>
        <v>Cassey</v>
      </c>
      <c r="AK521" s="1" t="str">
        <f t="shared" si="268"/>
        <v>ø25 x h30</v>
      </c>
      <c r="AL521" s="1" t="str">
        <f t="shared" si="269"/>
        <v>clear glass semi</v>
      </c>
      <c r="AM521" s="1" t="str">
        <f t="shared" si="270"/>
        <v>clear glass semi</v>
      </c>
      <c r="AN521" s="1" t="str">
        <f t="shared" si="256"/>
        <v>clear glass semi</v>
      </c>
      <c r="AQ521" s="1" t="str">
        <f t="shared" si="271"/>
        <v>B</v>
      </c>
      <c r="AR521" s="1" t="str">
        <f>VLOOKUP(TRIM(AI521),Sheet1!$D$3:$E$36,2,FALSE)</f>
        <v>09</v>
      </c>
      <c r="AS521" s="90" t="str">
        <f t="shared" si="272"/>
        <v>01</v>
      </c>
      <c r="AT521" s="1" t="str">
        <f t="shared" si="273"/>
        <v>01</v>
      </c>
      <c r="AU521" s="90" t="s">
        <v>2567</v>
      </c>
      <c r="AV521" s="90"/>
      <c r="AW521" s="90"/>
      <c r="AX521" s="95" t="str">
        <f>AQ521&amp;AR521&amp;AS521&amp;"-"&amp;AT521&amp;AU521&amp;BA521</f>
        <v>B0901-0138</v>
      </c>
      <c r="AY521" s="99" t="str">
        <f>AQ521&amp;AR521&amp;AS521&amp;"-"&amp;AT521&amp;BA521</f>
        <v>B0901-01</v>
      </c>
      <c r="AZ521" s="90"/>
      <c r="BA521" s="1" t="str">
        <f t="shared" si="274"/>
        <v/>
      </c>
      <c r="BC521" s="1">
        <f t="shared" si="257"/>
        <v>1</v>
      </c>
      <c r="BD521" s="90">
        <f t="shared" si="258"/>
        <v>1</v>
      </c>
      <c r="BE521" s="1">
        <f t="shared" si="253"/>
        <v>1</v>
      </c>
      <c r="BF521" s="1">
        <f t="shared" si="254"/>
        <v>1</v>
      </c>
      <c r="BI521"/>
      <c r="BJ521"/>
      <c r="BL521"/>
    </row>
    <row r="522" spans="1:64" ht="11.25" customHeight="1">
      <c r="A522" s="26" t="s">
        <v>2704</v>
      </c>
      <c r="B522" s="27" t="s">
        <v>2700</v>
      </c>
      <c r="D522" s="28">
        <f t="shared" si="265"/>
        <v>0</v>
      </c>
      <c r="E522" s="22" t="s">
        <v>2561</v>
      </c>
      <c r="F522" s="22" t="s">
        <v>2705</v>
      </c>
      <c r="G522" s="22" t="s">
        <v>186</v>
      </c>
      <c r="H522" s="22" t="s">
        <v>2706</v>
      </c>
      <c r="I522" s="23" t="s">
        <v>2707</v>
      </c>
      <c r="J522" s="22" t="s">
        <v>670</v>
      </c>
      <c r="L522" s="23">
        <v>30</v>
      </c>
      <c r="M522" s="23">
        <v>35</v>
      </c>
      <c r="N522" s="3">
        <f t="shared" si="260"/>
        <v>3.15E-2</v>
      </c>
      <c r="O522" s="4" t="e">
        <f>(C522-(C522*#REF!))-((C522-(C522*#REF!))*#REF!)</f>
        <v>#REF!</v>
      </c>
      <c r="P522" s="7"/>
      <c r="Q522" s="7"/>
      <c r="R522" s="5">
        <f t="shared" si="261"/>
        <v>0</v>
      </c>
      <c r="S522" s="4">
        <f t="shared" si="262"/>
        <v>0</v>
      </c>
      <c r="T522" s="13">
        <f t="shared" si="266"/>
        <v>0</v>
      </c>
      <c r="U522" s="13">
        <f t="shared" si="275"/>
        <v>0</v>
      </c>
      <c r="V522" s="14" t="e">
        <f>U522/C522</f>
        <v>#DIV/0!</v>
      </c>
      <c r="W522" s="14"/>
      <c r="X522" s="19">
        <f t="shared" si="263"/>
        <v>0</v>
      </c>
      <c r="Y522" s="19">
        <f t="shared" si="264"/>
        <v>0</v>
      </c>
      <c r="Z522" s="15" t="e">
        <f t="shared" si="259"/>
        <v>#DIV/0!</v>
      </c>
      <c r="AA522" s="22" t="s">
        <v>2708</v>
      </c>
      <c r="AG522" s="94" t="s">
        <v>1169</v>
      </c>
      <c r="AH522" s="89" t="str">
        <f>VLOOKUP(AG522,Sheet1!$B$3:$D$36,2,FALSE)</f>
        <v>Decors</v>
      </c>
      <c r="AI522" s="89" t="s">
        <v>2566</v>
      </c>
      <c r="AJ522" s="1" t="str">
        <f t="shared" si="267"/>
        <v>Cassey</v>
      </c>
      <c r="AK522" s="1" t="str">
        <f t="shared" si="268"/>
        <v>ø30 x h35</v>
      </c>
      <c r="AL522" s="1" t="str">
        <f t="shared" si="269"/>
        <v>clear glass
semi</v>
      </c>
      <c r="AM522" s="1" t="str">
        <f t="shared" si="270"/>
        <v>clear glass
semi</v>
      </c>
      <c r="AN522" s="1" t="str">
        <f t="shared" si="256"/>
        <v>clear glass
semi</v>
      </c>
      <c r="AQ522" s="1" t="str">
        <f t="shared" si="271"/>
        <v>B</v>
      </c>
      <c r="AR522" s="1" t="str">
        <f>VLOOKUP(TRIM(AI522),Sheet1!$D$3:$E$36,2,FALSE)</f>
        <v>09</v>
      </c>
      <c r="AS522" s="90" t="str">
        <f t="shared" si="272"/>
        <v>02</v>
      </c>
      <c r="AT522" s="1" t="str">
        <f t="shared" si="273"/>
        <v>01</v>
      </c>
      <c r="AU522" s="90" t="s">
        <v>2567</v>
      </c>
      <c r="AV522" s="90"/>
      <c r="AW522" s="90"/>
      <c r="AX522" s="95" t="str">
        <f>AQ522&amp;AR522&amp;AS522&amp;"-"&amp;AT522&amp;AU522&amp;BA522</f>
        <v>B0902-0138</v>
      </c>
      <c r="AY522" s="99" t="str">
        <f>AQ522&amp;AR522&amp;AS522&amp;"-"&amp;AT522&amp;BA522</f>
        <v>B0902-01</v>
      </c>
      <c r="AZ522" s="90"/>
      <c r="BA522" s="1" t="str">
        <f t="shared" si="274"/>
        <v/>
      </c>
      <c r="BC522" s="1" t="str">
        <f t="shared" si="257"/>
        <v/>
      </c>
      <c r="BD522" s="90">
        <f t="shared" si="258"/>
        <v>2</v>
      </c>
      <c r="BE522" s="1">
        <f t="shared" si="253"/>
        <v>1</v>
      </c>
      <c r="BF522" s="1">
        <f t="shared" si="254"/>
        <v>1</v>
      </c>
      <c r="BI522"/>
      <c r="BJ522"/>
      <c r="BL522"/>
    </row>
    <row r="523" spans="1:64" ht="11.25" customHeight="1">
      <c r="A523" s="26" t="s">
        <v>2709</v>
      </c>
      <c r="B523" s="27" t="s">
        <v>2710</v>
      </c>
      <c r="C523" s="28">
        <v>42.99</v>
      </c>
      <c r="D523" s="28">
        <f t="shared" si="265"/>
        <v>21.495000000000001</v>
      </c>
      <c r="E523" s="22" t="s">
        <v>2561</v>
      </c>
      <c r="F523" s="22" t="s">
        <v>2711</v>
      </c>
      <c r="G523" s="22" t="s">
        <v>628</v>
      </c>
      <c r="H523" s="22" t="s">
        <v>2712</v>
      </c>
      <c r="I523" s="23" t="s">
        <v>2637</v>
      </c>
      <c r="J523" s="22" t="s">
        <v>670</v>
      </c>
      <c r="L523" s="23">
        <v>9</v>
      </c>
      <c r="M523" s="23">
        <v>7</v>
      </c>
      <c r="N523" s="3">
        <f t="shared" si="260"/>
        <v>5.6700000000000001E-4</v>
      </c>
      <c r="O523" s="4" t="e">
        <f>(C523-(C523*#REF!))-((C523-(C523*#REF!))*#REF!)</f>
        <v>#REF!</v>
      </c>
      <c r="P523" s="7"/>
      <c r="Q523" s="7"/>
      <c r="R523" s="5">
        <f t="shared" si="261"/>
        <v>0</v>
      </c>
      <c r="S523" s="4">
        <f t="shared" si="262"/>
        <v>0</v>
      </c>
      <c r="T523" s="13">
        <f t="shared" si="266"/>
        <v>30.093000000000004</v>
      </c>
      <c r="U523" s="13">
        <f t="shared" si="275"/>
        <v>15.046500000000002</v>
      </c>
      <c r="V523" s="14">
        <f>U523/C523</f>
        <v>0.35000000000000003</v>
      </c>
      <c r="W523" s="14"/>
      <c r="X523" s="19">
        <f t="shared" si="263"/>
        <v>15.046500000000002</v>
      </c>
      <c r="Y523" s="19">
        <f t="shared" si="264"/>
        <v>30.093000000000004</v>
      </c>
      <c r="Z523" s="15" t="e">
        <f t="shared" si="259"/>
        <v>#DIV/0!</v>
      </c>
      <c r="AA523" s="22" t="s">
        <v>2713</v>
      </c>
      <c r="AG523" s="94" t="s">
        <v>1169</v>
      </c>
      <c r="AH523" s="89" t="str">
        <f>VLOOKUP(AG523,Sheet1!$B$3:$D$36,2,FALSE)</f>
        <v>Decors</v>
      </c>
      <c r="AI523" s="89" t="s">
        <v>2566</v>
      </c>
      <c r="AJ523" s="1" t="str">
        <f t="shared" si="267"/>
        <v>Plasa bowl</v>
      </c>
      <c r="AK523" s="1" t="str">
        <f t="shared" si="268"/>
        <v>ø9 x h7</v>
      </c>
      <c r="AL523" s="1" t="str">
        <f t="shared" si="269"/>
        <v>grey glass semi</v>
      </c>
      <c r="AM523" s="1" t="str">
        <f t="shared" si="270"/>
        <v>grey glass semi</v>
      </c>
      <c r="AN523" s="1" t="str">
        <f t="shared" si="256"/>
        <v>grey glass semi</v>
      </c>
      <c r="AQ523" s="1" t="str">
        <f t="shared" si="271"/>
        <v>B</v>
      </c>
      <c r="AR523" s="1" t="str">
        <f>VLOOKUP(TRIM(AI523),Sheet1!$D$3:$E$36,2,FALSE)</f>
        <v>09</v>
      </c>
      <c r="AS523" s="90" t="str">
        <f t="shared" si="272"/>
        <v>01</v>
      </c>
      <c r="AT523" s="1" t="str">
        <f t="shared" si="273"/>
        <v>01</v>
      </c>
      <c r="AU523" s="90" t="s">
        <v>2639</v>
      </c>
      <c r="AV523" s="90"/>
      <c r="AW523" s="90"/>
      <c r="AX523" s="95" t="str">
        <f>AQ523&amp;AR523&amp;AS523&amp;"-"&amp;AT523&amp;AU523&amp;BA523</f>
        <v>B0901-0141</v>
      </c>
      <c r="AY523" s="99" t="str">
        <f>AQ523&amp;AR523&amp;AS523&amp;"-"&amp;AT523&amp;BA523</f>
        <v>B0901-01</v>
      </c>
      <c r="AZ523" s="90"/>
      <c r="BA523" s="1" t="str">
        <f t="shared" si="274"/>
        <v/>
      </c>
      <c r="BC523" s="1">
        <f t="shared" si="257"/>
        <v>1</v>
      </c>
      <c r="BD523" s="90">
        <f t="shared" si="258"/>
        <v>1</v>
      </c>
      <c r="BE523" s="1">
        <f t="shared" si="253"/>
        <v>1</v>
      </c>
      <c r="BF523" s="1">
        <f t="shared" si="254"/>
        <v>1</v>
      </c>
      <c r="BI523"/>
      <c r="BJ523"/>
      <c r="BL523"/>
    </row>
    <row r="524" spans="1:64" ht="11.25" customHeight="1">
      <c r="A524" s="26" t="s">
        <v>2714</v>
      </c>
      <c r="B524" s="27" t="s">
        <v>2710</v>
      </c>
      <c r="C524" s="28">
        <v>99.99</v>
      </c>
      <c r="D524" s="28">
        <f t="shared" si="265"/>
        <v>49.994999999999997</v>
      </c>
      <c r="E524" s="22" t="s">
        <v>2561</v>
      </c>
      <c r="F524" s="22" t="s">
        <v>2715</v>
      </c>
      <c r="G524" s="22" t="s">
        <v>628</v>
      </c>
      <c r="H524" s="22" t="s">
        <v>2716</v>
      </c>
      <c r="I524" s="23" t="s">
        <v>2637</v>
      </c>
      <c r="J524" s="22" t="s">
        <v>670</v>
      </c>
      <c r="L524" s="23">
        <v>16</v>
      </c>
      <c r="M524" s="23">
        <v>12</v>
      </c>
      <c r="N524" s="3">
        <f t="shared" si="260"/>
        <v>3.0720000000000001E-3</v>
      </c>
      <c r="O524" s="4" t="e">
        <f>(C524-(C524*#REF!))-((C524-(C524*#REF!))*#REF!)</f>
        <v>#REF!</v>
      </c>
      <c r="P524" s="7"/>
      <c r="Q524" s="7"/>
      <c r="R524" s="5">
        <f t="shared" si="261"/>
        <v>0</v>
      </c>
      <c r="S524" s="4">
        <f t="shared" si="262"/>
        <v>0</v>
      </c>
      <c r="T524" s="13">
        <f t="shared" si="266"/>
        <v>69.992999999999995</v>
      </c>
      <c r="U524" s="13">
        <f t="shared" si="275"/>
        <v>34.996499999999997</v>
      </c>
      <c r="V524" s="14">
        <f>U524/C524</f>
        <v>0.35</v>
      </c>
      <c r="W524" s="14"/>
      <c r="X524" s="19">
        <f t="shared" si="263"/>
        <v>34.996499999999997</v>
      </c>
      <c r="Y524" s="19">
        <f t="shared" si="264"/>
        <v>69.992999999999995</v>
      </c>
      <c r="Z524" s="15" t="e">
        <f t="shared" si="259"/>
        <v>#DIV/0!</v>
      </c>
      <c r="AA524" s="22" t="s">
        <v>2717</v>
      </c>
      <c r="AG524" s="94" t="s">
        <v>1169</v>
      </c>
      <c r="AH524" s="89" t="str">
        <f>VLOOKUP(AG524,Sheet1!$B$3:$D$36,2,FALSE)</f>
        <v>Decors</v>
      </c>
      <c r="AI524" s="89" t="s">
        <v>2566</v>
      </c>
      <c r="AJ524" s="1" t="str">
        <f t="shared" si="267"/>
        <v>Plasa bowl</v>
      </c>
      <c r="AK524" s="1" t="str">
        <f t="shared" si="268"/>
        <v>ø16 x h12</v>
      </c>
      <c r="AL524" s="1" t="str">
        <f t="shared" si="269"/>
        <v>grey glass semi</v>
      </c>
      <c r="AM524" s="1" t="str">
        <f t="shared" si="270"/>
        <v>grey glass semi</v>
      </c>
      <c r="AN524" s="1" t="str">
        <f t="shared" si="256"/>
        <v>grey glass semi</v>
      </c>
      <c r="AQ524" s="1" t="str">
        <f t="shared" si="271"/>
        <v>B</v>
      </c>
      <c r="AR524" s="1" t="str">
        <f>VLOOKUP(TRIM(AI524),Sheet1!$D$3:$E$36,2,FALSE)</f>
        <v>09</v>
      </c>
      <c r="AS524" s="90" t="str">
        <f t="shared" si="272"/>
        <v>02</v>
      </c>
      <c r="AT524" s="1" t="str">
        <f t="shared" si="273"/>
        <v>01</v>
      </c>
      <c r="AU524" s="90" t="s">
        <v>2639</v>
      </c>
      <c r="AV524" s="90"/>
      <c r="AW524" s="90"/>
      <c r="AX524" s="95" t="str">
        <f>AQ524&amp;AR524&amp;AS524&amp;"-"&amp;AT524&amp;AU524&amp;BA524</f>
        <v>B0902-0141</v>
      </c>
      <c r="AY524" s="99" t="str">
        <f>AQ524&amp;AR524&amp;AS524&amp;"-"&amp;AT524&amp;BA524</f>
        <v>B0902-01</v>
      </c>
      <c r="AZ524" s="90"/>
      <c r="BA524" s="1" t="str">
        <f t="shared" si="274"/>
        <v/>
      </c>
      <c r="BC524" s="1" t="str">
        <f t="shared" si="257"/>
        <v/>
      </c>
      <c r="BD524" s="90">
        <f t="shared" si="258"/>
        <v>2</v>
      </c>
      <c r="BE524" s="1">
        <f t="shared" si="253"/>
        <v>1</v>
      </c>
      <c r="BF524" s="1">
        <f t="shared" si="254"/>
        <v>1</v>
      </c>
      <c r="BI524"/>
      <c r="BJ524"/>
      <c r="BL524"/>
    </row>
    <row r="525" spans="1:64" ht="11.25" customHeight="1">
      <c r="A525" s="26" t="s">
        <v>2718</v>
      </c>
      <c r="B525" s="27" t="s">
        <v>2710</v>
      </c>
      <c r="C525" s="28">
        <v>271.99</v>
      </c>
      <c r="D525" s="28">
        <f t="shared" si="265"/>
        <v>135.995</v>
      </c>
      <c r="E525" s="22" t="s">
        <v>2561</v>
      </c>
      <c r="F525" s="22" t="s">
        <v>2719</v>
      </c>
      <c r="G525" s="22" t="s">
        <v>628</v>
      </c>
      <c r="H525" s="22" t="s">
        <v>2720</v>
      </c>
      <c r="I525" s="23" t="s">
        <v>2637</v>
      </c>
      <c r="J525" s="22" t="s">
        <v>670</v>
      </c>
      <c r="L525" s="23">
        <v>28</v>
      </c>
      <c r="M525" s="23">
        <v>22</v>
      </c>
      <c r="N525" s="3">
        <f t="shared" si="260"/>
        <v>1.7247999999999999E-2</v>
      </c>
      <c r="O525" s="4" t="e">
        <f>(C525-(C525*#REF!))-((C525-(C525*#REF!))*#REF!)</f>
        <v>#REF!</v>
      </c>
      <c r="P525" s="7"/>
      <c r="Q525" s="7"/>
      <c r="R525" s="5">
        <f t="shared" si="261"/>
        <v>0</v>
      </c>
      <c r="S525" s="4">
        <f t="shared" si="262"/>
        <v>0</v>
      </c>
      <c r="T525" s="13">
        <f t="shared" si="266"/>
        <v>190.39300000000003</v>
      </c>
      <c r="U525" s="13">
        <f t="shared" si="275"/>
        <v>95.196500000000015</v>
      </c>
      <c r="V525" s="14">
        <f>U525/C525</f>
        <v>0.35000000000000003</v>
      </c>
      <c r="W525" s="14"/>
      <c r="X525" s="19">
        <f t="shared" si="263"/>
        <v>95.196500000000015</v>
      </c>
      <c r="Y525" s="19">
        <f t="shared" si="264"/>
        <v>190.39300000000003</v>
      </c>
      <c r="Z525" s="15" t="e">
        <f t="shared" si="259"/>
        <v>#DIV/0!</v>
      </c>
      <c r="AA525" s="22" t="s">
        <v>2717</v>
      </c>
      <c r="AG525" s="94" t="s">
        <v>1169</v>
      </c>
      <c r="AH525" s="89" t="str">
        <f>VLOOKUP(AG525,Sheet1!$B$3:$D$36,2,FALSE)</f>
        <v>Decors</v>
      </c>
      <c r="AI525" s="89" t="s">
        <v>2566</v>
      </c>
      <c r="AJ525" s="1" t="str">
        <f t="shared" si="267"/>
        <v>Plasa bowl</v>
      </c>
      <c r="AK525" s="1" t="str">
        <f t="shared" si="268"/>
        <v>ø28 x h22</v>
      </c>
      <c r="AL525" s="1" t="str">
        <f t="shared" si="269"/>
        <v>grey glass semi</v>
      </c>
      <c r="AM525" s="1" t="str">
        <f t="shared" si="270"/>
        <v>grey glass semi</v>
      </c>
      <c r="AN525" s="1" t="str">
        <f t="shared" si="256"/>
        <v>grey glass semi</v>
      </c>
      <c r="AQ525" s="1" t="str">
        <f t="shared" si="271"/>
        <v>B</v>
      </c>
      <c r="AR525" s="1" t="str">
        <f>VLOOKUP(TRIM(AI525),Sheet1!$D$3:$E$36,2,FALSE)</f>
        <v>09</v>
      </c>
      <c r="AS525" s="90" t="str">
        <f t="shared" si="272"/>
        <v>03</v>
      </c>
      <c r="AT525" s="1" t="str">
        <f t="shared" si="273"/>
        <v>01</v>
      </c>
      <c r="AU525" s="90" t="s">
        <v>2639</v>
      </c>
      <c r="AV525" s="90"/>
      <c r="AW525" s="90"/>
      <c r="AX525" s="95" t="str">
        <f>AQ525&amp;AR525&amp;AS525&amp;"-"&amp;AT525&amp;AU525&amp;BA525</f>
        <v>B0903-0141</v>
      </c>
      <c r="AY525" s="99" t="str">
        <f>AQ525&amp;AR525&amp;AS525&amp;"-"&amp;AT525&amp;BA525</f>
        <v>B0903-01</v>
      </c>
      <c r="AZ525" s="90"/>
      <c r="BA525" s="1" t="str">
        <f t="shared" si="274"/>
        <v/>
      </c>
      <c r="BC525" s="1" t="str">
        <f t="shared" si="257"/>
        <v/>
      </c>
      <c r="BD525" s="90">
        <f t="shared" si="258"/>
        <v>3</v>
      </c>
      <c r="BE525" s="1">
        <f t="shared" ref="BE525:BE588" si="276">IF(AK524&lt;&gt;AK525,1,"")</f>
        <v>1</v>
      </c>
      <c r="BF525" s="1">
        <f t="shared" ref="BF525:BF588" si="277">IF(BE525=1,1,BF524+1)</f>
        <v>1</v>
      </c>
      <c r="BI525"/>
      <c r="BJ525"/>
      <c r="BL525"/>
    </row>
    <row r="526" spans="1:64" ht="11.25" customHeight="1">
      <c r="A526" s="26" t="s">
        <v>2721</v>
      </c>
      <c r="B526" s="27" t="s">
        <v>2722</v>
      </c>
      <c r="C526" s="28">
        <v>36.99</v>
      </c>
      <c r="D526" s="28">
        <f t="shared" si="265"/>
        <v>18.495000000000001</v>
      </c>
      <c r="E526" s="22" t="s">
        <v>2561</v>
      </c>
      <c r="F526" s="22" t="s">
        <v>2723</v>
      </c>
      <c r="G526" s="22" t="s">
        <v>875</v>
      </c>
      <c r="H526" s="22" t="s">
        <v>2724</v>
      </c>
      <c r="I526" s="23" t="s">
        <v>2564</v>
      </c>
      <c r="J526" s="22" t="s">
        <v>670</v>
      </c>
      <c r="L526" s="23">
        <v>9</v>
      </c>
      <c r="M526" s="23">
        <v>22</v>
      </c>
      <c r="N526" s="3">
        <f t="shared" si="260"/>
        <v>1.7819999999999999E-3</v>
      </c>
      <c r="O526" s="4" t="e">
        <f>(C526-(C526*#REF!))-((C526-(C526*#REF!))*#REF!)</f>
        <v>#REF!</v>
      </c>
      <c r="P526" s="7"/>
      <c r="Q526" s="7"/>
      <c r="R526" s="5">
        <f t="shared" si="261"/>
        <v>0</v>
      </c>
      <c r="S526" s="4">
        <f t="shared" si="262"/>
        <v>0</v>
      </c>
      <c r="T526" s="13">
        <f t="shared" si="266"/>
        <v>25.893000000000001</v>
      </c>
      <c r="U526" s="13">
        <f t="shared" si="275"/>
        <v>12.9465</v>
      </c>
      <c r="V526" s="14">
        <f>U526/C526</f>
        <v>0.35</v>
      </c>
      <c r="W526" s="14"/>
      <c r="X526" s="19">
        <f t="shared" si="263"/>
        <v>12.9465</v>
      </c>
      <c r="Y526" s="19">
        <f t="shared" si="264"/>
        <v>25.893000000000001</v>
      </c>
      <c r="Z526" s="15" t="e">
        <f t="shared" si="259"/>
        <v>#DIV/0!</v>
      </c>
      <c r="AA526" s="22" t="s">
        <v>2725</v>
      </c>
      <c r="AG526" s="94" t="s">
        <v>1169</v>
      </c>
      <c r="AH526" s="89" t="str">
        <f>VLOOKUP(AG526,Sheet1!$B$3:$D$36,2,FALSE)</f>
        <v>Decors</v>
      </c>
      <c r="AI526" s="89" t="s">
        <v>2566</v>
      </c>
      <c r="AJ526" s="1" t="str">
        <f t="shared" si="267"/>
        <v>Varane</v>
      </c>
      <c r="AK526" s="1" t="str">
        <f t="shared" si="268"/>
        <v>ø9 x h22 - vol. 800 ml</v>
      </c>
      <c r="AL526" s="1" t="str">
        <f t="shared" si="269"/>
        <v>clear glass semi</v>
      </c>
      <c r="AM526" s="1" t="str">
        <f t="shared" si="270"/>
        <v>clear glass semi</v>
      </c>
      <c r="AN526" s="1" t="str">
        <f t="shared" si="256"/>
        <v>clear glass semi</v>
      </c>
      <c r="AQ526" s="1" t="str">
        <f t="shared" si="271"/>
        <v>B</v>
      </c>
      <c r="AR526" s="1" t="str">
        <f>VLOOKUP(TRIM(AI526),Sheet1!$D$3:$E$36,2,FALSE)</f>
        <v>09</v>
      </c>
      <c r="AS526" s="90" t="str">
        <f t="shared" si="272"/>
        <v>01</v>
      </c>
      <c r="AT526" s="1" t="str">
        <f t="shared" si="273"/>
        <v>01</v>
      </c>
      <c r="AU526" s="90" t="s">
        <v>2567</v>
      </c>
      <c r="AV526" s="90"/>
      <c r="AW526" s="90"/>
      <c r="AX526" s="95" t="str">
        <f>AQ526&amp;AR526&amp;AS526&amp;"-"&amp;AT526&amp;AU526&amp;BA526</f>
        <v>B0901-0138</v>
      </c>
      <c r="AY526" s="99" t="str">
        <f>AQ526&amp;AR526&amp;AS526&amp;"-"&amp;AT526&amp;BA526</f>
        <v>B0901-01</v>
      </c>
      <c r="AZ526" s="90"/>
      <c r="BA526" s="1" t="str">
        <f t="shared" si="274"/>
        <v/>
      </c>
      <c r="BC526" s="1">
        <f t="shared" si="257"/>
        <v>1</v>
      </c>
      <c r="BD526" s="90">
        <f t="shared" si="258"/>
        <v>1</v>
      </c>
      <c r="BE526" s="1">
        <f t="shared" si="276"/>
        <v>1</v>
      </c>
      <c r="BF526" s="1">
        <f t="shared" si="277"/>
        <v>1</v>
      </c>
      <c r="BI526"/>
      <c r="BJ526"/>
      <c r="BL526"/>
    </row>
    <row r="527" spans="1:64" ht="11.25" customHeight="1">
      <c r="A527" s="26" t="s">
        <v>2726</v>
      </c>
      <c r="B527" s="27" t="s">
        <v>2722</v>
      </c>
      <c r="C527" s="28">
        <v>43.99</v>
      </c>
      <c r="D527" s="28">
        <f t="shared" si="265"/>
        <v>21.995000000000001</v>
      </c>
      <c r="E527" s="22" t="s">
        <v>2561</v>
      </c>
      <c r="F527" s="22" t="s">
        <v>2727</v>
      </c>
      <c r="G527" s="22" t="s">
        <v>875</v>
      </c>
      <c r="H527" s="22" t="s">
        <v>2728</v>
      </c>
      <c r="I527" s="23" t="s">
        <v>2564</v>
      </c>
      <c r="J527" s="22" t="s">
        <v>670</v>
      </c>
      <c r="L527" s="23">
        <v>9</v>
      </c>
      <c r="M527" s="23">
        <v>25</v>
      </c>
      <c r="N527" s="3">
        <f t="shared" si="260"/>
        <v>2.0249999999999999E-3</v>
      </c>
      <c r="O527" s="4" t="e">
        <f>(C527-(C527*#REF!))-((C527-(C527*#REF!))*#REF!)</f>
        <v>#REF!</v>
      </c>
      <c r="P527" s="7"/>
      <c r="Q527" s="7"/>
      <c r="R527" s="5">
        <f t="shared" si="261"/>
        <v>0</v>
      </c>
      <c r="S527" s="4">
        <f t="shared" si="262"/>
        <v>0</v>
      </c>
      <c r="T527" s="13">
        <f t="shared" si="266"/>
        <v>30.792999999999999</v>
      </c>
      <c r="U527" s="13">
        <f t="shared" si="275"/>
        <v>15.3965</v>
      </c>
      <c r="V527" s="14">
        <f>U527/C527</f>
        <v>0.35</v>
      </c>
      <c r="W527" s="14"/>
      <c r="X527" s="19">
        <f t="shared" si="263"/>
        <v>15.3965</v>
      </c>
      <c r="Y527" s="19">
        <f t="shared" si="264"/>
        <v>30.792999999999999</v>
      </c>
      <c r="Z527" s="15" t="e">
        <f t="shared" si="259"/>
        <v>#DIV/0!</v>
      </c>
      <c r="AA527" s="22" t="s">
        <v>2729</v>
      </c>
      <c r="AG527" s="94" t="s">
        <v>1169</v>
      </c>
      <c r="AH527" s="89" t="str">
        <f>VLOOKUP(AG527,Sheet1!$B$3:$D$36,2,FALSE)</f>
        <v>Decors</v>
      </c>
      <c r="AI527" s="89" t="s">
        <v>2566</v>
      </c>
      <c r="AJ527" s="1" t="str">
        <f t="shared" si="267"/>
        <v>Varane</v>
      </c>
      <c r="AK527" s="1" t="str">
        <f t="shared" si="268"/>
        <v>ø9 x h25 - vol. 1.000 ml</v>
      </c>
      <c r="AL527" s="1" t="str">
        <f t="shared" si="269"/>
        <v>clear glass semi</v>
      </c>
      <c r="AM527" s="1" t="str">
        <f t="shared" si="270"/>
        <v>clear glass semi</v>
      </c>
      <c r="AN527" s="1" t="str">
        <f t="shared" si="256"/>
        <v>clear glass semi</v>
      </c>
      <c r="AQ527" s="1" t="str">
        <f t="shared" si="271"/>
        <v>B</v>
      </c>
      <c r="AR527" s="1" t="str">
        <f>VLOOKUP(TRIM(AI527),Sheet1!$D$3:$E$36,2,FALSE)</f>
        <v>09</v>
      </c>
      <c r="AS527" s="90" t="str">
        <f t="shared" si="272"/>
        <v>02</v>
      </c>
      <c r="AT527" s="1" t="str">
        <f t="shared" si="273"/>
        <v>01</v>
      </c>
      <c r="AU527" s="90" t="s">
        <v>2567</v>
      </c>
      <c r="AV527" s="90"/>
      <c r="AW527" s="90"/>
      <c r="AX527" s="95" t="str">
        <f>AQ527&amp;AR527&amp;AS527&amp;"-"&amp;AT527&amp;AU527&amp;BA527</f>
        <v>B0902-0138</v>
      </c>
      <c r="AY527" s="99" t="str">
        <f>AQ527&amp;AR527&amp;AS527&amp;"-"&amp;AT527&amp;BA527</f>
        <v>B0902-01</v>
      </c>
      <c r="AZ527" s="90"/>
      <c r="BA527" s="1" t="str">
        <f t="shared" si="274"/>
        <v/>
      </c>
      <c r="BC527" s="1" t="str">
        <f t="shared" si="257"/>
        <v/>
      </c>
      <c r="BD527" s="90">
        <f t="shared" si="258"/>
        <v>2</v>
      </c>
      <c r="BE527" s="1">
        <f t="shared" si="276"/>
        <v>1</v>
      </c>
      <c r="BF527" s="1">
        <f t="shared" si="277"/>
        <v>1</v>
      </c>
      <c r="BI527"/>
      <c r="BJ527"/>
      <c r="BL527"/>
    </row>
    <row r="528" spans="1:64" ht="11.25" customHeight="1">
      <c r="A528" s="26" t="s">
        <v>2730</v>
      </c>
      <c r="B528" s="27" t="s">
        <v>2722</v>
      </c>
      <c r="C528" s="28">
        <v>50.99</v>
      </c>
      <c r="D528" s="28">
        <f t="shared" si="265"/>
        <v>25.495000000000001</v>
      </c>
      <c r="E528" s="22" t="s">
        <v>2561</v>
      </c>
      <c r="F528" s="22" t="s">
        <v>2731</v>
      </c>
      <c r="G528" s="22" t="s">
        <v>875</v>
      </c>
      <c r="H528" s="22" t="s">
        <v>2732</v>
      </c>
      <c r="I528" s="23" t="s">
        <v>2564</v>
      </c>
      <c r="J528" s="22" t="s">
        <v>670</v>
      </c>
      <c r="L528" s="23">
        <v>9</v>
      </c>
      <c r="M528" s="23">
        <v>30</v>
      </c>
      <c r="N528" s="3">
        <f t="shared" si="260"/>
        <v>2.4299999999999999E-3</v>
      </c>
      <c r="O528" s="4" t="e">
        <f>(C528-(C528*#REF!))-((C528-(C528*#REF!))*#REF!)</f>
        <v>#REF!</v>
      </c>
      <c r="P528" s="7"/>
      <c r="Q528" s="7"/>
      <c r="R528" s="5">
        <f t="shared" si="261"/>
        <v>0</v>
      </c>
      <c r="S528" s="4">
        <f t="shared" si="262"/>
        <v>0</v>
      </c>
      <c r="T528" s="13">
        <f t="shared" si="266"/>
        <v>35.692999999999998</v>
      </c>
      <c r="U528" s="13">
        <f t="shared" si="275"/>
        <v>17.846499999999999</v>
      </c>
      <c r="V528" s="14">
        <f>U528/C528</f>
        <v>0.35</v>
      </c>
      <c r="W528" s="14"/>
      <c r="X528" s="19">
        <f t="shared" si="263"/>
        <v>17.846499999999999</v>
      </c>
      <c r="Y528" s="19">
        <f t="shared" si="264"/>
        <v>35.692999999999998</v>
      </c>
      <c r="Z528" s="15" t="e">
        <f t="shared" si="259"/>
        <v>#DIV/0!</v>
      </c>
      <c r="AA528" s="22" t="s">
        <v>2733</v>
      </c>
      <c r="AG528" s="94" t="s">
        <v>1169</v>
      </c>
      <c r="AH528" s="89" t="str">
        <f>VLOOKUP(AG528,Sheet1!$B$3:$D$36,2,FALSE)</f>
        <v>Decors</v>
      </c>
      <c r="AI528" s="89" t="s">
        <v>2566</v>
      </c>
      <c r="AJ528" s="1" t="str">
        <f t="shared" si="267"/>
        <v>Varane</v>
      </c>
      <c r="AK528" s="1" t="str">
        <f t="shared" si="268"/>
        <v>ø9 x h30 - vol. 1.400 ml</v>
      </c>
      <c r="AL528" s="1" t="str">
        <f t="shared" si="269"/>
        <v>clear glass semi</v>
      </c>
      <c r="AM528" s="1" t="str">
        <f t="shared" si="270"/>
        <v>clear glass semi</v>
      </c>
      <c r="AN528" s="1" t="str">
        <f t="shared" si="256"/>
        <v>clear glass semi</v>
      </c>
      <c r="AQ528" s="1" t="str">
        <f t="shared" si="271"/>
        <v>B</v>
      </c>
      <c r="AR528" s="1" t="str">
        <f>VLOOKUP(TRIM(AI528),Sheet1!$D$3:$E$36,2,FALSE)</f>
        <v>09</v>
      </c>
      <c r="AS528" s="90" t="str">
        <f t="shared" si="272"/>
        <v>03</v>
      </c>
      <c r="AT528" s="1" t="str">
        <f t="shared" si="273"/>
        <v>01</v>
      </c>
      <c r="AU528" s="90" t="s">
        <v>2567</v>
      </c>
      <c r="AV528" s="90"/>
      <c r="AW528" s="90"/>
      <c r="AX528" s="95" t="str">
        <f>AQ528&amp;AR528&amp;AS528&amp;"-"&amp;AT528&amp;AU528&amp;BA528</f>
        <v>B0903-0138</v>
      </c>
      <c r="AY528" s="99" t="str">
        <f>AQ528&amp;AR528&amp;AS528&amp;"-"&amp;AT528&amp;BA528</f>
        <v>B0903-01</v>
      </c>
      <c r="AZ528" s="90"/>
      <c r="BA528" s="1" t="str">
        <f t="shared" si="274"/>
        <v/>
      </c>
      <c r="BC528" s="1" t="str">
        <f t="shared" si="257"/>
        <v/>
      </c>
      <c r="BD528" s="90">
        <f t="shared" si="258"/>
        <v>3</v>
      </c>
      <c r="BE528" s="1">
        <f t="shared" si="276"/>
        <v>1</v>
      </c>
      <c r="BF528" s="1">
        <f t="shared" si="277"/>
        <v>1</v>
      </c>
      <c r="BI528"/>
      <c r="BJ528"/>
      <c r="BL528"/>
    </row>
    <row r="529" spans="1:64" ht="11.25" customHeight="1">
      <c r="A529" s="26" t="s">
        <v>2734</v>
      </c>
      <c r="B529" s="27" t="s">
        <v>2735</v>
      </c>
      <c r="C529" s="28">
        <v>66.989999999999995</v>
      </c>
      <c r="D529" s="28">
        <f t="shared" si="265"/>
        <v>33.494999999999997</v>
      </c>
      <c r="E529" s="22" t="s">
        <v>2561</v>
      </c>
      <c r="F529" s="22" t="s">
        <v>2736</v>
      </c>
      <c r="G529" s="22" t="s">
        <v>472</v>
      </c>
      <c r="H529" s="22" t="s">
        <v>2737</v>
      </c>
      <c r="I529" s="23" t="s">
        <v>2564</v>
      </c>
      <c r="J529" s="22" t="s">
        <v>670</v>
      </c>
      <c r="K529" s="23">
        <v>10</v>
      </c>
      <c r="L529" s="23">
        <v>10</v>
      </c>
      <c r="M529" s="23">
        <v>25</v>
      </c>
      <c r="N529" s="3">
        <f t="shared" si="260"/>
        <v>2.5000000000000001E-3</v>
      </c>
      <c r="O529" s="4" t="e">
        <f>(C529-(C529*#REF!))-((C529-(C529*#REF!))*#REF!)</f>
        <v>#REF!</v>
      </c>
      <c r="P529" s="7"/>
      <c r="Q529" s="7"/>
      <c r="R529" s="5">
        <f t="shared" si="261"/>
        <v>0</v>
      </c>
      <c r="S529" s="4">
        <f t="shared" si="262"/>
        <v>0</v>
      </c>
      <c r="T529" s="13">
        <f t="shared" si="266"/>
        <v>46.893000000000001</v>
      </c>
      <c r="U529" s="13">
        <f t="shared" si="275"/>
        <v>23.4465</v>
      </c>
      <c r="V529" s="14">
        <f>U529/C529</f>
        <v>0.35000000000000003</v>
      </c>
      <c r="W529" s="14"/>
      <c r="X529" s="19">
        <f t="shared" si="263"/>
        <v>23.4465</v>
      </c>
      <c r="Y529" s="19">
        <f t="shared" si="264"/>
        <v>46.893000000000001</v>
      </c>
      <c r="Z529" s="15" t="e">
        <f t="shared" si="259"/>
        <v>#DIV/0!</v>
      </c>
      <c r="AA529" s="22" t="s">
        <v>2738</v>
      </c>
      <c r="AG529" s="94" t="s">
        <v>1169</v>
      </c>
      <c r="AH529" s="89" t="str">
        <f>VLOOKUP(AG529,Sheet1!$B$3:$D$36,2,FALSE)</f>
        <v>Decors</v>
      </c>
      <c r="AI529" s="89" t="s">
        <v>2566</v>
      </c>
      <c r="AJ529" s="1" t="str">
        <f t="shared" si="267"/>
        <v>Marco</v>
      </c>
      <c r="AK529" s="1" t="str">
        <f t="shared" si="268"/>
        <v>w10 x d10 x h25</v>
      </c>
      <c r="AL529" s="1" t="str">
        <f t="shared" si="269"/>
        <v>clear glass semi</v>
      </c>
      <c r="AM529" s="1" t="str">
        <f t="shared" si="270"/>
        <v>clear glass semi</v>
      </c>
      <c r="AN529" s="1" t="str">
        <f t="shared" si="256"/>
        <v>clear glass semi</v>
      </c>
      <c r="AQ529" s="1" t="str">
        <f t="shared" si="271"/>
        <v>B</v>
      </c>
      <c r="AR529" s="1" t="str">
        <f>VLOOKUP(TRIM(AI529),Sheet1!$D$3:$E$36,2,FALSE)</f>
        <v>09</v>
      </c>
      <c r="AS529" s="90" t="str">
        <f t="shared" si="272"/>
        <v>01</v>
      </c>
      <c r="AT529" s="1" t="str">
        <f t="shared" si="273"/>
        <v>01</v>
      </c>
      <c r="AU529" s="90" t="s">
        <v>2567</v>
      </c>
      <c r="AV529" s="90"/>
      <c r="AW529" s="90"/>
      <c r="AX529" s="95" t="str">
        <f>AQ529&amp;AR529&amp;AS529&amp;"-"&amp;AT529&amp;AU529&amp;BA529</f>
        <v>B0901-0138</v>
      </c>
      <c r="AY529" s="99" t="str">
        <f>AQ529&amp;AR529&amp;AS529&amp;"-"&amp;AT529&amp;BA529</f>
        <v>B0901-01</v>
      </c>
      <c r="AZ529" s="90"/>
      <c r="BA529" s="1" t="str">
        <f t="shared" si="274"/>
        <v/>
      </c>
      <c r="BC529" s="1">
        <f t="shared" si="257"/>
        <v>1</v>
      </c>
      <c r="BD529" s="90">
        <f t="shared" si="258"/>
        <v>1</v>
      </c>
      <c r="BE529" s="1">
        <f t="shared" si="276"/>
        <v>1</v>
      </c>
      <c r="BF529" s="1">
        <f t="shared" si="277"/>
        <v>1</v>
      </c>
      <c r="BI529"/>
      <c r="BJ529"/>
      <c r="BL529"/>
    </row>
    <row r="530" spans="1:64" ht="11.25" customHeight="1">
      <c r="A530" s="26" t="s">
        <v>2739</v>
      </c>
      <c r="B530" s="27" t="s">
        <v>2735</v>
      </c>
      <c r="C530" s="28">
        <v>92.99</v>
      </c>
      <c r="D530" s="28">
        <f t="shared" si="265"/>
        <v>46.494999999999997</v>
      </c>
      <c r="E530" s="22" t="s">
        <v>2561</v>
      </c>
      <c r="F530" s="22" t="s">
        <v>2740</v>
      </c>
      <c r="G530" s="22" t="s">
        <v>472</v>
      </c>
      <c r="H530" s="22" t="s">
        <v>2741</v>
      </c>
      <c r="I530" s="23" t="s">
        <v>2637</v>
      </c>
      <c r="J530" s="22" t="s">
        <v>670</v>
      </c>
      <c r="K530" s="23">
        <v>10</v>
      </c>
      <c r="L530" s="23">
        <v>10</v>
      </c>
      <c r="M530" s="23">
        <v>26</v>
      </c>
      <c r="N530" s="3">
        <f t="shared" si="260"/>
        <v>2.5999999999999999E-3</v>
      </c>
      <c r="O530" s="4" t="e">
        <f>(C530-(C530*#REF!))-((C530-(C530*#REF!))*#REF!)</f>
        <v>#REF!</v>
      </c>
      <c r="P530" s="7"/>
      <c r="Q530" s="7"/>
      <c r="R530" s="5">
        <f t="shared" si="261"/>
        <v>0</v>
      </c>
      <c r="S530" s="4">
        <f t="shared" si="262"/>
        <v>0</v>
      </c>
      <c r="T530" s="13">
        <f t="shared" si="266"/>
        <v>65.092999999999989</v>
      </c>
      <c r="U530" s="13">
        <f t="shared" si="275"/>
        <v>32.546499999999995</v>
      </c>
      <c r="V530" s="14">
        <f>U530/C530</f>
        <v>0.35</v>
      </c>
      <c r="W530" s="14"/>
      <c r="X530" s="19">
        <f t="shared" si="263"/>
        <v>32.546499999999995</v>
      </c>
      <c r="Y530" s="19">
        <f t="shared" si="264"/>
        <v>65.092999999999989</v>
      </c>
      <c r="Z530" s="15" t="e">
        <f t="shared" si="259"/>
        <v>#DIV/0!</v>
      </c>
      <c r="AA530" s="22" t="s">
        <v>2738</v>
      </c>
      <c r="AG530" s="94" t="s">
        <v>1169</v>
      </c>
      <c r="AH530" s="89" t="str">
        <f>VLOOKUP(AG530,Sheet1!$B$3:$D$36,2,FALSE)</f>
        <v>Decors</v>
      </c>
      <c r="AI530" s="89" t="s">
        <v>2566</v>
      </c>
      <c r="AJ530" s="1" t="str">
        <f t="shared" si="267"/>
        <v>Marco</v>
      </c>
      <c r="AK530" s="1" t="str">
        <f t="shared" si="268"/>
        <v>w10 x d10 x h26</v>
      </c>
      <c r="AL530" s="1" t="str">
        <f t="shared" si="269"/>
        <v>grey glass semi</v>
      </c>
      <c r="AM530" s="1" t="str">
        <f t="shared" si="270"/>
        <v>grey glass semi</v>
      </c>
      <c r="AN530" s="1" t="str">
        <f t="shared" si="256"/>
        <v>grey glass semi</v>
      </c>
      <c r="AQ530" s="1" t="str">
        <f t="shared" si="271"/>
        <v>B</v>
      </c>
      <c r="AR530" s="1" t="str">
        <f>VLOOKUP(TRIM(AI530),Sheet1!$D$3:$E$36,2,FALSE)</f>
        <v>09</v>
      </c>
      <c r="AS530" s="90" t="str">
        <f t="shared" si="272"/>
        <v>02</v>
      </c>
      <c r="AT530" s="1" t="str">
        <f t="shared" si="273"/>
        <v>01</v>
      </c>
      <c r="AU530" s="90" t="s">
        <v>2639</v>
      </c>
      <c r="AV530" s="90"/>
      <c r="AW530" s="90"/>
      <c r="AX530" s="95" t="str">
        <f>AQ530&amp;AR530&amp;AS530&amp;"-"&amp;AT530&amp;AU530&amp;BA530</f>
        <v>B0902-0141</v>
      </c>
      <c r="AY530" s="99" t="str">
        <f>AQ530&amp;AR530&amp;AS530&amp;"-"&amp;AT530&amp;BA530</f>
        <v>B0902-01</v>
      </c>
      <c r="AZ530" s="90"/>
      <c r="BA530" s="1" t="str">
        <f t="shared" si="274"/>
        <v/>
      </c>
      <c r="BC530" s="1" t="str">
        <f t="shared" si="257"/>
        <v/>
      </c>
      <c r="BD530" s="90">
        <f t="shared" si="258"/>
        <v>2</v>
      </c>
      <c r="BE530" s="1">
        <f t="shared" si="276"/>
        <v>1</v>
      </c>
      <c r="BF530" s="1">
        <f t="shared" si="277"/>
        <v>1</v>
      </c>
      <c r="BI530"/>
      <c r="BJ530"/>
      <c r="BL530"/>
    </row>
    <row r="531" spans="1:64" ht="11.25" customHeight="1">
      <c r="A531" s="26" t="s">
        <v>2742</v>
      </c>
      <c r="B531" s="27" t="s">
        <v>2743</v>
      </c>
      <c r="C531" s="28">
        <v>121.99</v>
      </c>
      <c r="D531" s="28">
        <f t="shared" si="265"/>
        <v>60.994999999999997</v>
      </c>
      <c r="E531" s="22" t="s">
        <v>2561</v>
      </c>
      <c r="F531" s="22" t="s">
        <v>2744</v>
      </c>
      <c r="G531" s="22" t="s">
        <v>323</v>
      </c>
      <c r="H531" s="22" t="s">
        <v>2745</v>
      </c>
      <c r="I531" s="23" t="s">
        <v>2637</v>
      </c>
      <c r="J531" s="22" t="s">
        <v>670</v>
      </c>
      <c r="L531" s="23">
        <v>21</v>
      </c>
      <c r="M531" s="23">
        <v>20</v>
      </c>
      <c r="N531" s="3">
        <f t="shared" si="260"/>
        <v>8.8199999999999997E-3</v>
      </c>
      <c r="O531" s="4" t="e">
        <f>(C531-(C531*#REF!))-((C531-(C531*#REF!))*#REF!)</f>
        <v>#REF!</v>
      </c>
      <c r="P531" s="7"/>
      <c r="Q531" s="7"/>
      <c r="R531" s="5">
        <f t="shared" si="261"/>
        <v>0</v>
      </c>
      <c r="S531" s="4">
        <f t="shared" si="262"/>
        <v>0</v>
      </c>
      <c r="T531" s="13">
        <f t="shared" si="266"/>
        <v>85.393000000000001</v>
      </c>
      <c r="U531" s="13">
        <f t="shared" si="275"/>
        <v>42.6965</v>
      </c>
      <c r="V531" s="14">
        <f>U531/C531</f>
        <v>0.35000000000000003</v>
      </c>
      <c r="W531" s="14"/>
      <c r="X531" s="19">
        <f t="shared" si="263"/>
        <v>42.6965</v>
      </c>
      <c r="Y531" s="19">
        <f t="shared" si="264"/>
        <v>85.393000000000001</v>
      </c>
      <c r="Z531" s="15" t="e">
        <f t="shared" si="259"/>
        <v>#DIV/0!</v>
      </c>
      <c r="AA531" s="22" t="s">
        <v>2746</v>
      </c>
      <c r="AG531" s="94" t="s">
        <v>1169</v>
      </c>
      <c r="AH531" s="89" t="str">
        <f>VLOOKUP(AG531,Sheet1!$B$3:$D$36,2,FALSE)</f>
        <v>Decors</v>
      </c>
      <c r="AI531" s="89" t="s">
        <v>2566</v>
      </c>
      <c r="AJ531" s="1" t="str">
        <f t="shared" si="267"/>
        <v>Hailey vase</v>
      </c>
      <c r="AK531" s="1" t="str">
        <f t="shared" si="268"/>
        <v>ø21 x h20</v>
      </c>
      <c r="AL531" s="1" t="str">
        <f t="shared" si="269"/>
        <v>grey glass semi</v>
      </c>
      <c r="AM531" s="1" t="str">
        <f t="shared" si="270"/>
        <v>grey glass semi</v>
      </c>
      <c r="AN531" s="1" t="str">
        <f t="shared" si="256"/>
        <v>grey glass semi</v>
      </c>
      <c r="AQ531" s="1" t="str">
        <f t="shared" si="271"/>
        <v>B</v>
      </c>
      <c r="AR531" s="1" t="str">
        <f>VLOOKUP(TRIM(AI531),Sheet1!$D$3:$E$36,2,FALSE)</f>
        <v>09</v>
      </c>
      <c r="AS531" s="90" t="str">
        <f t="shared" si="272"/>
        <v>01</v>
      </c>
      <c r="AT531" s="1" t="str">
        <f t="shared" si="273"/>
        <v>01</v>
      </c>
      <c r="AU531" s="90" t="s">
        <v>2639</v>
      </c>
      <c r="AV531" s="90"/>
      <c r="AW531" s="90"/>
      <c r="AX531" s="95" t="str">
        <f>AQ531&amp;AR531&amp;AS531&amp;"-"&amp;AT531&amp;AU531&amp;BA531</f>
        <v>B0901-0141</v>
      </c>
      <c r="AY531" s="99" t="str">
        <f>AQ531&amp;AR531&amp;AS531&amp;"-"&amp;AT531&amp;BA531</f>
        <v>B0901-01</v>
      </c>
      <c r="AZ531" s="90"/>
      <c r="BA531" s="1" t="str">
        <f t="shared" si="274"/>
        <v/>
      </c>
      <c r="BC531" s="1">
        <f t="shared" si="257"/>
        <v>1</v>
      </c>
      <c r="BD531" s="90">
        <f t="shared" si="258"/>
        <v>1</v>
      </c>
      <c r="BE531" s="1">
        <f t="shared" si="276"/>
        <v>1</v>
      </c>
      <c r="BF531" s="1">
        <f t="shared" si="277"/>
        <v>1</v>
      </c>
      <c r="BI531"/>
      <c r="BJ531"/>
      <c r="BL531"/>
    </row>
    <row r="532" spans="1:64" ht="11.25" customHeight="1">
      <c r="A532" s="26" t="s">
        <v>2747</v>
      </c>
      <c r="B532" s="27" t="s">
        <v>2743</v>
      </c>
      <c r="C532" s="28">
        <v>151.99</v>
      </c>
      <c r="D532" s="28">
        <f t="shared" si="265"/>
        <v>75.995000000000005</v>
      </c>
      <c r="E532" s="22" t="s">
        <v>2561</v>
      </c>
      <c r="F532" s="22" t="s">
        <v>2748</v>
      </c>
      <c r="G532" s="22" t="s">
        <v>323</v>
      </c>
      <c r="H532" s="22" t="s">
        <v>2749</v>
      </c>
      <c r="I532" s="23" t="s">
        <v>2637</v>
      </c>
      <c r="J532" s="22" t="s">
        <v>670</v>
      </c>
      <c r="L532" s="23">
        <v>21</v>
      </c>
      <c r="M532" s="23">
        <v>35</v>
      </c>
      <c r="N532" s="3">
        <f t="shared" si="260"/>
        <v>1.5435000000000001E-2</v>
      </c>
      <c r="O532" s="4" t="e">
        <f>(C532-(C532*#REF!))-((C532-(C532*#REF!))*#REF!)</f>
        <v>#REF!</v>
      </c>
      <c r="P532" s="7"/>
      <c r="Q532" s="7"/>
      <c r="R532" s="5">
        <f t="shared" si="261"/>
        <v>0</v>
      </c>
      <c r="S532" s="4">
        <f t="shared" si="262"/>
        <v>0</v>
      </c>
      <c r="T532" s="13">
        <f t="shared" si="266"/>
        <v>106.393</v>
      </c>
      <c r="U532" s="13">
        <f t="shared" si="275"/>
        <v>53.1965</v>
      </c>
      <c r="V532" s="14">
        <f>U532/C532</f>
        <v>0.35</v>
      </c>
      <c r="W532" s="14"/>
      <c r="X532" s="19">
        <f t="shared" si="263"/>
        <v>53.1965</v>
      </c>
      <c r="Y532" s="19">
        <f t="shared" si="264"/>
        <v>106.393</v>
      </c>
      <c r="Z532" s="15" t="e">
        <f t="shared" si="259"/>
        <v>#DIV/0!</v>
      </c>
      <c r="AA532" s="22" t="s">
        <v>2750</v>
      </c>
      <c r="AG532" s="94" t="s">
        <v>1169</v>
      </c>
      <c r="AH532" s="89" t="str">
        <f>VLOOKUP(AG532,Sheet1!$B$3:$D$36,2,FALSE)</f>
        <v>Decors</v>
      </c>
      <c r="AI532" s="89" t="s">
        <v>2566</v>
      </c>
      <c r="AJ532" s="1" t="str">
        <f t="shared" si="267"/>
        <v>Hailey vase</v>
      </c>
      <c r="AK532" s="1" t="str">
        <f t="shared" si="268"/>
        <v>ø21 x h35</v>
      </c>
      <c r="AL532" s="1" t="str">
        <f t="shared" si="269"/>
        <v>grey glass semi</v>
      </c>
      <c r="AM532" s="1" t="str">
        <f t="shared" si="270"/>
        <v>grey glass semi</v>
      </c>
      <c r="AN532" s="1" t="str">
        <f t="shared" si="256"/>
        <v>grey glass semi</v>
      </c>
      <c r="AQ532" s="1" t="str">
        <f t="shared" si="271"/>
        <v>B</v>
      </c>
      <c r="AR532" s="1" t="str">
        <f>VLOOKUP(TRIM(AI532),Sheet1!$D$3:$E$36,2,FALSE)</f>
        <v>09</v>
      </c>
      <c r="AS532" s="90" t="str">
        <f t="shared" si="272"/>
        <v>02</v>
      </c>
      <c r="AT532" s="1" t="str">
        <f t="shared" si="273"/>
        <v>01</v>
      </c>
      <c r="AU532" s="90" t="s">
        <v>2639</v>
      </c>
      <c r="AV532" s="90"/>
      <c r="AW532" s="90"/>
      <c r="AX532" s="95" t="str">
        <f>AQ532&amp;AR532&amp;AS532&amp;"-"&amp;AT532&amp;AU532&amp;BA532</f>
        <v>B0902-0141</v>
      </c>
      <c r="AY532" s="99" t="str">
        <f>AQ532&amp;AR532&amp;AS532&amp;"-"&amp;AT532&amp;BA532</f>
        <v>B0902-01</v>
      </c>
      <c r="AZ532" s="90"/>
      <c r="BA532" s="1" t="str">
        <f t="shared" si="274"/>
        <v/>
      </c>
      <c r="BC532" s="1" t="str">
        <f t="shared" si="257"/>
        <v/>
      </c>
      <c r="BD532" s="90">
        <f t="shared" si="258"/>
        <v>2</v>
      </c>
      <c r="BE532" s="1">
        <f t="shared" si="276"/>
        <v>1</v>
      </c>
      <c r="BF532" s="1">
        <f t="shared" si="277"/>
        <v>1</v>
      </c>
      <c r="BI532"/>
      <c r="BJ532"/>
      <c r="BL532"/>
    </row>
    <row r="533" spans="1:64" ht="11.25" customHeight="1">
      <c r="A533" s="26" t="s">
        <v>2751</v>
      </c>
      <c r="B533" s="27" t="s">
        <v>2743</v>
      </c>
      <c r="C533" s="28">
        <v>237.99</v>
      </c>
      <c r="D533" s="28">
        <f t="shared" si="265"/>
        <v>118.995</v>
      </c>
      <c r="E533" s="22" t="s">
        <v>2561</v>
      </c>
      <c r="F533" s="22" t="s">
        <v>2752</v>
      </c>
      <c r="G533" s="22" t="s">
        <v>323</v>
      </c>
      <c r="H533" s="22" t="s">
        <v>2753</v>
      </c>
      <c r="I533" s="23" t="s">
        <v>2637</v>
      </c>
      <c r="J533" s="22" t="s">
        <v>670</v>
      </c>
      <c r="L533" s="23">
        <v>27</v>
      </c>
      <c r="M533" s="23">
        <v>45</v>
      </c>
      <c r="N533" s="3">
        <f t="shared" si="260"/>
        <v>3.2805000000000001E-2</v>
      </c>
      <c r="O533" s="4" t="e">
        <f>(C533-(C533*#REF!))-((C533-(C533*#REF!))*#REF!)</f>
        <v>#REF!</v>
      </c>
      <c r="P533" s="7"/>
      <c r="Q533" s="7"/>
      <c r="R533" s="5">
        <f t="shared" si="261"/>
        <v>0</v>
      </c>
      <c r="S533" s="4">
        <f t="shared" si="262"/>
        <v>0</v>
      </c>
      <c r="T533" s="13">
        <f t="shared" si="266"/>
        <v>166.59300000000002</v>
      </c>
      <c r="U533" s="13">
        <f t="shared" si="275"/>
        <v>83.296500000000009</v>
      </c>
      <c r="V533" s="14">
        <f>U533/C533</f>
        <v>0.35000000000000003</v>
      </c>
      <c r="W533" s="14"/>
      <c r="X533" s="19">
        <f t="shared" si="263"/>
        <v>83.296500000000009</v>
      </c>
      <c r="Y533" s="19">
        <f t="shared" si="264"/>
        <v>166.59300000000002</v>
      </c>
      <c r="Z533" s="15" t="e">
        <f t="shared" si="259"/>
        <v>#DIV/0!</v>
      </c>
      <c r="AA533" s="22" t="s">
        <v>2754</v>
      </c>
      <c r="AG533" s="94" t="s">
        <v>1169</v>
      </c>
      <c r="AH533" s="89" t="str">
        <f>VLOOKUP(AG533,Sheet1!$B$3:$D$36,2,FALSE)</f>
        <v>Decors</v>
      </c>
      <c r="AI533" s="89" t="s">
        <v>2566</v>
      </c>
      <c r="AJ533" s="1" t="str">
        <f t="shared" si="267"/>
        <v>Hailey vase</v>
      </c>
      <c r="AK533" s="1" t="str">
        <f t="shared" si="268"/>
        <v>ø27 x h45</v>
      </c>
      <c r="AL533" s="1" t="str">
        <f t="shared" si="269"/>
        <v>grey glass semi</v>
      </c>
      <c r="AM533" s="1" t="str">
        <f t="shared" si="270"/>
        <v>grey glass semi</v>
      </c>
      <c r="AN533" s="1" t="str">
        <f t="shared" si="256"/>
        <v>grey glass semi</v>
      </c>
      <c r="AQ533" s="1" t="str">
        <f t="shared" si="271"/>
        <v>B</v>
      </c>
      <c r="AR533" s="1" t="str">
        <f>VLOOKUP(TRIM(AI533),Sheet1!$D$3:$E$36,2,FALSE)</f>
        <v>09</v>
      </c>
      <c r="AS533" s="90" t="str">
        <f t="shared" si="272"/>
        <v>03</v>
      </c>
      <c r="AT533" s="1" t="str">
        <f t="shared" si="273"/>
        <v>01</v>
      </c>
      <c r="AU533" s="90" t="s">
        <v>2639</v>
      </c>
      <c r="AV533" s="90"/>
      <c r="AW533" s="90"/>
      <c r="AX533" s="95" t="str">
        <f>AQ533&amp;AR533&amp;AS533&amp;"-"&amp;AT533&amp;AU533&amp;BA533</f>
        <v>B0903-0141</v>
      </c>
      <c r="AY533" s="99" t="str">
        <f>AQ533&amp;AR533&amp;AS533&amp;"-"&amp;AT533&amp;BA533</f>
        <v>B0903-01</v>
      </c>
      <c r="AZ533" s="90"/>
      <c r="BA533" s="1" t="str">
        <f t="shared" si="274"/>
        <v/>
      </c>
      <c r="BC533" s="1" t="str">
        <f t="shared" si="257"/>
        <v/>
      </c>
      <c r="BD533" s="90">
        <f t="shared" si="258"/>
        <v>3</v>
      </c>
      <c r="BE533" s="1">
        <f t="shared" si="276"/>
        <v>1</v>
      </c>
      <c r="BF533" s="1">
        <f t="shared" si="277"/>
        <v>1</v>
      </c>
      <c r="BI533"/>
      <c r="BJ533"/>
      <c r="BL533"/>
    </row>
    <row r="534" spans="1:64" ht="11.25" customHeight="1">
      <c r="A534" s="26" t="s">
        <v>2755</v>
      </c>
      <c r="B534" s="27" t="s">
        <v>2743</v>
      </c>
      <c r="C534" s="28">
        <v>135.99</v>
      </c>
      <c r="D534" s="28">
        <f t="shared" si="265"/>
        <v>67.995000000000005</v>
      </c>
      <c r="E534" s="22" t="s">
        <v>2561</v>
      </c>
      <c r="F534" s="22" t="s">
        <v>2744</v>
      </c>
      <c r="G534" s="22" t="s">
        <v>323</v>
      </c>
      <c r="H534" s="22" t="s">
        <v>2745</v>
      </c>
      <c r="I534" s="23" t="s">
        <v>2756</v>
      </c>
      <c r="J534" s="22" t="s">
        <v>670</v>
      </c>
      <c r="L534" s="23">
        <v>21</v>
      </c>
      <c r="M534" s="23">
        <v>20</v>
      </c>
      <c r="N534" s="3">
        <f t="shared" si="260"/>
        <v>8.8199999999999997E-3</v>
      </c>
      <c r="O534" s="4" t="e">
        <f>(C534-(C534*#REF!))-((C534-(C534*#REF!))*#REF!)</f>
        <v>#REF!</v>
      </c>
      <c r="P534" s="7"/>
      <c r="Q534" s="7"/>
      <c r="R534" s="5">
        <f t="shared" si="261"/>
        <v>0</v>
      </c>
      <c r="S534" s="4">
        <f t="shared" si="262"/>
        <v>0</v>
      </c>
      <c r="T534" s="13">
        <f t="shared" si="266"/>
        <v>95.193000000000012</v>
      </c>
      <c r="U534" s="13">
        <f t="shared" si="275"/>
        <v>47.596500000000006</v>
      </c>
      <c r="V534" s="14">
        <f>U534/C534</f>
        <v>0.35000000000000003</v>
      </c>
      <c r="W534" s="14"/>
      <c r="X534" s="19">
        <f t="shared" si="263"/>
        <v>47.596500000000006</v>
      </c>
      <c r="Y534" s="19">
        <f t="shared" si="264"/>
        <v>95.193000000000012</v>
      </c>
      <c r="Z534" s="15" t="e">
        <f t="shared" si="259"/>
        <v>#DIV/0!</v>
      </c>
      <c r="AA534" s="22" t="s">
        <v>2750</v>
      </c>
      <c r="AG534" s="94" t="s">
        <v>1169</v>
      </c>
      <c r="AH534" s="89" t="str">
        <f>VLOOKUP(AG534,Sheet1!$B$3:$D$36,2,FALSE)</f>
        <v>Decors</v>
      </c>
      <c r="AI534" s="89" t="s">
        <v>2566</v>
      </c>
      <c r="AJ534" s="1" t="str">
        <f t="shared" si="267"/>
        <v>Hailey vase</v>
      </c>
      <c r="AK534" s="1" t="str">
        <f t="shared" si="268"/>
        <v>ø21 x h20</v>
      </c>
      <c r="AL534" s="1" t="str">
        <f t="shared" si="269"/>
        <v>grey matte glass semi</v>
      </c>
      <c r="AM534" s="1" t="str">
        <f t="shared" si="270"/>
        <v>grey matte glass semi</v>
      </c>
      <c r="AN534" s="1" t="str">
        <f t="shared" si="256"/>
        <v>grey matte glass semi</v>
      </c>
      <c r="AQ534" s="1" t="str">
        <f t="shared" si="271"/>
        <v>B</v>
      </c>
      <c r="AR534" s="1" t="str">
        <f>VLOOKUP(TRIM(AI534),Sheet1!$D$3:$E$36,2,FALSE)</f>
        <v>09</v>
      </c>
      <c r="AS534" s="90" t="str">
        <f t="shared" si="272"/>
        <v>04</v>
      </c>
      <c r="AT534" s="1" t="str">
        <f t="shared" si="273"/>
        <v>01</v>
      </c>
      <c r="AU534" s="90" t="s">
        <v>2639</v>
      </c>
      <c r="AV534" s="90"/>
      <c r="AW534" s="90"/>
      <c r="AX534" s="95" t="str">
        <f>AQ534&amp;AR534&amp;AS534&amp;"-"&amp;AT534&amp;AU534&amp;BA534</f>
        <v>B0904-0141</v>
      </c>
      <c r="AY534" s="99" t="str">
        <f>AQ534&amp;AR534&amp;AS534&amp;"-"&amp;AT534&amp;BA534</f>
        <v>B0904-01</v>
      </c>
      <c r="AZ534" s="90"/>
      <c r="BA534" s="1" t="str">
        <f t="shared" si="274"/>
        <v/>
      </c>
      <c r="BC534" s="1" t="str">
        <f t="shared" si="257"/>
        <v/>
      </c>
      <c r="BD534" s="90">
        <f t="shared" si="258"/>
        <v>4</v>
      </c>
      <c r="BE534" s="1">
        <f t="shared" si="276"/>
        <v>1</v>
      </c>
      <c r="BF534" s="1">
        <f t="shared" si="277"/>
        <v>1</v>
      </c>
      <c r="BI534"/>
      <c r="BJ534"/>
      <c r="BL534"/>
    </row>
    <row r="535" spans="1:64" ht="11.25" customHeight="1">
      <c r="A535" s="26" t="s">
        <v>2757</v>
      </c>
      <c r="B535" s="27" t="s">
        <v>2743</v>
      </c>
      <c r="C535" s="28">
        <v>167.99</v>
      </c>
      <c r="D535" s="28">
        <f t="shared" si="265"/>
        <v>83.995000000000005</v>
      </c>
      <c r="E535" s="22" t="s">
        <v>2561</v>
      </c>
      <c r="F535" s="22" t="s">
        <v>2748</v>
      </c>
      <c r="G535" s="22" t="s">
        <v>323</v>
      </c>
      <c r="H535" s="22" t="s">
        <v>2758</v>
      </c>
      <c r="I535" s="23" t="s">
        <v>2756</v>
      </c>
      <c r="J535" s="22" t="s">
        <v>670</v>
      </c>
      <c r="L535" s="23">
        <v>21</v>
      </c>
      <c r="M535" s="23">
        <v>35</v>
      </c>
      <c r="N535" s="3">
        <f t="shared" si="260"/>
        <v>1.5435000000000001E-2</v>
      </c>
      <c r="O535" s="4" t="e">
        <f>(C535-(C535*#REF!))-((C535-(C535*#REF!))*#REF!)</f>
        <v>#REF!</v>
      </c>
      <c r="P535" s="7"/>
      <c r="Q535" s="7"/>
      <c r="R535" s="5">
        <f t="shared" si="261"/>
        <v>0</v>
      </c>
      <c r="S535" s="4">
        <f t="shared" si="262"/>
        <v>0</v>
      </c>
      <c r="T535" s="13">
        <f t="shared" si="266"/>
        <v>117.59300000000002</v>
      </c>
      <c r="U535" s="13">
        <f t="shared" si="275"/>
        <v>58.796500000000009</v>
      </c>
      <c r="V535" s="14">
        <f>U535/C535</f>
        <v>0.35000000000000003</v>
      </c>
      <c r="W535" s="14"/>
      <c r="X535" s="19">
        <f t="shared" si="263"/>
        <v>58.796500000000009</v>
      </c>
      <c r="Y535" s="19">
        <f t="shared" si="264"/>
        <v>117.59300000000002</v>
      </c>
      <c r="Z535" s="15" t="e">
        <f t="shared" si="259"/>
        <v>#DIV/0!</v>
      </c>
      <c r="AA535" s="22" t="s">
        <v>2759</v>
      </c>
      <c r="AG535" s="94" t="s">
        <v>1169</v>
      </c>
      <c r="AH535" s="89" t="str">
        <f>VLOOKUP(AG535,Sheet1!$B$3:$D$36,2,FALSE)</f>
        <v>Decors</v>
      </c>
      <c r="AI535" s="89" t="s">
        <v>2566</v>
      </c>
      <c r="AJ535" s="1" t="str">
        <f t="shared" si="267"/>
        <v>Hailey vase</v>
      </c>
      <c r="AK535" s="1" t="str">
        <f t="shared" si="268"/>
        <v>ø21 x h35</v>
      </c>
      <c r="AL535" s="1" t="str">
        <f t="shared" si="269"/>
        <v>grey matte glass semi</v>
      </c>
      <c r="AM535" s="1" t="str">
        <f t="shared" si="270"/>
        <v>grey matte glass semi</v>
      </c>
      <c r="AN535" s="1" t="str">
        <f t="shared" si="256"/>
        <v>grey matte glass semi</v>
      </c>
      <c r="AQ535" s="1" t="str">
        <f t="shared" si="271"/>
        <v>B</v>
      </c>
      <c r="AR535" s="1" t="str">
        <f>VLOOKUP(TRIM(AI535),Sheet1!$D$3:$E$36,2,FALSE)</f>
        <v>09</v>
      </c>
      <c r="AS535" s="90" t="str">
        <f t="shared" si="272"/>
        <v>05</v>
      </c>
      <c r="AT535" s="1" t="str">
        <f t="shared" si="273"/>
        <v>01</v>
      </c>
      <c r="AU535" s="90" t="s">
        <v>2639</v>
      </c>
      <c r="AV535" s="90"/>
      <c r="AW535" s="90"/>
      <c r="AX535" s="95" t="str">
        <f>AQ535&amp;AR535&amp;AS535&amp;"-"&amp;AT535&amp;AU535&amp;BA535</f>
        <v>B0905-0141</v>
      </c>
      <c r="AY535" s="99" t="str">
        <f>AQ535&amp;AR535&amp;AS535&amp;"-"&amp;AT535&amp;BA535</f>
        <v>B0905-01</v>
      </c>
      <c r="AZ535" s="90"/>
      <c r="BA535" s="1" t="str">
        <f t="shared" si="274"/>
        <v/>
      </c>
      <c r="BC535" s="1" t="str">
        <f t="shared" si="257"/>
        <v/>
      </c>
      <c r="BD535" s="90">
        <f t="shared" si="258"/>
        <v>5</v>
      </c>
      <c r="BE535" s="1">
        <f t="shared" si="276"/>
        <v>1</v>
      </c>
      <c r="BF535" s="1">
        <f t="shared" si="277"/>
        <v>1</v>
      </c>
      <c r="BI535"/>
      <c r="BJ535"/>
      <c r="BL535"/>
    </row>
    <row r="536" spans="1:64" ht="11.25" customHeight="1">
      <c r="A536" s="26" t="s">
        <v>2760</v>
      </c>
      <c r="B536" s="27" t="s">
        <v>2743</v>
      </c>
      <c r="C536" s="28">
        <v>271.99</v>
      </c>
      <c r="D536" s="28">
        <f t="shared" si="265"/>
        <v>135.995</v>
      </c>
      <c r="E536" s="22" t="s">
        <v>2561</v>
      </c>
      <c r="F536" s="22" t="s">
        <v>2752</v>
      </c>
      <c r="G536" s="22" t="s">
        <v>323</v>
      </c>
      <c r="H536" s="22" t="s">
        <v>2753</v>
      </c>
      <c r="I536" s="23" t="s">
        <v>2756</v>
      </c>
      <c r="J536" s="22" t="s">
        <v>670</v>
      </c>
      <c r="L536" s="23">
        <v>27</v>
      </c>
      <c r="M536" s="23">
        <v>45</v>
      </c>
      <c r="N536" s="3">
        <f t="shared" si="260"/>
        <v>3.2805000000000001E-2</v>
      </c>
      <c r="O536" s="4" t="e">
        <f>(C536-(C536*#REF!))-((C536-(C536*#REF!))*#REF!)</f>
        <v>#REF!</v>
      </c>
      <c r="P536" s="7"/>
      <c r="Q536" s="7"/>
      <c r="R536" s="5">
        <f t="shared" si="261"/>
        <v>0</v>
      </c>
      <c r="S536" s="4">
        <f t="shared" si="262"/>
        <v>0</v>
      </c>
      <c r="T536" s="13">
        <f t="shared" si="266"/>
        <v>190.39300000000003</v>
      </c>
      <c r="U536" s="13">
        <f t="shared" si="275"/>
        <v>95.196500000000015</v>
      </c>
      <c r="V536" s="14">
        <f>U536/C536</f>
        <v>0.35000000000000003</v>
      </c>
      <c r="W536" s="14"/>
      <c r="X536" s="19">
        <f t="shared" si="263"/>
        <v>95.196500000000015</v>
      </c>
      <c r="Y536" s="19">
        <f t="shared" si="264"/>
        <v>190.39300000000003</v>
      </c>
      <c r="Z536" s="15" t="e">
        <f t="shared" si="259"/>
        <v>#DIV/0!</v>
      </c>
      <c r="AA536" s="22" t="s">
        <v>2746</v>
      </c>
      <c r="AG536" s="94" t="s">
        <v>1169</v>
      </c>
      <c r="AH536" s="89" t="str">
        <f>VLOOKUP(AG536,Sheet1!$B$3:$D$36,2,FALSE)</f>
        <v>Decors</v>
      </c>
      <c r="AI536" s="89" t="s">
        <v>2566</v>
      </c>
      <c r="AJ536" s="1" t="str">
        <f t="shared" si="267"/>
        <v>Hailey vase</v>
      </c>
      <c r="AK536" s="1" t="str">
        <f t="shared" si="268"/>
        <v>ø27 x h45</v>
      </c>
      <c r="AL536" s="1" t="str">
        <f t="shared" si="269"/>
        <v>grey matte glass semi</v>
      </c>
      <c r="AM536" s="1" t="str">
        <f t="shared" si="270"/>
        <v>grey matte glass semi</v>
      </c>
      <c r="AN536" s="1" t="str">
        <f t="shared" si="256"/>
        <v>grey matte glass semi</v>
      </c>
      <c r="AQ536" s="1" t="str">
        <f t="shared" si="271"/>
        <v>B</v>
      </c>
      <c r="AR536" s="1" t="str">
        <f>VLOOKUP(TRIM(AI536),Sheet1!$D$3:$E$36,2,FALSE)</f>
        <v>09</v>
      </c>
      <c r="AS536" s="90" t="str">
        <f t="shared" si="272"/>
        <v>06</v>
      </c>
      <c r="AT536" s="1" t="str">
        <f t="shared" si="273"/>
        <v>01</v>
      </c>
      <c r="AU536" s="90" t="s">
        <v>2639</v>
      </c>
      <c r="AV536" s="90"/>
      <c r="AW536" s="90"/>
      <c r="AX536" s="95" t="str">
        <f>AQ536&amp;AR536&amp;AS536&amp;"-"&amp;AT536&amp;AU536&amp;BA536</f>
        <v>B0906-0141</v>
      </c>
      <c r="AY536" s="99" t="str">
        <f>AQ536&amp;AR536&amp;AS536&amp;"-"&amp;AT536&amp;BA536</f>
        <v>B0906-01</v>
      </c>
      <c r="AZ536" s="90"/>
      <c r="BA536" s="1" t="str">
        <f t="shared" si="274"/>
        <v/>
      </c>
      <c r="BC536" s="1" t="str">
        <f t="shared" si="257"/>
        <v/>
      </c>
      <c r="BD536" s="90">
        <f t="shared" si="258"/>
        <v>6</v>
      </c>
      <c r="BE536" s="1">
        <f t="shared" si="276"/>
        <v>1</v>
      </c>
      <c r="BF536" s="1">
        <f t="shared" si="277"/>
        <v>1</v>
      </c>
      <c r="BI536"/>
      <c r="BJ536"/>
      <c r="BL536"/>
    </row>
    <row r="537" spans="1:64" ht="11.25" customHeight="1">
      <c r="A537" s="26" t="s">
        <v>2761</v>
      </c>
      <c r="B537" s="27" t="s">
        <v>2762</v>
      </c>
      <c r="C537" s="28">
        <v>188.99</v>
      </c>
      <c r="D537" s="28">
        <f t="shared" si="265"/>
        <v>94.495000000000005</v>
      </c>
      <c r="E537" s="22" t="s">
        <v>2561</v>
      </c>
      <c r="F537" s="22" t="s">
        <v>2763</v>
      </c>
      <c r="G537" s="22" t="s">
        <v>328</v>
      </c>
      <c r="H537" s="22" t="s">
        <v>2764</v>
      </c>
      <c r="I537" s="23" t="s">
        <v>2765</v>
      </c>
      <c r="J537" s="22" t="s">
        <v>670</v>
      </c>
      <c r="L537" s="23">
        <v>30</v>
      </c>
      <c r="M537" s="23">
        <v>30</v>
      </c>
      <c r="N537" s="3">
        <f t="shared" si="260"/>
        <v>2.7E-2</v>
      </c>
      <c r="O537" s="4" t="e">
        <f>(C537-(C537*#REF!))-((C537-(C537*#REF!))*#REF!)</f>
        <v>#REF!</v>
      </c>
      <c r="P537" s="7"/>
      <c r="Q537" s="7"/>
      <c r="R537" s="5">
        <f t="shared" si="261"/>
        <v>0</v>
      </c>
      <c r="S537" s="4">
        <f t="shared" si="262"/>
        <v>0</v>
      </c>
      <c r="T537" s="13">
        <f t="shared" si="266"/>
        <v>132.29300000000001</v>
      </c>
      <c r="U537" s="13">
        <f t="shared" si="275"/>
        <v>66.146500000000003</v>
      </c>
      <c r="V537" s="14">
        <f>U537/C537</f>
        <v>0.35</v>
      </c>
      <c r="W537" s="14"/>
      <c r="X537" s="19">
        <f t="shared" si="263"/>
        <v>66.146500000000003</v>
      </c>
      <c r="Y537" s="19">
        <f t="shared" si="264"/>
        <v>132.29300000000001</v>
      </c>
      <c r="Z537" s="15" t="e">
        <f t="shared" si="259"/>
        <v>#DIV/0!</v>
      </c>
      <c r="AA537" s="22" t="s">
        <v>2766</v>
      </c>
      <c r="AG537" s="94" t="s">
        <v>1169</v>
      </c>
      <c r="AH537" s="89" t="str">
        <f>VLOOKUP(AG537,Sheet1!$B$3:$D$36,2,FALSE)</f>
        <v>Decors</v>
      </c>
      <c r="AI537" s="89" t="s">
        <v>2566</v>
      </c>
      <c r="AJ537" s="1" t="str">
        <f t="shared" si="267"/>
        <v>Hailey vase stone</v>
      </c>
      <c r="AK537" s="1" t="str">
        <f t="shared" si="268"/>
        <v>ø30 x h30</v>
      </c>
      <c r="AL537" s="1" t="str">
        <f t="shared" si="269"/>
        <v>lavastone semi</v>
      </c>
      <c r="AM537" s="1" t="str">
        <f t="shared" si="270"/>
        <v>lavastone semi</v>
      </c>
      <c r="AN537" s="1" t="str">
        <f t="shared" si="256"/>
        <v>lavastone semi</v>
      </c>
      <c r="AQ537" s="1" t="str">
        <f t="shared" si="271"/>
        <v>B</v>
      </c>
      <c r="AR537" s="1" t="str">
        <f>VLOOKUP(TRIM(AI537),Sheet1!$D$3:$E$36,2,FALSE)</f>
        <v>09</v>
      </c>
      <c r="AS537" s="90" t="str">
        <f t="shared" si="272"/>
        <v>01</v>
      </c>
      <c r="AT537" s="1" t="str">
        <f t="shared" si="273"/>
        <v>01</v>
      </c>
      <c r="AU537" s="90" t="s">
        <v>823</v>
      </c>
      <c r="AV537" s="90"/>
      <c r="AW537" s="90"/>
      <c r="AX537" s="95" t="str">
        <f>AQ537&amp;AR537&amp;AS537&amp;"-"&amp;AT537&amp;AU537&amp;BA537</f>
        <v>B0901-0108</v>
      </c>
      <c r="AY537" s="99" t="str">
        <f>AQ537&amp;AR537&amp;AS537&amp;"-"&amp;AT537&amp;BA537</f>
        <v>B0901-01</v>
      </c>
      <c r="AZ537" s="90"/>
      <c r="BA537" s="1" t="str">
        <f t="shared" si="274"/>
        <v/>
      </c>
      <c r="BC537" s="1">
        <f t="shared" si="257"/>
        <v>1</v>
      </c>
      <c r="BD537" s="90">
        <f t="shared" si="258"/>
        <v>1</v>
      </c>
      <c r="BE537" s="1">
        <f t="shared" si="276"/>
        <v>1</v>
      </c>
      <c r="BF537" s="1">
        <f t="shared" si="277"/>
        <v>1</v>
      </c>
      <c r="BI537"/>
      <c r="BJ537"/>
      <c r="BL537"/>
    </row>
    <row r="538" spans="1:64" ht="11.25" customHeight="1">
      <c r="A538" s="26" t="s">
        <v>2767</v>
      </c>
      <c r="B538" s="27" t="s">
        <v>2762</v>
      </c>
      <c r="C538" s="28">
        <v>1352.99</v>
      </c>
      <c r="D538" s="28">
        <f t="shared" si="265"/>
        <v>676.495</v>
      </c>
      <c r="E538" s="22" t="s">
        <v>2561</v>
      </c>
      <c r="F538" s="22" t="s">
        <v>2768</v>
      </c>
      <c r="G538" s="22" t="s">
        <v>328</v>
      </c>
      <c r="H538" s="22" t="s">
        <v>2769</v>
      </c>
      <c r="I538" s="23" t="s">
        <v>2765</v>
      </c>
      <c r="J538" s="22" t="s">
        <v>670</v>
      </c>
      <c r="L538" s="23">
        <v>35</v>
      </c>
      <c r="M538" s="23">
        <v>60</v>
      </c>
      <c r="N538" s="3">
        <f t="shared" si="260"/>
        <v>7.3499999999999996E-2</v>
      </c>
      <c r="O538" s="4" t="e">
        <f>(C538-(C538*#REF!))-((C538-(C538*#REF!))*#REF!)</f>
        <v>#REF!</v>
      </c>
      <c r="P538" s="7"/>
      <c r="Q538" s="7"/>
      <c r="R538" s="5">
        <f t="shared" si="261"/>
        <v>0</v>
      </c>
      <c r="S538" s="4">
        <f t="shared" si="262"/>
        <v>0</v>
      </c>
      <c r="T538" s="13">
        <f t="shared" si="266"/>
        <v>947.09300000000007</v>
      </c>
      <c r="U538" s="13">
        <f t="shared" si="275"/>
        <v>473.54650000000004</v>
      </c>
      <c r="V538" s="14">
        <f>U538/C538</f>
        <v>0.35000000000000003</v>
      </c>
      <c r="W538" s="14"/>
      <c r="X538" s="19">
        <f t="shared" si="263"/>
        <v>473.54650000000004</v>
      </c>
      <c r="Y538" s="19">
        <f t="shared" si="264"/>
        <v>947.09300000000007</v>
      </c>
      <c r="Z538" s="15" t="e">
        <f t="shared" si="259"/>
        <v>#DIV/0!</v>
      </c>
      <c r="AA538" s="22" t="s">
        <v>2770</v>
      </c>
      <c r="AG538" s="94" t="s">
        <v>1169</v>
      </c>
      <c r="AH538" s="89" t="str">
        <f>VLOOKUP(AG538,Sheet1!$B$3:$D$36,2,FALSE)</f>
        <v>Decors</v>
      </c>
      <c r="AI538" s="89" t="s">
        <v>2566</v>
      </c>
      <c r="AJ538" s="1" t="str">
        <f t="shared" si="267"/>
        <v>Hailey vase stone</v>
      </c>
      <c r="AK538" s="1" t="str">
        <f t="shared" si="268"/>
        <v>ø35 x h60</v>
      </c>
      <c r="AL538" s="1" t="str">
        <f t="shared" si="269"/>
        <v>lavastone semi</v>
      </c>
      <c r="AM538" s="1" t="str">
        <f t="shared" si="270"/>
        <v>lavastone semi</v>
      </c>
      <c r="AN538" s="1" t="str">
        <f t="shared" si="256"/>
        <v>lavastone semi</v>
      </c>
      <c r="AQ538" s="1" t="str">
        <f t="shared" si="271"/>
        <v>B</v>
      </c>
      <c r="AR538" s="1" t="str">
        <f>VLOOKUP(TRIM(AI538),Sheet1!$D$3:$E$36,2,FALSE)</f>
        <v>09</v>
      </c>
      <c r="AS538" s="90" t="str">
        <f t="shared" si="272"/>
        <v>02</v>
      </c>
      <c r="AT538" s="1" t="str">
        <f t="shared" si="273"/>
        <v>01</v>
      </c>
      <c r="AU538" s="90" t="s">
        <v>823</v>
      </c>
      <c r="AV538" s="90"/>
      <c r="AW538" s="90"/>
      <c r="AX538" s="95" t="str">
        <f>AQ538&amp;AR538&amp;AS538&amp;"-"&amp;AT538&amp;AU538&amp;BA538</f>
        <v>B0902-0108</v>
      </c>
      <c r="AY538" s="99" t="str">
        <f>AQ538&amp;AR538&amp;AS538&amp;"-"&amp;AT538&amp;BA538</f>
        <v>B0902-01</v>
      </c>
      <c r="AZ538" s="90"/>
      <c r="BA538" s="1" t="str">
        <f t="shared" si="274"/>
        <v/>
      </c>
      <c r="BC538" s="1" t="str">
        <f t="shared" si="257"/>
        <v/>
      </c>
      <c r="BD538" s="90">
        <f t="shared" si="258"/>
        <v>2</v>
      </c>
      <c r="BE538" s="1">
        <f t="shared" si="276"/>
        <v>1</v>
      </c>
      <c r="BF538" s="1">
        <f t="shared" si="277"/>
        <v>1</v>
      </c>
      <c r="BI538"/>
      <c r="BJ538"/>
      <c r="BL538"/>
    </row>
    <row r="539" spans="1:64" ht="11.25" customHeight="1">
      <c r="A539" s="26" t="s">
        <v>2771</v>
      </c>
      <c r="B539" s="27" t="s">
        <v>2772</v>
      </c>
      <c r="C539" s="28">
        <v>113.99</v>
      </c>
      <c r="D539" s="28">
        <f t="shared" si="265"/>
        <v>56.994999999999997</v>
      </c>
      <c r="E539" s="22" t="s">
        <v>2561</v>
      </c>
      <c r="F539" s="22" t="s">
        <v>2773</v>
      </c>
      <c r="G539" s="22" t="s">
        <v>763</v>
      </c>
      <c r="H539" s="22" t="s">
        <v>2774</v>
      </c>
      <c r="I539" s="23" t="s">
        <v>2564</v>
      </c>
      <c r="J539" s="22" t="s">
        <v>670</v>
      </c>
      <c r="L539" s="23">
        <v>32</v>
      </c>
      <c r="M539" s="23">
        <v>20</v>
      </c>
      <c r="N539" s="3">
        <f t="shared" si="260"/>
        <v>2.0480000000000002E-2</v>
      </c>
      <c r="O539" s="4" t="e">
        <f>(C539-(C539*#REF!))-((C539-(C539*#REF!))*#REF!)</f>
        <v>#REF!</v>
      </c>
      <c r="P539" s="7"/>
      <c r="Q539" s="7"/>
      <c r="R539" s="5">
        <f t="shared" si="261"/>
        <v>0</v>
      </c>
      <c r="S539" s="4">
        <f t="shared" si="262"/>
        <v>0</v>
      </c>
      <c r="T539" s="13">
        <f t="shared" si="266"/>
        <v>79.793000000000006</v>
      </c>
      <c r="U539" s="13">
        <f t="shared" si="275"/>
        <v>39.896500000000003</v>
      </c>
      <c r="V539" s="14">
        <f>U539/C539</f>
        <v>0.35000000000000003</v>
      </c>
      <c r="W539" s="14"/>
      <c r="X539" s="19">
        <f t="shared" si="263"/>
        <v>39.896500000000003</v>
      </c>
      <c r="Y539" s="19">
        <f t="shared" si="264"/>
        <v>79.793000000000006</v>
      </c>
      <c r="Z539" s="15" t="e">
        <f t="shared" si="259"/>
        <v>#DIV/0!</v>
      </c>
      <c r="AA539" s="22" t="s">
        <v>2775</v>
      </c>
      <c r="AG539" s="94" t="s">
        <v>1169</v>
      </c>
      <c r="AH539" s="89" t="str">
        <f>VLOOKUP(AG539,Sheet1!$B$3:$D$36,2,FALSE)</f>
        <v>Decors</v>
      </c>
      <c r="AI539" s="89" t="s">
        <v>2566</v>
      </c>
      <c r="AJ539" s="1" t="str">
        <f t="shared" si="267"/>
        <v>Silva</v>
      </c>
      <c r="AK539" s="1" t="str">
        <f t="shared" si="268"/>
        <v>ø32 x h20</v>
      </c>
      <c r="AL539" s="1" t="str">
        <f t="shared" si="269"/>
        <v>clear glass semi</v>
      </c>
      <c r="AM539" s="1" t="str">
        <f t="shared" si="270"/>
        <v>clear glass semi</v>
      </c>
      <c r="AN539" s="1" t="str">
        <f t="shared" si="256"/>
        <v>clear glass semi</v>
      </c>
      <c r="AQ539" s="1" t="str">
        <f t="shared" si="271"/>
        <v>B</v>
      </c>
      <c r="AR539" s="1" t="str">
        <f>VLOOKUP(TRIM(AI539),Sheet1!$D$3:$E$36,2,FALSE)</f>
        <v>09</v>
      </c>
      <c r="AS539" s="90" t="str">
        <f t="shared" si="272"/>
        <v>01</v>
      </c>
      <c r="AT539" s="1" t="str">
        <f t="shared" si="273"/>
        <v>01</v>
      </c>
      <c r="AU539" s="90" t="s">
        <v>2567</v>
      </c>
      <c r="AV539" s="90"/>
      <c r="AW539" s="90"/>
      <c r="AX539" s="95" t="str">
        <f>AQ539&amp;AR539&amp;AS539&amp;"-"&amp;AT539&amp;AU539&amp;BA539</f>
        <v>B0901-0138</v>
      </c>
      <c r="AY539" s="99" t="str">
        <f>AQ539&amp;AR539&amp;AS539&amp;"-"&amp;AT539&amp;BA539</f>
        <v>B0901-01</v>
      </c>
      <c r="AZ539" s="90"/>
      <c r="BA539" s="1" t="str">
        <f t="shared" si="274"/>
        <v/>
      </c>
      <c r="BC539" s="1">
        <f t="shared" si="257"/>
        <v>1</v>
      </c>
      <c r="BD539" s="90">
        <f t="shared" si="258"/>
        <v>1</v>
      </c>
      <c r="BE539" s="1">
        <f t="shared" si="276"/>
        <v>1</v>
      </c>
      <c r="BF539" s="1">
        <f t="shared" si="277"/>
        <v>1</v>
      </c>
      <c r="BI539"/>
      <c r="BJ539"/>
      <c r="BL539"/>
    </row>
    <row r="540" spans="1:64" ht="11.25" customHeight="1">
      <c r="A540" s="26" t="s">
        <v>2776</v>
      </c>
      <c r="B540" s="27" t="s">
        <v>2772</v>
      </c>
      <c r="C540" s="28">
        <v>195.99</v>
      </c>
      <c r="D540" s="28">
        <f t="shared" si="265"/>
        <v>97.995000000000005</v>
      </c>
      <c r="E540" s="22" t="s">
        <v>2561</v>
      </c>
      <c r="F540" s="22" t="s">
        <v>2777</v>
      </c>
      <c r="G540" s="22" t="s">
        <v>763</v>
      </c>
      <c r="H540" s="22" t="s">
        <v>2778</v>
      </c>
      <c r="I540" s="23" t="s">
        <v>2564</v>
      </c>
      <c r="J540" s="22" t="s">
        <v>670</v>
      </c>
      <c r="L540" s="23">
        <v>37</v>
      </c>
      <c r="M540" s="23">
        <v>40</v>
      </c>
      <c r="N540" s="3">
        <f t="shared" si="260"/>
        <v>5.4760000000000003E-2</v>
      </c>
      <c r="O540" s="4" t="e">
        <f>(C540-(C540*#REF!))-((C540-(C540*#REF!))*#REF!)</f>
        <v>#REF!</v>
      </c>
      <c r="P540" s="7"/>
      <c r="Q540" s="7"/>
      <c r="R540" s="5">
        <f t="shared" si="261"/>
        <v>0</v>
      </c>
      <c r="S540" s="4">
        <f t="shared" si="262"/>
        <v>0</v>
      </c>
      <c r="T540" s="13">
        <f t="shared" si="266"/>
        <v>137.19300000000001</v>
      </c>
      <c r="U540" s="13">
        <f t="shared" si="275"/>
        <v>68.596500000000006</v>
      </c>
      <c r="V540" s="14">
        <f>U540/C540</f>
        <v>0.35000000000000003</v>
      </c>
      <c r="W540" s="14"/>
      <c r="X540" s="19">
        <f t="shared" si="263"/>
        <v>68.596500000000006</v>
      </c>
      <c r="Y540" s="19">
        <f t="shared" si="264"/>
        <v>137.19300000000001</v>
      </c>
      <c r="Z540" s="15" t="e">
        <f t="shared" si="259"/>
        <v>#DIV/0!</v>
      </c>
      <c r="AA540" s="22" t="s">
        <v>2779</v>
      </c>
      <c r="AG540" s="94" t="s">
        <v>1169</v>
      </c>
      <c r="AH540" s="89" t="str">
        <f>VLOOKUP(AG540,Sheet1!$B$3:$D$36,2,FALSE)</f>
        <v>Decors</v>
      </c>
      <c r="AI540" s="89" t="s">
        <v>2566</v>
      </c>
      <c r="AJ540" s="1" t="str">
        <f t="shared" si="267"/>
        <v>Silva</v>
      </c>
      <c r="AK540" s="1" t="str">
        <f t="shared" si="268"/>
        <v>ø37 x h40</v>
      </c>
      <c r="AL540" s="1" t="str">
        <f t="shared" si="269"/>
        <v>clear glass semi</v>
      </c>
      <c r="AM540" s="1" t="str">
        <f t="shared" si="270"/>
        <v>clear glass semi</v>
      </c>
      <c r="AN540" s="1" t="str">
        <f t="shared" si="256"/>
        <v>clear glass semi</v>
      </c>
      <c r="AQ540" s="1" t="str">
        <f t="shared" si="271"/>
        <v>B</v>
      </c>
      <c r="AR540" s="1" t="str">
        <f>VLOOKUP(TRIM(AI540),Sheet1!$D$3:$E$36,2,FALSE)</f>
        <v>09</v>
      </c>
      <c r="AS540" s="90" t="str">
        <f t="shared" si="272"/>
        <v>02</v>
      </c>
      <c r="AT540" s="1" t="str">
        <f t="shared" si="273"/>
        <v>01</v>
      </c>
      <c r="AU540" s="90" t="s">
        <v>2567</v>
      </c>
      <c r="AV540" s="90"/>
      <c r="AW540" s="90"/>
      <c r="AX540" s="95" t="str">
        <f>AQ540&amp;AR540&amp;AS540&amp;"-"&amp;AT540&amp;AU540&amp;BA540</f>
        <v>B0902-0138</v>
      </c>
      <c r="AY540" s="99" t="str">
        <f>AQ540&amp;AR540&amp;AS540&amp;"-"&amp;AT540&amp;BA540</f>
        <v>B0902-01</v>
      </c>
      <c r="AZ540" s="90"/>
      <c r="BA540" s="1" t="str">
        <f t="shared" si="274"/>
        <v/>
      </c>
      <c r="BC540" s="1" t="str">
        <f t="shared" si="257"/>
        <v/>
      </c>
      <c r="BD540" s="90">
        <f t="shared" si="258"/>
        <v>2</v>
      </c>
      <c r="BE540" s="1">
        <f t="shared" si="276"/>
        <v>1</v>
      </c>
      <c r="BF540" s="1">
        <f t="shared" si="277"/>
        <v>1</v>
      </c>
      <c r="BI540"/>
      <c r="BJ540"/>
      <c r="BL540"/>
    </row>
    <row r="541" spans="1:64" ht="11.25" customHeight="1">
      <c r="A541" s="26" t="s">
        <v>2780</v>
      </c>
      <c r="B541" s="27" t="s">
        <v>2772</v>
      </c>
      <c r="C541" s="28">
        <v>279.99</v>
      </c>
      <c r="D541" s="28">
        <f t="shared" si="265"/>
        <v>139.995</v>
      </c>
      <c r="E541" s="22" t="s">
        <v>2561</v>
      </c>
      <c r="F541" s="22" t="s">
        <v>2781</v>
      </c>
      <c r="G541" s="22" t="s">
        <v>763</v>
      </c>
      <c r="H541" s="22" t="s">
        <v>2782</v>
      </c>
      <c r="I541" s="23" t="s">
        <v>2564</v>
      </c>
      <c r="J541" s="22" t="s">
        <v>670</v>
      </c>
      <c r="L541" s="23">
        <v>40</v>
      </c>
      <c r="M541" s="23">
        <v>60</v>
      </c>
      <c r="N541" s="3">
        <f t="shared" si="260"/>
        <v>9.6000000000000002E-2</v>
      </c>
      <c r="O541" s="4" t="e">
        <f>(C541-(C541*#REF!))-((C541-(C541*#REF!))*#REF!)</f>
        <v>#REF!</v>
      </c>
      <c r="P541" s="7"/>
      <c r="Q541" s="7"/>
      <c r="R541" s="5">
        <f t="shared" si="261"/>
        <v>0</v>
      </c>
      <c r="S541" s="4">
        <f t="shared" si="262"/>
        <v>0</v>
      </c>
      <c r="T541" s="13">
        <f t="shared" si="266"/>
        <v>195.99299999999999</v>
      </c>
      <c r="U541" s="13">
        <f t="shared" si="275"/>
        <v>97.996499999999997</v>
      </c>
      <c r="V541" s="14">
        <f>U541/C541</f>
        <v>0.35</v>
      </c>
      <c r="W541" s="14"/>
      <c r="X541" s="19">
        <f t="shared" si="263"/>
        <v>97.996499999999997</v>
      </c>
      <c r="Y541" s="19">
        <f t="shared" si="264"/>
        <v>195.99299999999999</v>
      </c>
      <c r="Z541" s="15" t="e">
        <f t="shared" si="259"/>
        <v>#DIV/0!</v>
      </c>
      <c r="AA541" s="22" t="s">
        <v>2783</v>
      </c>
      <c r="AG541" s="94" t="s">
        <v>1169</v>
      </c>
      <c r="AH541" s="89" t="str">
        <f>VLOOKUP(AG541,Sheet1!$B$3:$D$36,2,FALSE)</f>
        <v>Decors</v>
      </c>
      <c r="AI541" s="89" t="s">
        <v>2566</v>
      </c>
      <c r="AJ541" s="1" t="str">
        <f t="shared" si="267"/>
        <v>Silva</v>
      </c>
      <c r="AK541" s="1" t="str">
        <f t="shared" si="268"/>
        <v>ø40 x h60</v>
      </c>
      <c r="AL541" s="1" t="str">
        <f t="shared" si="269"/>
        <v>clear glass semi</v>
      </c>
      <c r="AM541" s="1" t="str">
        <f t="shared" si="270"/>
        <v>clear glass semi</v>
      </c>
      <c r="AN541" s="1" t="str">
        <f t="shared" si="256"/>
        <v>clear glass semi</v>
      </c>
      <c r="AQ541" s="1" t="str">
        <f t="shared" si="271"/>
        <v>B</v>
      </c>
      <c r="AR541" s="1" t="str">
        <f>VLOOKUP(TRIM(AI541),Sheet1!$D$3:$E$36,2,FALSE)</f>
        <v>09</v>
      </c>
      <c r="AS541" s="90" t="str">
        <f t="shared" si="272"/>
        <v>03</v>
      </c>
      <c r="AT541" s="1" t="str">
        <f t="shared" si="273"/>
        <v>01</v>
      </c>
      <c r="AU541" s="90" t="s">
        <v>2567</v>
      </c>
      <c r="AV541" s="90"/>
      <c r="AW541" s="90"/>
      <c r="AX541" s="95" t="str">
        <f>AQ541&amp;AR541&amp;AS541&amp;"-"&amp;AT541&amp;AU541&amp;BA541</f>
        <v>B0903-0138</v>
      </c>
      <c r="AY541" s="99" t="str">
        <f>AQ541&amp;AR541&amp;AS541&amp;"-"&amp;AT541&amp;BA541</f>
        <v>B0903-01</v>
      </c>
      <c r="AZ541" s="90"/>
      <c r="BA541" s="1" t="str">
        <f t="shared" si="274"/>
        <v/>
      </c>
      <c r="BC541" s="1" t="str">
        <f t="shared" si="257"/>
        <v/>
      </c>
      <c r="BD541" s="90">
        <f t="shared" si="258"/>
        <v>3</v>
      </c>
      <c r="BE541" s="1">
        <f t="shared" si="276"/>
        <v>1</v>
      </c>
      <c r="BF541" s="1">
        <f t="shared" si="277"/>
        <v>1</v>
      </c>
      <c r="BI541"/>
      <c r="BJ541"/>
      <c r="BL541"/>
    </row>
    <row r="542" spans="1:64" ht="11.25" customHeight="1">
      <c r="A542" s="26" t="s">
        <v>2784</v>
      </c>
      <c r="B542" s="27" t="s">
        <v>2772</v>
      </c>
      <c r="C542" s="28">
        <v>380.99</v>
      </c>
      <c r="D542" s="28">
        <f t="shared" si="265"/>
        <v>190.495</v>
      </c>
      <c r="E542" s="22" t="s">
        <v>2561</v>
      </c>
      <c r="F542" s="22" t="s">
        <v>2785</v>
      </c>
      <c r="G542" s="22" t="s">
        <v>763</v>
      </c>
      <c r="H542" s="22" t="s">
        <v>2786</v>
      </c>
      <c r="I542" s="23" t="s">
        <v>2637</v>
      </c>
      <c r="J542" s="22" t="s">
        <v>670</v>
      </c>
      <c r="L542" s="23">
        <v>40</v>
      </c>
      <c r="M542" s="23">
        <v>60</v>
      </c>
      <c r="N542" s="3">
        <f t="shared" si="260"/>
        <v>9.6000000000000002E-2</v>
      </c>
      <c r="O542" s="4" t="e">
        <f>(C542-(C542*#REF!))-((C542-(C542*#REF!))*#REF!)</f>
        <v>#REF!</v>
      </c>
      <c r="P542" s="7"/>
      <c r="Q542" s="7"/>
      <c r="R542" s="5">
        <f t="shared" si="261"/>
        <v>0</v>
      </c>
      <c r="S542" s="4">
        <f t="shared" si="262"/>
        <v>0</v>
      </c>
      <c r="T542" s="13">
        <f t="shared" si="266"/>
        <v>266.69299999999998</v>
      </c>
      <c r="U542" s="13">
        <f t="shared" si="275"/>
        <v>133.34649999999999</v>
      </c>
      <c r="V542" s="14">
        <f>U542/C542</f>
        <v>0.35</v>
      </c>
      <c r="W542" s="14"/>
      <c r="X542" s="19">
        <f t="shared" si="263"/>
        <v>133.34649999999999</v>
      </c>
      <c r="Y542" s="19">
        <f t="shared" si="264"/>
        <v>266.69299999999998</v>
      </c>
      <c r="Z542" s="15" t="e">
        <f t="shared" si="259"/>
        <v>#DIV/0!</v>
      </c>
      <c r="AA542" s="22" t="s">
        <v>2779</v>
      </c>
      <c r="AG542" s="94" t="s">
        <v>1169</v>
      </c>
      <c r="AH542" s="89" t="str">
        <f>VLOOKUP(AG542,Sheet1!$B$3:$D$36,2,FALSE)</f>
        <v>Decors</v>
      </c>
      <c r="AI542" s="89" t="s">
        <v>2566</v>
      </c>
      <c r="AJ542" s="1" t="str">
        <f t="shared" si="267"/>
        <v>Silva</v>
      </c>
      <c r="AK542" s="1" t="str">
        <f t="shared" si="268"/>
        <v>ø40 x h60</v>
      </c>
      <c r="AL542" s="1" t="str">
        <f t="shared" si="269"/>
        <v>grey glass semi</v>
      </c>
      <c r="AM542" s="1" t="str">
        <f t="shared" si="270"/>
        <v>grey glass semi</v>
      </c>
      <c r="AN542" s="1" t="str">
        <f t="shared" si="256"/>
        <v>grey glass semi</v>
      </c>
      <c r="AQ542" s="1" t="str">
        <f t="shared" si="271"/>
        <v>B</v>
      </c>
      <c r="AR542" s="1" t="str">
        <f>VLOOKUP(TRIM(AI542),Sheet1!$D$3:$E$36,2,FALSE)</f>
        <v>09</v>
      </c>
      <c r="AS542" s="90" t="str">
        <f t="shared" si="272"/>
        <v>04</v>
      </c>
      <c r="AT542" s="1" t="str">
        <f t="shared" si="273"/>
        <v>02</v>
      </c>
      <c r="AU542" s="90" t="s">
        <v>2639</v>
      </c>
      <c r="AV542" s="90"/>
      <c r="AW542" s="90"/>
      <c r="AX542" s="95" t="str">
        <f>AQ542&amp;AR542&amp;AS542&amp;"-"&amp;AT542&amp;AU542&amp;BA542</f>
        <v>B0904-0241</v>
      </c>
      <c r="AY542" s="99" t="str">
        <f>AQ542&amp;AR542&amp;AS542&amp;"-"&amp;AT542&amp;BA542</f>
        <v>B0904-02</v>
      </c>
      <c r="AZ542" s="90"/>
      <c r="BA542" s="1" t="str">
        <f t="shared" si="274"/>
        <v/>
      </c>
      <c r="BC542" s="1" t="str">
        <f t="shared" si="257"/>
        <v/>
      </c>
      <c r="BD542" s="90">
        <f t="shared" si="258"/>
        <v>4</v>
      </c>
      <c r="BE542" s="1" t="str">
        <f t="shared" si="276"/>
        <v/>
      </c>
      <c r="BF542" s="1">
        <f t="shared" si="277"/>
        <v>2</v>
      </c>
      <c r="BI542"/>
      <c r="BJ542"/>
      <c r="BL542"/>
    </row>
    <row r="543" spans="1:64" ht="11.25" customHeight="1">
      <c r="A543" s="26" t="s">
        <v>2787</v>
      </c>
      <c r="B543" s="27" t="s">
        <v>2788</v>
      </c>
      <c r="C543" s="28">
        <v>31.99</v>
      </c>
      <c r="D543" s="28">
        <f t="shared" si="265"/>
        <v>15.994999999999999</v>
      </c>
      <c r="E543" s="22" t="s">
        <v>2561</v>
      </c>
      <c r="F543" s="22" t="s">
        <v>2789</v>
      </c>
      <c r="G543" s="22" t="s">
        <v>801</v>
      </c>
      <c r="H543" s="22" t="s">
        <v>2790</v>
      </c>
      <c r="I543" s="23" t="s">
        <v>2564</v>
      </c>
      <c r="J543" s="22" t="s">
        <v>670</v>
      </c>
      <c r="L543" s="23">
        <v>4</v>
      </c>
      <c r="M543" s="23">
        <v>20</v>
      </c>
      <c r="N543" s="3">
        <f t="shared" si="260"/>
        <v>3.2000000000000003E-4</v>
      </c>
      <c r="O543" s="4" t="e">
        <f>(C543-(C543*#REF!))-((C543-(C543*#REF!))*#REF!)</f>
        <v>#REF!</v>
      </c>
      <c r="P543" s="7"/>
      <c r="Q543" s="7"/>
      <c r="R543" s="5">
        <f t="shared" si="261"/>
        <v>0</v>
      </c>
      <c r="S543" s="4">
        <f t="shared" si="262"/>
        <v>0</v>
      </c>
      <c r="T543" s="13">
        <f t="shared" si="266"/>
        <v>22.393000000000001</v>
      </c>
      <c r="U543" s="13">
        <f t="shared" si="275"/>
        <v>11.1965</v>
      </c>
      <c r="V543" s="14">
        <f>U543/C543</f>
        <v>0.35000000000000003</v>
      </c>
      <c r="W543" s="14"/>
      <c r="X543" s="19">
        <f t="shared" si="263"/>
        <v>11.1965</v>
      </c>
      <c r="Y543" s="19">
        <f t="shared" si="264"/>
        <v>22.393000000000001</v>
      </c>
      <c r="Z543" s="15" t="e">
        <f t="shared" si="259"/>
        <v>#DIV/0!</v>
      </c>
      <c r="AA543" s="22" t="s">
        <v>2791</v>
      </c>
      <c r="AG543" s="94" t="s">
        <v>1169</v>
      </c>
      <c r="AH543" s="89" t="str">
        <f>VLOOKUP(AG543,Sheet1!$B$3:$D$36,2,FALSE)</f>
        <v>Decors</v>
      </c>
      <c r="AI543" s="89" t="s">
        <v>2566</v>
      </c>
      <c r="AJ543" s="1" t="str">
        <f t="shared" si="267"/>
        <v>Teava pipe</v>
      </c>
      <c r="AK543" s="1" t="str">
        <f t="shared" si="268"/>
        <v>ø4 x h20 - # 1</v>
      </c>
      <c r="AL543" s="1" t="str">
        <f t="shared" si="269"/>
        <v>clear glass semi</v>
      </c>
      <c r="AM543" s="1" t="str">
        <f t="shared" si="270"/>
        <v>clear glass semi</v>
      </c>
      <c r="AN543" s="1" t="str">
        <f t="shared" si="256"/>
        <v>clear glass semi</v>
      </c>
      <c r="AQ543" s="1" t="str">
        <f t="shared" si="271"/>
        <v>B</v>
      </c>
      <c r="AR543" s="1" t="str">
        <f>VLOOKUP(TRIM(AI543),Sheet1!$D$3:$E$36,2,FALSE)</f>
        <v>09</v>
      </c>
      <c r="AS543" s="90" t="str">
        <f t="shared" si="272"/>
        <v>01</v>
      </c>
      <c r="AT543" s="1" t="str">
        <f t="shared" si="273"/>
        <v>01</v>
      </c>
      <c r="AU543" s="90" t="s">
        <v>2567</v>
      </c>
      <c r="AV543" s="90"/>
      <c r="AW543" s="90"/>
      <c r="AX543" s="95" t="str">
        <f>AQ543&amp;AR543&amp;AS543&amp;"-"&amp;AT543&amp;AU543&amp;BA543</f>
        <v>B0901-0138</v>
      </c>
      <c r="AY543" s="99" t="str">
        <f>AQ543&amp;AR543&amp;AS543&amp;"-"&amp;AT543&amp;BA543</f>
        <v>B0901-01</v>
      </c>
      <c r="AZ543" s="90"/>
      <c r="BA543" s="1" t="str">
        <f t="shared" si="274"/>
        <v/>
      </c>
      <c r="BC543" s="1">
        <f t="shared" si="257"/>
        <v>1</v>
      </c>
      <c r="BD543" s="90">
        <f t="shared" si="258"/>
        <v>1</v>
      </c>
      <c r="BE543" s="1">
        <f t="shared" si="276"/>
        <v>1</v>
      </c>
      <c r="BF543" s="1">
        <f t="shared" si="277"/>
        <v>1</v>
      </c>
      <c r="BI543"/>
      <c r="BJ543"/>
      <c r="BL543"/>
    </row>
    <row r="544" spans="1:64" ht="11.25" customHeight="1">
      <c r="A544" s="26" t="s">
        <v>2792</v>
      </c>
      <c r="B544" s="27" t="s">
        <v>2788</v>
      </c>
      <c r="C544" s="28">
        <v>57.99</v>
      </c>
      <c r="D544" s="28">
        <f t="shared" si="265"/>
        <v>28.995000000000001</v>
      </c>
      <c r="E544" s="22" t="s">
        <v>2561</v>
      </c>
      <c r="F544" s="22" t="s">
        <v>2793</v>
      </c>
      <c r="G544" s="22" t="s">
        <v>801</v>
      </c>
      <c r="H544" s="22" t="s">
        <v>2794</v>
      </c>
      <c r="I544" s="23" t="s">
        <v>2564</v>
      </c>
      <c r="J544" s="22" t="s">
        <v>670</v>
      </c>
      <c r="L544" s="23">
        <v>6</v>
      </c>
      <c r="M544" s="23">
        <v>60</v>
      </c>
      <c r="N544" s="3">
        <f t="shared" si="260"/>
        <v>2.16E-3</v>
      </c>
      <c r="O544" s="4" t="e">
        <f>(C544-(C544*#REF!))-((C544-(C544*#REF!))*#REF!)</f>
        <v>#REF!</v>
      </c>
      <c r="P544" s="7"/>
      <c r="Q544" s="7"/>
      <c r="R544" s="5">
        <f t="shared" si="261"/>
        <v>0</v>
      </c>
      <c r="S544" s="4">
        <f t="shared" si="262"/>
        <v>0</v>
      </c>
      <c r="T544" s="13">
        <f t="shared" si="266"/>
        <v>40.593000000000004</v>
      </c>
      <c r="U544" s="13">
        <f t="shared" si="275"/>
        <v>20.296500000000002</v>
      </c>
      <c r="V544" s="14">
        <f>U544/C544</f>
        <v>0.35000000000000003</v>
      </c>
      <c r="W544" s="14"/>
      <c r="X544" s="19">
        <f t="shared" si="263"/>
        <v>20.296500000000002</v>
      </c>
      <c r="Y544" s="19">
        <f t="shared" si="264"/>
        <v>40.593000000000004</v>
      </c>
      <c r="Z544" s="15" t="e">
        <f t="shared" si="259"/>
        <v>#DIV/0!</v>
      </c>
      <c r="AA544" s="22" t="s">
        <v>2795</v>
      </c>
      <c r="AG544" s="94" t="s">
        <v>1169</v>
      </c>
      <c r="AH544" s="89" t="str">
        <f>VLOOKUP(AG544,Sheet1!$B$3:$D$36,2,FALSE)</f>
        <v>Decors</v>
      </c>
      <c r="AI544" s="89" t="s">
        <v>2566</v>
      </c>
      <c r="AJ544" s="1" t="str">
        <f t="shared" si="267"/>
        <v>Teava pipe</v>
      </c>
      <c r="AK544" s="1" t="str">
        <f t="shared" si="268"/>
        <v>ø6 x h60 - # 1</v>
      </c>
      <c r="AL544" s="1" t="str">
        <f t="shared" si="269"/>
        <v>clear glass semi</v>
      </c>
      <c r="AM544" s="1" t="str">
        <f t="shared" si="270"/>
        <v>clear glass semi</v>
      </c>
      <c r="AN544" s="1" t="str">
        <f t="shared" si="256"/>
        <v>clear glass semi</v>
      </c>
      <c r="AQ544" s="1" t="str">
        <f t="shared" si="271"/>
        <v>B</v>
      </c>
      <c r="AR544" s="1" t="str">
        <f>VLOOKUP(TRIM(AI544),Sheet1!$D$3:$E$36,2,FALSE)</f>
        <v>09</v>
      </c>
      <c r="AS544" s="90" t="str">
        <f t="shared" si="272"/>
        <v>02</v>
      </c>
      <c r="AT544" s="1" t="str">
        <f t="shared" si="273"/>
        <v>01</v>
      </c>
      <c r="AU544" s="90" t="s">
        <v>2567</v>
      </c>
      <c r="AV544" s="90"/>
      <c r="AW544" s="90"/>
      <c r="AX544" s="95" t="str">
        <f>AQ544&amp;AR544&amp;AS544&amp;"-"&amp;AT544&amp;AU544&amp;BA544</f>
        <v>B0902-0138</v>
      </c>
      <c r="AY544" s="99" t="str">
        <f>AQ544&amp;AR544&amp;AS544&amp;"-"&amp;AT544&amp;BA544</f>
        <v>B0902-01</v>
      </c>
      <c r="AZ544" s="90"/>
      <c r="BA544" s="1" t="str">
        <f t="shared" si="274"/>
        <v/>
      </c>
      <c r="BC544" s="1" t="str">
        <f t="shared" si="257"/>
        <v/>
      </c>
      <c r="BD544" s="90">
        <f t="shared" si="258"/>
        <v>2</v>
      </c>
      <c r="BE544" s="1">
        <f t="shared" si="276"/>
        <v>1</v>
      </c>
      <c r="BF544" s="1">
        <f t="shared" si="277"/>
        <v>1</v>
      </c>
      <c r="BI544"/>
      <c r="BJ544"/>
      <c r="BL544"/>
    </row>
    <row r="545" spans="1:64" ht="11.25" customHeight="1">
      <c r="A545" s="26" t="s">
        <v>2796</v>
      </c>
      <c r="B545" s="27" t="s">
        <v>2788</v>
      </c>
      <c r="C545" s="28">
        <v>65.989999999999995</v>
      </c>
      <c r="D545" s="28">
        <f t="shared" si="265"/>
        <v>32.994999999999997</v>
      </c>
      <c r="E545" s="22" t="s">
        <v>2561</v>
      </c>
      <c r="F545" s="22" t="s">
        <v>2797</v>
      </c>
      <c r="G545" s="22" t="s">
        <v>801</v>
      </c>
      <c r="H545" s="22" t="s">
        <v>2798</v>
      </c>
      <c r="I545" s="23" t="s">
        <v>2564</v>
      </c>
      <c r="J545" s="22" t="s">
        <v>670</v>
      </c>
      <c r="L545" s="23">
        <v>6</v>
      </c>
      <c r="M545" s="23">
        <v>70</v>
      </c>
      <c r="N545" s="3">
        <f t="shared" si="260"/>
        <v>2.5200000000000001E-3</v>
      </c>
      <c r="O545" s="4" t="e">
        <f>(C545-(C545*#REF!))-((C545-(C545*#REF!))*#REF!)</f>
        <v>#REF!</v>
      </c>
      <c r="P545" s="7"/>
      <c r="Q545" s="7"/>
      <c r="R545" s="5">
        <f t="shared" si="261"/>
        <v>0</v>
      </c>
      <c r="S545" s="4">
        <f t="shared" si="262"/>
        <v>0</v>
      </c>
      <c r="T545" s="13">
        <f t="shared" si="266"/>
        <v>46.192999999999998</v>
      </c>
      <c r="U545" s="13">
        <f t="shared" si="275"/>
        <v>23.096499999999999</v>
      </c>
      <c r="V545" s="14">
        <f>U545/C545</f>
        <v>0.35000000000000003</v>
      </c>
      <c r="W545" s="14"/>
      <c r="X545" s="19">
        <f t="shared" si="263"/>
        <v>23.096499999999999</v>
      </c>
      <c r="Y545" s="19">
        <f t="shared" si="264"/>
        <v>46.192999999999998</v>
      </c>
      <c r="Z545" s="15" t="e">
        <f t="shared" si="259"/>
        <v>#DIV/0!</v>
      </c>
      <c r="AA545" s="22" t="s">
        <v>2799</v>
      </c>
      <c r="AG545" s="94" t="s">
        <v>1169</v>
      </c>
      <c r="AH545" s="89" t="str">
        <f>VLOOKUP(AG545,Sheet1!$B$3:$D$36,2,FALSE)</f>
        <v>Decors</v>
      </c>
      <c r="AI545" s="89" t="s">
        <v>2566</v>
      </c>
      <c r="AJ545" s="1" t="str">
        <f t="shared" si="267"/>
        <v>Teava pipe</v>
      </c>
      <c r="AK545" s="1" t="str">
        <f t="shared" si="268"/>
        <v>ø6 x h70 - # 1</v>
      </c>
      <c r="AL545" s="1" t="str">
        <f t="shared" si="269"/>
        <v>clear glass semi</v>
      </c>
      <c r="AM545" s="1" t="str">
        <f t="shared" si="270"/>
        <v>clear glass semi</v>
      </c>
      <c r="AN545" s="1" t="str">
        <f t="shared" si="256"/>
        <v>clear glass semi</v>
      </c>
      <c r="AQ545" s="1" t="str">
        <f t="shared" si="271"/>
        <v>B</v>
      </c>
      <c r="AR545" s="1" t="str">
        <f>VLOOKUP(TRIM(AI545),Sheet1!$D$3:$E$36,2,FALSE)</f>
        <v>09</v>
      </c>
      <c r="AS545" s="90" t="str">
        <f t="shared" si="272"/>
        <v>03</v>
      </c>
      <c r="AT545" s="1" t="str">
        <f t="shared" si="273"/>
        <v>01</v>
      </c>
      <c r="AU545" s="90" t="s">
        <v>2567</v>
      </c>
      <c r="AV545" s="90"/>
      <c r="AW545" s="90"/>
      <c r="AX545" s="95" t="str">
        <f>AQ545&amp;AR545&amp;AS545&amp;"-"&amp;AT545&amp;AU545&amp;BA545</f>
        <v>B0903-0138</v>
      </c>
      <c r="AY545" s="99" t="str">
        <f>AQ545&amp;AR545&amp;AS545&amp;"-"&amp;AT545&amp;BA545</f>
        <v>B0903-01</v>
      </c>
      <c r="AZ545" s="90"/>
      <c r="BA545" s="1" t="str">
        <f t="shared" si="274"/>
        <v/>
      </c>
      <c r="BC545" s="1" t="str">
        <f t="shared" si="257"/>
        <v/>
      </c>
      <c r="BD545" s="90">
        <f t="shared" si="258"/>
        <v>3</v>
      </c>
      <c r="BE545" s="1">
        <f t="shared" si="276"/>
        <v>1</v>
      </c>
      <c r="BF545" s="1">
        <f t="shared" si="277"/>
        <v>1</v>
      </c>
      <c r="BI545"/>
      <c r="BJ545"/>
      <c r="BL545"/>
    </row>
    <row r="546" spans="1:64" ht="11.25" customHeight="1">
      <c r="A546" s="26" t="s">
        <v>2800</v>
      </c>
      <c r="B546" s="27" t="s">
        <v>2788</v>
      </c>
      <c r="C546" s="28">
        <v>73.989999999999995</v>
      </c>
      <c r="D546" s="28">
        <f t="shared" si="265"/>
        <v>36.994999999999997</v>
      </c>
      <c r="E546" s="22" t="s">
        <v>2561</v>
      </c>
      <c r="F546" s="22" t="s">
        <v>2801</v>
      </c>
      <c r="G546" s="22" t="s">
        <v>801</v>
      </c>
      <c r="H546" s="22" t="s">
        <v>2802</v>
      </c>
      <c r="I546" s="23" t="s">
        <v>2564</v>
      </c>
      <c r="J546" s="22" t="s">
        <v>670</v>
      </c>
      <c r="L546" s="23">
        <v>6</v>
      </c>
      <c r="M546" s="23">
        <v>80</v>
      </c>
      <c r="N546" s="3">
        <f t="shared" si="260"/>
        <v>2.8800000000000002E-3</v>
      </c>
      <c r="O546" s="4" t="e">
        <f>(C546-(C546*#REF!))-((C546-(C546*#REF!))*#REF!)</f>
        <v>#REF!</v>
      </c>
      <c r="P546" s="7"/>
      <c r="Q546" s="7"/>
      <c r="R546" s="5">
        <f t="shared" si="261"/>
        <v>0</v>
      </c>
      <c r="S546" s="4">
        <f t="shared" si="262"/>
        <v>0</v>
      </c>
      <c r="T546" s="13">
        <f t="shared" si="266"/>
        <v>51.792999999999992</v>
      </c>
      <c r="U546" s="13">
        <f t="shared" si="275"/>
        <v>25.896499999999996</v>
      </c>
      <c r="V546" s="14">
        <f>U546/C546</f>
        <v>0.35</v>
      </c>
      <c r="W546" s="14"/>
      <c r="X546" s="19">
        <f t="shared" si="263"/>
        <v>25.896499999999996</v>
      </c>
      <c r="Y546" s="19">
        <f t="shared" si="264"/>
        <v>51.792999999999992</v>
      </c>
      <c r="Z546" s="15" t="e">
        <f t="shared" si="259"/>
        <v>#DIV/0!</v>
      </c>
      <c r="AA546" s="22" t="s">
        <v>2799</v>
      </c>
      <c r="AG546" s="94" t="s">
        <v>1169</v>
      </c>
      <c r="AH546" s="89" t="str">
        <f>VLOOKUP(AG546,Sheet1!$B$3:$D$36,2,FALSE)</f>
        <v>Decors</v>
      </c>
      <c r="AI546" s="89" t="s">
        <v>2566</v>
      </c>
      <c r="AJ546" s="1" t="str">
        <f t="shared" si="267"/>
        <v>Teava pipe</v>
      </c>
      <c r="AK546" s="1" t="str">
        <f t="shared" si="268"/>
        <v>ø6 x h80 - # 1</v>
      </c>
      <c r="AL546" s="1" t="str">
        <f t="shared" si="269"/>
        <v>clear glass semi</v>
      </c>
      <c r="AM546" s="1" t="str">
        <f t="shared" si="270"/>
        <v>clear glass semi</v>
      </c>
      <c r="AN546" s="1" t="str">
        <f t="shared" si="256"/>
        <v>clear glass semi</v>
      </c>
      <c r="AQ546" s="1" t="str">
        <f t="shared" si="271"/>
        <v>B</v>
      </c>
      <c r="AR546" s="1" t="str">
        <f>VLOOKUP(TRIM(AI546),Sheet1!$D$3:$E$36,2,FALSE)</f>
        <v>09</v>
      </c>
      <c r="AS546" s="90" t="str">
        <f t="shared" si="272"/>
        <v>04</v>
      </c>
      <c r="AT546" s="1" t="str">
        <f t="shared" si="273"/>
        <v>01</v>
      </c>
      <c r="AU546" s="90" t="s">
        <v>2567</v>
      </c>
      <c r="AV546" s="90"/>
      <c r="AW546" s="90"/>
      <c r="AX546" s="95" t="str">
        <f>AQ546&amp;AR546&amp;AS546&amp;"-"&amp;AT546&amp;AU546&amp;BA546</f>
        <v>B0904-0138</v>
      </c>
      <c r="AY546" s="99" t="str">
        <f>AQ546&amp;AR546&amp;AS546&amp;"-"&amp;AT546&amp;BA546</f>
        <v>B0904-01</v>
      </c>
      <c r="AZ546" s="90"/>
      <c r="BA546" s="1" t="str">
        <f t="shared" si="274"/>
        <v/>
      </c>
      <c r="BC546" s="1" t="str">
        <f t="shared" si="257"/>
        <v/>
      </c>
      <c r="BD546" s="90">
        <f t="shared" si="258"/>
        <v>4</v>
      </c>
      <c r="BE546" s="1">
        <f t="shared" si="276"/>
        <v>1</v>
      </c>
      <c r="BF546" s="1">
        <f t="shared" si="277"/>
        <v>1</v>
      </c>
      <c r="BI546"/>
      <c r="BJ546"/>
      <c r="BL546"/>
    </row>
    <row r="547" spans="1:64" ht="11.25" customHeight="1">
      <c r="A547" s="26" t="s">
        <v>2803</v>
      </c>
      <c r="B547" s="27" t="s">
        <v>2788</v>
      </c>
      <c r="C547" s="28">
        <v>76.989999999999995</v>
      </c>
      <c r="D547" s="28">
        <f t="shared" si="265"/>
        <v>38.494999999999997</v>
      </c>
      <c r="E547" s="22" t="s">
        <v>2561</v>
      </c>
      <c r="F547" s="22" t="s">
        <v>2804</v>
      </c>
      <c r="G547" s="22" t="s">
        <v>801</v>
      </c>
      <c r="H547" s="22" t="s">
        <v>2805</v>
      </c>
      <c r="I547" s="23" t="s">
        <v>2637</v>
      </c>
      <c r="J547" s="22" t="s">
        <v>670</v>
      </c>
      <c r="L547" s="23">
        <v>6</v>
      </c>
      <c r="M547" s="23">
        <v>60</v>
      </c>
      <c r="N547" s="3">
        <f t="shared" si="260"/>
        <v>2.16E-3</v>
      </c>
      <c r="O547" s="4" t="e">
        <f>(C547-(C547*#REF!))-((C547-(C547*#REF!))*#REF!)</f>
        <v>#REF!</v>
      </c>
      <c r="P547" s="7"/>
      <c r="Q547" s="7"/>
      <c r="R547" s="5">
        <f t="shared" si="261"/>
        <v>0</v>
      </c>
      <c r="S547" s="4">
        <f t="shared" si="262"/>
        <v>0</v>
      </c>
      <c r="T547" s="13">
        <f t="shared" si="266"/>
        <v>53.893000000000001</v>
      </c>
      <c r="U547" s="13">
        <f t="shared" si="275"/>
        <v>26.9465</v>
      </c>
      <c r="V547" s="14">
        <f>U547/C547</f>
        <v>0.35000000000000003</v>
      </c>
      <c r="W547" s="14"/>
      <c r="X547" s="19">
        <f t="shared" si="263"/>
        <v>26.9465</v>
      </c>
      <c r="Y547" s="19">
        <f t="shared" si="264"/>
        <v>53.893000000000001</v>
      </c>
      <c r="Z547" s="15" t="e">
        <f t="shared" si="259"/>
        <v>#DIV/0!</v>
      </c>
      <c r="AA547" s="22" t="s">
        <v>2806</v>
      </c>
      <c r="AG547" s="94" t="s">
        <v>1169</v>
      </c>
      <c r="AH547" s="89" t="str">
        <f>VLOOKUP(AG547,Sheet1!$B$3:$D$36,2,FALSE)</f>
        <v>Decors</v>
      </c>
      <c r="AI547" s="89" t="s">
        <v>2566</v>
      </c>
      <c r="AJ547" s="1" t="str">
        <f t="shared" si="267"/>
        <v>Teava pipe</v>
      </c>
      <c r="AK547" s="1" t="str">
        <f t="shared" si="268"/>
        <v>ø6 x h60 - # 1</v>
      </c>
      <c r="AL547" s="1" t="str">
        <f t="shared" si="269"/>
        <v>grey glass semi</v>
      </c>
      <c r="AM547" s="1" t="str">
        <f t="shared" si="270"/>
        <v>grey glass semi</v>
      </c>
      <c r="AN547" s="1" t="str">
        <f t="shared" ref="AN547:AN550" si="278">SUBSTITUTE(AL547,"indoor","")</f>
        <v>grey glass semi</v>
      </c>
      <c r="AQ547" s="1" t="str">
        <f t="shared" si="271"/>
        <v>B</v>
      </c>
      <c r="AR547" s="1" t="str">
        <f>VLOOKUP(TRIM(AI547),Sheet1!$D$3:$E$36,2,FALSE)</f>
        <v>09</v>
      </c>
      <c r="AS547" s="90" t="str">
        <f t="shared" si="272"/>
        <v>05</v>
      </c>
      <c r="AT547" s="1" t="str">
        <f t="shared" si="273"/>
        <v>01</v>
      </c>
      <c r="AU547" s="90" t="s">
        <v>2639</v>
      </c>
      <c r="AV547" s="90"/>
      <c r="AW547" s="90"/>
      <c r="AX547" s="95" t="str">
        <f>AQ547&amp;AR547&amp;AS547&amp;"-"&amp;AT547&amp;AU547&amp;BA547</f>
        <v>B0905-0141</v>
      </c>
      <c r="AY547" s="99" t="str">
        <f>AQ547&amp;AR547&amp;AS547&amp;"-"&amp;AT547&amp;BA547</f>
        <v>B0905-01</v>
      </c>
      <c r="AZ547" s="90"/>
      <c r="BA547" s="1" t="str">
        <f t="shared" si="274"/>
        <v/>
      </c>
      <c r="BC547" s="1" t="str">
        <f t="shared" si="257"/>
        <v/>
      </c>
      <c r="BD547" s="90">
        <f t="shared" si="258"/>
        <v>5</v>
      </c>
      <c r="BE547" s="1">
        <f t="shared" si="276"/>
        <v>1</v>
      </c>
      <c r="BF547" s="1">
        <f t="shared" si="277"/>
        <v>1</v>
      </c>
      <c r="BI547"/>
      <c r="BJ547"/>
      <c r="BL547"/>
    </row>
    <row r="548" spans="1:64" ht="11.25" customHeight="1">
      <c r="A548" s="26" t="s">
        <v>2807</v>
      </c>
      <c r="B548" s="27" t="s">
        <v>2788</v>
      </c>
      <c r="C548" s="28">
        <v>88.99</v>
      </c>
      <c r="D548" s="28">
        <f t="shared" si="265"/>
        <v>44.494999999999997</v>
      </c>
      <c r="E548" s="22" t="s">
        <v>2561</v>
      </c>
      <c r="F548" s="22" t="s">
        <v>2808</v>
      </c>
      <c r="G548" s="22" t="s">
        <v>801</v>
      </c>
      <c r="H548" s="22" t="s">
        <v>2798</v>
      </c>
      <c r="I548" s="23" t="s">
        <v>2637</v>
      </c>
      <c r="J548" s="22" t="s">
        <v>670</v>
      </c>
      <c r="L548" s="23">
        <v>6</v>
      </c>
      <c r="M548" s="23">
        <v>70</v>
      </c>
      <c r="N548" s="3">
        <f t="shared" si="260"/>
        <v>2.5200000000000001E-3</v>
      </c>
      <c r="O548" s="4" t="e">
        <f>(C548-(C548*#REF!))-((C548-(C548*#REF!))*#REF!)</f>
        <v>#REF!</v>
      </c>
      <c r="P548" s="7"/>
      <c r="Q548" s="7"/>
      <c r="R548" s="5">
        <f t="shared" si="261"/>
        <v>0</v>
      </c>
      <c r="S548" s="4">
        <f t="shared" si="262"/>
        <v>0</v>
      </c>
      <c r="T548" s="13">
        <f t="shared" si="266"/>
        <v>62.292999999999992</v>
      </c>
      <c r="U548" s="13">
        <f t="shared" si="275"/>
        <v>31.146499999999996</v>
      </c>
      <c r="V548" s="14">
        <f>U548/C548</f>
        <v>0.35</v>
      </c>
      <c r="W548" s="14"/>
      <c r="X548" s="19">
        <f t="shared" si="263"/>
        <v>31.146499999999996</v>
      </c>
      <c r="Y548" s="19">
        <f t="shared" si="264"/>
        <v>62.292999999999992</v>
      </c>
      <c r="Z548" s="15" t="e">
        <f t="shared" si="259"/>
        <v>#DIV/0!</v>
      </c>
      <c r="AA548" s="22" t="s">
        <v>2799</v>
      </c>
      <c r="AG548" s="94" t="s">
        <v>1169</v>
      </c>
      <c r="AH548" s="89" t="str">
        <f>VLOOKUP(AG548,Sheet1!$B$3:$D$36,2,FALSE)</f>
        <v>Decors</v>
      </c>
      <c r="AI548" s="89" t="s">
        <v>2566</v>
      </c>
      <c r="AJ548" s="1" t="str">
        <f t="shared" si="267"/>
        <v>Teava pipe</v>
      </c>
      <c r="AK548" s="1" t="str">
        <f t="shared" si="268"/>
        <v>ø6 x h70 - # 1</v>
      </c>
      <c r="AL548" s="1" t="str">
        <f t="shared" si="269"/>
        <v>grey glass semi</v>
      </c>
      <c r="AM548" s="1" t="str">
        <f t="shared" si="270"/>
        <v>grey glass semi</v>
      </c>
      <c r="AN548" s="1" t="str">
        <f t="shared" si="278"/>
        <v>grey glass semi</v>
      </c>
      <c r="AQ548" s="1" t="str">
        <f t="shared" si="271"/>
        <v>B</v>
      </c>
      <c r="AR548" s="1" t="str">
        <f>VLOOKUP(TRIM(AI548),Sheet1!$D$3:$E$36,2,FALSE)</f>
        <v>09</v>
      </c>
      <c r="AS548" s="90" t="str">
        <f t="shared" si="272"/>
        <v>06</v>
      </c>
      <c r="AT548" s="1" t="str">
        <f t="shared" si="273"/>
        <v>01</v>
      </c>
      <c r="AU548" s="90" t="s">
        <v>2639</v>
      </c>
      <c r="AV548" s="90"/>
      <c r="AW548" s="90"/>
      <c r="AX548" s="95" t="str">
        <f>AQ548&amp;AR548&amp;AS548&amp;"-"&amp;AT548&amp;AU548&amp;BA548</f>
        <v>B0906-0141</v>
      </c>
      <c r="AY548" s="99" t="str">
        <f>AQ548&amp;AR548&amp;AS548&amp;"-"&amp;AT548&amp;BA548</f>
        <v>B0906-01</v>
      </c>
      <c r="AZ548" s="90"/>
      <c r="BA548" s="1" t="str">
        <f t="shared" si="274"/>
        <v/>
      </c>
      <c r="BC548" s="1" t="str">
        <f t="shared" si="257"/>
        <v/>
      </c>
      <c r="BD548" s="90">
        <f t="shared" si="258"/>
        <v>6</v>
      </c>
      <c r="BE548" s="1">
        <f t="shared" si="276"/>
        <v>1</v>
      </c>
      <c r="BF548" s="1">
        <f t="shared" si="277"/>
        <v>1</v>
      </c>
      <c r="BI548"/>
      <c r="BJ548"/>
      <c r="BL548"/>
    </row>
    <row r="549" spans="1:64" ht="11.25" customHeight="1">
      <c r="A549" s="26" t="s">
        <v>2809</v>
      </c>
      <c r="B549" s="27" t="s">
        <v>2788</v>
      </c>
      <c r="C549" s="28">
        <v>97.99</v>
      </c>
      <c r="D549" s="28">
        <f t="shared" si="265"/>
        <v>48.994999999999997</v>
      </c>
      <c r="E549" s="22" t="s">
        <v>2561</v>
      </c>
      <c r="F549" s="22" t="s">
        <v>2810</v>
      </c>
      <c r="G549" s="22" t="s">
        <v>801</v>
      </c>
      <c r="H549" s="22" t="s">
        <v>2811</v>
      </c>
      <c r="I549" s="23" t="s">
        <v>2812</v>
      </c>
      <c r="J549" s="22" t="s">
        <v>670</v>
      </c>
      <c r="N549" s="3">
        <f t="shared" si="260"/>
        <v>0</v>
      </c>
      <c r="O549" s="4" t="e">
        <f>(C549-(C549*#REF!))-((C549-(C549*#REF!))*#REF!)</f>
        <v>#REF!</v>
      </c>
      <c r="P549" s="7"/>
      <c r="Q549" s="7"/>
      <c r="R549" s="5">
        <f t="shared" si="261"/>
        <v>0</v>
      </c>
      <c r="S549" s="4">
        <f t="shared" si="262"/>
        <v>0</v>
      </c>
      <c r="T549" s="13">
        <f t="shared" si="266"/>
        <v>68.592999999999989</v>
      </c>
      <c r="U549" s="13">
        <f t="shared" si="275"/>
        <v>34.296499999999995</v>
      </c>
      <c r="V549" s="14">
        <f>U549/C549</f>
        <v>0.35</v>
      </c>
      <c r="W549" s="14"/>
      <c r="X549" s="19">
        <f t="shared" si="263"/>
        <v>34.296499999999995</v>
      </c>
      <c r="Y549" s="19">
        <f t="shared" si="264"/>
        <v>68.592999999999989</v>
      </c>
      <c r="Z549" s="15" t="e">
        <f t="shared" si="259"/>
        <v>#DIV/0!</v>
      </c>
      <c r="AA549" s="22" t="s">
        <v>2791</v>
      </c>
      <c r="AG549" s="94" t="s">
        <v>1169</v>
      </c>
      <c r="AH549" s="89" t="str">
        <f>VLOOKUP(AG549,Sheet1!$B$3:$D$36,2,FALSE)</f>
        <v>Decors</v>
      </c>
      <c r="AI549" s="89" t="s">
        <v>2566</v>
      </c>
      <c r="AJ549" s="1" t="str">
        <f t="shared" si="267"/>
        <v>Teava pipe</v>
      </c>
      <c r="AK549" s="1" t="str">
        <f t="shared" si="268"/>
        <v xml:space="preserve">
563-GR - ø</v>
      </c>
      <c r="AL549" s="1" t="str">
        <f t="shared" si="269"/>
        <v>grey glass
semi</v>
      </c>
      <c r="AM549" s="1" t="str">
        <f t="shared" si="270"/>
        <v>grey glass
semi</v>
      </c>
      <c r="AN549" s="1" t="str">
        <f t="shared" si="278"/>
        <v>grey glass
semi</v>
      </c>
      <c r="AQ549" s="1" t="str">
        <f t="shared" si="271"/>
        <v>B</v>
      </c>
      <c r="AR549" s="1" t="str">
        <f>VLOOKUP(TRIM(AI549),Sheet1!$D$3:$E$36,2,FALSE)</f>
        <v>09</v>
      </c>
      <c r="AS549" s="90" t="str">
        <f t="shared" si="272"/>
        <v>07</v>
      </c>
      <c r="AT549" s="1" t="str">
        <f t="shared" si="273"/>
        <v>01</v>
      </c>
      <c r="AU549" s="90" t="s">
        <v>2639</v>
      </c>
      <c r="AV549" s="90"/>
      <c r="AW549" s="90"/>
      <c r="AX549" s="95" t="str">
        <f>AQ549&amp;AR549&amp;AS549&amp;"-"&amp;AT549&amp;AU549&amp;BA549</f>
        <v>B0907-0141</v>
      </c>
      <c r="AY549" s="99" t="str">
        <f>AQ549&amp;AR549&amp;AS549&amp;"-"&amp;AT549&amp;BA549</f>
        <v>B0907-01</v>
      </c>
      <c r="AZ549" s="90"/>
      <c r="BA549" s="1" t="str">
        <f t="shared" si="274"/>
        <v/>
      </c>
      <c r="BC549" s="1" t="str">
        <f t="shared" si="257"/>
        <v/>
      </c>
      <c r="BD549" s="90">
        <f t="shared" si="258"/>
        <v>7</v>
      </c>
      <c r="BE549" s="1">
        <f t="shared" si="276"/>
        <v>1</v>
      </c>
      <c r="BF549" s="1">
        <f t="shared" si="277"/>
        <v>1</v>
      </c>
      <c r="BI549"/>
      <c r="BJ549"/>
      <c r="BL549"/>
    </row>
    <row r="550" spans="1:64" s="63" customFormat="1" ht="15.75">
      <c r="A550" s="33" t="s">
        <v>2813</v>
      </c>
      <c r="B550" s="34"/>
      <c r="C550" s="35"/>
      <c r="D550" s="36"/>
      <c r="E550" s="39"/>
      <c r="F550" s="40"/>
      <c r="G550" s="39"/>
      <c r="H550" s="39"/>
      <c r="I550" s="41"/>
      <c r="J550" s="39"/>
      <c r="K550" s="41"/>
      <c r="L550" s="41"/>
      <c r="M550" s="41"/>
      <c r="N550" s="48"/>
      <c r="O550" s="48"/>
      <c r="P550" s="49"/>
      <c r="Q550" s="49"/>
      <c r="R550" s="50"/>
      <c r="S550" s="48"/>
      <c r="T550" s="13"/>
      <c r="U550" s="13"/>
      <c r="V550" s="14"/>
      <c r="W550" s="14"/>
      <c r="X550" s="60"/>
      <c r="Y550" s="60"/>
      <c r="Z550" s="15"/>
      <c r="AA550" s="39"/>
      <c r="AG550" s="93"/>
      <c r="AH550" s="89"/>
      <c r="AI550" s="89"/>
      <c r="AJ550" s="1"/>
      <c r="AK550" s="1"/>
      <c r="AL550" s="1"/>
      <c r="AM550" s="1"/>
      <c r="AN550" s="1"/>
      <c r="AQ550" s="1"/>
      <c r="AR550" s="1"/>
      <c r="AS550" s="90"/>
      <c r="AT550" s="1"/>
      <c r="AU550" s="90"/>
      <c r="AV550" s="90"/>
      <c r="AW550" s="90"/>
      <c r="AX550" s="95"/>
      <c r="AY550" s="99" t="str">
        <f>AQ550&amp;AR550&amp;AS550&amp;"-"&amp;AT550&amp;BA550</f>
        <v>-</v>
      </c>
      <c r="AZ550" s="90"/>
      <c r="BA550" s="1"/>
      <c r="BC550" s="1"/>
      <c r="BD550" s="90"/>
      <c r="BE550" s="1"/>
      <c r="BF550" s="1"/>
      <c r="BI550"/>
      <c r="BJ550"/>
      <c r="BK550" s="1"/>
      <c r="BL550"/>
    </row>
    <row r="551" spans="1:64" ht="11.25" customHeight="1">
      <c r="A551" s="26" t="s">
        <v>2814</v>
      </c>
      <c r="B551" s="27" t="s">
        <v>2815</v>
      </c>
      <c r="C551" s="28">
        <v>399.99</v>
      </c>
      <c r="D551" s="28">
        <f t="shared" si="265"/>
        <v>199.995</v>
      </c>
      <c r="E551" s="22" t="s">
        <v>2816</v>
      </c>
      <c r="F551" s="22" t="s">
        <v>2817</v>
      </c>
      <c r="G551" s="22" t="s">
        <v>2818</v>
      </c>
      <c r="H551" s="22" t="s">
        <v>2819</v>
      </c>
      <c r="I551" s="23" t="s">
        <v>1125</v>
      </c>
      <c r="J551" s="22" t="s">
        <v>670</v>
      </c>
      <c r="K551" s="23">
        <v>30</v>
      </c>
      <c r="L551" s="23">
        <v>30</v>
      </c>
      <c r="M551" s="23">
        <v>60</v>
      </c>
      <c r="N551" s="3">
        <f t="shared" ref="N551:N601" si="279">(IF(ISBLANK(K551),(L551*L551*M551),(K551*L551*M551)))/1000000</f>
        <v>5.3999999999999999E-2</v>
      </c>
      <c r="O551" s="4" t="e">
        <f>(C551-(C551*#REF!))-((C551-(C551*#REF!))*#REF!)</f>
        <v>#REF!</v>
      </c>
      <c r="P551" s="7"/>
      <c r="Q551" s="7"/>
      <c r="R551" s="5">
        <f t="shared" ref="R551:R601" si="280">P551+Q551</f>
        <v>0</v>
      </c>
      <c r="S551" s="4">
        <f t="shared" ref="S551:S601" si="281">R551/15000</f>
        <v>0</v>
      </c>
      <c r="T551" s="13">
        <f t="shared" si="266"/>
        <v>279.99299999999999</v>
      </c>
      <c r="U551" s="13">
        <f t="shared" si="275"/>
        <v>139.9965</v>
      </c>
      <c r="V551" s="14">
        <f>U551/C551</f>
        <v>0.35</v>
      </c>
      <c r="W551" s="14"/>
      <c r="X551" s="19">
        <f t="shared" ref="X551:X601" si="282">IF(ISBLANK(W551),U551, W551)</f>
        <v>139.9965</v>
      </c>
      <c r="Y551" s="19">
        <f t="shared" ref="Y551:Y601" si="283">X551*2</f>
        <v>279.99299999999999</v>
      </c>
      <c r="Z551" s="15" t="e">
        <f t="shared" si="259"/>
        <v>#DIV/0!</v>
      </c>
      <c r="AA551" s="22" t="s">
        <v>2820</v>
      </c>
      <c r="AG551" s="94" t="s">
        <v>1169</v>
      </c>
      <c r="AH551" s="89" t="str">
        <f>VLOOKUP(AG551,Sheet1!$B$3:$D$36,2,FALSE)</f>
        <v>Decors</v>
      </c>
      <c r="AI551" s="89" t="s">
        <v>2821</v>
      </c>
      <c r="AJ551" s="1" t="str">
        <f t="shared" si="267"/>
        <v>Boxano frame</v>
      </c>
      <c r="AK551" s="1" t="str">
        <f t="shared" si="268"/>
        <v>w30 x d30 x h60</v>
      </c>
      <c r="AL551" s="1" t="str">
        <f t="shared" si="269"/>
        <v>rustic rust indoor</v>
      </c>
      <c r="AM551" s="1" t="str">
        <f t="shared" si="270"/>
        <v>rustic rust indoor</v>
      </c>
      <c r="AN551" s="1" t="str">
        <f>SUBSTITUTE(AL551,"indoor","")</f>
        <v xml:space="preserve">rustic rust </v>
      </c>
      <c r="AO551" s="1" t="s">
        <v>54</v>
      </c>
      <c r="AQ551" s="1" t="str">
        <f t="shared" si="271"/>
        <v>B</v>
      </c>
      <c r="AR551" s="1" t="str">
        <f>VLOOKUP(TRIM(AI551),Sheet1!$D$3:$E$36,2,FALSE)</f>
        <v>04</v>
      </c>
      <c r="AS551" s="90" t="str">
        <f t="shared" si="272"/>
        <v>01</v>
      </c>
      <c r="AT551" s="1" t="str">
        <f t="shared" si="273"/>
        <v>01</v>
      </c>
      <c r="AU551" s="90" t="s">
        <v>1126</v>
      </c>
      <c r="AV551" s="90"/>
      <c r="AW551" s="90"/>
      <c r="AX551" s="95" t="str">
        <f>AQ551&amp;AR551&amp;AS551&amp;"-"&amp;AT551&amp;AU551&amp;BA551</f>
        <v>B0401-0119IND</v>
      </c>
      <c r="AY551" s="99" t="str">
        <f>AQ551&amp;AR551&amp;AS551&amp;"-"&amp;AT551&amp;BA551</f>
        <v>B0401-01IND</v>
      </c>
      <c r="AZ551" s="90"/>
      <c r="BA551" s="1" t="str">
        <f t="shared" si="274"/>
        <v>IND</v>
      </c>
      <c r="BC551" s="1">
        <f t="shared" si="257"/>
        <v>1</v>
      </c>
      <c r="BD551" s="90">
        <f t="shared" si="258"/>
        <v>1</v>
      </c>
      <c r="BE551" s="1">
        <f t="shared" si="276"/>
        <v>1</v>
      </c>
      <c r="BF551" s="1">
        <f t="shared" si="277"/>
        <v>1</v>
      </c>
      <c r="BI551"/>
      <c r="BJ551"/>
      <c r="BL551"/>
    </row>
    <row r="552" spans="1:64" ht="11.25" customHeight="1">
      <c r="A552" s="26" t="s">
        <v>2822</v>
      </c>
      <c r="B552" s="27" t="s">
        <v>2823</v>
      </c>
      <c r="C552" s="28">
        <v>299.99</v>
      </c>
      <c r="D552" s="28">
        <f t="shared" si="265"/>
        <v>149.995</v>
      </c>
      <c r="E552" s="22" t="s">
        <v>2816</v>
      </c>
      <c r="F552" s="22" t="s">
        <v>2824</v>
      </c>
      <c r="G552" s="22" t="s">
        <v>2825</v>
      </c>
      <c r="H552" s="22" t="s">
        <v>2826</v>
      </c>
      <c r="I552" s="23" t="s">
        <v>2827</v>
      </c>
      <c r="J552" s="22" t="s">
        <v>670</v>
      </c>
      <c r="K552" s="23">
        <v>30</v>
      </c>
      <c r="L552" s="23">
        <v>30</v>
      </c>
      <c r="M552" s="23">
        <v>30</v>
      </c>
      <c r="N552" s="3">
        <f t="shared" si="279"/>
        <v>2.7E-2</v>
      </c>
      <c r="O552" s="4" t="e">
        <f>(C552-(C552*#REF!))-((C552-(C552*#REF!))*#REF!)</f>
        <v>#REF!</v>
      </c>
      <c r="P552" s="7">
        <v>223656.12249204711</v>
      </c>
      <c r="Q552" s="7">
        <v>0</v>
      </c>
      <c r="R552" s="5">
        <f t="shared" si="280"/>
        <v>223656.12249204711</v>
      </c>
      <c r="S552" s="4">
        <f t="shared" si="281"/>
        <v>14.910408166136474</v>
      </c>
      <c r="T552" s="13">
        <f t="shared" si="266"/>
        <v>209.99299999999999</v>
      </c>
      <c r="U552" s="13">
        <f t="shared" si="275"/>
        <v>104.9965</v>
      </c>
      <c r="V552" s="14">
        <f>U552/C552</f>
        <v>0.35</v>
      </c>
      <c r="W552" s="14"/>
      <c r="X552" s="19">
        <f t="shared" si="282"/>
        <v>104.9965</v>
      </c>
      <c r="Y552" s="19">
        <f t="shared" si="283"/>
        <v>209.99299999999999</v>
      </c>
      <c r="Z552" s="15">
        <f t="shared" si="259"/>
        <v>7.0418260070479528</v>
      </c>
      <c r="AA552" s="22" t="s">
        <v>2828</v>
      </c>
      <c r="AG552" s="94" t="s">
        <v>1169</v>
      </c>
      <c r="AH552" s="89" t="str">
        <f>VLOOKUP(AG552,Sheet1!$B$3:$D$36,2,FALSE)</f>
        <v>Decors</v>
      </c>
      <c r="AI552" s="89" t="s">
        <v>2821</v>
      </c>
      <c r="AJ552" s="1" t="str">
        <f t="shared" si="267"/>
        <v>Cubo with glass</v>
      </c>
      <c r="AK552" s="1" t="str">
        <f t="shared" si="268"/>
        <v>w30 x d30 x h30</v>
      </c>
      <c r="AL552" s="1" t="str">
        <f t="shared" si="269"/>
        <v>aged oak</v>
      </c>
      <c r="AM552" s="1" t="str">
        <f t="shared" si="270"/>
        <v>aged oak</v>
      </c>
      <c r="AN552" s="1" t="str">
        <f t="shared" ref="AN552" si="284">SUBSTITUTE(AL552,"indoor","")</f>
        <v>aged oak</v>
      </c>
      <c r="AQ552" s="1" t="str">
        <f t="shared" si="271"/>
        <v>B</v>
      </c>
      <c r="AR552" s="1" t="str">
        <f>VLOOKUP(TRIM(AI552),Sheet1!$D$3:$E$36,2,FALSE)</f>
        <v>04</v>
      </c>
      <c r="AS552" s="90" t="str">
        <f t="shared" si="272"/>
        <v>01</v>
      </c>
      <c r="AT552" s="1" t="str">
        <f t="shared" si="273"/>
        <v>01</v>
      </c>
      <c r="AU552" s="90" t="s">
        <v>1169</v>
      </c>
      <c r="AV552" s="90"/>
      <c r="AW552" s="90"/>
      <c r="AX552" s="95" t="str">
        <f>AQ552&amp;AR552&amp;AS552&amp;"-"&amp;AT552&amp;AU552&amp;BA552</f>
        <v>B0401-0102</v>
      </c>
      <c r="AY552" s="99" t="str">
        <f>AQ552&amp;AR552&amp;AS552&amp;"-"&amp;AT552&amp;BA552</f>
        <v>B0401-01</v>
      </c>
      <c r="AZ552" s="90"/>
      <c r="BA552" s="1" t="str">
        <f t="shared" si="274"/>
        <v/>
      </c>
      <c r="BC552" s="1">
        <f t="shared" si="257"/>
        <v>1</v>
      </c>
      <c r="BD552" s="90">
        <f t="shared" si="258"/>
        <v>1</v>
      </c>
      <c r="BE552" s="1">
        <f t="shared" si="276"/>
        <v>1</v>
      </c>
      <c r="BF552" s="1">
        <f t="shared" si="277"/>
        <v>1</v>
      </c>
      <c r="BI552"/>
      <c r="BJ552"/>
      <c r="BL552"/>
    </row>
    <row r="553" spans="1:64" ht="11.25" customHeight="1">
      <c r="A553" s="26" t="s">
        <v>2829</v>
      </c>
      <c r="B553" s="27" t="s">
        <v>2830</v>
      </c>
      <c r="C553" s="28">
        <v>129.99</v>
      </c>
      <c r="D553" s="28">
        <f t="shared" si="265"/>
        <v>64.995000000000005</v>
      </c>
      <c r="E553" s="22" t="s">
        <v>2816</v>
      </c>
      <c r="F553" s="22" t="s">
        <v>2831</v>
      </c>
      <c r="G553" s="22" t="s">
        <v>234</v>
      </c>
      <c r="H553" s="22" t="s">
        <v>2832</v>
      </c>
      <c r="I553" s="23" t="s">
        <v>2833</v>
      </c>
      <c r="J553" s="22" t="s">
        <v>50</v>
      </c>
      <c r="K553" s="23">
        <v>45</v>
      </c>
      <c r="L553" s="23">
        <v>10</v>
      </c>
      <c r="M553" s="23">
        <v>10</v>
      </c>
      <c r="N553" s="3">
        <f t="shared" si="279"/>
        <v>4.4999999999999997E-3</v>
      </c>
      <c r="O553" s="4" t="e">
        <f>(C553-(C553*#REF!))-((C553-(C553*#REF!))*#REF!)</f>
        <v>#REF!</v>
      </c>
      <c r="P553" s="7"/>
      <c r="Q553" s="7"/>
      <c r="R553" s="5">
        <f t="shared" si="280"/>
        <v>0</v>
      </c>
      <c r="S553" s="4">
        <f t="shared" si="281"/>
        <v>0</v>
      </c>
      <c r="T553" s="13">
        <f t="shared" si="266"/>
        <v>90.993000000000009</v>
      </c>
      <c r="U553" s="13">
        <f t="shared" si="275"/>
        <v>45.496500000000005</v>
      </c>
      <c r="V553" s="14">
        <f>U553/C553</f>
        <v>0.35000000000000003</v>
      </c>
      <c r="W553" s="14"/>
      <c r="X553" s="19">
        <f t="shared" si="282"/>
        <v>45.496500000000005</v>
      </c>
      <c r="Y553" s="19">
        <f t="shared" si="283"/>
        <v>90.993000000000009</v>
      </c>
      <c r="Z553" s="15" t="e">
        <f t="shared" si="259"/>
        <v>#DIV/0!</v>
      </c>
      <c r="AA553" s="22" t="s">
        <v>2834</v>
      </c>
      <c r="AG553" s="94" t="s">
        <v>1169</v>
      </c>
      <c r="AH553" s="89" t="str">
        <f>VLOOKUP(AG553,Sheet1!$B$3:$D$36,2,FALSE)</f>
        <v>Decors</v>
      </c>
      <c r="AI553" s="89" t="s">
        <v>2835</v>
      </c>
      <c r="AJ553" s="1" t="str">
        <f t="shared" si="267"/>
        <v>Elisabeta holder</v>
      </c>
      <c r="AK553" s="1" t="str">
        <f t="shared" si="268"/>
        <v>w45 x d10 x h10</v>
      </c>
      <c r="AL553" s="1" t="str">
        <f t="shared" si="269"/>
        <v>bare outdoor</v>
      </c>
      <c r="AM553" s="1" t="str">
        <f t="shared" si="270"/>
        <v>bare outdoor</v>
      </c>
      <c r="AN553" s="1" t="str">
        <f>SUBSTITUTE(AL553,"outdoor","")</f>
        <v xml:space="preserve">bare </v>
      </c>
      <c r="AO553" s="1" t="s">
        <v>59</v>
      </c>
      <c r="AQ553" s="1" t="str">
        <f t="shared" si="271"/>
        <v>B</v>
      </c>
      <c r="AR553" s="1" t="str">
        <f>VLOOKUP(TRIM(AI553),Sheet1!$D$3:$E$36,2,FALSE)</f>
        <v>10</v>
      </c>
      <c r="AS553" s="90" t="str">
        <f t="shared" si="272"/>
        <v>01</v>
      </c>
      <c r="AT553" s="1" t="str">
        <f t="shared" si="273"/>
        <v>01</v>
      </c>
      <c r="AU553" s="90" t="s">
        <v>817</v>
      </c>
      <c r="AV553" s="90"/>
      <c r="AW553" s="90"/>
      <c r="AX553" s="95" t="str">
        <f>AQ553&amp;AR553&amp;AS553&amp;"-"&amp;AT553&amp;AU553&amp;BA553</f>
        <v>B1001-0103OUT</v>
      </c>
      <c r="AY553" s="99" t="str">
        <f>AQ553&amp;AR553&amp;AS553&amp;"-"&amp;AT553&amp;BA553</f>
        <v>B1001-01OUT</v>
      </c>
      <c r="AZ553" s="90"/>
      <c r="BA553" s="1" t="str">
        <f t="shared" si="274"/>
        <v>OUT</v>
      </c>
      <c r="BC553" s="1">
        <f t="shared" ref="BC553:BC616" si="285">IF(AJ552&lt;&gt;AJ553,1,"")</f>
        <v>1</v>
      </c>
      <c r="BD553" s="90">
        <f t="shared" ref="BD553:BD616" si="286">IF(BC553=1,1,BD552+1)</f>
        <v>1</v>
      </c>
      <c r="BE553" s="1">
        <f t="shared" si="276"/>
        <v>1</v>
      </c>
      <c r="BF553" s="1">
        <f t="shared" si="277"/>
        <v>1</v>
      </c>
      <c r="BI553"/>
      <c r="BJ553"/>
      <c r="BL553"/>
    </row>
    <row r="554" spans="1:64" ht="11.25" customHeight="1">
      <c r="A554" s="26" t="s">
        <v>2836</v>
      </c>
      <c r="B554" s="27" t="s">
        <v>2837</v>
      </c>
      <c r="C554" s="28">
        <v>34.99</v>
      </c>
      <c r="D554" s="28">
        <f t="shared" si="265"/>
        <v>17.495000000000001</v>
      </c>
      <c r="E554" s="22" t="s">
        <v>2816</v>
      </c>
      <c r="F554" s="22" t="s">
        <v>2838</v>
      </c>
      <c r="G554" s="22" t="s">
        <v>2839</v>
      </c>
      <c r="I554" s="23" t="s">
        <v>2840</v>
      </c>
      <c r="J554" s="22" t="s">
        <v>670</v>
      </c>
      <c r="N554" s="3">
        <f t="shared" si="279"/>
        <v>0</v>
      </c>
      <c r="O554" s="4" t="e">
        <f>(C554-(C554*#REF!))-((C554-(C554*#REF!))*#REF!)</f>
        <v>#REF!</v>
      </c>
      <c r="P554" s="7"/>
      <c r="Q554" s="7"/>
      <c r="R554" s="5">
        <f t="shared" si="280"/>
        <v>0</v>
      </c>
      <c r="S554" s="4">
        <f t="shared" si="281"/>
        <v>0</v>
      </c>
      <c r="T554" s="13">
        <f t="shared" si="266"/>
        <v>24.493000000000002</v>
      </c>
      <c r="U554" s="13">
        <f t="shared" si="275"/>
        <v>12.246500000000001</v>
      </c>
      <c r="V554" s="14">
        <f>U554/C554</f>
        <v>0.35000000000000003</v>
      </c>
      <c r="W554" s="14"/>
      <c r="X554" s="19">
        <f t="shared" si="282"/>
        <v>12.246500000000001</v>
      </c>
      <c r="Y554" s="19">
        <f t="shared" si="283"/>
        <v>24.493000000000002</v>
      </c>
      <c r="Z554" s="15" t="e">
        <f t="shared" si="259"/>
        <v>#DIV/0!</v>
      </c>
      <c r="AA554" s="22" t="s">
        <v>2841</v>
      </c>
      <c r="AG554" s="94" t="s">
        <v>1169</v>
      </c>
      <c r="AH554" s="89" t="str">
        <f>VLOOKUP(AG554,Sheet1!$B$3:$D$36,2,FALSE)</f>
        <v>Decors</v>
      </c>
      <c r="AI554" s="89" t="s">
        <v>2835</v>
      </c>
      <c r="AJ554" s="1" t="str">
        <f t="shared" si="267"/>
        <v>Elisabeta pipe clear</v>
      </c>
      <c r="AK554" s="1" t="str">
        <f t="shared" si="268"/>
        <v/>
      </c>
      <c r="AL554" s="1" t="str">
        <f t="shared" si="269"/>
        <v>Clear Glass</v>
      </c>
      <c r="AM554" s="1" t="str">
        <f t="shared" si="270"/>
        <v>Clear Glass</v>
      </c>
      <c r="AN554" s="1" t="str">
        <f t="shared" ref="AN554" si="287">SUBSTITUTE(AL554,"indoor","")</f>
        <v>Clear Glass</v>
      </c>
      <c r="AQ554" s="1" t="str">
        <f t="shared" si="271"/>
        <v>B</v>
      </c>
      <c r="AR554" s="1" t="str">
        <f>VLOOKUP(TRIM(AI554),Sheet1!$D$3:$E$36,2,FALSE)</f>
        <v>10</v>
      </c>
      <c r="AS554" s="90" t="str">
        <f t="shared" si="272"/>
        <v>01</v>
      </c>
      <c r="AT554" s="1" t="str">
        <f t="shared" si="273"/>
        <v>01</v>
      </c>
      <c r="AU554" s="90" t="s">
        <v>2567</v>
      </c>
      <c r="AV554" s="90"/>
      <c r="AW554" s="90"/>
      <c r="AX554" s="95" t="str">
        <f>AQ554&amp;AR554&amp;AS554&amp;"-"&amp;AT554&amp;AU554&amp;BA554</f>
        <v>B1001-0138</v>
      </c>
      <c r="AY554" s="99" t="str">
        <f>AQ554&amp;AR554&amp;AS554&amp;"-"&amp;AT554&amp;BA554</f>
        <v>B1001-01</v>
      </c>
      <c r="AZ554" s="90"/>
      <c r="BA554" s="1" t="str">
        <f t="shared" si="274"/>
        <v/>
      </c>
      <c r="BC554" s="1">
        <f t="shared" si="285"/>
        <v>1</v>
      </c>
      <c r="BD554" s="90">
        <f t="shared" si="286"/>
        <v>1</v>
      </c>
      <c r="BE554" s="1">
        <f t="shared" si="276"/>
        <v>1</v>
      </c>
      <c r="BF554" s="1">
        <f t="shared" si="277"/>
        <v>1</v>
      </c>
      <c r="BI554"/>
      <c r="BJ554"/>
      <c r="BL554"/>
    </row>
    <row r="555" spans="1:64" ht="11.25" customHeight="1">
      <c r="A555" s="26" t="s">
        <v>2842</v>
      </c>
      <c r="B555" s="27" t="s">
        <v>2830</v>
      </c>
      <c r="C555" s="28">
        <v>149.99</v>
      </c>
      <c r="D555" s="28">
        <f t="shared" si="265"/>
        <v>74.995000000000005</v>
      </c>
      <c r="E555" s="22" t="s">
        <v>2816</v>
      </c>
      <c r="F555" s="22" t="s">
        <v>2831</v>
      </c>
      <c r="G555" s="22" t="s">
        <v>234</v>
      </c>
      <c r="H555" s="22" t="s">
        <v>2832</v>
      </c>
      <c r="I555" s="23" t="s">
        <v>2833</v>
      </c>
      <c r="J555" s="22" t="s">
        <v>50</v>
      </c>
      <c r="K555" s="23">
        <v>45</v>
      </c>
      <c r="L555" s="23">
        <v>10</v>
      </c>
      <c r="M555" s="23">
        <v>10</v>
      </c>
      <c r="N555" s="3">
        <f t="shared" si="279"/>
        <v>4.4999999999999997E-3</v>
      </c>
      <c r="O555" s="4" t="e">
        <f>(C555-(C555*#REF!))-((C555-(C555*#REF!))*#REF!)</f>
        <v>#REF!</v>
      </c>
      <c r="P555" s="7"/>
      <c r="Q555" s="7"/>
      <c r="R555" s="5">
        <f t="shared" si="280"/>
        <v>0</v>
      </c>
      <c r="S555" s="4">
        <f t="shared" si="281"/>
        <v>0</v>
      </c>
      <c r="T555" s="13">
        <f t="shared" si="266"/>
        <v>104.99300000000001</v>
      </c>
      <c r="U555" s="13">
        <f t="shared" si="275"/>
        <v>52.496500000000005</v>
      </c>
      <c r="V555" s="14">
        <f>U555/C555</f>
        <v>0.35000000000000003</v>
      </c>
      <c r="W555" s="14"/>
      <c r="X555" s="19">
        <f t="shared" si="282"/>
        <v>52.496500000000005</v>
      </c>
      <c r="Y555" s="19">
        <f t="shared" si="283"/>
        <v>104.99300000000001</v>
      </c>
      <c r="Z555" s="15" t="e">
        <f t="shared" ref="Z555:Z590" si="288">U555/S555</f>
        <v>#DIV/0!</v>
      </c>
      <c r="AA555" s="22" t="s">
        <v>2843</v>
      </c>
      <c r="AG555" s="94" t="s">
        <v>1169</v>
      </c>
      <c r="AH555" s="89" t="str">
        <f>VLOOKUP(AG555,Sheet1!$B$3:$D$36,2,FALSE)</f>
        <v>Decors</v>
      </c>
      <c r="AI555" s="89" t="s">
        <v>2835</v>
      </c>
      <c r="AJ555" s="1" t="str">
        <f t="shared" si="267"/>
        <v>Elisabeta holder</v>
      </c>
      <c r="AK555" s="1" t="str">
        <f t="shared" si="268"/>
        <v>w45 x d10 x h10</v>
      </c>
      <c r="AL555" s="1" t="str">
        <f t="shared" si="269"/>
        <v>bare outdoor</v>
      </c>
      <c r="AM555" s="1" t="str">
        <f t="shared" si="270"/>
        <v>bare outdoor</v>
      </c>
      <c r="AN555" s="1" t="str">
        <f t="shared" ref="AN555:AN564" si="289">SUBSTITUTE(AL555,"outdoor","")</f>
        <v xml:space="preserve">bare </v>
      </c>
      <c r="AO555" s="1" t="s">
        <v>59</v>
      </c>
      <c r="AQ555" s="1" t="str">
        <f t="shared" si="271"/>
        <v>B</v>
      </c>
      <c r="AR555" s="1" t="str">
        <f>VLOOKUP(TRIM(AI555),Sheet1!$D$3:$E$36,2,FALSE)</f>
        <v>10</v>
      </c>
      <c r="AS555" s="90" t="str">
        <f t="shared" si="272"/>
        <v>01</v>
      </c>
      <c r="AT555" s="1" t="str">
        <f t="shared" si="273"/>
        <v>01</v>
      </c>
      <c r="AU555" s="90" t="s">
        <v>817</v>
      </c>
      <c r="AV555" s="90"/>
      <c r="AW555" s="90"/>
      <c r="AX555" s="95" t="str">
        <f>AQ555&amp;AR555&amp;AS555&amp;"-"&amp;AT555&amp;AU555&amp;BA555</f>
        <v>B1001-0103OUT</v>
      </c>
      <c r="AY555" s="99" t="str">
        <f>AQ555&amp;AR555&amp;AS555&amp;"-"&amp;AT555&amp;BA555</f>
        <v>B1001-01OUT</v>
      </c>
      <c r="AZ555" s="90"/>
      <c r="BA555" s="1" t="str">
        <f t="shared" si="274"/>
        <v>OUT</v>
      </c>
      <c r="BC555" s="1">
        <f t="shared" si="285"/>
        <v>1</v>
      </c>
      <c r="BD555" s="90">
        <f t="shared" si="286"/>
        <v>1</v>
      </c>
      <c r="BE555" s="1">
        <f t="shared" si="276"/>
        <v>1</v>
      </c>
      <c r="BF555" s="1">
        <f t="shared" si="277"/>
        <v>1</v>
      </c>
      <c r="BI555"/>
      <c r="BJ555"/>
      <c r="BL555"/>
    </row>
    <row r="556" spans="1:64" ht="11.25" customHeight="1">
      <c r="A556" s="26" t="s">
        <v>2844</v>
      </c>
      <c r="B556" s="27" t="s">
        <v>2845</v>
      </c>
      <c r="C556" s="28">
        <v>279.99</v>
      </c>
      <c r="D556" s="28">
        <f t="shared" si="265"/>
        <v>139.995</v>
      </c>
      <c r="E556" s="22" t="s">
        <v>2816</v>
      </c>
      <c r="F556" s="22" t="s">
        <v>2846</v>
      </c>
      <c r="G556" s="22" t="s">
        <v>2845</v>
      </c>
      <c r="H556" s="22" t="s">
        <v>2847</v>
      </c>
      <c r="I556" s="23" t="s">
        <v>2848</v>
      </c>
      <c r="J556" s="22" t="s">
        <v>50</v>
      </c>
      <c r="K556" s="23">
        <v>30</v>
      </c>
      <c r="L556" s="23">
        <v>30</v>
      </c>
      <c r="M556" s="23">
        <v>180</v>
      </c>
      <c r="N556" s="3">
        <f t="shared" si="279"/>
        <v>0.16200000000000001</v>
      </c>
      <c r="O556" s="4" t="e">
        <f>(C556-(C556*#REF!))-((C556-(C556*#REF!))*#REF!)</f>
        <v>#REF!</v>
      </c>
      <c r="P556" s="7"/>
      <c r="Q556" s="7"/>
      <c r="R556" s="5">
        <f t="shared" si="280"/>
        <v>0</v>
      </c>
      <c r="S556" s="4">
        <f t="shared" si="281"/>
        <v>0</v>
      </c>
      <c r="T556" s="13">
        <f t="shared" si="266"/>
        <v>195.99299999999999</v>
      </c>
      <c r="U556" s="13">
        <f t="shared" si="275"/>
        <v>97.996499999999997</v>
      </c>
      <c r="V556" s="14">
        <f>U556/C556</f>
        <v>0.35</v>
      </c>
      <c r="W556" s="14"/>
      <c r="X556" s="19">
        <f t="shared" si="282"/>
        <v>97.996499999999997</v>
      </c>
      <c r="Y556" s="19">
        <f t="shared" si="283"/>
        <v>195.99299999999999</v>
      </c>
      <c r="Z556" s="15" t="e">
        <f t="shared" si="288"/>
        <v>#DIV/0!</v>
      </c>
      <c r="AA556" s="22" t="s">
        <v>2849</v>
      </c>
      <c r="AG556" s="94" t="s">
        <v>1169</v>
      </c>
      <c r="AH556" s="89" t="str">
        <f>VLOOKUP(AG556,Sheet1!$B$3:$D$36,2,FALSE)</f>
        <v>Decors</v>
      </c>
      <c r="AI556" s="89" t="s">
        <v>2835</v>
      </c>
      <c r="AJ556" s="1" t="str">
        <f t="shared" si="267"/>
        <v>Tree monument</v>
      </c>
      <c r="AK556" s="1" t="str">
        <f t="shared" si="268"/>
        <v>w30 x d30 x h180</v>
      </c>
      <c r="AL556" s="1" t="str">
        <f t="shared" si="269"/>
        <v>reclaimed teak outdoor</v>
      </c>
      <c r="AM556" s="1" t="str">
        <f t="shared" si="270"/>
        <v>reclaimed teak outdoor</v>
      </c>
      <c r="AN556" s="1" t="str">
        <f t="shared" si="289"/>
        <v xml:space="preserve">reclaimed teak </v>
      </c>
      <c r="AO556" s="1" t="s">
        <v>59</v>
      </c>
      <c r="AQ556" s="1" t="str">
        <f t="shared" si="271"/>
        <v>B</v>
      </c>
      <c r="AR556" s="1" t="str">
        <f>VLOOKUP(TRIM(AI556),Sheet1!$D$3:$E$36,2,FALSE)</f>
        <v>10</v>
      </c>
      <c r="AS556" s="90" t="str">
        <f t="shared" si="272"/>
        <v>01</v>
      </c>
      <c r="AT556" s="1" t="str">
        <f t="shared" si="273"/>
        <v>01</v>
      </c>
      <c r="AU556" s="90" t="s">
        <v>1033</v>
      </c>
      <c r="AV556" s="90"/>
      <c r="AW556" s="90"/>
      <c r="AX556" s="95" t="str">
        <f>AQ556&amp;AR556&amp;AS556&amp;"-"&amp;AT556&amp;AU556&amp;BA556</f>
        <v>B1001-0117OUT</v>
      </c>
      <c r="AY556" s="99" t="str">
        <f>AQ556&amp;AR556&amp;AS556&amp;"-"&amp;AT556&amp;BA556</f>
        <v>B1001-01OUT</v>
      </c>
      <c r="AZ556" s="90"/>
      <c r="BA556" s="1" t="str">
        <f t="shared" si="274"/>
        <v>OUT</v>
      </c>
      <c r="BC556" s="1">
        <f t="shared" si="285"/>
        <v>1</v>
      </c>
      <c r="BD556" s="90">
        <f t="shared" si="286"/>
        <v>1</v>
      </c>
      <c r="BE556" s="1">
        <f t="shared" si="276"/>
        <v>1</v>
      </c>
      <c r="BF556" s="1">
        <f t="shared" si="277"/>
        <v>1</v>
      </c>
      <c r="BI556"/>
      <c r="BJ556"/>
      <c r="BL556"/>
    </row>
    <row r="557" spans="1:64" ht="11.25" customHeight="1">
      <c r="A557" s="26" t="s">
        <v>2850</v>
      </c>
      <c r="B557" s="27" t="s">
        <v>2851</v>
      </c>
      <c r="C557" s="28">
        <v>339.99</v>
      </c>
      <c r="D557" s="28">
        <f t="shared" si="265"/>
        <v>169.995</v>
      </c>
      <c r="E557" s="22" t="s">
        <v>2816</v>
      </c>
      <c r="F557" s="22" t="s">
        <v>2852</v>
      </c>
      <c r="G557" s="22" t="s">
        <v>2853</v>
      </c>
      <c r="H557" s="22" t="s">
        <v>2854</v>
      </c>
      <c r="I557" s="23" t="s">
        <v>2855</v>
      </c>
      <c r="J557" s="22" t="s">
        <v>646</v>
      </c>
      <c r="K557" s="23">
        <v>60</v>
      </c>
      <c r="L557" s="23">
        <v>60</v>
      </c>
      <c r="M557" s="23">
        <v>100</v>
      </c>
      <c r="N557" s="3">
        <f t="shared" si="279"/>
        <v>0.36</v>
      </c>
      <c r="O557" s="4" t="e">
        <f>(C557-(C557*#REF!))-((C557-(C557*#REF!))*#REF!)</f>
        <v>#REF!</v>
      </c>
      <c r="P557" s="7"/>
      <c r="Q557" s="7"/>
      <c r="R557" s="5">
        <f t="shared" si="280"/>
        <v>0</v>
      </c>
      <c r="S557" s="4">
        <f t="shared" si="281"/>
        <v>0</v>
      </c>
      <c r="T557" s="13">
        <f t="shared" si="266"/>
        <v>237.99299999999999</v>
      </c>
      <c r="U557" s="13">
        <f t="shared" si="275"/>
        <v>118.9965</v>
      </c>
      <c r="V557" s="14">
        <f>U557/C557</f>
        <v>0.35</v>
      </c>
      <c r="W557" s="14"/>
      <c r="X557" s="19">
        <f t="shared" si="282"/>
        <v>118.9965</v>
      </c>
      <c r="Y557" s="19">
        <f t="shared" si="283"/>
        <v>237.99299999999999</v>
      </c>
      <c r="Z557" s="15" t="e">
        <f t="shared" si="288"/>
        <v>#DIV/0!</v>
      </c>
      <c r="AA557" s="22" t="s">
        <v>2856</v>
      </c>
      <c r="AG557" s="94" t="s">
        <v>1169</v>
      </c>
      <c r="AH557" s="89" t="str">
        <f>VLOOKUP(AG557,Sheet1!$B$3:$D$36,2,FALSE)</f>
        <v>Decors</v>
      </c>
      <c r="AI557" s="89" t="s">
        <v>2835</v>
      </c>
      <c r="AJ557" s="1" t="str">
        <f t="shared" si="267"/>
        <v>Dried tree on stand</v>
      </c>
      <c r="AK557" s="1" t="str">
        <f t="shared" si="268"/>
        <v>w60 x d60 x h100</v>
      </c>
      <c r="AL557" s="1" t="str">
        <f t="shared" si="269"/>
        <v>tea tree outdoor</v>
      </c>
      <c r="AM557" s="1" t="str">
        <f t="shared" si="270"/>
        <v>tea tree outdoor</v>
      </c>
      <c r="AN557" s="1" t="str">
        <f t="shared" si="289"/>
        <v xml:space="preserve">tea tree </v>
      </c>
      <c r="AO557" s="1" t="s">
        <v>59</v>
      </c>
      <c r="AQ557" s="1" t="str">
        <f t="shared" si="271"/>
        <v>B</v>
      </c>
      <c r="AR557" s="1" t="str">
        <f>VLOOKUP(TRIM(AI557),Sheet1!$D$3:$E$36,2,FALSE)</f>
        <v>10</v>
      </c>
      <c r="AS557" s="90" t="str">
        <f t="shared" si="272"/>
        <v>01</v>
      </c>
      <c r="AT557" s="1" t="str">
        <f t="shared" si="273"/>
        <v>01</v>
      </c>
      <c r="AU557" s="90" t="s">
        <v>2857</v>
      </c>
      <c r="AV557" s="90"/>
      <c r="AW557" s="90"/>
      <c r="AX557" s="95" t="str">
        <f>AQ557&amp;AR557&amp;AS557&amp;"-"&amp;AT557&amp;AU557&amp;BA557</f>
        <v>B1001-0126OUT</v>
      </c>
      <c r="AY557" s="99" t="str">
        <f>AQ557&amp;AR557&amp;AS557&amp;"-"&amp;AT557&amp;BA557</f>
        <v>B1001-01OUT</v>
      </c>
      <c r="AZ557" s="90"/>
      <c r="BA557" s="1" t="str">
        <f t="shared" si="274"/>
        <v>OUT</v>
      </c>
      <c r="BC557" s="1">
        <f t="shared" si="285"/>
        <v>1</v>
      </c>
      <c r="BD557" s="90">
        <f t="shared" si="286"/>
        <v>1</v>
      </c>
      <c r="BE557" s="1">
        <f t="shared" si="276"/>
        <v>1</v>
      </c>
      <c r="BF557" s="1">
        <f t="shared" si="277"/>
        <v>1</v>
      </c>
      <c r="BI557"/>
      <c r="BJ557"/>
      <c r="BL557"/>
    </row>
    <row r="558" spans="1:64" ht="11.25" customHeight="1">
      <c r="A558" s="26" t="s">
        <v>2858</v>
      </c>
      <c r="B558" s="27" t="s">
        <v>2859</v>
      </c>
      <c r="C558" s="28">
        <v>319.99</v>
      </c>
      <c r="D558" s="28">
        <f t="shared" si="265"/>
        <v>159.995</v>
      </c>
      <c r="E558" s="22" t="s">
        <v>2816</v>
      </c>
      <c r="F558" s="22" t="s">
        <v>2852</v>
      </c>
      <c r="G558" s="22" t="s">
        <v>2860</v>
      </c>
      <c r="H558" s="22" t="s">
        <v>2854</v>
      </c>
      <c r="I558" s="23" t="s">
        <v>2855</v>
      </c>
      <c r="J558" s="22" t="s">
        <v>646</v>
      </c>
      <c r="K558" s="23">
        <v>60</v>
      </c>
      <c r="L558" s="23">
        <v>60</v>
      </c>
      <c r="M558" s="23">
        <v>100</v>
      </c>
      <c r="N558" s="3">
        <f t="shared" si="279"/>
        <v>0.36</v>
      </c>
      <c r="O558" s="4" t="e">
        <f>(C558-(C558*#REF!))-((C558-(C558*#REF!))*#REF!)</f>
        <v>#REF!</v>
      </c>
      <c r="P558" s="7"/>
      <c r="Q558" s="7"/>
      <c r="R558" s="5">
        <f t="shared" si="280"/>
        <v>0</v>
      </c>
      <c r="S558" s="4">
        <f t="shared" si="281"/>
        <v>0</v>
      </c>
      <c r="T558" s="13">
        <f t="shared" si="266"/>
        <v>223.99299999999999</v>
      </c>
      <c r="U558" s="13">
        <f t="shared" si="275"/>
        <v>111.9965</v>
      </c>
      <c r="V558" s="14">
        <f>U558/C558</f>
        <v>0.35</v>
      </c>
      <c r="W558" s="14"/>
      <c r="X558" s="19">
        <f t="shared" si="282"/>
        <v>111.9965</v>
      </c>
      <c r="Y558" s="19">
        <f t="shared" si="283"/>
        <v>223.99299999999999</v>
      </c>
      <c r="Z558" s="15" t="e">
        <f t="shared" si="288"/>
        <v>#DIV/0!</v>
      </c>
      <c r="AA558" s="22" t="s">
        <v>2861</v>
      </c>
      <c r="AG558" s="94" t="s">
        <v>1169</v>
      </c>
      <c r="AH558" s="89" t="str">
        <f>VLOOKUP(AG558,Sheet1!$B$3:$D$36,2,FALSE)</f>
        <v>Decors</v>
      </c>
      <c r="AI558" s="89" t="s">
        <v>2835</v>
      </c>
      <c r="AJ558" s="1" t="str">
        <f t="shared" si="267"/>
        <v>Dried tree</v>
      </c>
      <c r="AK558" s="1" t="str">
        <f t="shared" si="268"/>
        <v>w60 x d60 x h100</v>
      </c>
      <c r="AL558" s="1" t="str">
        <f t="shared" si="269"/>
        <v>tea tree outdoor</v>
      </c>
      <c r="AM558" s="1" t="str">
        <f t="shared" si="270"/>
        <v>tea tree outdoor</v>
      </c>
      <c r="AN558" s="1" t="str">
        <f t="shared" si="289"/>
        <v xml:space="preserve">tea tree </v>
      </c>
      <c r="AO558" s="1" t="s">
        <v>59</v>
      </c>
      <c r="AQ558" s="1" t="str">
        <f t="shared" si="271"/>
        <v>B</v>
      </c>
      <c r="AR558" s="1" t="str">
        <f>VLOOKUP(TRIM(AI558),Sheet1!$D$3:$E$36,2,FALSE)</f>
        <v>10</v>
      </c>
      <c r="AS558" s="90" t="str">
        <f t="shared" si="272"/>
        <v>01</v>
      </c>
      <c r="AT558" s="1" t="str">
        <f t="shared" si="273"/>
        <v>02</v>
      </c>
      <c r="AU558" s="90" t="s">
        <v>2857</v>
      </c>
      <c r="AV558" s="90"/>
      <c r="AW558" s="90"/>
      <c r="AX558" s="95" t="str">
        <f>AQ558&amp;AR558&amp;AS558&amp;"-"&amp;AT558&amp;AU558&amp;BA558</f>
        <v>B1001-0226OUT</v>
      </c>
      <c r="AY558" s="99" t="str">
        <f>AQ558&amp;AR558&amp;AS558&amp;"-"&amp;AT558&amp;BA558</f>
        <v>B1001-02OUT</v>
      </c>
      <c r="AZ558" s="90"/>
      <c r="BA558" s="1" t="str">
        <f t="shared" si="274"/>
        <v>OUT</v>
      </c>
      <c r="BC558" s="1">
        <f t="shared" si="285"/>
        <v>1</v>
      </c>
      <c r="BD558" s="90">
        <f t="shared" si="286"/>
        <v>1</v>
      </c>
      <c r="BE558" s="1" t="str">
        <f t="shared" si="276"/>
        <v/>
      </c>
      <c r="BF558" s="1">
        <f t="shared" si="277"/>
        <v>2</v>
      </c>
      <c r="BI558"/>
      <c r="BJ558"/>
      <c r="BL558"/>
    </row>
    <row r="559" spans="1:64" ht="11.25" customHeight="1">
      <c r="A559" s="26" t="s">
        <v>2862</v>
      </c>
      <c r="B559" s="27" t="s">
        <v>2863</v>
      </c>
      <c r="C559" s="28">
        <v>29.99</v>
      </c>
      <c r="D559" s="28">
        <f t="shared" si="265"/>
        <v>14.994999999999999</v>
      </c>
      <c r="E559" s="22" t="s">
        <v>2816</v>
      </c>
      <c r="F559" s="22" t="s">
        <v>2864</v>
      </c>
      <c r="G559" s="22" t="s">
        <v>799</v>
      </c>
      <c r="H559" s="22" t="s">
        <v>2865</v>
      </c>
      <c r="I559" s="23" t="s">
        <v>2866</v>
      </c>
      <c r="J559" s="22" t="s">
        <v>670</v>
      </c>
      <c r="K559" s="23">
        <v>9</v>
      </c>
      <c r="L559" s="23">
        <v>9</v>
      </c>
      <c r="M559" s="23">
        <v>20</v>
      </c>
      <c r="N559" s="3">
        <f t="shared" si="279"/>
        <v>1.6199999999999999E-3</v>
      </c>
      <c r="O559" s="4" t="e">
        <f>(C559-(C559*#REF!))-((C559-(C559*#REF!))*#REF!)</f>
        <v>#REF!</v>
      </c>
      <c r="P559" s="7"/>
      <c r="Q559" s="7">
        <v>275000</v>
      </c>
      <c r="R559" s="5">
        <f t="shared" si="280"/>
        <v>275000</v>
      </c>
      <c r="S559" s="4">
        <f t="shared" si="281"/>
        <v>18.333333333333332</v>
      </c>
      <c r="T559" s="13">
        <f t="shared" si="266"/>
        <v>20.992999999999999</v>
      </c>
      <c r="U559" s="13">
        <f t="shared" si="275"/>
        <v>10.496499999999999</v>
      </c>
      <c r="V559" s="14">
        <f>U559/C559</f>
        <v>0.35</v>
      </c>
      <c r="W559" s="18">
        <f>S559*1.5</f>
        <v>27.5</v>
      </c>
      <c r="X559" s="19">
        <f t="shared" si="282"/>
        <v>27.5</v>
      </c>
      <c r="Y559" s="19">
        <f t="shared" si="283"/>
        <v>55</v>
      </c>
      <c r="Z559" s="15">
        <v>2</v>
      </c>
      <c r="AA559" s="22" t="s">
        <v>2867</v>
      </c>
      <c r="AG559" s="94" t="s">
        <v>1169</v>
      </c>
      <c r="AH559" s="89" t="str">
        <f>VLOOKUP(AG559,Sheet1!$B$3:$D$36,2,FALSE)</f>
        <v>Decors</v>
      </c>
      <c r="AI559" s="89" t="s">
        <v>2835</v>
      </c>
      <c r="AJ559" s="1" t="str">
        <f t="shared" si="267"/>
        <v>Sylvester lavastone</v>
      </c>
      <c r="AK559" s="1" t="str">
        <f t="shared" si="268"/>
        <v>w9 x d9 x h20</v>
      </c>
      <c r="AL559" s="1" t="str">
        <f t="shared" si="269"/>
        <v>lavastone outdoor</v>
      </c>
      <c r="AM559" s="1" t="str">
        <f t="shared" si="270"/>
        <v>lavastone outdoor</v>
      </c>
      <c r="AN559" s="1" t="str">
        <f t="shared" si="289"/>
        <v xml:space="preserve">lavastone </v>
      </c>
      <c r="AO559" s="1" t="s">
        <v>59</v>
      </c>
      <c r="AQ559" s="1" t="str">
        <f t="shared" si="271"/>
        <v>B</v>
      </c>
      <c r="AR559" s="1" t="str">
        <f>VLOOKUP(TRIM(AI559),Sheet1!$D$3:$E$36,2,FALSE)</f>
        <v>10</v>
      </c>
      <c r="AS559" s="90" t="str">
        <f t="shared" si="272"/>
        <v>01</v>
      </c>
      <c r="AT559" s="1" t="str">
        <f t="shared" si="273"/>
        <v>01</v>
      </c>
      <c r="AU559" s="90" t="s">
        <v>823</v>
      </c>
      <c r="AV559" s="90"/>
      <c r="AW559" s="90"/>
      <c r="AX559" s="95" t="str">
        <f>AQ559&amp;AR559&amp;AS559&amp;"-"&amp;AT559&amp;AU559&amp;BA559</f>
        <v>B1001-0108OUT</v>
      </c>
      <c r="AY559" s="99" t="str">
        <f>AQ559&amp;AR559&amp;AS559&amp;"-"&amp;AT559&amp;BA559</f>
        <v>B1001-01OUT</v>
      </c>
      <c r="AZ559" s="90"/>
      <c r="BA559" s="1" t="str">
        <f t="shared" si="274"/>
        <v>OUT</v>
      </c>
      <c r="BC559" s="1">
        <f t="shared" si="285"/>
        <v>1</v>
      </c>
      <c r="BD559" s="90">
        <f t="shared" si="286"/>
        <v>1</v>
      </c>
      <c r="BE559" s="1">
        <f t="shared" si="276"/>
        <v>1</v>
      </c>
      <c r="BF559" s="1">
        <f t="shared" si="277"/>
        <v>1</v>
      </c>
      <c r="BI559"/>
      <c r="BJ559"/>
      <c r="BL559"/>
    </row>
    <row r="560" spans="1:64" ht="11.25" customHeight="1">
      <c r="A560" s="26" t="s">
        <v>2868</v>
      </c>
      <c r="B560" s="27" t="s">
        <v>2863</v>
      </c>
      <c r="C560" s="28">
        <v>149.99</v>
      </c>
      <c r="D560" s="28">
        <f t="shared" si="265"/>
        <v>74.995000000000005</v>
      </c>
      <c r="E560" s="22" t="s">
        <v>2816</v>
      </c>
      <c r="F560" s="22" t="s">
        <v>2869</v>
      </c>
      <c r="G560" s="22" t="s">
        <v>799</v>
      </c>
      <c r="H560" s="22" t="s">
        <v>2870</v>
      </c>
      <c r="I560" s="23" t="s">
        <v>2866</v>
      </c>
      <c r="J560" s="22" t="s">
        <v>670</v>
      </c>
      <c r="K560" s="23">
        <v>25</v>
      </c>
      <c r="L560" s="23">
        <v>25</v>
      </c>
      <c r="M560" s="23">
        <v>45</v>
      </c>
      <c r="N560" s="3">
        <f t="shared" si="279"/>
        <v>2.8125000000000001E-2</v>
      </c>
      <c r="O560" s="4" t="e">
        <f>(C560-(C560*#REF!))-((C560-(C560*#REF!))*#REF!)</f>
        <v>#REF!</v>
      </c>
      <c r="P560" s="7"/>
      <c r="Q560" s="7">
        <v>850000</v>
      </c>
      <c r="R560" s="5">
        <f t="shared" si="280"/>
        <v>850000</v>
      </c>
      <c r="S560" s="4">
        <f t="shared" si="281"/>
        <v>56.666666666666664</v>
      </c>
      <c r="T560" s="13">
        <f t="shared" si="266"/>
        <v>104.99300000000001</v>
      </c>
      <c r="U560" s="13">
        <f t="shared" si="275"/>
        <v>52.496500000000005</v>
      </c>
      <c r="V560" s="14">
        <f>U560/C560</f>
        <v>0.35000000000000003</v>
      </c>
      <c r="W560" s="18">
        <f>S560*1.5</f>
        <v>85</v>
      </c>
      <c r="X560" s="19">
        <f t="shared" si="282"/>
        <v>85</v>
      </c>
      <c r="Y560" s="19">
        <f t="shared" si="283"/>
        <v>170</v>
      </c>
      <c r="Z560" s="15">
        <v>2</v>
      </c>
      <c r="AA560" s="22" t="s">
        <v>2871</v>
      </c>
      <c r="AG560" s="94" t="s">
        <v>1169</v>
      </c>
      <c r="AH560" s="89" t="str">
        <f>VLOOKUP(AG560,Sheet1!$B$3:$D$36,2,FALSE)</f>
        <v>Decors</v>
      </c>
      <c r="AI560" s="89" t="s">
        <v>2835</v>
      </c>
      <c r="AJ560" s="1" t="str">
        <f t="shared" si="267"/>
        <v>Sylvester lavastone</v>
      </c>
      <c r="AK560" s="1" t="str">
        <f t="shared" si="268"/>
        <v>w25 x d25 x h45</v>
      </c>
      <c r="AL560" s="1" t="str">
        <f t="shared" si="269"/>
        <v>lavastone outdoor</v>
      </c>
      <c r="AM560" s="1" t="str">
        <f t="shared" si="270"/>
        <v>lavastone outdoor</v>
      </c>
      <c r="AN560" s="1" t="str">
        <f t="shared" si="289"/>
        <v xml:space="preserve">lavastone </v>
      </c>
      <c r="AO560" s="1" t="s">
        <v>59</v>
      </c>
      <c r="AQ560" s="1" t="str">
        <f t="shared" si="271"/>
        <v>B</v>
      </c>
      <c r="AR560" s="1" t="str">
        <f>VLOOKUP(TRIM(AI560),Sheet1!$D$3:$E$36,2,FALSE)</f>
        <v>10</v>
      </c>
      <c r="AS560" s="90" t="str">
        <f t="shared" si="272"/>
        <v>02</v>
      </c>
      <c r="AT560" s="1" t="str">
        <f t="shared" si="273"/>
        <v>01</v>
      </c>
      <c r="AU560" s="90" t="s">
        <v>823</v>
      </c>
      <c r="AV560" s="90"/>
      <c r="AW560" s="90"/>
      <c r="AX560" s="95" t="str">
        <f>AQ560&amp;AR560&amp;AS560&amp;"-"&amp;AT560&amp;AU560&amp;BA560</f>
        <v>B1002-0108OUT</v>
      </c>
      <c r="AY560" s="99" t="str">
        <f>AQ560&amp;AR560&amp;AS560&amp;"-"&amp;AT560&amp;BA560</f>
        <v>B1002-01OUT</v>
      </c>
      <c r="AZ560" s="90"/>
      <c r="BA560" s="1" t="str">
        <f t="shared" si="274"/>
        <v>OUT</v>
      </c>
      <c r="BC560" s="1" t="str">
        <f t="shared" si="285"/>
        <v/>
      </c>
      <c r="BD560" s="90">
        <f t="shared" si="286"/>
        <v>2</v>
      </c>
      <c r="BE560" s="1">
        <f t="shared" si="276"/>
        <v>1</v>
      </c>
      <c r="BF560" s="1">
        <f t="shared" si="277"/>
        <v>1</v>
      </c>
      <c r="BI560"/>
      <c r="BJ560"/>
      <c r="BL560"/>
    </row>
    <row r="561" spans="1:64" ht="11.25" customHeight="1">
      <c r="A561" s="26" t="s">
        <v>2872</v>
      </c>
      <c r="B561" s="27" t="s">
        <v>2863</v>
      </c>
      <c r="C561" s="28">
        <v>441.99</v>
      </c>
      <c r="D561" s="28">
        <f t="shared" si="265"/>
        <v>220.995</v>
      </c>
      <c r="E561" s="22" t="s">
        <v>2816</v>
      </c>
      <c r="F561" s="22" t="s">
        <v>2873</v>
      </c>
      <c r="G561" s="22" t="s">
        <v>799</v>
      </c>
      <c r="H561" s="22" t="s">
        <v>2819</v>
      </c>
      <c r="I561" s="23" t="s">
        <v>2866</v>
      </c>
      <c r="J561" s="22" t="s">
        <v>670</v>
      </c>
      <c r="K561" s="23">
        <v>30</v>
      </c>
      <c r="L561" s="23">
        <v>30</v>
      </c>
      <c r="M561" s="23">
        <v>60</v>
      </c>
      <c r="N561" s="3">
        <f t="shared" si="279"/>
        <v>5.3999999999999999E-2</v>
      </c>
      <c r="O561" s="4" t="e">
        <f>(C561-(C561*#REF!))-((C561-(C561*#REF!))*#REF!)</f>
        <v>#REF!</v>
      </c>
      <c r="P561" s="7"/>
      <c r="Q561" s="7">
        <v>3300000</v>
      </c>
      <c r="R561" s="5">
        <f t="shared" si="280"/>
        <v>3300000</v>
      </c>
      <c r="S561" s="4">
        <f t="shared" si="281"/>
        <v>220</v>
      </c>
      <c r="T561" s="13">
        <f t="shared" si="266"/>
        <v>309.39300000000003</v>
      </c>
      <c r="U561" s="13">
        <f t="shared" si="275"/>
        <v>154.69650000000001</v>
      </c>
      <c r="V561" s="14">
        <f>U561/C561</f>
        <v>0.35000000000000003</v>
      </c>
      <c r="W561" s="18">
        <f>S561*1.5</f>
        <v>330</v>
      </c>
      <c r="X561" s="19">
        <f t="shared" si="282"/>
        <v>330</v>
      </c>
      <c r="Y561" s="19">
        <f t="shared" si="283"/>
        <v>660</v>
      </c>
      <c r="Z561" s="15">
        <v>2</v>
      </c>
      <c r="AA561" s="22" t="s">
        <v>2874</v>
      </c>
      <c r="AG561" s="94" t="s">
        <v>1169</v>
      </c>
      <c r="AH561" s="89" t="str">
        <f>VLOOKUP(AG561,Sheet1!$B$3:$D$36,2,FALSE)</f>
        <v>Decors</v>
      </c>
      <c r="AI561" s="89" t="s">
        <v>2835</v>
      </c>
      <c r="AJ561" s="1" t="str">
        <f t="shared" si="267"/>
        <v>Sylvester lavastone</v>
      </c>
      <c r="AK561" s="1" t="str">
        <f t="shared" si="268"/>
        <v>w30 x d30 x h60</v>
      </c>
      <c r="AL561" s="1" t="str">
        <f t="shared" si="269"/>
        <v>lavastone outdoor</v>
      </c>
      <c r="AM561" s="1" t="str">
        <f t="shared" si="270"/>
        <v>lavastone outdoor</v>
      </c>
      <c r="AN561" s="1" t="str">
        <f t="shared" si="289"/>
        <v xml:space="preserve">lavastone </v>
      </c>
      <c r="AO561" s="1" t="s">
        <v>59</v>
      </c>
      <c r="AQ561" s="1" t="str">
        <f t="shared" si="271"/>
        <v>B</v>
      </c>
      <c r="AR561" s="1" t="str">
        <f>VLOOKUP(TRIM(AI561),Sheet1!$D$3:$E$36,2,FALSE)</f>
        <v>10</v>
      </c>
      <c r="AS561" s="90" t="str">
        <f t="shared" si="272"/>
        <v>03</v>
      </c>
      <c r="AT561" s="1" t="str">
        <f t="shared" si="273"/>
        <v>01</v>
      </c>
      <c r="AU561" s="90" t="s">
        <v>823</v>
      </c>
      <c r="AV561" s="90"/>
      <c r="AW561" s="90"/>
      <c r="AX561" s="95" t="str">
        <f>AQ561&amp;AR561&amp;AS561&amp;"-"&amp;AT561&amp;AU561&amp;BA561</f>
        <v>B1003-0108OUT</v>
      </c>
      <c r="AY561" s="99" t="str">
        <f>AQ561&amp;AR561&amp;AS561&amp;"-"&amp;AT561&amp;BA561</f>
        <v>B1003-01OUT</v>
      </c>
      <c r="AZ561" s="90"/>
      <c r="BA561" s="1" t="str">
        <f t="shared" si="274"/>
        <v>OUT</v>
      </c>
      <c r="BC561" s="1" t="str">
        <f t="shared" si="285"/>
        <v/>
      </c>
      <c r="BD561" s="90">
        <f t="shared" si="286"/>
        <v>3</v>
      </c>
      <c r="BE561" s="1">
        <f t="shared" si="276"/>
        <v>1</v>
      </c>
      <c r="BF561" s="1">
        <f t="shared" si="277"/>
        <v>1</v>
      </c>
      <c r="BI561"/>
      <c r="BJ561"/>
      <c r="BL561"/>
    </row>
    <row r="562" spans="1:64" ht="11.25" customHeight="1">
      <c r="A562" s="26" t="s">
        <v>2875</v>
      </c>
      <c r="B562" s="27" t="s">
        <v>2863</v>
      </c>
      <c r="C562" s="28">
        <v>873.99</v>
      </c>
      <c r="D562" s="28">
        <f t="shared" si="265"/>
        <v>436.995</v>
      </c>
      <c r="E562" s="22" t="s">
        <v>2816</v>
      </c>
      <c r="F562" s="22" t="s">
        <v>2876</v>
      </c>
      <c r="G562" s="22" t="s">
        <v>799</v>
      </c>
      <c r="H562" s="22" t="s">
        <v>2877</v>
      </c>
      <c r="I562" s="23" t="s">
        <v>2866</v>
      </c>
      <c r="J562" s="22" t="s">
        <v>670</v>
      </c>
      <c r="K562" s="23">
        <v>45</v>
      </c>
      <c r="L562" s="23">
        <v>45</v>
      </c>
      <c r="M562" s="23">
        <v>80</v>
      </c>
      <c r="N562" s="3">
        <f t="shared" si="279"/>
        <v>0.16200000000000001</v>
      </c>
      <c r="O562" s="4" t="e">
        <f>(C562-(C562*#REF!))-((C562-(C562*#REF!))*#REF!)</f>
        <v>#REF!</v>
      </c>
      <c r="P562" s="7"/>
      <c r="Q562" s="7"/>
      <c r="R562" s="5">
        <f t="shared" si="280"/>
        <v>0</v>
      </c>
      <c r="S562" s="4">
        <f t="shared" si="281"/>
        <v>0</v>
      </c>
      <c r="T562" s="13">
        <f t="shared" si="266"/>
        <v>611.79300000000001</v>
      </c>
      <c r="U562" s="13">
        <f t="shared" si="275"/>
        <v>305.8965</v>
      </c>
      <c r="V562" s="14">
        <f>U562/C562</f>
        <v>0.35</v>
      </c>
      <c r="W562" s="14"/>
      <c r="X562" s="19">
        <f t="shared" si="282"/>
        <v>305.8965</v>
      </c>
      <c r="Y562" s="19">
        <f t="shared" si="283"/>
        <v>611.79300000000001</v>
      </c>
      <c r="Z562" s="15" t="e">
        <f>U562/S562</f>
        <v>#DIV/0!</v>
      </c>
      <c r="AA562" s="22" t="s">
        <v>2867</v>
      </c>
      <c r="AG562" s="94" t="s">
        <v>1169</v>
      </c>
      <c r="AH562" s="89" t="str">
        <f>VLOOKUP(AG562,Sheet1!$B$3:$D$36,2,FALSE)</f>
        <v>Decors</v>
      </c>
      <c r="AI562" s="89" t="s">
        <v>2835</v>
      </c>
      <c r="AJ562" s="1" t="str">
        <f t="shared" si="267"/>
        <v>Sylvester lavastone</v>
      </c>
      <c r="AK562" s="1" t="str">
        <f t="shared" si="268"/>
        <v>w45 x d45 x h80</v>
      </c>
      <c r="AL562" s="1" t="str">
        <f t="shared" si="269"/>
        <v>lavastone outdoor</v>
      </c>
      <c r="AM562" s="1" t="str">
        <f t="shared" si="270"/>
        <v>lavastone outdoor</v>
      </c>
      <c r="AN562" s="1" t="str">
        <f t="shared" si="289"/>
        <v xml:space="preserve">lavastone </v>
      </c>
      <c r="AO562" s="1" t="s">
        <v>59</v>
      </c>
      <c r="AQ562" s="1" t="str">
        <f t="shared" si="271"/>
        <v>B</v>
      </c>
      <c r="AR562" s="1" t="str">
        <f>VLOOKUP(TRIM(AI562),Sheet1!$D$3:$E$36,2,FALSE)</f>
        <v>10</v>
      </c>
      <c r="AS562" s="90" t="str">
        <f t="shared" si="272"/>
        <v>04</v>
      </c>
      <c r="AT562" s="1" t="str">
        <f t="shared" si="273"/>
        <v>01</v>
      </c>
      <c r="AU562" s="90" t="s">
        <v>823</v>
      </c>
      <c r="AV562" s="90"/>
      <c r="AW562" s="90"/>
      <c r="AX562" s="95" t="str">
        <f>AQ562&amp;AR562&amp;AS562&amp;"-"&amp;AT562&amp;AU562&amp;BA562</f>
        <v>B1004-0108OUT</v>
      </c>
      <c r="AY562" s="99" t="str">
        <f>AQ562&amp;AR562&amp;AS562&amp;"-"&amp;AT562&amp;BA562</f>
        <v>B1004-01OUT</v>
      </c>
      <c r="AZ562" s="90"/>
      <c r="BA562" s="1" t="str">
        <f t="shared" si="274"/>
        <v>OUT</v>
      </c>
      <c r="BC562" s="1" t="str">
        <f t="shared" si="285"/>
        <v/>
      </c>
      <c r="BD562" s="90">
        <f t="shared" si="286"/>
        <v>4</v>
      </c>
      <c r="BE562" s="1">
        <f t="shared" si="276"/>
        <v>1</v>
      </c>
      <c r="BF562" s="1">
        <f t="shared" si="277"/>
        <v>1</v>
      </c>
      <c r="BI562"/>
      <c r="BJ562"/>
      <c r="BL562"/>
    </row>
    <row r="563" spans="1:64" ht="11.25" customHeight="1">
      <c r="A563" s="26" t="s">
        <v>2878</v>
      </c>
      <c r="B563" s="27" t="s">
        <v>2879</v>
      </c>
      <c r="C563" s="28">
        <v>10.99</v>
      </c>
      <c r="D563" s="28">
        <f t="shared" si="265"/>
        <v>5.4950000000000001</v>
      </c>
      <c r="E563" s="22" t="s">
        <v>2816</v>
      </c>
      <c r="F563" s="22" t="s">
        <v>2880</v>
      </c>
      <c r="G563" s="22" t="s">
        <v>2881</v>
      </c>
      <c r="H563" s="22" t="s">
        <v>2882</v>
      </c>
      <c r="I563" s="23" t="s">
        <v>2866</v>
      </c>
      <c r="J563" s="22" t="s">
        <v>670</v>
      </c>
      <c r="K563" s="23">
        <v>23</v>
      </c>
      <c r="L563" s="23">
        <v>19</v>
      </c>
      <c r="M563" s="23">
        <v>7</v>
      </c>
      <c r="N563" s="3">
        <f t="shared" si="279"/>
        <v>3.0590000000000001E-3</v>
      </c>
      <c r="O563" s="4" t="e">
        <f>(C563-(C563*#REF!))-((C563-(C563*#REF!))*#REF!)</f>
        <v>#REF!</v>
      </c>
      <c r="P563" s="7"/>
      <c r="Q563" s="7">
        <v>220000</v>
      </c>
      <c r="R563" s="5">
        <f t="shared" si="280"/>
        <v>220000</v>
      </c>
      <c r="S563" s="4">
        <f t="shared" si="281"/>
        <v>14.666666666666666</v>
      </c>
      <c r="T563" s="13">
        <f t="shared" si="266"/>
        <v>7.6929999999999996</v>
      </c>
      <c r="U563" s="13">
        <f t="shared" si="275"/>
        <v>3.8464999999999998</v>
      </c>
      <c r="V563" s="14">
        <f>U563/C563</f>
        <v>0.35</v>
      </c>
      <c r="W563" s="18">
        <f>S563*1.5</f>
        <v>22</v>
      </c>
      <c r="X563" s="19">
        <f t="shared" si="282"/>
        <v>22</v>
      </c>
      <c r="Y563" s="19">
        <f t="shared" si="283"/>
        <v>44</v>
      </c>
      <c r="Z563" s="15">
        <v>2</v>
      </c>
      <c r="AA563" s="22" t="s">
        <v>2883</v>
      </c>
      <c r="AG563" s="94" t="s">
        <v>1169</v>
      </c>
      <c r="AH563" s="89" t="str">
        <f>VLOOKUP(AG563,Sheet1!$B$3:$D$36,2,FALSE)</f>
        <v>Decors</v>
      </c>
      <c r="AI563" s="89" t="s">
        <v>2835</v>
      </c>
      <c r="AJ563" s="1" t="str">
        <f t="shared" si="267"/>
        <v>Jacob lavastone</v>
      </c>
      <c r="AK563" s="1" t="str">
        <f t="shared" si="268"/>
        <v>w23 x d19 x h7</v>
      </c>
      <c r="AL563" s="1" t="str">
        <f t="shared" si="269"/>
        <v>lavastone outdoor</v>
      </c>
      <c r="AM563" s="1" t="str">
        <f t="shared" si="270"/>
        <v>lavastone outdoor</v>
      </c>
      <c r="AN563" s="1" t="str">
        <f t="shared" si="289"/>
        <v xml:space="preserve">lavastone </v>
      </c>
      <c r="AO563" s="1" t="s">
        <v>59</v>
      </c>
      <c r="AQ563" s="1" t="str">
        <f t="shared" si="271"/>
        <v>B</v>
      </c>
      <c r="AR563" s="1" t="str">
        <f>VLOOKUP(TRIM(AI563),Sheet1!$D$3:$E$36,2,FALSE)</f>
        <v>10</v>
      </c>
      <c r="AS563" s="90" t="str">
        <f t="shared" si="272"/>
        <v>01</v>
      </c>
      <c r="AT563" s="1" t="str">
        <f t="shared" si="273"/>
        <v>01</v>
      </c>
      <c r="AU563" s="90" t="s">
        <v>823</v>
      </c>
      <c r="AV563" s="90"/>
      <c r="AW563" s="90"/>
      <c r="AX563" s="95" t="str">
        <f>AQ563&amp;AR563&amp;AS563&amp;"-"&amp;AT563&amp;AU563&amp;BA563</f>
        <v>B1001-0108OUT</v>
      </c>
      <c r="AY563" s="99" t="str">
        <f>AQ563&amp;AR563&amp;AS563&amp;"-"&amp;AT563&amp;BA563</f>
        <v>B1001-01OUT</v>
      </c>
      <c r="AZ563" s="90"/>
      <c r="BA563" s="1" t="str">
        <f t="shared" si="274"/>
        <v>OUT</v>
      </c>
      <c r="BC563" s="1">
        <f t="shared" si="285"/>
        <v>1</v>
      </c>
      <c r="BD563" s="90">
        <f t="shared" si="286"/>
        <v>1</v>
      </c>
      <c r="BE563" s="1">
        <f t="shared" si="276"/>
        <v>1</v>
      </c>
      <c r="BF563" s="1">
        <f t="shared" si="277"/>
        <v>1</v>
      </c>
      <c r="BI563"/>
      <c r="BJ563"/>
      <c r="BL563"/>
    </row>
    <row r="564" spans="1:64" ht="11.25" customHeight="1">
      <c r="A564" s="26" t="s">
        <v>2622</v>
      </c>
      <c r="B564" s="27" t="s">
        <v>2884</v>
      </c>
      <c r="C564" s="28">
        <v>204.99</v>
      </c>
      <c r="D564" s="28">
        <f t="shared" si="265"/>
        <v>102.495</v>
      </c>
      <c r="E564" s="22" t="s">
        <v>2816</v>
      </c>
      <c r="F564" s="22" t="s">
        <v>2885</v>
      </c>
      <c r="G564" s="22" t="s">
        <v>178</v>
      </c>
      <c r="H564" s="22" t="s">
        <v>2626</v>
      </c>
      <c r="I564" s="23" t="s">
        <v>2886</v>
      </c>
      <c r="J564" s="22" t="s">
        <v>670</v>
      </c>
      <c r="K564" s="23">
        <v>35</v>
      </c>
      <c r="L564" s="23">
        <v>20</v>
      </c>
      <c r="M564" s="23">
        <v>20</v>
      </c>
      <c r="N564" s="3">
        <f t="shared" si="279"/>
        <v>1.4E-2</v>
      </c>
      <c r="O564" s="4" t="e">
        <f>(C564-(C564*#REF!))-((C564-(C564*#REF!))*#REF!)</f>
        <v>#REF!</v>
      </c>
      <c r="P564" s="7"/>
      <c r="Q564" s="7"/>
      <c r="R564" s="5">
        <f t="shared" si="280"/>
        <v>0</v>
      </c>
      <c r="S564" s="4">
        <f t="shared" si="281"/>
        <v>0</v>
      </c>
      <c r="T564" s="13">
        <f t="shared" si="266"/>
        <v>143.49299999999999</v>
      </c>
      <c r="U564" s="13">
        <f t="shared" si="275"/>
        <v>71.746499999999997</v>
      </c>
      <c r="V564" s="14">
        <f>U564/C564</f>
        <v>0.35</v>
      </c>
      <c r="W564" s="14"/>
      <c r="X564" s="19">
        <f t="shared" si="282"/>
        <v>71.746499999999997</v>
      </c>
      <c r="Y564" s="19">
        <f t="shared" si="283"/>
        <v>143.49299999999999</v>
      </c>
      <c r="Z564" s="15" t="e">
        <f t="shared" ref="Z564:Z575" si="290">U564/S564</f>
        <v>#DIV/0!</v>
      </c>
      <c r="AA564" s="22" t="s">
        <v>2887</v>
      </c>
      <c r="AG564" s="94" t="s">
        <v>1169</v>
      </c>
      <c r="AH564" s="89" t="str">
        <f>VLOOKUP(AG564,Sheet1!$B$3:$D$36,2,FALSE)</f>
        <v>Decors</v>
      </c>
      <c r="AI564" s="89" t="s">
        <v>2835</v>
      </c>
      <c r="AJ564" s="1" t="str">
        <f t="shared" si="267"/>
        <v>Carl stone</v>
      </c>
      <c r="AK564" s="1" t="str">
        <f t="shared" si="268"/>
        <v>w35 x d20 x h20</v>
      </c>
      <c r="AL564" s="1" t="str">
        <f t="shared" si="269"/>
        <v>bluestone puré outdoor</v>
      </c>
      <c r="AM564" s="1" t="str">
        <f t="shared" si="270"/>
        <v>bluestone puré outdoor</v>
      </c>
      <c r="AN564" s="1" t="str">
        <f t="shared" si="289"/>
        <v xml:space="preserve">bluestone puré </v>
      </c>
      <c r="AO564" s="1" t="s">
        <v>59</v>
      </c>
      <c r="AQ564" s="1" t="str">
        <f t="shared" si="271"/>
        <v>B</v>
      </c>
      <c r="AR564" s="1" t="str">
        <f>VLOOKUP(TRIM(AI564),Sheet1!$D$3:$E$36,2,FALSE)</f>
        <v>10</v>
      </c>
      <c r="AS564" s="90" t="str">
        <f t="shared" si="272"/>
        <v>01</v>
      </c>
      <c r="AT564" s="1" t="str">
        <f t="shared" si="273"/>
        <v>01</v>
      </c>
      <c r="AU564" s="90" t="s">
        <v>1871</v>
      </c>
      <c r="AV564" s="90"/>
      <c r="AW564" s="90"/>
      <c r="AX564" s="95" t="str">
        <f>AQ564&amp;AR564&amp;AS564&amp;"-"&amp;AT564&amp;AU564&amp;BA564</f>
        <v>B1001-0104OUT</v>
      </c>
      <c r="AY564" s="99" t="str">
        <f>AQ564&amp;AR564&amp;AS564&amp;"-"&amp;AT564&amp;BA564</f>
        <v>B1001-01OUT</v>
      </c>
      <c r="AZ564" s="90"/>
      <c r="BA564" s="1" t="str">
        <f t="shared" si="274"/>
        <v>OUT</v>
      </c>
      <c r="BC564" s="1">
        <f t="shared" si="285"/>
        <v>1</v>
      </c>
      <c r="BD564" s="90">
        <f t="shared" si="286"/>
        <v>1</v>
      </c>
      <c r="BE564" s="1">
        <f t="shared" si="276"/>
        <v>1</v>
      </c>
      <c r="BF564" s="1">
        <f t="shared" si="277"/>
        <v>1</v>
      </c>
      <c r="BI564"/>
      <c r="BJ564"/>
      <c r="BL564"/>
    </row>
    <row r="565" spans="1:64" ht="11.25" customHeight="1">
      <c r="A565" s="26" t="s">
        <v>2629</v>
      </c>
      <c r="B565" s="27" t="s">
        <v>2884</v>
      </c>
      <c r="C565" s="28">
        <v>59.99</v>
      </c>
      <c r="D565" s="28">
        <f t="shared" si="265"/>
        <v>29.995000000000001</v>
      </c>
      <c r="E565" s="22" t="s">
        <v>2816</v>
      </c>
      <c r="F565" s="22" t="s">
        <v>2885</v>
      </c>
      <c r="G565" s="22" t="s">
        <v>178</v>
      </c>
      <c r="H565" s="22" t="s">
        <v>2626</v>
      </c>
      <c r="I565" s="23" t="s">
        <v>822</v>
      </c>
      <c r="J565" s="22" t="s">
        <v>670</v>
      </c>
      <c r="K565" s="23">
        <v>35</v>
      </c>
      <c r="L565" s="23">
        <v>20</v>
      </c>
      <c r="M565" s="23">
        <v>20</v>
      </c>
      <c r="N565" s="3">
        <f t="shared" si="279"/>
        <v>1.4E-2</v>
      </c>
      <c r="O565" s="4" t="e">
        <f>(C565-(C565*#REF!))-((C565-(C565*#REF!))*#REF!)</f>
        <v>#REF!</v>
      </c>
      <c r="P565" s="7"/>
      <c r="Q565" s="7"/>
      <c r="R565" s="5">
        <f t="shared" si="280"/>
        <v>0</v>
      </c>
      <c r="S565" s="4">
        <f t="shared" si="281"/>
        <v>0</v>
      </c>
      <c r="T565" s="13">
        <f t="shared" si="266"/>
        <v>41.993000000000002</v>
      </c>
      <c r="U565" s="13">
        <f t="shared" si="275"/>
        <v>20.996500000000001</v>
      </c>
      <c r="V565" s="14">
        <f>U565/C565</f>
        <v>0.35000000000000003</v>
      </c>
      <c r="W565" s="14"/>
      <c r="X565" s="19">
        <f t="shared" si="282"/>
        <v>20.996500000000001</v>
      </c>
      <c r="Y565" s="19">
        <f t="shared" si="283"/>
        <v>41.993000000000002</v>
      </c>
      <c r="Z565" s="15" t="e">
        <f t="shared" si="290"/>
        <v>#DIV/0!</v>
      </c>
      <c r="AA565" s="22" t="s">
        <v>2888</v>
      </c>
      <c r="AG565" s="94" t="s">
        <v>1169</v>
      </c>
      <c r="AH565" s="89" t="str">
        <f>VLOOKUP(AG565,Sheet1!$B$3:$D$36,2,FALSE)</f>
        <v>Decors</v>
      </c>
      <c r="AI565" s="89" t="s">
        <v>2835</v>
      </c>
      <c r="AJ565" s="1" t="str">
        <f t="shared" si="267"/>
        <v>Carl stone</v>
      </c>
      <c r="AK565" s="1" t="str">
        <f t="shared" si="268"/>
        <v>w35 x d20 x h20</v>
      </c>
      <c r="AL565" s="1" t="str">
        <f t="shared" si="269"/>
        <v>lavastone</v>
      </c>
      <c r="AM565" s="1" t="str">
        <f t="shared" si="270"/>
        <v>lavastone</v>
      </c>
      <c r="AN565" s="1" t="str">
        <f t="shared" ref="AN565:AN567" si="291">SUBSTITUTE(AL565,"indoor","")</f>
        <v>lavastone</v>
      </c>
      <c r="AQ565" s="1" t="str">
        <f t="shared" si="271"/>
        <v>B</v>
      </c>
      <c r="AR565" s="1" t="str">
        <f>VLOOKUP(TRIM(AI565),Sheet1!$D$3:$E$36,2,FALSE)</f>
        <v>10</v>
      </c>
      <c r="AS565" s="90" t="str">
        <f t="shared" si="272"/>
        <v>02</v>
      </c>
      <c r="AT565" s="1" t="str">
        <f t="shared" si="273"/>
        <v>02</v>
      </c>
      <c r="AU565" s="90" t="s">
        <v>823</v>
      </c>
      <c r="AV565" s="90"/>
      <c r="AW565" s="90"/>
      <c r="AX565" s="95" t="str">
        <f>AQ565&amp;AR565&amp;AS565&amp;"-"&amp;AT565&amp;AU565&amp;BA565</f>
        <v>B1002-0208</v>
      </c>
      <c r="AY565" s="99" t="str">
        <f>AQ565&amp;AR565&amp;AS565&amp;"-"&amp;AT565&amp;BA565</f>
        <v>B1002-02</v>
      </c>
      <c r="AZ565" s="90"/>
      <c r="BA565" s="1" t="str">
        <f t="shared" si="274"/>
        <v/>
      </c>
      <c r="BC565" s="1" t="str">
        <f t="shared" si="285"/>
        <v/>
      </c>
      <c r="BD565" s="90">
        <f t="shared" si="286"/>
        <v>2</v>
      </c>
      <c r="BE565" s="1" t="str">
        <f t="shared" si="276"/>
        <v/>
      </c>
      <c r="BF565" s="1">
        <f t="shared" si="277"/>
        <v>2</v>
      </c>
      <c r="BI565"/>
      <c r="BJ565"/>
      <c r="BL565"/>
    </row>
    <row r="566" spans="1:64" ht="11.25" customHeight="1">
      <c r="A566" s="26" t="s">
        <v>2613</v>
      </c>
      <c r="B566" s="27" t="s">
        <v>2889</v>
      </c>
      <c r="C566" s="28">
        <v>57.99</v>
      </c>
      <c r="D566" s="28">
        <f t="shared" si="265"/>
        <v>28.995000000000001</v>
      </c>
      <c r="E566" s="22" t="s">
        <v>2816</v>
      </c>
      <c r="F566" s="22" t="s">
        <v>2890</v>
      </c>
      <c r="G566" s="22" t="s">
        <v>2891</v>
      </c>
      <c r="I566" s="23" t="s">
        <v>2840</v>
      </c>
      <c r="J566" s="22" t="s">
        <v>670</v>
      </c>
      <c r="N566" s="3">
        <f t="shared" si="279"/>
        <v>0</v>
      </c>
      <c r="O566" s="4" t="e">
        <f>(C566-(C566*#REF!))-((C566-(C566*#REF!))*#REF!)</f>
        <v>#REF!</v>
      </c>
      <c r="P566" s="7"/>
      <c r="Q566" s="7"/>
      <c r="R566" s="5">
        <f t="shared" si="280"/>
        <v>0</v>
      </c>
      <c r="S566" s="4">
        <f t="shared" si="281"/>
        <v>0</v>
      </c>
      <c r="T566" s="13">
        <f t="shared" si="266"/>
        <v>40.593000000000004</v>
      </c>
      <c r="U566" s="13">
        <f t="shared" si="275"/>
        <v>20.296500000000002</v>
      </c>
      <c r="V566" s="14">
        <f>U566/C566</f>
        <v>0.35000000000000003</v>
      </c>
      <c r="W566" s="14"/>
      <c r="X566" s="19">
        <f t="shared" si="282"/>
        <v>20.296500000000002</v>
      </c>
      <c r="Y566" s="19">
        <f t="shared" si="283"/>
        <v>40.593000000000004</v>
      </c>
      <c r="Z566" s="15" t="e">
        <f t="shared" si="290"/>
        <v>#DIV/0!</v>
      </c>
      <c r="AA566" s="22" t="s">
        <v>2892</v>
      </c>
      <c r="AG566" s="94" t="s">
        <v>1169</v>
      </c>
      <c r="AH566" s="89" t="str">
        <f>VLOOKUP(AG566,Sheet1!$B$3:$D$36,2,FALSE)</f>
        <v>Decors</v>
      </c>
      <c r="AI566" s="89" t="s">
        <v>2835</v>
      </c>
      <c r="AJ566" s="1" t="str">
        <f t="shared" si="267"/>
        <v>Carl medium clear</v>
      </c>
      <c r="AK566" s="1" t="str">
        <f t="shared" si="268"/>
        <v/>
      </c>
      <c r="AL566" s="1" t="str">
        <f t="shared" si="269"/>
        <v>Clear Glass</v>
      </c>
      <c r="AM566" s="1" t="str">
        <f t="shared" si="270"/>
        <v>Clear Glass</v>
      </c>
      <c r="AN566" s="1" t="str">
        <f t="shared" si="291"/>
        <v>Clear Glass</v>
      </c>
      <c r="AQ566" s="1" t="str">
        <f t="shared" si="271"/>
        <v>B</v>
      </c>
      <c r="AR566" s="1" t="str">
        <f>VLOOKUP(TRIM(AI566),Sheet1!$D$3:$E$36,2,FALSE)</f>
        <v>10</v>
      </c>
      <c r="AS566" s="90" t="str">
        <f t="shared" si="272"/>
        <v>01</v>
      </c>
      <c r="AT566" s="1" t="str">
        <f t="shared" si="273"/>
        <v>01</v>
      </c>
      <c r="AU566" s="90" t="s">
        <v>2567</v>
      </c>
      <c r="AV566" s="90"/>
      <c r="AW566" s="90"/>
      <c r="AX566" s="95" t="str">
        <f>AQ566&amp;AR566&amp;AS566&amp;"-"&amp;AT566&amp;AU566&amp;BA566</f>
        <v>B1001-0138</v>
      </c>
      <c r="AY566" s="99" t="str">
        <f>AQ566&amp;AR566&amp;AS566&amp;"-"&amp;AT566&amp;BA566</f>
        <v>B1001-01</v>
      </c>
      <c r="AZ566" s="90"/>
      <c r="BA566" s="1" t="str">
        <f t="shared" si="274"/>
        <v/>
      </c>
      <c r="BC566" s="1">
        <f t="shared" si="285"/>
        <v>1</v>
      </c>
      <c r="BD566" s="90">
        <f t="shared" si="286"/>
        <v>1</v>
      </c>
      <c r="BE566" s="1">
        <f t="shared" si="276"/>
        <v>1</v>
      </c>
      <c r="BF566" s="1">
        <f t="shared" si="277"/>
        <v>1</v>
      </c>
      <c r="BI566"/>
      <c r="BJ566"/>
      <c r="BL566"/>
    </row>
    <row r="567" spans="1:64" ht="11.25" customHeight="1">
      <c r="A567" s="26" t="s">
        <v>2618</v>
      </c>
      <c r="B567" s="27" t="s">
        <v>2893</v>
      </c>
      <c r="C567" s="28">
        <v>78.989999999999995</v>
      </c>
      <c r="D567" s="28">
        <f t="shared" si="265"/>
        <v>39.494999999999997</v>
      </c>
      <c r="E567" s="22" t="s">
        <v>2816</v>
      </c>
      <c r="F567" s="22" t="s">
        <v>2894</v>
      </c>
      <c r="G567" s="22" t="s">
        <v>2895</v>
      </c>
      <c r="I567" s="23" t="s">
        <v>2840</v>
      </c>
      <c r="J567" s="22" t="s">
        <v>670</v>
      </c>
      <c r="N567" s="3">
        <f t="shared" si="279"/>
        <v>0</v>
      </c>
      <c r="O567" s="4" t="e">
        <f>(C567-(C567*#REF!))-((C567-(C567*#REF!))*#REF!)</f>
        <v>#REF!</v>
      </c>
      <c r="P567" s="7"/>
      <c r="Q567" s="7"/>
      <c r="R567" s="5">
        <f t="shared" si="280"/>
        <v>0</v>
      </c>
      <c r="S567" s="4">
        <f t="shared" si="281"/>
        <v>0</v>
      </c>
      <c r="T567" s="13">
        <f t="shared" si="266"/>
        <v>55.292999999999992</v>
      </c>
      <c r="U567" s="13">
        <f t="shared" si="275"/>
        <v>27.646499999999996</v>
      </c>
      <c r="V567" s="14">
        <f>U567/C567</f>
        <v>0.35</v>
      </c>
      <c r="W567" s="14"/>
      <c r="X567" s="19">
        <f t="shared" si="282"/>
        <v>27.646499999999996</v>
      </c>
      <c r="Y567" s="19">
        <f t="shared" si="283"/>
        <v>55.292999999999992</v>
      </c>
      <c r="Z567" s="15" t="e">
        <f t="shared" si="290"/>
        <v>#DIV/0!</v>
      </c>
      <c r="AA567" s="22" t="s">
        <v>2896</v>
      </c>
      <c r="AG567" s="94" t="s">
        <v>1169</v>
      </c>
      <c r="AH567" s="89" t="str">
        <f>VLOOKUP(AG567,Sheet1!$B$3:$D$36,2,FALSE)</f>
        <v>Decors</v>
      </c>
      <c r="AI567" s="89" t="s">
        <v>2835</v>
      </c>
      <c r="AJ567" s="1" t="str">
        <f t="shared" si="267"/>
        <v>Carl large clear</v>
      </c>
      <c r="AK567" s="1" t="str">
        <f t="shared" si="268"/>
        <v/>
      </c>
      <c r="AL567" s="1" t="str">
        <f t="shared" si="269"/>
        <v>Clear Glass</v>
      </c>
      <c r="AM567" s="1" t="str">
        <f t="shared" si="270"/>
        <v>Clear Glass</v>
      </c>
      <c r="AN567" s="1" t="str">
        <f t="shared" si="291"/>
        <v>Clear Glass</v>
      </c>
      <c r="AQ567" s="1" t="str">
        <f t="shared" si="271"/>
        <v>B</v>
      </c>
      <c r="AR567" s="1" t="str">
        <f>VLOOKUP(TRIM(AI567),Sheet1!$D$3:$E$36,2,FALSE)</f>
        <v>10</v>
      </c>
      <c r="AS567" s="90" t="str">
        <f t="shared" si="272"/>
        <v>01</v>
      </c>
      <c r="AT567" s="1" t="str">
        <f t="shared" si="273"/>
        <v>02</v>
      </c>
      <c r="AU567" s="90" t="s">
        <v>2567</v>
      </c>
      <c r="AV567" s="90"/>
      <c r="AW567" s="90"/>
      <c r="AX567" s="95" t="str">
        <f>AQ567&amp;AR567&amp;AS567&amp;"-"&amp;AT567&amp;AU567&amp;BA567</f>
        <v>B1001-0238</v>
      </c>
      <c r="AY567" s="99" t="str">
        <f>AQ567&amp;AR567&amp;AS567&amp;"-"&amp;AT567&amp;BA567</f>
        <v>B1001-02</v>
      </c>
      <c r="AZ567" s="90"/>
      <c r="BA567" s="1" t="str">
        <f t="shared" si="274"/>
        <v/>
      </c>
      <c r="BC567" s="1">
        <f t="shared" si="285"/>
        <v>1</v>
      </c>
      <c r="BD567" s="90">
        <f t="shared" si="286"/>
        <v>1</v>
      </c>
      <c r="BE567" s="1" t="str">
        <f t="shared" si="276"/>
        <v/>
      </c>
      <c r="BF567" s="1">
        <f t="shared" si="277"/>
        <v>2</v>
      </c>
      <c r="BI567"/>
      <c r="BJ567"/>
      <c r="BL567"/>
    </row>
    <row r="568" spans="1:64" ht="11.25" customHeight="1">
      <c r="A568" s="26" t="s">
        <v>2897</v>
      </c>
      <c r="B568" s="27" t="s">
        <v>2898</v>
      </c>
      <c r="C568" s="28">
        <v>149.99</v>
      </c>
      <c r="D568" s="28">
        <f t="shared" si="265"/>
        <v>74.995000000000005</v>
      </c>
      <c r="E568" s="22" t="s">
        <v>2816</v>
      </c>
      <c r="F568" s="22" t="s">
        <v>2899</v>
      </c>
      <c r="G568" s="22" t="s">
        <v>488</v>
      </c>
      <c r="H568" s="22" t="s">
        <v>2900</v>
      </c>
      <c r="I568" s="23" t="s">
        <v>2866</v>
      </c>
      <c r="J568" s="22" t="s">
        <v>670</v>
      </c>
      <c r="K568" s="23">
        <v>50</v>
      </c>
      <c r="L568" s="23">
        <v>50</v>
      </c>
      <c r="M568" s="23">
        <v>8</v>
      </c>
      <c r="N568" s="3">
        <f t="shared" si="279"/>
        <v>0.02</v>
      </c>
      <c r="O568" s="4" t="e">
        <f>(C568-(C568*#REF!))-((C568-(C568*#REF!))*#REF!)</f>
        <v>#REF!</v>
      </c>
      <c r="P568" s="7"/>
      <c r="Q568" s="7"/>
      <c r="R568" s="5">
        <f t="shared" si="280"/>
        <v>0</v>
      </c>
      <c r="S568" s="4">
        <f t="shared" si="281"/>
        <v>0</v>
      </c>
      <c r="T568" s="13">
        <f t="shared" si="266"/>
        <v>104.99300000000001</v>
      </c>
      <c r="U568" s="13">
        <f t="shared" si="275"/>
        <v>52.496500000000005</v>
      </c>
      <c r="V568" s="14">
        <f>U568/C568</f>
        <v>0.35000000000000003</v>
      </c>
      <c r="W568" s="14"/>
      <c r="X568" s="19">
        <f t="shared" si="282"/>
        <v>52.496500000000005</v>
      </c>
      <c r="Y568" s="19">
        <f t="shared" si="283"/>
        <v>104.99300000000001</v>
      </c>
      <c r="Z568" s="15" t="e">
        <f t="shared" si="290"/>
        <v>#DIV/0!</v>
      </c>
      <c r="AA568" s="22" t="s">
        <v>2901</v>
      </c>
      <c r="AG568" s="94" t="s">
        <v>1169</v>
      </c>
      <c r="AH568" s="89" t="str">
        <f>VLOOKUP(AG568,Sheet1!$B$3:$D$36,2,FALSE)</f>
        <v>Decors</v>
      </c>
      <c r="AI568" s="89" t="s">
        <v>2835</v>
      </c>
      <c r="AJ568" s="1" t="str">
        <f t="shared" si="267"/>
        <v>Mason plate lavastone</v>
      </c>
      <c r="AK568" s="1" t="str">
        <f t="shared" si="268"/>
        <v>w50 x d50 x h8</v>
      </c>
      <c r="AL568" s="1" t="str">
        <f t="shared" si="269"/>
        <v>lavastone outdoor</v>
      </c>
      <c r="AM568" s="1" t="str">
        <f t="shared" si="270"/>
        <v>lavastone outdoor</v>
      </c>
      <c r="AN568" s="1" t="str">
        <f t="shared" ref="AN568:AN576" si="292">SUBSTITUTE(AL568,"outdoor","")</f>
        <v xml:space="preserve">lavastone </v>
      </c>
      <c r="AO568" s="1" t="s">
        <v>59</v>
      </c>
      <c r="AQ568" s="1" t="str">
        <f t="shared" si="271"/>
        <v>B</v>
      </c>
      <c r="AR568" s="1" t="str">
        <f>VLOOKUP(TRIM(AI568),Sheet1!$D$3:$E$36,2,FALSE)</f>
        <v>10</v>
      </c>
      <c r="AS568" s="90" t="str">
        <f t="shared" si="272"/>
        <v>01</v>
      </c>
      <c r="AT568" s="1" t="str">
        <f t="shared" si="273"/>
        <v>01</v>
      </c>
      <c r="AU568" s="90" t="s">
        <v>823</v>
      </c>
      <c r="AV568" s="90"/>
      <c r="AW568" s="90"/>
      <c r="AX568" s="95" t="str">
        <f>AQ568&amp;AR568&amp;AS568&amp;"-"&amp;AT568&amp;AU568&amp;BA568</f>
        <v>B1001-0108OUT</v>
      </c>
      <c r="AY568" s="99" t="str">
        <f>AQ568&amp;AR568&amp;AS568&amp;"-"&amp;AT568&amp;BA568</f>
        <v>B1001-01OUT</v>
      </c>
      <c r="AZ568" s="90"/>
      <c r="BA568" s="1" t="str">
        <f t="shared" si="274"/>
        <v>OUT</v>
      </c>
      <c r="BC568" s="1">
        <f t="shared" si="285"/>
        <v>1</v>
      </c>
      <c r="BD568" s="90">
        <f t="shared" si="286"/>
        <v>1</v>
      </c>
      <c r="BE568" s="1">
        <f t="shared" si="276"/>
        <v>1</v>
      </c>
      <c r="BF568" s="1">
        <f t="shared" si="277"/>
        <v>1</v>
      </c>
      <c r="BI568"/>
      <c r="BJ568"/>
      <c r="BL568"/>
    </row>
    <row r="569" spans="1:64" ht="11.25" customHeight="1">
      <c r="A569" s="26" t="s">
        <v>2902</v>
      </c>
      <c r="B569" s="27" t="s">
        <v>2898</v>
      </c>
      <c r="C569" s="28">
        <v>189.99</v>
      </c>
      <c r="D569" s="28">
        <f t="shared" si="265"/>
        <v>94.995000000000005</v>
      </c>
      <c r="E569" s="22" t="s">
        <v>2816</v>
      </c>
      <c r="F569" s="22" t="s">
        <v>2903</v>
      </c>
      <c r="G569" s="22" t="s">
        <v>488</v>
      </c>
      <c r="H569" s="22" t="s">
        <v>2904</v>
      </c>
      <c r="I569" s="23" t="s">
        <v>2866</v>
      </c>
      <c r="J569" s="22" t="s">
        <v>670</v>
      </c>
      <c r="K569" s="23">
        <v>62</v>
      </c>
      <c r="L569" s="23">
        <v>62</v>
      </c>
      <c r="M569" s="23">
        <v>8</v>
      </c>
      <c r="N569" s="3">
        <f t="shared" si="279"/>
        <v>3.0752000000000002E-2</v>
      </c>
      <c r="O569" s="4" t="e">
        <f>(C569-(C569*#REF!))-((C569-(C569*#REF!))*#REF!)</f>
        <v>#REF!</v>
      </c>
      <c r="P569" s="7"/>
      <c r="Q569" s="7"/>
      <c r="R569" s="5">
        <f t="shared" si="280"/>
        <v>0</v>
      </c>
      <c r="S569" s="4">
        <f t="shared" si="281"/>
        <v>0</v>
      </c>
      <c r="T569" s="13">
        <f t="shared" si="266"/>
        <v>132.99299999999999</v>
      </c>
      <c r="U569" s="13">
        <f t="shared" si="275"/>
        <v>66.496499999999997</v>
      </c>
      <c r="V569" s="14">
        <f>U569/C569</f>
        <v>0.35</v>
      </c>
      <c r="W569" s="14"/>
      <c r="X569" s="19">
        <f t="shared" si="282"/>
        <v>66.496499999999997</v>
      </c>
      <c r="Y569" s="19">
        <f t="shared" si="283"/>
        <v>132.99299999999999</v>
      </c>
      <c r="Z569" s="15" t="e">
        <f t="shared" si="290"/>
        <v>#DIV/0!</v>
      </c>
      <c r="AA569" s="22" t="s">
        <v>2905</v>
      </c>
      <c r="AG569" s="94" t="s">
        <v>1169</v>
      </c>
      <c r="AH569" s="89" t="str">
        <f>VLOOKUP(AG569,Sheet1!$B$3:$D$36,2,FALSE)</f>
        <v>Decors</v>
      </c>
      <c r="AI569" s="89" t="s">
        <v>2835</v>
      </c>
      <c r="AJ569" s="1" t="str">
        <f t="shared" si="267"/>
        <v>Mason plate lavastone</v>
      </c>
      <c r="AK569" s="1" t="str">
        <f t="shared" si="268"/>
        <v>w62 x d62 x h8</v>
      </c>
      <c r="AL569" s="1" t="str">
        <f t="shared" si="269"/>
        <v>lavastone outdoor</v>
      </c>
      <c r="AM569" s="1" t="str">
        <f t="shared" si="270"/>
        <v>lavastone outdoor</v>
      </c>
      <c r="AN569" s="1" t="str">
        <f t="shared" si="292"/>
        <v xml:space="preserve">lavastone </v>
      </c>
      <c r="AO569" s="1" t="s">
        <v>59</v>
      </c>
      <c r="AQ569" s="1" t="str">
        <f t="shared" si="271"/>
        <v>B</v>
      </c>
      <c r="AR569" s="1" t="str">
        <f>VLOOKUP(TRIM(AI569),Sheet1!$D$3:$E$36,2,FALSE)</f>
        <v>10</v>
      </c>
      <c r="AS569" s="90" t="str">
        <f t="shared" si="272"/>
        <v>02</v>
      </c>
      <c r="AT569" s="1" t="str">
        <f t="shared" si="273"/>
        <v>01</v>
      </c>
      <c r="AU569" s="90" t="s">
        <v>823</v>
      </c>
      <c r="AV569" s="90"/>
      <c r="AW569" s="90"/>
      <c r="AX569" s="95" t="str">
        <f>AQ569&amp;AR569&amp;AS569&amp;"-"&amp;AT569&amp;AU569&amp;BA569</f>
        <v>B1002-0108OUT</v>
      </c>
      <c r="AY569" s="99" t="str">
        <f>AQ569&amp;AR569&amp;AS569&amp;"-"&amp;AT569&amp;BA569</f>
        <v>B1002-01OUT</v>
      </c>
      <c r="AZ569" s="90"/>
      <c r="BA569" s="1" t="str">
        <f t="shared" si="274"/>
        <v>OUT</v>
      </c>
      <c r="BC569" s="1" t="str">
        <f t="shared" si="285"/>
        <v/>
      </c>
      <c r="BD569" s="90">
        <f t="shared" si="286"/>
        <v>2</v>
      </c>
      <c r="BE569" s="1">
        <f t="shared" si="276"/>
        <v>1</v>
      </c>
      <c r="BF569" s="1">
        <f t="shared" si="277"/>
        <v>1</v>
      </c>
      <c r="BI569"/>
      <c r="BJ569"/>
      <c r="BL569"/>
    </row>
    <row r="570" spans="1:64" ht="11.25" customHeight="1">
      <c r="A570" s="26" t="s">
        <v>2906</v>
      </c>
      <c r="B570" s="27" t="s">
        <v>2907</v>
      </c>
      <c r="D570" s="28">
        <f t="shared" si="265"/>
        <v>0</v>
      </c>
      <c r="E570" s="22" t="s">
        <v>2816</v>
      </c>
      <c r="F570" s="22" t="s">
        <v>2908</v>
      </c>
      <c r="G570" s="22" t="s">
        <v>2909</v>
      </c>
      <c r="H570" s="22" t="s">
        <v>2910</v>
      </c>
      <c r="I570" s="23" t="s">
        <v>2911</v>
      </c>
      <c r="J570" s="22" t="s">
        <v>646</v>
      </c>
      <c r="K570" s="23">
        <v>15</v>
      </c>
      <c r="L570" s="23">
        <v>15</v>
      </c>
      <c r="M570" s="23">
        <v>40</v>
      </c>
      <c r="N570" s="3">
        <f t="shared" si="279"/>
        <v>8.9999999999999993E-3</v>
      </c>
      <c r="O570" s="4" t="e">
        <f>(C570-(C570*#REF!))-((C570-(C570*#REF!))*#REF!)</f>
        <v>#REF!</v>
      </c>
      <c r="P570" s="7"/>
      <c r="Q570" s="7"/>
      <c r="R570" s="5">
        <f t="shared" si="280"/>
        <v>0</v>
      </c>
      <c r="S570" s="4">
        <f t="shared" si="281"/>
        <v>0</v>
      </c>
      <c r="T570" s="13">
        <f t="shared" si="266"/>
        <v>0</v>
      </c>
      <c r="U570" s="13">
        <f t="shared" si="275"/>
        <v>0</v>
      </c>
      <c r="V570" s="14" t="e">
        <f>U570/C570</f>
        <v>#DIV/0!</v>
      </c>
      <c r="W570" s="14"/>
      <c r="X570" s="19">
        <f t="shared" si="282"/>
        <v>0</v>
      </c>
      <c r="Y570" s="19">
        <f t="shared" si="283"/>
        <v>0</v>
      </c>
      <c r="Z570" s="15" t="e">
        <f t="shared" si="290"/>
        <v>#DIV/0!</v>
      </c>
      <c r="AA570" s="22" t="s">
        <v>2912</v>
      </c>
      <c r="AG570" s="94" t="s">
        <v>1169</v>
      </c>
      <c r="AH570" s="89" t="str">
        <f>VLOOKUP(AG570,Sheet1!$B$3:$D$36,2,FALSE)</f>
        <v>Decors</v>
      </c>
      <c r="AI570" s="89" t="s">
        <v>2835</v>
      </c>
      <c r="AJ570" s="1" t="str">
        <f t="shared" si="267"/>
        <v>Mustaka multi cultural</v>
      </c>
      <c r="AK570" s="1" t="str">
        <f t="shared" si="268"/>
        <v>w15 x d15 x h40</v>
      </c>
      <c r="AL570" s="1" t="str">
        <f t="shared" si="269"/>
        <v>lavastone + rustic rust
outdoor</v>
      </c>
      <c r="AM570" s="1" t="str">
        <f t="shared" si="270"/>
        <v>lavastone + rustic rust
outdoor</v>
      </c>
      <c r="AN570" s="1" t="str">
        <f t="shared" si="292"/>
        <v xml:space="preserve">lavastone + rustic rust
</v>
      </c>
      <c r="AO570" s="1" t="s">
        <v>59</v>
      </c>
      <c r="AQ570" s="1" t="str">
        <f t="shared" si="271"/>
        <v>B</v>
      </c>
      <c r="AR570" s="1" t="str">
        <f>VLOOKUP(TRIM(AI570),Sheet1!$D$3:$E$36,2,FALSE)</f>
        <v>10</v>
      </c>
      <c r="AS570" s="90" t="str">
        <f t="shared" si="272"/>
        <v>01</v>
      </c>
      <c r="AT570" s="1" t="str">
        <f t="shared" si="273"/>
        <v>01</v>
      </c>
      <c r="AU570" s="90" t="s">
        <v>823</v>
      </c>
      <c r="AV570" s="90"/>
      <c r="AW570" s="90"/>
      <c r="AX570" s="95" t="str">
        <f>AQ570&amp;AR570&amp;AS570&amp;"-"&amp;AT570&amp;AU570&amp;BA570</f>
        <v>B1001-0108OUT</v>
      </c>
      <c r="AY570" s="99" t="str">
        <f>AQ570&amp;AR570&amp;AS570&amp;"-"&amp;AT570&amp;BA570</f>
        <v>B1001-01OUT</v>
      </c>
      <c r="AZ570" s="90"/>
      <c r="BA570" s="1" t="str">
        <f t="shared" si="274"/>
        <v>OUT</v>
      </c>
      <c r="BC570" s="1">
        <f t="shared" si="285"/>
        <v>1</v>
      </c>
      <c r="BD570" s="90">
        <f t="shared" si="286"/>
        <v>1</v>
      </c>
      <c r="BE570" s="1">
        <f t="shared" si="276"/>
        <v>1</v>
      </c>
      <c r="BF570" s="1">
        <f t="shared" si="277"/>
        <v>1</v>
      </c>
      <c r="BI570"/>
      <c r="BJ570"/>
      <c r="BL570"/>
    </row>
    <row r="571" spans="1:64" ht="11.25" customHeight="1">
      <c r="A571" s="26" t="s">
        <v>2913</v>
      </c>
      <c r="B571" s="27" t="s">
        <v>2914</v>
      </c>
      <c r="C571" s="28">
        <v>30.99</v>
      </c>
      <c r="D571" s="28">
        <f t="shared" si="265"/>
        <v>15.494999999999999</v>
      </c>
      <c r="E571" s="22" t="s">
        <v>2816</v>
      </c>
      <c r="F571" s="22" t="s">
        <v>2915</v>
      </c>
      <c r="G571" s="22" t="s">
        <v>241</v>
      </c>
      <c r="H571" s="22" t="s">
        <v>2916</v>
      </c>
      <c r="I571" s="23" t="s">
        <v>2866</v>
      </c>
      <c r="J571" s="22" t="s">
        <v>670</v>
      </c>
      <c r="L571" s="23">
        <v>32</v>
      </c>
      <c r="M571" s="23">
        <v>5</v>
      </c>
      <c r="N571" s="3">
        <f t="shared" si="279"/>
        <v>5.1200000000000004E-3</v>
      </c>
      <c r="O571" s="4" t="e">
        <f>(C571-(C571*#REF!))-((C571-(C571*#REF!))*#REF!)</f>
        <v>#REF!</v>
      </c>
      <c r="P571" s="7"/>
      <c r="Q571" s="7"/>
      <c r="R571" s="5">
        <f t="shared" si="280"/>
        <v>0</v>
      </c>
      <c r="S571" s="4">
        <f t="shared" si="281"/>
        <v>0</v>
      </c>
      <c r="T571" s="13">
        <f t="shared" si="266"/>
        <v>21.692999999999998</v>
      </c>
      <c r="U571" s="13">
        <f t="shared" si="275"/>
        <v>10.846499999999999</v>
      </c>
      <c r="V571" s="14">
        <f>U571/C571</f>
        <v>0.35</v>
      </c>
      <c r="W571" s="14"/>
      <c r="X571" s="19">
        <f t="shared" si="282"/>
        <v>10.846499999999999</v>
      </c>
      <c r="Y571" s="19">
        <f t="shared" si="283"/>
        <v>21.692999999999998</v>
      </c>
      <c r="Z571" s="15" t="e">
        <f t="shared" si="290"/>
        <v>#DIV/0!</v>
      </c>
      <c r="AA571" s="22" t="s">
        <v>2917</v>
      </c>
      <c r="AG571" s="94" t="s">
        <v>1169</v>
      </c>
      <c r="AH571" s="89" t="str">
        <f>VLOOKUP(AG571,Sheet1!$B$3:$D$36,2,FALSE)</f>
        <v>Decors</v>
      </c>
      <c r="AI571" s="89" t="s">
        <v>2835</v>
      </c>
      <c r="AJ571" s="1" t="str">
        <f t="shared" si="267"/>
        <v>Erik plate lavastone</v>
      </c>
      <c r="AK571" s="1" t="str">
        <f t="shared" si="268"/>
        <v>ø32 x h5</v>
      </c>
      <c r="AL571" s="1" t="str">
        <f t="shared" si="269"/>
        <v>lavastone outdoor</v>
      </c>
      <c r="AM571" s="1" t="str">
        <f t="shared" si="270"/>
        <v>lavastone outdoor</v>
      </c>
      <c r="AN571" s="1" t="str">
        <f t="shared" si="292"/>
        <v xml:space="preserve">lavastone </v>
      </c>
      <c r="AO571" s="1" t="s">
        <v>59</v>
      </c>
      <c r="AQ571" s="1" t="str">
        <f t="shared" si="271"/>
        <v>B</v>
      </c>
      <c r="AR571" s="1" t="str">
        <f>VLOOKUP(TRIM(AI571),Sheet1!$D$3:$E$36,2,FALSE)</f>
        <v>10</v>
      </c>
      <c r="AS571" s="90" t="str">
        <f t="shared" si="272"/>
        <v>01</v>
      </c>
      <c r="AT571" s="1" t="str">
        <f t="shared" si="273"/>
        <v>01</v>
      </c>
      <c r="AU571" s="90" t="s">
        <v>823</v>
      </c>
      <c r="AV571" s="90"/>
      <c r="AW571" s="90"/>
      <c r="AX571" s="95" t="str">
        <f>AQ571&amp;AR571&amp;AS571&amp;"-"&amp;AT571&amp;AU571&amp;BA571</f>
        <v>B1001-0108OUT</v>
      </c>
      <c r="AY571" s="99" t="str">
        <f>AQ571&amp;AR571&amp;AS571&amp;"-"&amp;AT571&amp;BA571</f>
        <v>B1001-01OUT</v>
      </c>
      <c r="AZ571" s="90"/>
      <c r="BA571" s="1" t="str">
        <f t="shared" si="274"/>
        <v>OUT</v>
      </c>
      <c r="BC571" s="1">
        <f t="shared" si="285"/>
        <v>1</v>
      </c>
      <c r="BD571" s="90">
        <f t="shared" si="286"/>
        <v>1</v>
      </c>
      <c r="BE571" s="1">
        <f t="shared" si="276"/>
        <v>1</v>
      </c>
      <c r="BF571" s="1">
        <f t="shared" si="277"/>
        <v>1</v>
      </c>
      <c r="BI571"/>
      <c r="BJ571"/>
      <c r="BL571"/>
    </row>
    <row r="572" spans="1:64" ht="11.25" customHeight="1">
      <c r="A572" s="26" t="s">
        <v>2918</v>
      </c>
      <c r="B572" s="27" t="s">
        <v>2914</v>
      </c>
      <c r="C572" s="28">
        <v>91.99</v>
      </c>
      <c r="D572" s="28">
        <f t="shared" si="265"/>
        <v>45.994999999999997</v>
      </c>
      <c r="E572" s="22" t="s">
        <v>2816</v>
      </c>
      <c r="F572" s="22" t="s">
        <v>2919</v>
      </c>
      <c r="G572" s="22" t="s">
        <v>241</v>
      </c>
      <c r="H572" s="22" t="s">
        <v>2920</v>
      </c>
      <c r="I572" s="23" t="s">
        <v>2866</v>
      </c>
      <c r="J572" s="22" t="s">
        <v>670</v>
      </c>
      <c r="L572" s="23">
        <v>42</v>
      </c>
      <c r="M572" s="23">
        <v>8</v>
      </c>
      <c r="N572" s="3">
        <f t="shared" si="279"/>
        <v>1.4112E-2</v>
      </c>
      <c r="O572" s="4" t="e">
        <f>(C572-(C572*#REF!))-((C572-(C572*#REF!))*#REF!)</f>
        <v>#REF!</v>
      </c>
      <c r="P572" s="7"/>
      <c r="Q572" s="7"/>
      <c r="R572" s="5">
        <f t="shared" si="280"/>
        <v>0</v>
      </c>
      <c r="S572" s="4">
        <f t="shared" si="281"/>
        <v>0</v>
      </c>
      <c r="T572" s="13">
        <f t="shared" si="266"/>
        <v>64.393000000000001</v>
      </c>
      <c r="U572" s="13">
        <f t="shared" si="275"/>
        <v>32.1965</v>
      </c>
      <c r="V572" s="14">
        <f>U572/C572</f>
        <v>0.35000000000000003</v>
      </c>
      <c r="W572" s="14"/>
      <c r="X572" s="19">
        <f t="shared" si="282"/>
        <v>32.1965</v>
      </c>
      <c r="Y572" s="19">
        <f t="shared" si="283"/>
        <v>64.393000000000001</v>
      </c>
      <c r="Z572" s="15" t="e">
        <f t="shared" si="290"/>
        <v>#DIV/0!</v>
      </c>
      <c r="AA572" s="22" t="s">
        <v>2917</v>
      </c>
      <c r="AG572" s="94" t="s">
        <v>1169</v>
      </c>
      <c r="AH572" s="89" t="str">
        <f>VLOOKUP(AG572,Sheet1!$B$3:$D$36,2,FALSE)</f>
        <v>Decors</v>
      </c>
      <c r="AI572" s="89" t="s">
        <v>2835</v>
      </c>
      <c r="AJ572" s="1" t="str">
        <f t="shared" si="267"/>
        <v>Erik plate lavastone</v>
      </c>
      <c r="AK572" s="1" t="str">
        <f t="shared" si="268"/>
        <v>ø42 x h8</v>
      </c>
      <c r="AL572" s="1" t="str">
        <f t="shared" si="269"/>
        <v>lavastone outdoor</v>
      </c>
      <c r="AM572" s="1" t="str">
        <f t="shared" si="270"/>
        <v>lavastone outdoor</v>
      </c>
      <c r="AN572" s="1" t="str">
        <f t="shared" si="292"/>
        <v xml:space="preserve">lavastone </v>
      </c>
      <c r="AO572" s="1" t="s">
        <v>59</v>
      </c>
      <c r="AQ572" s="1" t="str">
        <f t="shared" si="271"/>
        <v>B</v>
      </c>
      <c r="AR572" s="1" t="str">
        <f>VLOOKUP(TRIM(AI572),Sheet1!$D$3:$E$36,2,FALSE)</f>
        <v>10</v>
      </c>
      <c r="AS572" s="90" t="str">
        <f t="shared" si="272"/>
        <v>02</v>
      </c>
      <c r="AT572" s="1" t="str">
        <f t="shared" si="273"/>
        <v>01</v>
      </c>
      <c r="AU572" s="90" t="s">
        <v>823</v>
      </c>
      <c r="AV572" s="90"/>
      <c r="AW572" s="90"/>
      <c r="AX572" s="95" t="str">
        <f>AQ572&amp;AR572&amp;AS572&amp;"-"&amp;AT572&amp;AU572&amp;BA572</f>
        <v>B1002-0108OUT</v>
      </c>
      <c r="AY572" s="99" t="str">
        <f>AQ572&amp;AR572&amp;AS572&amp;"-"&amp;AT572&amp;BA572</f>
        <v>B1002-01OUT</v>
      </c>
      <c r="AZ572" s="90"/>
      <c r="BA572" s="1" t="str">
        <f t="shared" si="274"/>
        <v>OUT</v>
      </c>
      <c r="BC572" s="1" t="str">
        <f t="shared" si="285"/>
        <v/>
      </c>
      <c r="BD572" s="90">
        <f t="shared" si="286"/>
        <v>2</v>
      </c>
      <c r="BE572" s="1">
        <f t="shared" si="276"/>
        <v>1</v>
      </c>
      <c r="BF572" s="1">
        <f t="shared" si="277"/>
        <v>1</v>
      </c>
      <c r="BI572"/>
      <c r="BJ572"/>
      <c r="BL572"/>
    </row>
    <row r="573" spans="1:64" ht="11.25" customHeight="1">
      <c r="A573" s="26" t="s">
        <v>2921</v>
      </c>
      <c r="B573" s="27" t="s">
        <v>2914</v>
      </c>
      <c r="C573" s="28">
        <v>176.99</v>
      </c>
      <c r="D573" s="28">
        <f t="shared" si="265"/>
        <v>88.495000000000005</v>
      </c>
      <c r="E573" s="22" t="s">
        <v>2816</v>
      </c>
      <c r="F573" s="22" t="s">
        <v>2922</v>
      </c>
      <c r="G573" s="22" t="s">
        <v>241</v>
      </c>
      <c r="H573" s="22" t="s">
        <v>2923</v>
      </c>
      <c r="I573" s="23" t="s">
        <v>2866</v>
      </c>
      <c r="J573" s="22" t="s">
        <v>670</v>
      </c>
      <c r="L573" s="23">
        <v>52</v>
      </c>
      <c r="M573" s="23">
        <v>8</v>
      </c>
      <c r="N573" s="3">
        <f t="shared" si="279"/>
        <v>2.1631999999999998E-2</v>
      </c>
      <c r="O573" s="4" t="e">
        <f>(C573-(C573*#REF!))-((C573-(C573*#REF!))*#REF!)</f>
        <v>#REF!</v>
      </c>
      <c r="P573" s="7"/>
      <c r="Q573" s="7"/>
      <c r="R573" s="5">
        <f t="shared" si="280"/>
        <v>0</v>
      </c>
      <c r="S573" s="4">
        <f t="shared" si="281"/>
        <v>0</v>
      </c>
      <c r="T573" s="13">
        <f t="shared" si="266"/>
        <v>123.893</v>
      </c>
      <c r="U573" s="13">
        <f t="shared" si="275"/>
        <v>61.9465</v>
      </c>
      <c r="V573" s="14">
        <f>U573/C573</f>
        <v>0.35</v>
      </c>
      <c r="W573" s="14"/>
      <c r="X573" s="19">
        <f t="shared" si="282"/>
        <v>61.9465</v>
      </c>
      <c r="Y573" s="19">
        <f t="shared" si="283"/>
        <v>123.893</v>
      </c>
      <c r="Z573" s="15" t="e">
        <f t="shared" si="290"/>
        <v>#DIV/0!</v>
      </c>
      <c r="AA573" s="22" t="s">
        <v>2917</v>
      </c>
      <c r="AG573" s="94" t="s">
        <v>1169</v>
      </c>
      <c r="AH573" s="89" t="str">
        <f>VLOOKUP(AG573,Sheet1!$B$3:$D$36,2,FALSE)</f>
        <v>Decors</v>
      </c>
      <c r="AI573" s="89" t="s">
        <v>2835</v>
      </c>
      <c r="AJ573" s="1" t="str">
        <f t="shared" si="267"/>
        <v>Erik plate lavastone</v>
      </c>
      <c r="AK573" s="1" t="str">
        <f t="shared" si="268"/>
        <v>ø52 x h8</v>
      </c>
      <c r="AL573" s="1" t="str">
        <f t="shared" si="269"/>
        <v>lavastone outdoor</v>
      </c>
      <c r="AM573" s="1" t="str">
        <f t="shared" si="270"/>
        <v>lavastone outdoor</v>
      </c>
      <c r="AN573" s="1" t="str">
        <f t="shared" si="292"/>
        <v xml:space="preserve">lavastone </v>
      </c>
      <c r="AO573" s="1" t="s">
        <v>59</v>
      </c>
      <c r="AQ573" s="1" t="str">
        <f t="shared" si="271"/>
        <v>B</v>
      </c>
      <c r="AR573" s="1" t="str">
        <f>VLOOKUP(TRIM(AI573),Sheet1!$D$3:$E$36,2,FALSE)</f>
        <v>10</v>
      </c>
      <c r="AS573" s="90" t="str">
        <f t="shared" si="272"/>
        <v>03</v>
      </c>
      <c r="AT573" s="1" t="str">
        <f t="shared" si="273"/>
        <v>01</v>
      </c>
      <c r="AU573" s="90" t="s">
        <v>823</v>
      </c>
      <c r="AV573" s="90"/>
      <c r="AW573" s="90"/>
      <c r="AX573" s="95" t="str">
        <f>AQ573&amp;AR573&amp;AS573&amp;"-"&amp;AT573&amp;AU573&amp;BA573</f>
        <v>B1003-0108OUT</v>
      </c>
      <c r="AY573" s="99" t="str">
        <f>AQ573&amp;AR573&amp;AS573&amp;"-"&amp;AT573&amp;BA573</f>
        <v>B1003-01OUT</v>
      </c>
      <c r="AZ573" s="90"/>
      <c r="BA573" s="1" t="str">
        <f t="shared" si="274"/>
        <v>OUT</v>
      </c>
      <c r="BC573" s="1" t="str">
        <f t="shared" si="285"/>
        <v/>
      </c>
      <c r="BD573" s="90">
        <f t="shared" si="286"/>
        <v>3</v>
      </c>
      <c r="BE573" s="1">
        <f t="shared" si="276"/>
        <v>1</v>
      </c>
      <c r="BF573" s="1">
        <f t="shared" si="277"/>
        <v>1</v>
      </c>
      <c r="BI573"/>
      <c r="BJ573"/>
      <c r="BL573"/>
    </row>
    <row r="574" spans="1:64" ht="11.25" customHeight="1">
      <c r="A574" s="26" t="s">
        <v>2924</v>
      </c>
      <c r="B574" s="27" t="s">
        <v>2914</v>
      </c>
      <c r="C574" s="28">
        <v>205.99</v>
      </c>
      <c r="D574" s="28">
        <f t="shared" si="265"/>
        <v>102.995</v>
      </c>
      <c r="E574" s="22" t="s">
        <v>2816</v>
      </c>
      <c r="F574" s="22" t="s">
        <v>2925</v>
      </c>
      <c r="G574" s="22" t="s">
        <v>241</v>
      </c>
      <c r="H574" s="22" t="s">
        <v>2926</v>
      </c>
      <c r="I574" s="23" t="s">
        <v>2866</v>
      </c>
      <c r="J574" s="22" t="s">
        <v>670</v>
      </c>
      <c r="L574" s="23">
        <v>62</v>
      </c>
      <c r="M574" s="23">
        <v>8</v>
      </c>
      <c r="N574" s="3">
        <f t="shared" si="279"/>
        <v>3.0752000000000002E-2</v>
      </c>
      <c r="O574" s="4" t="e">
        <f>(C574-(C574*#REF!))-((C574-(C574*#REF!))*#REF!)</f>
        <v>#REF!</v>
      </c>
      <c r="P574" s="7"/>
      <c r="Q574" s="7"/>
      <c r="R574" s="5">
        <f t="shared" si="280"/>
        <v>0</v>
      </c>
      <c r="S574" s="4">
        <f t="shared" si="281"/>
        <v>0</v>
      </c>
      <c r="T574" s="13">
        <f t="shared" si="266"/>
        <v>144.19300000000001</v>
      </c>
      <c r="U574" s="13">
        <f t="shared" si="275"/>
        <v>72.096500000000006</v>
      </c>
      <c r="V574" s="14">
        <f>U574/C574</f>
        <v>0.35000000000000003</v>
      </c>
      <c r="W574" s="14"/>
      <c r="X574" s="19">
        <f t="shared" si="282"/>
        <v>72.096500000000006</v>
      </c>
      <c r="Y574" s="19">
        <f t="shared" si="283"/>
        <v>144.19300000000001</v>
      </c>
      <c r="Z574" s="15" t="e">
        <f t="shared" si="290"/>
        <v>#DIV/0!</v>
      </c>
      <c r="AA574" s="22" t="s">
        <v>2927</v>
      </c>
      <c r="AG574" s="94" t="s">
        <v>1169</v>
      </c>
      <c r="AH574" s="89" t="str">
        <f>VLOOKUP(AG574,Sheet1!$B$3:$D$36,2,FALSE)</f>
        <v>Decors</v>
      </c>
      <c r="AI574" s="89" t="s">
        <v>2835</v>
      </c>
      <c r="AJ574" s="1" t="str">
        <f t="shared" si="267"/>
        <v>Erik plate lavastone</v>
      </c>
      <c r="AK574" s="1" t="str">
        <f t="shared" si="268"/>
        <v>ø62 x h8</v>
      </c>
      <c r="AL574" s="1" t="str">
        <f t="shared" si="269"/>
        <v>lavastone outdoor</v>
      </c>
      <c r="AM574" s="1" t="str">
        <f t="shared" si="270"/>
        <v>lavastone outdoor</v>
      </c>
      <c r="AN574" s="1" t="str">
        <f t="shared" si="292"/>
        <v xml:space="preserve">lavastone </v>
      </c>
      <c r="AO574" s="1" t="s">
        <v>59</v>
      </c>
      <c r="AQ574" s="1" t="str">
        <f t="shared" si="271"/>
        <v>B</v>
      </c>
      <c r="AR574" s="1" t="str">
        <f>VLOOKUP(TRIM(AI574),Sheet1!$D$3:$E$36,2,FALSE)</f>
        <v>10</v>
      </c>
      <c r="AS574" s="90" t="str">
        <f t="shared" si="272"/>
        <v>04</v>
      </c>
      <c r="AT574" s="1" t="str">
        <f t="shared" si="273"/>
        <v>01</v>
      </c>
      <c r="AU574" s="90" t="s">
        <v>823</v>
      </c>
      <c r="AV574" s="90"/>
      <c r="AW574" s="90"/>
      <c r="AX574" s="95" t="str">
        <f>AQ574&amp;AR574&amp;AS574&amp;"-"&amp;AT574&amp;AU574&amp;BA574</f>
        <v>B1004-0108OUT</v>
      </c>
      <c r="AY574" s="99" t="str">
        <f>AQ574&amp;AR574&amp;AS574&amp;"-"&amp;AT574&amp;BA574</f>
        <v>B1004-01OUT</v>
      </c>
      <c r="AZ574" s="90"/>
      <c r="BA574" s="1" t="str">
        <f t="shared" si="274"/>
        <v>OUT</v>
      </c>
      <c r="BC574" s="1" t="str">
        <f t="shared" si="285"/>
        <v/>
      </c>
      <c r="BD574" s="90">
        <f t="shared" si="286"/>
        <v>4</v>
      </c>
      <c r="BE574" s="1">
        <f t="shared" si="276"/>
        <v>1</v>
      </c>
      <c r="BF574" s="1">
        <f t="shared" si="277"/>
        <v>1</v>
      </c>
      <c r="BI574"/>
      <c r="BJ574"/>
      <c r="BL574"/>
    </row>
    <row r="575" spans="1:64" ht="11.25" customHeight="1">
      <c r="A575" s="26" t="s">
        <v>2928</v>
      </c>
      <c r="B575" s="27" t="s">
        <v>2914</v>
      </c>
      <c r="C575" s="28">
        <v>291.99</v>
      </c>
      <c r="D575" s="28">
        <f t="shared" si="265"/>
        <v>145.995</v>
      </c>
      <c r="E575" s="22" t="s">
        <v>2816</v>
      </c>
      <c r="F575" s="22" t="s">
        <v>2929</v>
      </c>
      <c r="G575" s="22" t="s">
        <v>241</v>
      </c>
      <c r="H575" s="22" t="s">
        <v>2930</v>
      </c>
      <c r="I575" s="23" t="s">
        <v>2866</v>
      </c>
      <c r="J575" s="22" t="s">
        <v>670</v>
      </c>
      <c r="L575" s="23">
        <v>72</v>
      </c>
      <c r="M575" s="23">
        <v>8</v>
      </c>
      <c r="N575" s="3">
        <f t="shared" si="279"/>
        <v>4.1472000000000002E-2</v>
      </c>
      <c r="O575" s="4" t="e">
        <f>(C575-(C575*#REF!))-((C575-(C575*#REF!))*#REF!)</f>
        <v>#REF!</v>
      </c>
      <c r="P575" s="7"/>
      <c r="Q575" s="7"/>
      <c r="R575" s="5">
        <f t="shared" si="280"/>
        <v>0</v>
      </c>
      <c r="S575" s="4">
        <f t="shared" si="281"/>
        <v>0</v>
      </c>
      <c r="T575" s="13">
        <f t="shared" si="266"/>
        <v>204.39300000000003</v>
      </c>
      <c r="U575" s="13">
        <f t="shared" si="275"/>
        <v>102.19650000000001</v>
      </c>
      <c r="V575" s="14">
        <f>U575/C575</f>
        <v>0.35000000000000003</v>
      </c>
      <c r="W575" s="14"/>
      <c r="X575" s="19">
        <f t="shared" si="282"/>
        <v>102.19650000000001</v>
      </c>
      <c r="Y575" s="19">
        <f t="shared" si="283"/>
        <v>204.39300000000003</v>
      </c>
      <c r="Z575" s="15" t="e">
        <f t="shared" si="290"/>
        <v>#DIV/0!</v>
      </c>
      <c r="AA575" s="22" t="s">
        <v>2931</v>
      </c>
      <c r="AG575" s="94" t="s">
        <v>1169</v>
      </c>
      <c r="AH575" s="89" t="str">
        <f>VLOOKUP(AG575,Sheet1!$B$3:$D$36,2,FALSE)</f>
        <v>Decors</v>
      </c>
      <c r="AI575" s="89" t="s">
        <v>2835</v>
      </c>
      <c r="AJ575" s="1" t="str">
        <f t="shared" si="267"/>
        <v>Erik plate lavastone</v>
      </c>
      <c r="AK575" s="1" t="str">
        <f t="shared" si="268"/>
        <v>ø72 x h8</v>
      </c>
      <c r="AL575" s="1" t="str">
        <f t="shared" si="269"/>
        <v>lavastone outdoor</v>
      </c>
      <c r="AM575" s="1" t="str">
        <f t="shared" si="270"/>
        <v>lavastone outdoor</v>
      </c>
      <c r="AN575" s="1" t="str">
        <f t="shared" si="292"/>
        <v xml:space="preserve">lavastone </v>
      </c>
      <c r="AO575" s="1" t="s">
        <v>59</v>
      </c>
      <c r="AQ575" s="1" t="str">
        <f t="shared" si="271"/>
        <v>B</v>
      </c>
      <c r="AR575" s="1" t="str">
        <f>VLOOKUP(TRIM(AI575),Sheet1!$D$3:$E$36,2,FALSE)</f>
        <v>10</v>
      </c>
      <c r="AS575" s="90" t="str">
        <f t="shared" si="272"/>
        <v>05</v>
      </c>
      <c r="AT575" s="1" t="str">
        <f t="shared" si="273"/>
        <v>01</v>
      </c>
      <c r="AU575" s="90" t="s">
        <v>823</v>
      </c>
      <c r="AV575" s="90"/>
      <c r="AW575" s="90"/>
      <c r="AX575" s="95" t="str">
        <f>AQ575&amp;AR575&amp;AS575&amp;"-"&amp;AT575&amp;AU575&amp;BA575</f>
        <v>B1005-0108OUT</v>
      </c>
      <c r="AY575" s="99" t="str">
        <f>AQ575&amp;AR575&amp;AS575&amp;"-"&amp;AT575&amp;BA575</f>
        <v>B1005-01OUT</v>
      </c>
      <c r="AZ575" s="90"/>
      <c r="BA575" s="1" t="str">
        <f t="shared" si="274"/>
        <v>OUT</v>
      </c>
      <c r="BC575" s="1" t="str">
        <f t="shared" si="285"/>
        <v/>
      </c>
      <c r="BD575" s="90">
        <f t="shared" si="286"/>
        <v>5</v>
      </c>
      <c r="BE575" s="1">
        <f t="shared" si="276"/>
        <v>1</v>
      </c>
      <c r="BF575" s="1">
        <f t="shared" si="277"/>
        <v>1</v>
      </c>
      <c r="BI575"/>
      <c r="BJ575"/>
      <c r="BL575"/>
    </row>
    <row r="576" spans="1:64" ht="11.25" customHeight="1">
      <c r="A576" s="26" t="s">
        <v>2932</v>
      </c>
      <c r="B576" s="27" t="s">
        <v>2933</v>
      </c>
      <c r="C576" s="28">
        <v>44.99</v>
      </c>
      <c r="D576" s="28">
        <f t="shared" si="265"/>
        <v>22.495000000000001</v>
      </c>
      <c r="E576" s="22" t="s">
        <v>2816</v>
      </c>
      <c r="F576" s="22" t="s">
        <v>2934</v>
      </c>
      <c r="G576" s="22" t="s">
        <v>2935</v>
      </c>
      <c r="H576" s="22" t="s">
        <v>2936</v>
      </c>
      <c r="I576" s="23" t="s">
        <v>2866</v>
      </c>
      <c r="J576" s="22" t="s">
        <v>670</v>
      </c>
      <c r="K576" s="23">
        <v>15</v>
      </c>
      <c r="L576" s="23">
        <v>15</v>
      </c>
      <c r="M576" s="23">
        <v>20</v>
      </c>
      <c r="N576" s="3">
        <f t="shared" si="279"/>
        <v>4.4999999999999997E-3</v>
      </c>
      <c r="O576" s="4" t="e">
        <f>(C576-(C576*#REF!))-((C576-(C576*#REF!))*#REF!)</f>
        <v>#REF!</v>
      </c>
      <c r="P576" s="7"/>
      <c r="Q576" s="7">
        <v>350000</v>
      </c>
      <c r="R576" s="5">
        <f>P576+Q576</f>
        <v>350000</v>
      </c>
      <c r="S576" s="4">
        <f t="shared" si="281"/>
        <v>23.333333333333332</v>
      </c>
      <c r="T576" s="13">
        <f t="shared" si="266"/>
        <v>31.493000000000002</v>
      </c>
      <c r="U576" s="13">
        <f t="shared" si="275"/>
        <v>15.746500000000001</v>
      </c>
      <c r="V576" s="14">
        <f>U576/C576</f>
        <v>0.35000000000000003</v>
      </c>
      <c r="W576" s="18">
        <f>S576*1.5</f>
        <v>35</v>
      </c>
      <c r="X576" s="19">
        <f t="shared" si="282"/>
        <v>35</v>
      </c>
      <c r="Y576" s="19">
        <f t="shared" si="283"/>
        <v>70</v>
      </c>
      <c r="Z576" s="15">
        <v>2</v>
      </c>
      <c r="AA576" s="22" t="s">
        <v>2937</v>
      </c>
      <c r="AG576" s="94" t="s">
        <v>1169</v>
      </c>
      <c r="AH576" s="89" t="str">
        <f>VLOOKUP(AG576,Sheet1!$B$3:$D$36,2,FALSE)</f>
        <v>Decors</v>
      </c>
      <c r="AI576" s="89" t="s">
        <v>2835</v>
      </c>
      <c r="AJ576" s="1" t="str">
        <f t="shared" si="267"/>
        <v>Mod</v>
      </c>
      <c r="AK576" s="1" t="str">
        <f t="shared" si="268"/>
        <v>w15 x d15 x h20</v>
      </c>
      <c r="AL576" s="1" t="str">
        <f t="shared" si="269"/>
        <v>lavastone outdoor</v>
      </c>
      <c r="AM576" s="1" t="str">
        <f t="shared" si="270"/>
        <v>lavastone outdoor</v>
      </c>
      <c r="AN576" s="1" t="str">
        <f t="shared" si="292"/>
        <v xml:space="preserve">lavastone </v>
      </c>
      <c r="AO576" s="1" t="s">
        <v>59</v>
      </c>
      <c r="AQ576" s="1" t="str">
        <f t="shared" si="271"/>
        <v>B</v>
      </c>
      <c r="AR576" s="1" t="str">
        <f>VLOOKUP(TRIM(AI576),Sheet1!$D$3:$E$36,2,FALSE)</f>
        <v>10</v>
      </c>
      <c r="AS576" s="90" t="str">
        <f t="shared" si="272"/>
        <v>01</v>
      </c>
      <c r="AT576" s="1" t="str">
        <f t="shared" si="273"/>
        <v>01</v>
      </c>
      <c r="AU576" s="90" t="s">
        <v>823</v>
      </c>
      <c r="AV576" s="90"/>
      <c r="AW576" s="90"/>
      <c r="AX576" s="95" t="str">
        <f>AQ576&amp;AR576&amp;AS576&amp;"-"&amp;AT576&amp;AU576&amp;BA576</f>
        <v>B1001-0108OUT</v>
      </c>
      <c r="AY576" s="99" t="str">
        <f>AQ576&amp;AR576&amp;AS576&amp;"-"&amp;AT576&amp;BA576</f>
        <v>B1001-01OUT</v>
      </c>
      <c r="AZ576" s="90"/>
      <c r="BA576" s="1" t="str">
        <f t="shared" si="274"/>
        <v>OUT</v>
      </c>
      <c r="BC576" s="1">
        <f t="shared" si="285"/>
        <v>1</v>
      </c>
      <c r="BD576" s="90">
        <f t="shared" si="286"/>
        <v>1</v>
      </c>
      <c r="BE576" s="1">
        <f t="shared" si="276"/>
        <v>1</v>
      </c>
      <c r="BF576" s="1">
        <f t="shared" si="277"/>
        <v>1</v>
      </c>
      <c r="BI576"/>
      <c r="BJ576"/>
      <c r="BL576"/>
    </row>
    <row r="577" spans="1:64" ht="11.25" customHeight="1">
      <c r="A577" s="26" t="s">
        <v>2938</v>
      </c>
      <c r="B577" s="27" t="s">
        <v>2939</v>
      </c>
      <c r="C577" s="28">
        <v>60.99</v>
      </c>
      <c r="D577" s="28">
        <f t="shared" si="265"/>
        <v>30.495000000000001</v>
      </c>
      <c r="E577" s="22" t="s">
        <v>2816</v>
      </c>
      <c r="F577" s="22" t="s">
        <v>2940</v>
      </c>
      <c r="G577" s="22" t="s">
        <v>2941</v>
      </c>
      <c r="H577" s="22" t="s">
        <v>2942</v>
      </c>
      <c r="I577" s="23" t="s">
        <v>2943</v>
      </c>
      <c r="J577" s="22" t="s">
        <v>646</v>
      </c>
      <c r="K577" s="23">
        <v>15</v>
      </c>
      <c r="L577" s="23">
        <v>20</v>
      </c>
      <c r="M577" s="23">
        <v>50</v>
      </c>
      <c r="N577" s="3">
        <f t="shared" si="279"/>
        <v>1.4999999999999999E-2</v>
      </c>
      <c r="O577" s="4" t="e">
        <f>(C577-(C577*#REF!))-((C577-(C577*#REF!))*#REF!)</f>
        <v>#REF!</v>
      </c>
      <c r="P577" s="7"/>
      <c r="Q577" s="7"/>
      <c r="R577" s="5">
        <f t="shared" si="280"/>
        <v>0</v>
      </c>
      <c r="S577" s="4">
        <f t="shared" si="281"/>
        <v>0</v>
      </c>
      <c r="T577" s="13">
        <f t="shared" si="266"/>
        <v>42.692999999999998</v>
      </c>
      <c r="U577" s="13">
        <f t="shared" si="275"/>
        <v>21.346499999999999</v>
      </c>
      <c r="V577" s="14">
        <f>U577/C577</f>
        <v>0.35</v>
      </c>
      <c r="W577" s="14"/>
      <c r="X577" s="19">
        <f t="shared" si="282"/>
        <v>21.346499999999999</v>
      </c>
      <c r="Y577" s="19">
        <f t="shared" si="283"/>
        <v>42.692999999999998</v>
      </c>
      <c r="Z577" s="15" t="e">
        <f>U577/S577</f>
        <v>#DIV/0!</v>
      </c>
      <c r="AA577" s="22" t="s">
        <v>2944</v>
      </c>
      <c r="AG577" s="94" t="s">
        <v>1169</v>
      </c>
      <c r="AH577" s="89" t="str">
        <f>VLOOKUP(AG577,Sheet1!$B$3:$D$36,2,FALSE)</f>
        <v>Decors</v>
      </c>
      <c r="AI577" s="89" t="s">
        <v>2835</v>
      </c>
      <c r="AJ577" s="1" t="str">
        <f t="shared" si="267"/>
        <v>Hetz</v>
      </c>
      <c r="AK577" s="1" t="str">
        <f t="shared" si="268"/>
        <v>w15 x d20 x h50</v>
      </c>
      <c r="AL577" s="1" t="str">
        <f t="shared" si="269"/>
        <v>teak root semi</v>
      </c>
      <c r="AM577" s="1" t="str">
        <f t="shared" si="270"/>
        <v>teak root semi</v>
      </c>
      <c r="AN577" s="1" t="str">
        <f t="shared" ref="AN577:AN580" si="293">SUBSTITUTE(AL577,"indoor","")</f>
        <v>teak root semi</v>
      </c>
      <c r="AQ577" s="1" t="str">
        <f t="shared" si="271"/>
        <v>B</v>
      </c>
      <c r="AR577" s="1" t="str">
        <f>VLOOKUP(TRIM(AI577),Sheet1!$D$3:$E$36,2,FALSE)</f>
        <v>10</v>
      </c>
      <c r="AS577" s="90" t="str">
        <f t="shared" si="272"/>
        <v>01</v>
      </c>
      <c r="AT577" s="1" t="str">
        <f t="shared" si="273"/>
        <v>01</v>
      </c>
      <c r="AU577" s="90" t="s">
        <v>648</v>
      </c>
      <c r="AV577" s="90"/>
      <c r="AW577" s="90"/>
      <c r="AX577" s="95" t="str">
        <f>AQ577&amp;AR577&amp;AS577&amp;"-"&amp;AT577&amp;AU577&amp;BA577</f>
        <v>B1001-0132</v>
      </c>
      <c r="AY577" s="99" t="str">
        <f>AQ577&amp;AR577&amp;AS577&amp;"-"&amp;AT577&amp;BA577</f>
        <v>B1001-01</v>
      </c>
      <c r="AZ577" s="90"/>
      <c r="BA577" s="1" t="str">
        <f t="shared" si="274"/>
        <v/>
      </c>
      <c r="BC577" s="1">
        <f t="shared" si="285"/>
        <v>1</v>
      </c>
      <c r="BD577" s="90">
        <f t="shared" si="286"/>
        <v>1</v>
      </c>
      <c r="BE577" s="1">
        <f t="shared" si="276"/>
        <v>1</v>
      </c>
      <c r="BF577" s="1">
        <f t="shared" si="277"/>
        <v>1</v>
      </c>
      <c r="BI577"/>
      <c r="BJ577"/>
      <c r="BL577"/>
    </row>
    <row r="578" spans="1:64" ht="11.25" customHeight="1">
      <c r="A578" s="26" t="s">
        <v>2945</v>
      </c>
      <c r="B578" s="27" t="s">
        <v>2946</v>
      </c>
      <c r="D578" s="28">
        <f t="shared" si="265"/>
        <v>0</v>
      </c>
      <c r="E578" s="22" t="s">
        <v>2816</v>
      </c>
      <c r="F578" s="22" t="s">
        <v>2947</v>
      </c>
      <c r="G578" s="22" t="s">
        <v>2948</v>
      </c>
      <c r="H578" s="22" t="s">
        <v>2949</v>
      </c>
      <c r="I578" s="23" t="s">
        <v>2950</v>
      </c>
      <c r="J578" s="22" t="s">
        <v>646</v>
      </c>
      <c r="K578" s="23">
        <v>65</v>
      </c>
      <c r="L578" s="23">
        <v>80</v>
      </c>
      <c r="M578" s="23">
        <v>157</v>
      </c>
      <c r="N578" s="3">
        <f t="shared" si="279"/>
        <v>0.81640000000000001</v>
      </c>
      <c r="O578" s="4" t="e">
        <f>(C578-(C578*#REF!))-((C578-(C578*#REF!))*#REF!)</f>
        <v>#REF!</v>
      </c>
      <c r="P578" s="7">
        <f>273029.412748667-Q578</f>
        <v>73029.412748667004</v>
      </c>
      <c r="Q578" s="7">
        <v>200000</v>
      </c>
      <c r="R578" s="5">
        <f t="shared" si="280"/>
        <v>273029.412748667</v>
      </c>
      <c r="S578" s="4">
        <f t="shared" si="281"/>
        <v>18.201960849911135</v>
      </c>
      <c r="T578" s="13">
        <f t="shared" si="266"/>
        <v>0</v>
      </c>
      <c r="U578" s="13">
        <f t="shared" si="275"/>
        <v>0</v>
      </c>
      <c r="V578" s="14" t="e">
        <f>U578/C578</f>
        <v>#DIV/0!</v>
      </c>
      <c r="W578" s="18">
        <f>S578*$W$1</f>
        <v>36.40392169982227</v>
      </c>
      <c r="X578" s="19">
        <f t="shared" si="282"/>
        <v>36.40392169982227</v>
      </c>
      <c r="Y578" s="19">
        <f t="shared" si="283"/>
        <v>72.80784339964454</v>
      </c>
      <c r="Z578" s="15">
        <v>2</v>
      </c>
      <c r="AA578" s="22" t="s">
        <v>2951</v>
      </c>
      <c r="AG578" s="94" t="s">
        <v>1169</v>
      </c>
      <c r="AH578" s="89" t="str">
        <f>VLOOKUP(AG578,Sheet1!$B$3:$D$36,2,FALSE)</f>
        <v>Decors</v>
      </c>
      <c r="AI578" s="89" t="s">
        <v>2835</v>
      </c>
      <c r="AJ578" s="1" t="str">
        <f t="shared" si="267"/>
        <v>Jim hanging ladder</v>
      </c>
      <c r="AK578" s="1" t="str">
        <f t="shared" si="268"/>
        <v>w65 x d80 x h157</v>
      </c>
      <c r="AL578" s="1" t="str">
        <f t="shared" si="269"/>
        <v>teak branches semi</v>
      </c>
      <c r="AM578" s="1" t="str">
        <f t="shared" si="270"/>
        <v>teak branches semi</v>
      </c>
      <c r="AN578" s="1" t="str">
        <f t="shared" si="293"/>
        <v>teak branches semi</v>
      </c>
      <c r="AQ578" s="1" t="str">
        <f t="shared" si="271"/>
        <v>B</v>
      </c>
      <c r="AR578" s="1" t="str">
        <f>VLOOKUP(TRIM(AI578),Sheet1!$D$3:$E$36,2,FALSE)</f>
        <v>10</v>
      </c>
      <c r="AS578" s="90" t="str">
        <f t="shared" si="272"/>
        <v>01</v>
      </c>
      <c r="AT578" s="1" t="str">
        <f t="shared" si="273"/>
        <v>01</v>
      </c>
      <c r="AU578" s="90" t="s">
        <v>664</v>
      </c>
      <c r="AV578" s="90"/>
      <c r="AW578" s="90"/>
      <c r="AX578" s="95" t="str">
        <f>AQ578&amp;AR578&amp;AS578&amp;"-"&amp;AT578&amp;AU578&amp;BA578</f>
        <v>B1001-0127</v>
      </c>
      <c r="AY578" s="99" t="str">
        <f>AQ578&amp;AR578&amp;AS578&amp;"-"&amp;AT578&amp;BA578</f>
        <v>B1001-01</v>
      </c>
      <c r="AZ578" s="90"/>
      <c r="BA578" s="1" t="str">
        <f t="shared" si="274"/>
        <v/>
      </c>
      <c r="BC578" s="1">
        <f t="shared" si="285"/>
        <v>1</v>
      </c>
      <c r="BD578" s="90">
        <f t="shared" si="286"/>
        <v>1</v>
      </c>
      <c r="BE578" s="1">
        <f t="shared" si="276"/>
        <v>1</v>
      </c>
      <c r="BF578" s="1">
        <f t="shared" si="277"/>
        <v>1</v>
      </c>
      <c r="BI578"/>
      <c r="BJ578"/>
      <c r="BL578"/>
    </row>
    <row r="579" spans="1:64" ht="11.25" customHeight="1">
      <c r="A579" s="26" t="s">
        <v>2952</v>
      </c>
      <c r="B579" s="27" t="s">
        <v>2953</v>
      </c>
      <c r="D579" s="28">
        <f t="shared" si="265"/>
        <v>0</v>
      </c>
      <c r="E579" s="22" t="s">
        <v>2816</v>
      </c>
      <c r="F579" s="22" t="s">
        <v>2947</v>
      </c>
      <c r="G579" s="22" t="s">
        <v>2954</v>
      </c>
      <c r="H579" s="22" t="s">
        <v>2949</v>
      </c>
      <c r="I579" s="23" t="s">
        <v>2955</v>
      </c>
      <c r="J579" s="22" t="s">
        <v>646</v>
      </c>
      <c r="K579" s="23">
        <v>65</v>
      </c>
      <c r="L579" s="23">
        <v>80</v>
      </c>
      <c r="M579" s="23">
        <v>157</v>
      </c>
      <c r="N579" s="3">
        <f t="shared" si="279"/>
        <v>0.81640000000000001</v>
      </c>
      <c r="O579" s="4" t="e">
        <f>(C579-(C579*#REF!))-((C579-(C579*#REF!))*#REF!)</f>
        <v>#REF!</v>
      </c>
      <c r="P579" s="7"/>
      <c r="Q579" s="7"/>
      <c r="R579" s="5">
        <f t="shared" si="280"/>
        <v>0</v>
      </c>
      <c r="S579" s="4">
        <f t="shared" si="281"/>
        <v>0</v>
      </c>
      <c r="T579" s="13">
        <f t="shared" si="266"/>
        <v>0</v>
      </c>
      <c r="U579" s="13">
        <f t="shared" si="275"/>
        <v>0</v>
      </c>
      <c r="V579" s="14" t="e">
        <f>U579/C579</f>
        <v>#DIV/0!</v>
      </c>
      <c r="W579" s="14"/>
      <c r="X579" s="19">
        <f t="shared" si="282"/>
        <v>0</v>
      </c>
      <c r="Y579" s="19">
        <f t="shared" si="283"/>
        <v>0</v>
      </c>
      <c r="Z579" s="15" t="e">
        <f>U579/S579</f>
        <v>#DIV/0!</v>
      </c>
      <c r="AA579" s="22" t="s">
        <v>2956</v>
      </c>
      <c r="AG579" s="94" t="s">
        <v>1169</v>
      </c>
      <c r="AH579" s="89" t="str">
        <f>VLOOKUP(AG579,Sheet1!$B$3:$D$36,2,FALSE)</f>
        <v>Decors</v>
      </c>
      <c r="AI579" s="89" t="s">
        <v>2835</v>
      </c>
      <c r="AJ579" s="1" t="str">
        <f t="shared" si="267"/>
        <v>Jim standing ladder</v>
      </c>
      <c r="AK579" s="1" t="str">
        <f t="shared" si="268"/>
        <v>w65 x d80 x h157</v>
      </c>
      <c r="AL579" s="1" t="str">
        <f t="shared" si="269"/>
        <v>teak branches
semi</v>
      </c>
      <c r="AM579" s="1" t="str">
        <f t="shared" si="270"/>
        <v>teak branches
semi</v>
      </c>
      <c r="AN579" s="1" t="str">
        <f t="shared" si="293"/>
        <v>teak branches
semi</v>
      </c>
      <c r="AQ579" s="1" t="str">
        <f t="shared" si="271"/>
        <v>B</v>
      </c>
      <c r="AR579" s="1" t="str">
        <f>VLOOKUP(TRIM(AI579),Sheet1!$D$3:$E$36,2,FALSE)</f>
        <v>10</v>
      </c>
      <c r="AS579" s="90" t="str">
        <f t="shared" si="272"/>
        <v>01</v>
      </c>
      <c r="AT579" s="1" t="str">
        <f t="shared" si="273"/>
        <v>02</v>
      </c>
      <c r="AU579" s="90" t="s">
        <v>664</v>
      </c>
      <c r="AV579" s="90"/>
      <c r="AW579" s="90"/>
      <c r="AX579" s="95" t="str">
        <f>AQ579&amp;AR579&amp;AS579&amp;"-"&amp;AT579&amp;AU579&amp;BA579</f>
        <v>B1001-0227</v>
      </c>
      <c r="AY579" s="99" t="str">
        <f>AQ579&amp;AR579&amp;AS579&amp;"-"&amp;AT579&amp;BA579</f>
        <v>B1001-02</v>
      </c>
      <c r="AZ579" s="90"/>
      <c r="BA579" s="1" t="str">
        <f t="shared" si="274"/>
        <v/>
      </c>
      <c r="BC579" s="1">
        <f t="shared" si="285"/>
        <v>1</v>
      </c>
      <c r="BD579" s="90">
        <f t="shared" si="286"/>
        <v>1</v>
      </c>
      <c r="BE579" s="1" t="str">
        <f t="shared" si="276"/>
        <v/>
      </c>
      <c r="BF579" s="1">
        <f t="shared" si="277"/>
        <v>2</v>
      </c>
      <c r="BI579"/>
      <c r="BJ579"/>
      <c r="BL579"/>
    </row>
    <row r="580" spans="1:64" ht="11.25" customHeight="1">
      <c r="A580" s="26" t="s">
        <v>2957</v>
      </c>
      <c r="B580" s="27" t="s">
        <v>2958</v>
      </c>
      <c r="C580" s="28">
        <v>179.99</v>
      </c>
      <c r="D580" s="28">
        <f t="shared" si="265"/>
        <v>89.995000000000005</v>
      </c>
      <c r="E580" s="22" t="s">
        <v>2816</v>
      </c>
      <c r="F580" s="22" t="s">
        <v>2959</v>
      </c>
      <c r="G580" s="22" t="s">
        <v>2960</v>
      </c>
      <c r="H580" s="22" t="s">
        <v>2961</v>
      </c>
      <c r="I580" s="23" t="s">
        <v>2950</v>
      </c>
      <c r="J580" s="22" t="s">
        <v>646</v>
      </c>
      <c r="K580" s="23">
        <v>40</v>
      </c>
      <c r="L580" s="23">
        <v>40</v>
      </c>
      <c r="M580" s="23">
        <v>17</v>
      </c>
      <c r="N580" s="3">
        <f t="shared" si="279"/>
        <v>2.7199999999999998E-2</v>
      </c>
      <c r="O580" s="4" t="e">
        <f>(C580-(C580*#REF!))-((C580-(C580*#REF!))*#REF!)</f>
        <v>#REF!</v>
      </c>
      <c r="P580" s="7"/>
      <c r="Q580" s="7"/>
      <c r="R580" s="5">
        <f t="shared" si="280"/>
        <v>0</v>
      </c>
      <c r="S580" s="4">
        <f t="shared" si="281"/>
        <v>0</v>
      </c>
      <c r="T580" s="13">
        <f t="shared" si="266"/>
        <v>125.99300000000001</v>
      </c>
      <c r="U580" s="13">
        <f t="shared" si="275"/>
        <v>62.996500000000005</v>
      </c>
      <c r="V580" s="14">
        <f>U580/C580</f>
        <v>0.35000000000000003</v>
      </c>
      <c r="W580" s="14"/>
      <c r="X580" s="19">
        <f t="shared" si="282"/>
        <v>62.996500000000005</v>
      </c>
      <c r="Y580" s="19">
        <f t="shared" si="283"/>
        <v>125.99300000000001</v>
      </c>
      <c r="Z580" s="15" t="e">
        <f>U580/S580</f>
        <v>#DIV/0!</v>
      </c>
      <c r="AA580" s="22" t="s">
        <v>2962</v>
      </c>
      <c r="AG580" s="94" t="s">
        <v>1169</v>
      </c>
      <c r="AH580" s="89" t="str">
        <f>VLOOKUP(AG580,Sheet1!$B$3:$D$36,2,FALSE)</f>
        <v>Decors</v>
      </c>
      <c r="AI580" s="89" t="s">
        <v>2835</v>
      </c>
      <c r="AJ580" s="1" t="str">
        <f t="shared" si="267"/>
        <v>Bond hat holder</v>
      </c>
      <c r="AK580" s="1" t="str">
        <f t="shared" si="268"/>
        <v>w40 x d40 x h17</v>
      </c>
      <c r="AL580" s="1" t="str">
        <f t="shared" si="269"/>
        <v>teak branches semi</v>
      </c>
      <c r="AM580" s="1" t="str">
        <f t="shared" si="270"/>
        <v>teak branches semi</v>
      </c>
      <c r="AN580" s="1" t="str">
        <f t="shared" si="293"/>
        <v>teak branches semi</v>
      </c>
      <c r="AQ580" s="1" t="str">
        <f t="shared" si="271"/>
        <v>B</v>
      </c>
      <c r="AR580" s="1" t="str">
        <f>VLOOKUP(TRIM(AI580),Sheet1!$D$3:$E$36,2,FALSE)</f>
        <v>10</v>
      </c>
      <c r="AS580" s="90" t="str">
        <f t="shared" si="272"/>
        <v>01</v>
      </c>
      <c r="AT580" s="1" t="str">
        <f t="shared" si="273"/>
        <v>01</v>
      </c>
      <c r="AU580" s="90" t="s">
        <v>664</v>
      </c>
      <c r="AV580" s="90"/>
      <c r="AW580" s="90"/>
      <c r="AX580" s="95" t="str">
        <f>AQ580&amp;AR580&amp;AS580&amp;"-"&amp;AT580&amp;AU580&amp;BA580</f>
        <v>B1001-0127</v>
      </c>
      <c r="AY580" s="99" t="str">
        <f>AQ580&amp;AR580&amp;AS580&amp;"-"&amp;AT580&amp;BA580</f>
        <v>B1001-01</v>
      </c>
      <c r="AZ580" s="90"/>
      <c r="BA580" s="1" t="str">
        <f t="shared" si="274"/>
        <v/>
      </c>
      <c r="BC580" s="1">
        <f t="shared" si="285"/>
        <v>1</v>
      </c>
      <c r="BD580" s="90">
        <f t="shared" si="286"/>
        <v>1</v>
      </c>
      <c r="BE580" s="1">
        <f t="shared" si="276"/>
        <v>1</v>
      </c>
      <c r="BF580" s="1">
        <f t="shared" si="277"/>
        <v>1</v>
      </c>
      <c r="BI580"/>
      <c r="BJ580"/>
      <c r="BL580"/>
    </row>
    <row r="581" spans="1:64" ht="11.25" customHeight="1">
      <c r="A581" s="26" t="s">
        <v>2963</v>
      </c>
      <c r="B581" s="27" t="s">
        <v>2964</v>
      </c>
      <c r="C581" s="28">
        <v>206.99</v>
      </c>
      <c r="D581" s="28">
        <f t="shared" ref="D581:D644" si="294">C581*$D$1</f>
        <v>103.495</v>
      </c>
      <c r="E581" s="22" t="s">
        <v>2816</v>
      </c>
      <c r="F581" s="22" t="s">
        <v>2965</v>
      </c>
      <c r="G581" s="22" t="s">
        <v>2966</v>
      </c>
      <c r="H581" s="22" t="s">
        <v>2967</v>
      </c>
      <c r="I581" s="23" t="s">
        <v>2407</v>
      </c>
      <c r="J581" s="22" t="s">
        <v>646</v>
      </c>
      <c r="L581" s="23">
        <v>30</v>
      </c>
      <c r="M581" s="23">
        <v>200</v>
      </c>
      <c r="N581" s="3">
        <f t="shared" si="279"/>
        <v>0.18</v>
      </c>
      <c r="O581" s="4" t="e">
        <f>(C581-(C581*#REF!))-((C581-(C581*#REF!))*#REF!)</f>
        <v>#REF!</v>
      </c>
      <c r="P581" s="7"/>
      <c r="Q581" s="7"/>
      <c r="R581" s="5">
        <f t="shared" si="280"/>
        <v>0</v>
      </c>
      <c r="S581" s="4">
        <f t="shared" si="281"/>
        <v>0</v>
      </c>
      <c r="T581" s="13">
        <f t="shared" ref="T581:T644" si="295">C581-(C581*$T$1)</f>
        <v>144.893</v>
      </c>
      <c r="U581" s="13">
        <f t="shared" si="275"/>
        <v>72.4465</v>
      </c>
      <c r="V581" s="14">
        <f>U581/C581</f>
        <v>0.35</v>
      </c>
      <c r="W581" s="14"/>
      <c r="X581" s="19">
        <f t="shared" si="282"/>
        <v>72.4465</v>
      </c>
      <c r="Y581" s="19">
        <f t="shared" si="283"/>
        <v>144.893</v>
      </c>
      <c r="Z581" s="15" t="e">
        <f>U581/S581</f>
        <v>#DIV/0!</v>
      </c>
      <c r="AA581" s="22" t="s">
        <v>2968</v>
      </c>
      <c r="AG581" s="94" t="s">
        <v>1169</v>
      </c>
      <c r="AH581" s="89" t="str">
        <f>VLOOKUP(AG581,Sheet1!$B$3:$D$36,2,FALSE)</f>
        <v>Decors</v>
      </c>
      <c r="AI581" s="89" t="s">
        <v>2835</v>
      </c>
      <c r="AJ581" s="1" t="str">
        <f t="shared" ref="AJ581:AJ644" si="296">G581</f>
        <v>Conama coat holder</v>
      </c>
      <c r="AK581" s="1" t="str">
        <f t="shared" ref="AK581:AK644" si="297">TRIM(H581)</f>
        <v>ø30 x h200</v>
      </c>
      <c r="AL581" s="1" t="str">
        <f t="shared" ref="AL581:AL644" si="298">I581</f>
        <v>teak root indoor</v>
      </c>
      <c r="AM581" s="1" t="str">
        <f t="shared" ref="AM581:AM644" si="299">I581</f>
        <v>teak root indoor</v>
      </c>
      <c r="AN581" s="1" t="str">
        <f>SUBSTITUTE(AL581,"indoor","")</f>
        <v xml:space="preserve">teak root </v>
      </c>
      <c r="AO581" s="1" t="s">
        <v>54</v>
      </c>
      <c r="AQ581" s="1" t="str">
        <f t="shared" ref="AQ581:AQ644" si="300">IF(TRIM(AG581)="01","A",IF(TRIM(AG581)="02","B",IF(TRIM(AG581)="03","C",IF(TRIM(AG581)="04","D",IF(TRIM(AG581)="05","E","F")))))</f>
        <v>B</v>
      </c>
      <c r="AR581" s="1" t="str">
        <f>VLOOKUP(TRIM(AI581),Sheet1!$D$3:$E$36,2,FALSE)</f>
        <v>10</v>
      </c>
      <c r="AS581" s="90" t="str">
        <f t="shared" ref="AS581:AS644" si="301">IF(LEN(BD581)=1,"0"&amp;BD581,BD581)</f>
        <v>01</v>
      </c>
      <c r="AT581" s="1" t="str">
        <f t="shared" ref="AT581:AT644" si="302">IF(LEN(BF581)=1,"0"&amp;BF581,BF581)</f>
        <v>01</v>
      </c>
      <c r="AU581" s="90" t="s">
        <v>648</v>
      </c>
      <c r="AV581" s="90"/>
      <c r="AW581" s="90"/>
      <c r="AX581" s="95" t="str">
        <f>AQ581&amp;AR581&amp;AS581&amp;"-"&amp;AT581&amp;AU581&amp;BA581</f>
        <v>B1001-0132IND</v>
      </c>
      <c r="AY581" s="99" t="str">
        <f>AQ581&amp;AR581&amp;AS581&amp;"-"&amp;AT581&amp;BA581</f>
        <v>B1001-01IND</v>
      </c>
      <c r="AZ581" s="90"/>
      <c r="BA581" s="1" t="str">
        <f t="shared" ref="BA581:BA644" si="303">IF(AO581="","",UPPER(LEFT(AO581,3)))</f>
        <v>IND</v>
      </c>
      <c r="BC581" s="1">
        <f t="shared" si="285"/>
        <v>1</v>
      </c>
      <c r="BD581" s="90">
        <f t="shared" si="286"/>
        <v>1</v>
      </c>
      <c r="BE581" s="1">
        <f t="shared" si="276"/>
        <v>1</v>
      </c>
      <c r="BF581" s="1">
        <f t="shared" si="277"/>
        <v>1</v>
      </c>
      <c r="BI581"/>
      <c r="BJ581"/>
      <c r="BL581"/>
    </row>
    <row r="582" spans="1:64" ht="11.25" customHeight="1">
      <c r="A582" s="26" t="s">
        <v>2969</v>
      </c>
      <c r="B582" s="27" t="s">
        <v>2970</v>
      </c>
      <c r="C582" s="28">
        <v>174.99</v>
      </c>
      <c r="D582" s="28">
        <f t="shared" si="294"/>
        <v>87.495000000000005</v>
      </c>
      <c r="E582" s="22" t="s">
        <v>2816</v>
      </c>
      <c r="F582" s="22" t="s">
        <v>2971</v>
      </c>
      <c r="G582" s="22" t="s">
        <v>112</v>
      </c>
      <c r="H582" s="22" t="s">
        <v>2972</v>
      </c>
      <c r="I582" s="23" t="s">
        <v>2973</v>
      </c>
      <c r="J582" s="22" t="s">
        <v>646</v>
      </c>
      <c r="K582" s="23">
        <v>70</v>
      </c>
      <c r="L582" s="23">
        <v>70</v>
      </c>
      <c r="M582" s="23">
        <v>6</v>
      </c>
      <c r="N582" s="3">
        <f t="shared" si="279"/>
        <v>2.9399999999999999E-2</v>
      </c>
      <c r="O582" s="4" t="e">
        <f>(C582-(C582*#REF!))-((C582-(C582*#REF!))*#REF!)</f>
        <v>#REF!</v>
      </c>
      <c r="P582" s="7"/>
      <c r="Q582" s="7"/>
      <c r="R582" s="5">
        <f t="shared" si="280"/>
        <v>0</v>
      </c>
      <c r="S582" s="4">
        <f t="shared" si="281"/>
        <v>0</v>
      </c>
      <c r="T582" s="13">
        <f t="shared" si="295"/>
        <v>122.49300000000001</v>
      </c>
      <c r="U582" s="13">
        <f t="shared" ref="U582:U645" si="304">T582-(T582*$U$1)</f>
        <v>61.246500000000005</v>
      </c>
      <c r="V582" s="14">
        <f>U582/C582</f>
        <v>0.35000000000000003</v>
      </c>
      <c r="W582" s="14"/>
      <c r="X582" s="19">
        <f t="shared" si="282"/>
        <v>61.246500000000005</v>
      </c>
      <c r="Y582" s="19">
        <f t="shared" si="283"/>
        <v>122.49300000000001</v>
      </c>
      <c r="Z582" s="15" t="e">
        <f>U582/S582</f>
        <v>#DIV/0!</v>
      </c>
      <c r="AA582" s="22" t="s">
        <v>2974</v>
      </c>
      <c r="AG582" s="94" t="s">
        <v>1169</v>
      </c>
      <c r="AH582" s="89" t="str">
        <f>VLOOKUP(AG582,Sheet1!$B$3:$D$36,2,FALSE)</f>
        <v>Decors</v>
      </c>
      <c r="AI582" s="89" t="s">
        <v>2835</v>
      </c>
      <c r="AJ582" s="1" t="str">
        <f t="shared" si="296"/>
        <v>Becker tree plate</v>
      </c>
      <c r="AK582" s="1" t="str">
        <f t="shared" si="297"/>
        <v>w70 x d70 x h6</v>
      </c>
      <c r="AL582" s="1" t="str">
        <f t="shared" si="298"/>
        <v>teak root outdoor</v>
      </c>
      <c r="AM582" s="1" t="str">
        <f t="shared" si="299"/>
        <v>teak root outdoor</v>
      </c>
      <c r="AN582" s="1" t="str">
        <f t="shared" ref="AN582:AN583" si="305">SUBSTITUTE(AL582,"outdoor","")</f>
        <v xml:space="preserve">teak root </v>
      </c>
      <c r="AO582" s="1" t="s">
        <v>59</v>
      </c>
      <c r="AQ582" s="1" t="str">
        <f t="shared" si="300"/>
        <v>B</v>
      </c>
      <c r="AR582" s="1" t="str">
        <f>VLOOKUP(TRIM(AI582),Sheet1!$D$3:$E$36,2,FALSE)</f>
        <v>10</v>
      </c>
      <c r="AS582" s="90" t="str">
        <f t="shared" si="301"/>
        <v>01</v>
      </c>
      <c r="AT582" s="1" t="str">
        <f t="shared" si="302"/>
        <v>01</v>
      </c>
      <c r="AU582" s="90" t="s">
        <v>648</v>
      </c>
      <c r="AV582" s="90"/>
      <c r="AW582" s="90"/>
      <c r="AX582" s="95" t="str">
        <f>AQ582&amp;AR582&amp;AS582&amp;"-"&amp;AT582&amp;AU582&amp;BA582</f>
        <v>B1001-0132OUT</v>
      </c>
      <c r="AY582" s="99" t="str">
        <f>AQ582&amp;AR582&amp;AS582&amp;"-"&amp;AT582&amp;BA582</f>
        <v>B1001-01OUT</v>
      </c>
      <c r="AZ582" s="90"/>
      <c r="BA582" s="1" t="str">
        <f t="shared" si="303"/>
        <v>OUT</v>
      </c>
      <c r="BC582" s="1">
        <f t="shared" si="285"/>
        <v>1</v>
      </c>
      <c r="BD582" s="90">
        <f t="shared" si="286"/>
        <v>1</v>
      </c>
      <c r="BE582" s="1">
        <f t="shared" si="276"/>
        <v>1</v>
      </c>
      <c r="BF582" s="1">
        <f t="shared" si="277"/>
        <v>1</v>
      </c>
      <c r="BI582"/>
      <c r="BJ582"/>
      <c r="BL582"/>
    </row>
    <row r="583" spans="1:64" ht="11.25" customHeight="1">
      <c r="A583" s="26" t="s">
        <v>2975</v>
      </c>
      <c r="B583" s="27" t="s">
        <v>2970</v>
      </c>
      <c r="C583" s="28">
        <v>178.99</v>
      </c>
      <c r="D583" s="28">
        <f t="shared" si="294"/>
        <v>89.495000000000005</v>
      </c>
      <c r="E583" s="22" t="s">
        <v>2816</v>
      </c>
      <c r="F583" s="22" t="s">
        <v>2976</v>
      </c>
      <c r="G583" s="22" t="s">
        <v>112</v>
      </c>
      <c r="H583" s="22" t="s">
        <v>2977</v>
      </c>
      <c r="I583" s="23" t="s">
        <v>2973</v>
      </c>
      <c r="J583" s="22" t="s">
        <v>646</v>
      </c>
      <c r="K583" s="23">
        <v>50</v>
      </c>
      <c r="L583" s="23">
        <v>50</v>
      </c>
      <c r="M583" s="23">
        <v>6</v>
      </c>
      <c r="N583" s="3">
        <f t="shared" si="279"/>
        <v>1.4999999999999999E-2</v>
      </c>
      <c r="O583" s="4" t="e">
        <f>(C583-(C583*#REF!))-((C583-(C583*#REF!))*#REF!)</f>
        <v>#REF!</v>
      </c>
      <c r="P583" s="7"/>
      <c r="Q583" s="7"/>
      <c r="R583" s="5">
        <f t="shared" si="280"/>
        <v>0</v>
      </c>
      <c r="S583" s="4">
        <f t="shared" si="281"/>
        <v>0</v>
      </c>
      <c r="T583" s="13">
        <f t="shared" si="295"/>
        <v>125.29300000000001</v>
      </c>
      <c r="U583" s="13">
        <f t="shared" si="304"/>
        <v>62.646500000000003</v>
      </c>
      <c r="V583" s="14">
        <f>U583/C583</f>
        <v>0.35</v>
      </c>
      <c r="W583" s="14"/>
      <c r="X583" s="19">
        <f t="shared" si="282"/>
        <v>62.646500000000003</v>
      </c>
      <c r="Y583" s="19">
        <f t="shared" si="283"/>
        <v>125.29300000000001</v>
      </c>
      <c r="Z583" s="15" t="e">
        <f>U583/S583</f>
        <v>#DIV/0!</v>
      </c>
      <c r="AA583" s="22" t="s">
        <v>2978</v>
      </c>
      <c r="AG583" s="94" t="s">
        <v>1169</v>
      </c>
      <c r="AH583" s="89" t="str">
        <f>VLOOKUP(AG583,Sheet1!$B$3:$D$36,2,FALSE)</f>
        <v>Decors</v>
      </c>
      <c r="AI583" s="89" t="s">
        <v>2835</v>
      </c>
      <c r="AJ583" s="1" t="str">
        <f t="shared" si="296"/>
        <v>Becker tree plate</v>
      </c>
      <c r="AK583" s="1" t="str">
        <f t="shared" si="297"/>
        <v>w50 x d50 x h6</v>
      </c>
      <c r="AL583" s="1" t="str">
        <f t="shared" si="298"/>
        <v>teak root outdoor</v>
      </c>
      <c r="AM583" s="1" t="str">
        <f t="shared" si="299"/>
        <v>teak root outdoor</v>
      </c>
      <c r="AN583" s="1" t="str">
        <f t="shared" si="305"/>
        <v xml:space="preserve">teak root </v>
      </c>
      <c r="AO583" s="1" t="s">
        <v>59</v>
      </c>
      <c r="AQ583" s="1" t="str">
        <f t="shared" si="300"/>
        <v>B</v>
      </c>
      <c r="AR583" s="1" t="str">
        <f>VLOOKUP(TRIM(AI583),Sheet1!$D$3:$E$36,2,FALSE)</f>
        <v>10</v>
      </c>
      <c r="AS583" s="90" t="str">
        <f t="shared" si="301"/>
        <v>02</v>
      </c>
      <c r="AT583" s="1" t="str">
        <f t="shared" si="302"/>
        <v>01</v>
      </c>
      <c r="AU583" s="90" t="s">
        <v>648</v>
      </c>
      <c r="AV583" s="90"/>
      <c r="AW583" s="90"/>
      <c r="AX583" s="95" t="str">
        <f>AQ583&amp;AR583&amp;AS583&amp;"-"&amp;AT583&amp;AU583&amp;BA583</f>
        <v>B1002-0132OUT</v>
      </c>
      <c r="AY583" s="99" t="str">
        <f>AQ583&amp;AR583&amp;AS583&amp;"-"&amp;AT583&amp;BA583</f>
        <v>B1002-01OUT</v>
      </c>
      <c r="AZ583" s="90"/>
      <c r="BA583" s="1" t="str">
        <f t="shared" si="303"/>
        <v>OUT</v>
      </c>
      <c r="BC583" s="1" t="str">
        <f t="shared" si="285"/>
        <v/>
      </c>
      <c r="BD583" s="90">
        <f t="shared" si="286"/>
        <v>2</v>
      </c>
      <c r="BE583" s="1">
        <f t="shared" si="276"/>
        <v>1</v>
      </c>
      <c r="BF583" s="1">
        <f t="shared" si="277"/>
        <v>1</v>
      </c>
      <c r="BI583"/>
      <c r="BJ583"/>
      <c r="BL583"/>
    </row>
    <row r="584" spans="1:64" ht="11.25" customHeight="1">
      <c r="A584" s="26" t="s">
        <v>2979</v>
      </c>
      <c r="B584" s="27" t="s">
        <v>2980</v>
      </c>
      <c r="C584" s="28">
        <v>39.99</v>
      </c>
      <c r="D584" s="28">
        <f t="shared" si="294"/>
        <v>19.995000000000001</v>
      </c>
      <c r="E584" s="22" t="s">
        <v>2816</v>
      </c>
      <c r="F584" s="22" t="s">
        <v>2981</v>
      </c>
      <c r="G584" s="22" t="s">
        <v>526</v>
      </c>
      <c r="H584" s="22" t="s">
        <v>2982</v>
      </c>
      <c r="I584" s="23" t="s">
        <v>2983</v>
      </c>
      <c r="J584" s="22" t="s">
        <v>670</v>
      </c>
      <c r="K584" s="23">
        <v>6</v>
      </c>
      <c r="L584" s="23">
        <v>3</v>
      </c>
      <c r="M584" s="23">
        <v>7</v>
      </c>
      <c r="N584" s="3">
        <f t="shared" si="279"/>
        <v>1.26E-4</v>
      </c>
      <c r="O584" s="4" t="e">
        <f>(C584-(C584*#REF!))-((C584-(C584*#REF!))*#REF!)</f>
        <v>#REF!</v>
      </c>
      <c r="P584" s="7">
        <f>Q584*0.1</f>
        <v>25000</v>
      </c>
      <c r="Q584" s="7">
        <v>250000</v>
      </c>
      <c r="R584" s="5">
        <f t="shared" si="280"/>
        <v>275000</v>
      </c>
      <c r="S584" s="4">
        <f t="shared" si="281"/>
        <v>18.333333333333332</v>
      </c>
      <c r="T584" s="13">
        <f t="shared" si="295"/>
        <v>27.993000000000002</v>
      </c>
      <c r="U584" s="13">
        <f t="shared" si="304"/>
        <v>13.996500000000001</v>
      </c>
      <c r="V584" s="14">
        <f>U584/C584</f>
        <v>0.35000000000000003</v>
      </c>
      <c r="W584" s="18">
        <f>S584*1.5</f>
        <v>27.5</v>
      </c>
      <c r="X584" s="19">
        <f t="shared" si="282"/>
        <v>27.5</v>
      </c>
      <c r="Y584" s="19">
        <f t="shared" si="283"/>
        <v>55</v>
      </c>
      <c r="Z584" s="15">
        <v>2</v>
      </c>
      <c r="AA584" s="22" t="s">
        <v>2984</v>
      </c>
      <c r="AG584" s="94" t="s">
        <v>1169</v>
      </c>
      <c r="AH584" s="89" t="str">
        <f>VLOOKUP(AG584,Sheet1!$B$3:$D$36,2,FALSE)</f>
        <v>Decors</v>
      </c>
      <c r="AI584" s="89" t="s">
        <v>2835</v>
      </c>
      <c r="AJ584" s="1" t="str">
        <f t="shared" si="296"/>
        <v>Moldy</v>
      </c>
      <c r="AK584" s="1" t="str">
        <f t="shared" si="297"/>
        <v>w6 x d3 x h7 - 1 piece</v>
      </c>
      <c r="AL584" s="1" t="str">
        <f t="shared" si="298"/>
        <v>lavastone indoor</v>
      </c>
      <c r="AM584" s="1" t="str">
        <f t="shared" si="299"/>
        <v>lavastone indoor</v>
      </c>
      <c r="AN584" s="1" t="str">
        <f t="shared" ref="AN584:AN586" si="306">SUBSTITUTE(AL584,"indoor","")</f>
        <v xml:space="preserve">lavastone </v>
      </c>
      <c r="AO584" s="1" t="s">
        <v>54</v>
      </c>
      <c r="AQ584" s="1" t="str">
        <f t="shared" si="300"/>
        <v>B</v>
      </c>
      <c r="AR584" s="1" t="str">
        <f>VLOOKUP(TRIM(AI584),Sheet1!$D$3:$E$36,2,FALSE)</f>
        <v>10</v>
      </c>
      <c r="AS584" s="90" t="str">
        <f t="shared" si="301"/>
        <v>01</v>
      </c>
      <c r="AT584" s="1" t="str">
        <f t="shared" si="302"/>
        <v>01</v>
      </c>
      <c r="AU584" s="90" t="s">
        <v>823</v>
      </c>
      <c r="AV584" s="90"/>
      <c r="AW584" s="90"/>
      <c r="AX584" s="95" t="str">
        <f>AQ584&amp;AR584&amp;AS584&amp;"-"&amp;AT584&amp;AU584&amp;BA584</f>
        <v>B1001-0108IND</v>
      </c>
      <c r="AY584" s="99" t="str">
        <f>AQ584&amp;AR584&amp;AS584&amp;"-"&amp;AT584&amp;BA584</f>
        <v>B1001-01IND</v>
      </c>
      <c r="AZ584" s="90"/>
      <c r="BA584" s="1" t="str">
        <f t="shared" si="303"/>
        <v>IND</v>
      </c>
      <c r="BC584" s="1">
        <f t="shared" si="285"/>
        <v>1</v>
      </c>
      <c r="BD584" s="90">
        <f t="shared" si="286"/>
        <v>1</v>
      </c>
      <c r="BE584" s="1">
        <f t="shared" si="276"/>
        <v>1</v>
      </c>
      <c r="BF584" s="1">
        <f t="shared" si="277"/>
        <v>1</v>
      </c>
      <c r="BI584"/>
      <c r="BJ584"/>
      <c r="BL584"/>
    </row>
    <row r="585" spans="1:64" ht="11.25" customHeight="1">
      <c r="A585" s="26" t="s">
        <v>2985</v>
      </c>
      <c r="B585" s="27" t="s">
        <v>2980</v>
      </c>
      <c r="C585" s="28">
        <v>39.99</v>
      </c>
      <c r="D585" s="28">
        <f t="shared" si="294"/>
        <v>19.995000000000001</v>
      </c>
      <c r="E585" s="22" t="s">
        <v>2816</v>
      </c>
      <c r="F585" s="22" t="s">
        <v>2986</v>
      </c>
      <c r="G585" s="22" t="s">
        <v>526</v>
      </c>
      <c r="H585" s="22" t="s">
        <v>2987</v>
      </c>
      <c r="I585" s="23" t="s">
        <v>2395</v>
      </c>
      <c r="J585" s="22" t="s">
        <v>646</v>
      </c>
      <c r="K585" s="23">
        <v>52</v>
      </c>
      <c r="L585" s="23">
        <v>7</v>
      </c>
      <c r="M585" s="23">
        <v>7</v>
      </c>
      <c r="N585" s="3">
        <f t="shared" si="279"/>
        <v>2.5479999999999999E-3</v>
      </c>
      <c r="O585" s="4" t="e">
        <f>(C585-(C585*#REF!))-((C585-(C585*#REF!))*#REF!)</f>
        <v>#REF!</v>
      </c>
      <c r="P585" s="7"/>
      <c r="Q585" s="7"/>
      <c r="R585" s="5">
        <f t="shared" si="280"/>
        <v>0</v>
      </c>
      <c r="S585" s="4">
        <f t="shared" si="281"/>
        <v>0</v>
      </c>
      <c r="T585" s="13">
        <f t="shared" si="295"/>
        <v>27.993000000000002</v>
      </c>
      <c r="U585" s="13">
        <f t="shared" si="304"/>
        <v>13.996500000000001</v>
      </c>
      <c r="V585" s="14">
        <f>U585/C585</f>
        <v>0.35000000000000003</v>
      </c>
      <c r="W585" s="14"/>
      <c r="X585" s="19">
        <f t="shared" si="282"/>
        <v>13.996500000000001</v>
      </c>
      <c r="Y585" s="19">
        <f t="shared" si="283"/>
        <v>27.993000000000002</v>
      </c>
      <c r="Z585" s="15" t="e">
        <f t="shared" ref="Z585:Z597" si="307">U585/S585</f>
        <v>#DIV/0!</v>
      </c>
      <c r="AA585" s="22" t="s">
        <v>2988</v>
      </c>
      <c r="AG585" s="94" t="s">
        <v>1169</v>
      </c>
      <c r="AH585" s="89" t="str">
        <f>VLOOKUP(AG585,Sheet1!$B$3:$D$36,2,FALSE)</f>
        <v>Decors</v>
      </c>
      <c r="AI585" s="89" t="s">
        <v>2835</v>
      </c>
      <c r="AJ585" s="1" t="str">
        <f t="shared" si="296"/>
        <v>Moldy</v>
      </c>
      <c r="AK585" s="1" t="str">
        <f t="shared" si="297"/>
        <v>w52 x d7 x h7</v>
      </c>
      <c r="AL585" s="1" t="str">
        <f t="shared" si="298"/>
        <v>teak branch indoor</v>
      </c>
      <c r="AM585" s="1" t="str">
        <f t="shared" si="299"/>
        <v>teak branch indoor</v>
      </c>
      <c r="AN585" s="1" t="str">
        <f t="shared" si="306"/>
        <v xml:space="preserve">teak branch </v>
      </c>
      <c r="AO585" s="1" t="s">
        <v>54</v>
      </c>
      <c r="AQ585" s="1" t="str">
        <f t="shared" si="300"/>
        <v>B</v>
      </c>
      <c r="AR585" s="1" t="str">
        <f>VLOOKUP(TRIM(AI585),Sheet1!$D$3:$E$36,2,FALSE)</f>
        <v>10</v>
      </c>
      <c r="AS585" s="90" t="str">
        <f t="shared" si="301"/>
        <v>02</v>
      </c>
      <c r="AT585" s="1" t="str">
        <f t="shared" si="302"/>
        <v>01</v>
      </c>
      <c r="AU585" s="90" t="s">
        <v>664</v>
      </c>
      <c r="AV585" s="90"/>
      <c r="AW585" s="90"/>
      <c r="AX585" s="95" t="str">
        <f>AQ585&amp;AR585&amp;AS585&amp;"-"&amp;AT585&amp;AU585&amp;BA585</f>
        <v>B1002-0127IND</v>
      </c>
      <c r="AY585" s="99" t="str">
        <f>AQ585&amp;AR585&amp;AS585&amp;"-"&amp;AT585&amp;BA585</f>
        <v>B1002-01IND</v>
      </c>
      <c r="AZ585" s="90"/>
      <c r="BA585" s="1" t="str">
        <f t="shared" si="303"/>
        <v>IND</v>
      </c>
      <c r="BC585" s="1" t="str">
        <f t="shared" si="285"/>
        <v/>
      </c>
      <c r="BD585" s="90">
        <f t="shared" si="286"/>
        <v>2</v>
      </c>
      <c r="BE585" s="1">
        <f t="shared" si="276"/>
        <v>1</v>
      </c>
      <c r="BF585" s="1">
        <f t="shared" si="277"/>
        <v>1</v>
      </c>
      <c r="BI585"/>
      <c r="BJ585"/>
      <c r="BL585"/>
    </row>
    <row r="586" spans="1:64" ht="11.25" customHeight="1">
      <c r="A586" s="26" t="s">
        <v>2989</v>
      </c>
      <c r="B586" s="27" t="s">
        <v>2990</v>
      </c>
      <c r="C586" s="28">
        <v>319.99</v>
      </c>
      <c r="D586" s="28">
        <f t="shared" si="294"/>
        <v>159.995</v>
      </c>
      <c r="E586" s="22" t="s">
        <v>2816</v>
      </c>
      <c r="F586" s="22" t="s">
        <v>2991</v>
      </c>
      <c r="G586" s="22" t="s">
        <v>2992</v>
      </c>
      <c r="H586" s="22" t="s">
        <v>2993</v>
      </c>
      <c r="I586" s="23" t="s">
        <v>2994</v>
      </c>
      <c r="J586" s="22" t="s">
        <v>50</v>
      </c>
      <c r="K586" s="23">
        <v>40</v>
      </c>
      <c r="L586" s="23">
        <v>30</v>
      </c>
      <c r="M586" s="23">
        <v>195</v>
      </c>
      <c r="N586" s="3">
        <f t="shared" si="279"/>
        <v>0.23400000000000001</v>
      </c>
      <c r="O586" s="4" t="e">
        <f>(C586-(C586*#REF!))-((C586-(C586*#REF!))*#REF!)</f>
        <v>#REF!</v>
      </c>
      <c r="P586" s="7"/>
      <c r="Q586" s="7"/>
      <c r="R586" s="5">
        <f t="shared" si="280"/>
        <v>0</v>
      </c>
      <c r="S586" s="4">
        <f t="shared" si="281"/>
        <v>0</v>
      </c>
      <c r="T586" s="13">
        <f t="shared" si="295"/>
        <v>223.99299999999999</v>
      </c>
      <c r="U586" s="13">
        <f t="shared" si="304"/>
        <v>111.9965</v>
      </c>
      <c r="V586" s="14">
        <f>U586/C586</f>
        <v>0.35</v>
      </c>
      <c r="W586" s="14"/>
      <c r="X586" s="19">
        <f t="shared" si="282"/>
        <v>111.9965</v>
      </c>
      <c r="Y586" s="19">
        <f t="shared" si="283"/>
        <v>223.99299999999999</v>
      </c>
      <c r="Z586" s="15" t="e">
        <f t="shared" si="307"/>
        <v>#DIV/0!</v>
      </c>
      <c r="AA586" s="22" t="s">
        <v>2995</v>
      </c>
      <c r="AG586" s="94" t="s">
        <v>1169</v>
      </c>
      <c r="AH586" s="89" t="str">
        <f>VLOOKUP(AG586,Sheet1!$B$3:$D$36,2,FALSE)</f>
        <v>Decors</v>
      </c>
      <c r="AI586" s="89" t="s">
        <v>2835</v>
      </c>
      <c r="AJ586" s="1" t="str">
        <f t="shared" si="296"/>
        <v>Latuna coat hanger</v>
      </c>
      <c r="AK586" s="1" t="str">
        <f t="shared" si="297"/>
        <v>w40 x d30 x h195</v>
      </c>
      <c r="AL586" s="1" t="str">
        <f t="shared" si="298"/>
        <v>teak original semi</v>
      </c>
      <c r="AM586" s="1" t="str">
        <f t="shared" si="299"/>
        <v>teak original semi</v>
      </c>
      <c r="AN586" s="1" t="str">
        <f t="shared" si="306"/>
        <v>teak original semi</v>
      </c>
      <c r="AQ586" s="1" t="str">
        <f t="shared" si="300"/>
        <v>B</v>
      </c>
      <c r="AR586" s="1" t="str">
        <f>VLOOKUP(TRIM(AI586),Sheet1!$D$3:$E$36,2,FALSE)</f>
        <v>10</v>
      </c>
      <c r="AS586" s="90" t="str">
        <f t="shared" si="301"/>
        <v>01</v>
      </c>
      <c r="AT586" s="1" t="str">
        <f t="shared" si="302"/>
        <v>01</v>
      </c>
      <c r="AU586" s="90" t="s">
        <v>119</v>
      </c>
      <c r="AV586" s="90"/>
      <c r="AW586" s="90"/>
      <c r="AX586" s="95" t="str">
        <f>AQ586&amp;AR586&amp;AS586&amp;"-"&amp;AT586&amp;AU586&amp;BA586</f>
        <v>B1001-0130</v>
      </c>
      <c r="AY586" s="99" t="str">
        <f>AQ586&amp;AR586&amp;AS586&amp;"-"&amp;AT586&amp;BA586</f>
        <v>B1001-01</v>
      </c>
      <c r="AZ586" s="90"/>
      <c r="BA586" s="1" t="str">
        <f t="shared" si="303"/>
        <v/>
      </c>
      <c r="BC586" s="1">
        <f t="shared" si="285"/>
        <v>1</v>
      </c>
      <c r="BD586" s="90">
        <f t="shared" si="286"/>
        <v>1</v>
      </c>
      <c r="BE586" s="1">
        <f t="shared" si="276"/>
        <v>1</v>
      </c>
      <c r="BF586" s="1">
        <f t="shared" si="277"/>
        <v>1</v>
      </c>
      <c r="BI586"/>
      <c r="BJ586"/>
      <c r="BL586"/>
    </row>
    <row r="587" spans="1:64" ht="11.25" customHeight="1">
      <c r="A587" s="26" t="s">
        <v>2996</v>
      </c>
      <c r="B587" s="27" t="s">
        <v>2997</v>
      </c>
      <c r="C587" s="28">
        <v>3.99</v>
      </c>
      <c r="D587" s="28">
        <f t="shared" si="294"/>
        <v>1.9950000000000001</v>
      </c>
      <c r="E587" s="22" t="s">
        <v>2816</v>
      </c>
      <c r="F587" s="22" t="s">
        <v>2998</v>
      </c>
      <c r="G587" s="22" t="s">
        <v>923</v>
      </c>
      <c r="H587" s="22" t="s">
        <v>2999</v>
      </c>
      <c r="I587" s="23" t="s">
        <v>2973</v>
      </c>
      <c r="J587" s="22" t="s">
        <v>646</v>
      </c>
      <c r="L587" s="23">
        <v>7</v>
      </c>
      <c r="M587" s="23">
        <v>10</v>
      </c>
      <c r="N587" s="3">
        <f t="shared" si="279"/>
        <v>4.8999999999999998E-4</v>
      </c>
      <c r="O587" s="4" t="e">
        <f>(C587-(C587*#REF!))-((C587-(C587*#REF!))*#REF!)</f>
        <v>#REF!</v>
      </c>
      <c r="P587" s="7"/>
      <c r="Q587" s="7"/>
      <c r="R587" s="5">
        <f t="shared" si="280"/>
        <v>0</v>
      </c>
      <c r="S587" s="4">
        <f t="shared" si="281"/>
        <v>0</v>
      </c>
      <c r="T587" s="13">
        <f t="shared" si="295"/>
        <v>2.7930000000000001</v>
      </c>
      <c r="U587" s="13">
        <f t="shared" si="304"/>
        <v>1.3965000000000001</v>
      </c>
      <c r="V587" s="14">
        <f>U587/C587</f>
        <v>0.35</v>
      </c>
      <c r="W587" s="14"/>
      <c r="X587" s="19">
        <f t="shared" si="282"/>
        <v>1.3965000000000001</v>
      </c>
      <c r="Y587" s="19">
        <f t="shared" si="283"/>
        <v>2.7930000000000001</v>
      </c>
      <c r="Z587" s="15" t="e">
        <f t="shared" si="307"/>
        <v>#DIV/0!</v>
      </c>
      <c r="AA587" s="22" t="s">
        <v>3000</v>
      </c>
      <c r="AG587" s="94" t="s">
        <v>1169</v>
      </c>
      <c r="AH587" s="89" t="str">
        <f>VLOOKUP(AG587,Sheet1!$B$3:$D$36,2,FALSE)</f>
        <v>Decors</v>
      </c>
      <c r="AI587" s="89" t="s">
        <v>2835</v>
      </c>
      <c r="AJ587" s="1" t="str">
        <f t="shared" si="296"/>
        <v>Woody tree stump</v>
      </c>
      <c r="AK587" s="1" t="str">
        <f t="shared" si="297"/>
        <v>ø7 x h10</v>
      </c>
      <c r="AL587" s="1" t="str">
        <f t="shared" si="298"/>
        <v>teak root outdoor</v>
      </c>
      <c r="AM587" s="1" t="str">
        <f t="shared" si="299"/>
        <v>teak root outdoor</v>
      </c>
      <c r="AN587" s="1" t="str">
        <f t="shared" ref="AN587:AN590" si="308">SUBSTITUTE(AL587,"outdoor","")</f>
        <v xml:space="preserve">teak root </v>
      </c>
      <c r="AO587" s="1" t="s">
        <v>59</v>
      </c>
      <c r="AQ587" s="1" t="str">
        <f t="shared" si="300"/>
        <v>B</v>
      </c>
      <c r="AR587" s="1" t="str">
        <f>VLOOKUP(TRIM(AI587),Sheet1!$D$3:$E$36,2,FALSE)</f>
        <v>10</v>
      </c>
      <c r="AS587" s="90" t="str">
        <f t="shared" si="301"/>
        <v>01</v>
      </c>
      <c r="AT587" s="1" t="str">
        <f t="shared" si="302"/>
        <v>01</v>
      </c>
      <c r="AU587" s="90" t="s">
        <v>648</v>
      </c>
      <c r="AV587" s="90"/>
      <c r="AW587" s="90"/>
      <c r="AX587" s="95" t="str">
        <f>AQ587&amp;AR587&amp;AS587&amp;"-"&amp;AT587&amp;AU587&amp;BA587</f>
        <v>B1001-0132OUT</v>
      </c>
      <c r="AY587" s="99" t="str">
        <f>AQ587&amp;AR587&amp;AS587&amp;"-"&amp;AT587&amp;BA587</f>
        <v>B1001-01OUT</v>
      </c>
      <c r="AZ587" s="90"/>
      <c r="BA587" s="1" t="str">
        <f t="shared" si="303"/>
        <v>OUT</v>
      </c>
      <c r="BC587" s="1">
        <f t="shared" si="285"/>
        <v>1</v>
      </c>
      <c r="BD587" s="90">
        <f t="shared" si="286"/>
        <v>1</v>
      </c>
      <c r="BE587" s="1">
        <f t="shared" si="276"/>
        <v>1</v>
      </c>
      <c r="BF587" s="1">
        <f t="shared" si="277"/>
        <v>1</v>
      </c>
      <c r="BI587"/>
      <c r="BJ587"/>
      <c r="BL587"/>
    </row>
    <row r="588" spans="1:64" ht="11.25" customHeight="1">
      <c r="A588" s="26" t="s">
        <v>3001</v>
      </c>
      <c r="B588" s="27" t="s">
        <v>2997</v>
      </c>
      <c r="C588" s="28">
        <v>7.99</v>
      </c>
      <c r="D588" s="28">
        <f t="shared" si="294"/>
        <v>3.9950000000000001</v>
      </c>
      <c r="E588" s="22" t="s">
        <v>2816</v>
      </c>
      <c r="F588" s="22" t="s">
        <v>3002</v>
      </c>
      <c r="G588" s="22" t="s">
        <v>923</v>
      </c>
      <c r="H588" s="22" t="s">
        <v>3003</v>
      </c>
      <c r="I588" s="23" t="s">
        <v>2973</v>
      </c>
      <c r="J588" s="22" t="s">
        <v>646</v>
      </c>
      <c r="L588" s="23">
        <v>12</v>
      </c>
      <c r="M588" s="23">
        <v>8</v>
      </c>
      <c r="N588" s="3">
        <f t="shared" si="279"/>
        <v>1.152E-3</v>
      </c>
      <c r="O588" s="4" t="e">
        <f>(C588-(C588*#REF!))-((C588-(C588*#REF!))*#REF!)</f>
        <v>#REF!</v>
      </c>
      <c r="P588" s="7"/>
      <c r="Q588" s="7"/>
      <c r="R588" s="5">
        <f t="shared" si="280"/>
        <v>0</v>
      </c>
      <c r="S588" s="4">
        <f t="shared" si="281"/>
        <v>0</v>
      </c>
      <c r="T588" s="13">
        <f t="shared" si="295"/>
        <v>5.593</v>
      </c>
      <c r="U588" s="13">
        <f t="shared" si="304"/>
        <v>2.7965</v>
      </c>
      <c r="V588" s="14">
        <f>U588/C588</f>
        <v>0.35</v>
      </c>
      <c r="W588" s="14"/>
      <c r="X588" s="19">
        <f t="shared" si="282"/>
        <v>2.7965</v>
      </c>
      <c r="Y588" s="19">
        <f t="shared" si="283"/>
        <v>5.593</v>
      </c>
      <c r="Z588" s="15" t="e">
        <f t="shared" si="307"/>
        <v>#DIV/0!</v>
      </c>
      <c r="AA588" s="22" t="s">
        <v>3004</v>
      </c>
      <c r="AG588" s="94" t="s">
        <v>1169</v>
      </c>
      <c r="AH588" s="89" t="str">
        <f>VLOOKUP(AG588,Sheet1!$B$3:$D$36,2,FALSE)</f>
        <v>Decors</v>
      </c>
      <c r="AI588" s="89" t="s">
        <v>2835</v>
      </c>
      <c r="AJ588" s="1" t="str">
        <f t="shared" si="296"/>
        <v>Woody tree stump</v>
      </c>
      <c r="AK588" s="1" t="str">
        <f t="shared" si="297"/>
        <v>ø12 x H8</v>
      </c>
      <c r="AL588" s="1" t="str">
        <f t="shared" si="298"/>
        <v>teak root outdoor</v>
      </c>
      <c r="AM588" s="1" t="str">
        <f t="shared" si="299"/>
        <v>teak root outdoor</v>
      </c>
      <c r="AN588" s="1" t="str">
        <f t="shared" si="308"/>
        <v xml:space="preserve">teak root </v>
      </c>
      <c r="AO588" s="1" t="s">
        <v>59</v>
      </c>
      <c r="AQ588" s="1" t="str">
        <f t="shared" si="300"/>
        <v>B</v>
      </c>
      <c r="AR588" s="1" t="str">
        <f>VLOOKUP(TRIM(AI588),Sheet1!$D$3:$E$36,2,FALSE)</f>
        <v>10</v>
      </c>
      <c r="AS588" s="90" t="str">
        <f t="shared" si="301"/>
        <v>02</v>
      </c>
      <c r="AT588" s="1" t="str">
        <f t="shared" si="302"/>
        <v>01</v>
      </c>
      <c r="AU588" s="90" t="s">
        <v>648</v>
      </c>
      <c r="AV588" s="90"/>
      <c r="AW588" s="90"/>
      <c r="AX588" s="95" t="str">
        <f>AQ588&amp;AR588&amp;AS588&amp;"-"&amp;AT588&amp;AU588&amp;BA588</f>
        <v>B1002-0132OUT</v>
      </c>
      <c r="AY588" s="99" t="str">
        <f>AQ588&amp;AR588&amp;AS588&amp;"-"&amp;AT588&amp;BA588</f>
        <v>B1002-01OUT</v>
      </c>
      <c r="AZ588" s="90"/>
      <c r="BA588" s="1" t="str">
        <f t="shared" si="303"/>
        <v>OUT</v>
      </c>
      <c r="BC588" s="1" t="str">
        <f t="shared" si="285"/>
        <v/>
      </c>
      <c r="BD588" s="90">
        <f t="shared" si="286"/>
        <v>2</v>
      </c>
      <c r="BE588" s="1">
        <f t="shared" si="276"/>
        <v>1</v>
      </c>
      <c r="BF588" s="1">
        <f t="shared" si="277"/>
        <v>1</v>
      </c>
      <c r="BI588"/>
      <c r="BJ588"/>
      <c r="BL588"/>
    </row>
    <row r="589" spans="1:64" ht="11.25" customHeight="1">
      <c r="A589" s="26" t="s">
        <v>3005</v>
      </c>
      <c r="B589" s="27" t="s">
        <v>2997</v>
      </c>
      <c r="C589" s="28">
        <v>23.99</v>
      </c>
      <c r="D589" s="28">
        <f t="shared" si="294"/>
        <v>11.994999999999999</v>
      </c>
      <c r="E589" s="22" t="s">
        <v>2816</v>
      </c>
      <c r="F589" s="22" t="s">
        <v>3006</v>
      </c>
      <c r="G589" s="22" t="s">
        <v>923</v>
      </c>
      <c r="H589" s="22" t="s">
        <v>3007</v>
      </c>
      <c r="I589" s="23" t="s">
        <v>2973</v>
      </c>
      <c r="J589" s="22" t="s">
        <v>646</v>
      </c>
      <c r="L589" s="23">
        <v>20</v>
      </c>
      <c r="M589" s="23">
        <v>18</v>
      </c>
      <c r="N589" s="3">
        <f t="shared" si="279"/>
        <v>7.1999999999999998E-3</v>
      </c>
      <c r="O589" s="4" t="e">
        <f>(C589-(C589*#REF!))-((C589-(C589*#REF!))*#REF!)</f>
        <v>#REF!</v>
      </c>
      <c r="P589" s="7"/>
      <c r="Q589" s="7"/>
      <c r="R589" s="5">
        <f t="shared" si="280"/>
        <v>0</v>
      </c>
      <c r="S589" s="4">
        <f t="shared" si="281"/>
        <v>0</v>
      </c>
      <c r="T589" s="13">
        <f t="shared" si="295"/>
        <v>16.792999999999999</v>
      </c>
      <c r="U589" s="13">
        <f t="shared" si="304"/>
        <v>8.3964999999999996</v>
      </c>
      <c r="V589" s="14">
        <f>U589/C589</f>
        <v>0.35000000000000003</v>
      </c>
      <c r="W589" s="14"/>
      <c r="X589" s="19">
        <f t="shared" si="282"/>
        <v>8.3964999999999996</v>
      </c>
      <c r="Y589" s="19">
        <f t="shared" si="283"/>
        <v>16.792999999999999</v>
      </c>
      <c r="Z589" s="15" t="e">
        <f t="shared" si="307"/>
        <v>#DIV/0!</v>
      </c>
      <c r="AA589" s="22" t="s">
        <v>3000</v>
      </c>
      <c r="AG589" s="94" t="s">
        <v>1169</v>
      </c>
      <c r="AH589" s="89" t="str">
        <f>VLOOKUP(AG589,Sheet1!$B$3:$D$36,2,FALSE)</f>
        <v>Decors</v>
      </c>
      <c r="AI589" s="89" t="s">
        <v>2835</v>
      </c>
      <c r="AJ589" s="1" t="str">
        <f t="shared" si="296"/>
        <v>Woody tree stump</v>
      </c>
      <c r="AK589" s="1" t="str">
        <f t="shared" si="297"/>
        <v>ø20 x h18</v>
      </c>
      <c r="AL589" s="1" t="str">
        <f t="shared" si="298"/>
        <v>teak root outdoor</v>
      </c>
      <c r="AM589" s="1" t="str">
        <f t="shared" si="299"/>
        <v>teak root outdoor</v>
      </c>
      <c r="AN589" s="1" t="str">
        <f t="shared" si="308"/>
        <v xml:space="preserve">teak root </v>
      </c>
      <c r="AO589" s="1" t="s">
        <v>59</v>
      </c>
      <c r="AQ589" s="1" t="str">
        <f t="shared" si="300"/>
        <v>B</v>
      </c>
      <c r="AR589" s="1" t="str">
        <f>VLOOKUP(TRIM(AI589),Sheet1!$D$3:$E$36,2,FALSE)</f>
        <v>10</v>
      </c>
      <c r="AS589" s="90" t="str">
        <f t="shared" si="301"/>
        <v>03</v>
      </c>
      <c r="AT589" s="1" t="str">
        <f t="shared" si="302"/>
        <v>01</v>
      </c>
      <c r="AU589" s="90" t="s">
        <v>648</v>
      </c>
      <c r="AV589" s="90"/>
      <c r="AW589" s="90"/>
      <c r="AX589" s="95" t="str">
        <f>AQ589&amp;AR589&amp;AS589&amp;"-"&amp;AT589&amp;AU589&amp;BA589</f>
        <v>B1003-0132OUT</v>
      </c>
      <c r="AY589" s="99" t="str">
        <f>AQ589&amp;AR589&amp;AS589&amp;"-"&amp;AT589&amp;BA589</f>
        <v>B1003-01OUT</v>
      </c>
      <c r="AZ589" s="90"/>
      <c r="BA589" s="1" t="str">
        <f t="shared" si="303"/>
        <v>OUT</v>
      </c>
      <c r="BC589" s="1" t="str">
        <f t="shared" si="285"/>
        <v/>
      </c>
      <c r="BD589" s="90">
        <f t="shared" si="286"/>
        <v>3</v>
      </c>
      <c r="BE589" s="1">
        <f t="shared" ref="BE589:BE652" si="309">IF(AK588&lt;&gt;AK589,1,"")</f>
        <v>1</v>
      </c>
      <c r="BF589" s="1">
        <f t="shared" ref="BF589:BF652" si="310">IF(BE589=1,1,BF588+1)</f>
        <v>1</v>
      </c>
      <c r="BI589"/>
      <c r="BJ589"/>
      <c r="BL589"/>
    </row>
    <row r="590" spans="1:64" ht="11.25" customHeight="1">
      <c r="A590" s="26" t="s">
        <v>3008</v>
      </c>
      <c r="B590" s="27" t="s">
        <v>2997</v>
      </c>
      <c r="C590" s="28">
        <v>32.99</v>
      </c>
      <c r="D590" s="28">
        <f t="shared" si="294"/>
        <v>16.495000000000001</v>
      </c>
      <c r="E590" s="22" t="s">
        <v>2816</v>
      </c>
      <c r="F590" s="22" t="s">
        <v>3009</v>
      </c>
      <c r="G590" s="22" t="s">
        <v>923</v>
      </c>
      <c r="H590" s="22" t="s">
        <v>3010</v>
      </c>
      <c r="I590" s="23" t="s">
        <v>2973</v>
      </c>
      <c r="J590" s="22" t="s">
        <v>646</v>
      </c>
      <c r="L590" s="23">
        <v>30</v>
      </c>
      <c r="M590" s="23">
        <v>18</v>
      </c>
      <c r="N590" s="3">
        <f t="shared" si="279"/>
        <v>1.6199999999999999E-2</v>
      </c>
      <c r="O590" s="4" t="e">
        <f>(C590-(C590*#REF!))-((C590-(C590*#REF!))*#REF!)</f>
        <v>#REF!</v>
      </c>
      <c r="P590" s="7"/>
      <c r="Q590" s="7"/>
      <c r="R590" s="5">
        <f t="shared" si="280"/>
        <v>0</v>
      </c>
      <c r="S590" s="4">
        <f t="shared" si="281"/>
        <v>0</v>
      </c>
      <c r="T590" s="13">
        <f t="shared" si="295"/>
        <v>23.093000000000004</v>
      </c>
      <c r="U590" s="13">
        <f t="shared" si="304"/>
        <v>11.546500000000002</v>
      </c>
      <c r="V590" s="14">
        <f>U590/C590</f>
        <v>0.35000000000000003</v>
      </c>
      <c r="W590" s="14"/>
      <c r="X590" s="19">
        <f t="shared" si="282"/>
        <v>11.546500000000002</v>
      </c>
      <c r="Y590" s="19">
        <f t="shared" si="283"/>
        <v>23.093000000000004</v>
      </c>
      <c r="Z590" s="15" t="e">
        <f t="shared" si="307"/>
        <v>#DIV/0!</v>
      </c>
      <c r="AA590" s="22" t="s">
        <v>3011</v>
      </c>
      <c r="AG590" s="94" t="s">
        <v>1169</v>
      </c>
      <c r="AH590" s="89" t="str">
        <f>VLOOKUP(AG590,Sheet1!$B$3:$D$36,2,FALSE)</f>
        <v>Decors</v>
      </c>
      <c r="AI590" s="89" t="s">
        <v>2835</v>
      </c>
      <c r="AJ590" s="1" t="str">
        <f t="shared" si="296"/>
        <v>Woody tree stump</v>
      </c>
      <c r="AK590" s="1" t="str">
        <f t="shared" si="297"/>
        <v>ø30 x h18</v>
      </c>
      <c r="AL590" s="1" t="str">
        <f t="shared" si="298"/>
        <v>teak root outdoor</v>
      </c>
      <c r="AM590" s="1" t="str">
        <f t="shared" si="299"/>
        <v>teak root outdoor</v>
      </c>
      <c r="AN590" s="1" t="str">
        <f t="shared" si="308"/>
        <v xml:space="preserve">teak root </v>
      </c>
      <c r="AO590" s="1" t="s">
        <v>59</v>
      </c>
      <c r="AQ590" s="1" t="str">
        <f t="shared" si="300"/>
        <v>B</v>
      </c>
      <c r="AR590" s="1" t="str">
        <f>VLOOKUP(TRIM(AI590),Sheet1!$D$3:$E$36,2,FALSE)</f>
        <v>10</v>
      </c>
      <c r="AS590" s="90" t="str">
        <f t="shared" si="301"/>
        <v>04</v>
      </c>
      <c r="AT590" s="1" t="str">
        <f t="shared" si="302"/>
        <v>01</v>
      </c>
      <c r="AU590" s="90" t="s">
        <v>648</v>
      </c>
      <c r="AV590" s="90"/>
      <c r="AW590" s="90"/>
      <c r="AX590" s="95" t="str">
        <f>AQ590&amp;AR590&amp;AS590&amp;"-"&amp;AT590&amp;AU590&amp;BA590</f>
        <v>B1004-0132OUT</v>
      </c>
      <c r="AY590" s="99" t="str">
        <f>AQ590&amp;AR590&amp;AS590&amp;"-"&amp;AT590&amp;BA590</f>
        <v>B1004-01OUT</v>
      </c>
      <c r="AZ590" s="90"/>
      <c r="BA590" s="1" t="str">
        <f t="shared" si="303"/>
        <v>OUT</v>
      </c>
      <c r="BC590" s="1" t="str">
        <f t="shared" si="285"/>
        <v/>
      </c>
      <c r="BD590" s="90">
        <f t="shared" si="286"/>
        <v>4</v>
      </c>
      <c r="BE590" s="1">
        <f t="shared" si="309"/>
        <v>1</v>
      </c>
      <c r="BF590" s="1">
        <f t="shared" si="310"/>
        <v>1</v>
      </c>
      <c r="BI590"/>
      <c r="BJ590"/>
      <c r="BL590"/>
    </row>
    <row r="591" spans="1:64" ht="11.25" customHeight="1">
      <c r="A591" s="26" t="s">
        <v>3012</v>
      </c>
      <c r="B591" s="27" t="s">
        <v>3013</v>
      </c>
      <c r="C591" s="28">
        <v>24.99</v>
      </c>
      <c r="D591" s="28">
        <f t="shared" si="294"/>
        <v>12.494999999999999</v>
      </c>
      <c r="E591" s="22" t="s">
        <v>2816</v>
      </c>
      <c r="F591" s="22" t="s">
        <v>3014</v>
      </c>
      <c r="G591" s="22" t="s">
        <v>3015</v>
      </c>
      <c r="H591" s="22" t="s">
        <v>3016</v>
      </c>
      <c r="I591" s="23" t="s">
        <v>2955</v>
      </c>
      <c r="J591" s="22" t="s">
        <v>646</v>
      </c>
      <c r="K591" s="23">
        <v>40</v>
      </c>
      <c r="L591" s="23">
        <v>2.4</v>
      </c>
      <c r="N591" s="3">
        <f t="shared" si="279"/>
        <v>0</v>
      </c>
      <c r="O591" s="4" t="e">
        <f>(C591-(C591*#REF!))-((C591-(C591*#REF!))*#REF!)</f>
        <v>#REF!</v>
      </c>
      <c r="P591" s="7"/>
      <c r="Q591" s="7"/>
      <c r="R591" s="5">
        <f t="shared" si="280"/>
        <v>0</v>
      </c>
      <c r="S591" s="4">
        <f t="shared" si="281"/>
        <v>0</v>
      </c>
      <c r="T591" s="13">
        <f t="shared" si="295"/>
        <v>17.492999999999999</v>
      </c>
      <c r="U591" s="13">
        <f t="shared" si="304"/>
        <v>8.7464999999999993</v>
      </c>
      <c r="V591" s="14">
        <f>U591/C591</f>
        <v>0.35</v>
      </c>
      <c r="W591" s="14"/>
      <c r="X591" s="19">
        <f t="shared" si="282"/>
        <v>8.7464999999999993</v>
      </c>
      <c r="Y591" s="19">
        <f t="shared" si="283"/>
        <v>17.492999999999999</v>
      </c>
      <c r="Z591" s="15" t="e">
        <f t="shared" si="307"/>
        <v>#DIV/0!</v>
      </c>
      <c r="AA591" s="22" t="s">
        <v>3017</v>
      </c>
      <c r="AG591" s="94" t="s">
        <v>1169</v>
      </c>
      <c r="AH591" s="89" t="str">
        <f>VLOOKUP(AG591,Sheet1!$B$3:$D$36,2,FALSE)</f>
        <v>Decors</v>
      </c>
      <c r="AI591" s="89" t="s">
        <v>2835</v>
      </c>
      <c r="AJ591" s="1" t="str">
        <f t="shared" si="296"/>
        <v>Panama rustic coat hanger</v>
      </c>
      <c r="AK591" s="1" t="str">
        <f t="shared" si="297"/>
        <v>w40 x d2,4</v>
      </c>
      <c r="AL591" s="1" t="str">
        <f t="shared" si="298"/>
        <v>teak branches
semi</v>
      </c>
      <c r="AM591" s="1" t="str">
        <f t="shared" si="299"/>
        <v>teak branches
semi</v>
      </c>
      <c r="AN591" s="1" t="str">
        <f t="shared" ref="AN591:AN598" si="311">SUBSTITUTE(AL591,"indoor","")</f>
        <v>teak branches
semi</v>
      </c>
      <c r="AQ591" s="1" t="str">
        <f t="shared" si="300"/>
        <v>B</v>
      </c>
      <c r="AR591" s="1" t="str">
        <f>VLOOKUP(TRIM(AI591),Sheet1!$D$3:$E$36,2,FALSE)</f>
        <v>10</v>
      </c>
      <c r="AS591" s="90" t="str">
        <f t="shared" si="301"/>
        <v>01</v>
      </c>
      <c r="AT591" s="1" t="str">
        <f t="shared" si="302"/>
        <v>01</v>
      </c>
      <c r="AU591" s="90" t="s">
        <v>664</v>
      </c>
      <c r="AV591" s="90"/>
      <c r="AW591" s="90"/>
      <c r="AX591" s="95" t="str">
        <f>AQ591&amp;AR591&amp;AS591&amp;"-"&amp;AT591&amp;AU591&amp;BA591</f>
        <v>B1001-0127</v>
      </c>
      <c r="AY591" s="99" t="str">
        <f>AQ591&amp;AR591&amp;AS591&amp;"-"&amp;AT591&amp;BA591</f>
        <v>B1001-01</v>
      </c>
      <c r="AZ591" s="90"/>
      <c r="BA591" s="1" t="str">
        <f t="shared" si="303"/>
        <v/>
      </c>
      <c r="BC591" s="1">
        <f t="shared" si="285"/>
        <v>1</v>
      </c>
      <c r="BD591" s="90">
        <f t="shared" si="286"/>
        <v>1</v>
      </c>
      <c r="BE591" s="1">
        <f t="shared" si="309"/>
        <v>1</v>
      </c>
      <c r="BF591" s="1">
        <f t="shared" si="310"/>
        <v>1</v>
      </c>
      <c r="BI591"/>
      <c r="BJ591"/>
      <c r="BL591"/>
    </row>
    <row r="592" spans="1:64" ht="11.25" customHeight="1">
      <c r="A592" s="26" t="s">
        <v>3018</v>
      </c>
      <c r="B592" s="27" t="s">
        <v>3019</v>
      </c>
      <c r="C592" s="28">
        <v>44.99</v>
      </c>
      <c r="D592" s="28">
        <f t="shared" si="294"/>
        <v>22.495000000000001</v>
      </c>
      <c r="E592" s="22" t="s">
        <v>2816</v>
      </c>
      <c r="F592" s="22" t="s">
        <v>3020</v>
      </c>
      <c r="G592" s="22" t="s">
        <v>3021</v>
      </c>
      <c r="H592" s="22" t="s">
        <v>3022</v>
      </c>
      <c r="I592" s="23" t="s">
        <v>2950</v>
      </c>
      <c r="J592" s="22" t="s">
        <v>646</v>
      </c>
      <c r="K592" s="23">
        <v>47</v>
      </c>
      <c r="L592" s="23">
        <v>2.4</v>
      </c>
      <c r="M592" s="23">
        <v>23</v>
      </c>
      <c r="N592" s="3">
        <f t="shared" si="279"/>
        <v>2.5944000000000002E-3</v>
      </c>
      <c r="O592" s="4" t="e">
        <f>(C592-(C592*#REF!))-((C592-(C592*#REF!))*#REF!)</f>
        <v>#REF!</v>
      </c>
      <c r="P592" s="7"/>
      <c r="Q592" s="7"/>
      <c r="R592" s="5">
        <f t="shared" si="280"/>
        <v>0</v>
      </c>
      <c r="S592" s="4">
        <f t="shared" si="281"/>
        <v>0</v>
      </c>
      <c r="T592" s="13">
        <f t="shared" si="295"/>
        <v>31.493000000000002</v>
      </c>
      <c r="U592" s="13">
        <f t="shared" si="304"/>
        <v>15.746500000000001</v>
      </c>
      <c r="V592" s="14">
        <f>U592/C592</f>
        <v>0.35000000000000003</v>
      </c>
      <c r="W592" s="14"/>
      <c r="X592" s="19">
        <f t="shared" si="282"/>
        <v>15.746500000000001</v>
      </c>
      <c r="Y592" s="19">
        <f t="shared" si="283"/>
        <v>31.493000000000002</v>
      </c>
      <c r="Z592" s="15" t="e">
        <f t="shared" si="307"/>
        <v>#DIV/0!</v>
      </c>
      <c r="AA592" s="22" t="s">
        <v>3023</v>
      </c>
      <c r="AG592" s="94" t="s">
        <v>1169</v>
      </c>
      <c r="AH592" s="89" t="str">
        <f>VLOOKUP(AG592,Sheet1!$B$3:$D$36,2,FALSE)</f>
        <v>Decors</v>
      </c>
      <c r="AI592" s="89" t="s">
        <v>2835</v>
      </c>
      <c r="AJ592" s="1" t="str">
        <f t="shared" si="296"/>
        <v>Panama root coat hanger</v>
      </c>
      <c r="AK592" s="1" t="str">
        <f t="shared" si="297"/>
        <v>w47 x d2,4 x h23</v>
      </c>
      <c r="AL592" s="1" t="str">
        <f t="shared" si="298"/>
        <v>teak branches semi</v>
      </c>
      <c r="AM592" s="1" t="str">
        <f t="shared" si="299"/>
        <v>teak branches semi</v>
      </c>
      <c r="AN592" s="1" t="str">
        <f t="shared" si="311"/>
        <v>teak branches semi</v>
      </c>
      <c r="AQ592" s="1" t="str">
        <f t="shared" si="300"/>
        <v>B</v>
      </c>
      <c r="AR592" s="1" t="str">
        <f>VLOOKUP(TRIM(AI592),Sheet1!$D$3:$E$36,2,FALSE)</f>
        <v>10</v>
      </c>
      <c r="AS592" s="90" t="str">
        <f t="shared" si="301"/>
        <v>01</v>
      </c>
      <c r="AT592" s="1" t="str">
        <f t="shared" si="302"/>
        <v>01</v>
      </c>
      <c r="AU592" s="90" t="s">
        <v>664</v>
      </c>
      <c r="AV592" s="90"/>
      <c r="AW592" s="90"/>
      <c r="AX592" s="95" t="str">
        <f>AQ592&amp;AR592&amp;AS592&amp;"-"&amp;AT592&amp;AU592&amp;BA592</f>
        <v>B1001-0127</v>
      </c>
      <c r="AY592" s="99" t="str">
        <f>AQ592&amp;AR592&amp;AS592&amp;"-"&amp;AT592&amp;BA592</f>
        <v>B1001-01</v>
      </c>
      <c r="AZ592" s="90"/>
      <c r="BA592" s="1" t="str">
        <f t="shared" si="303"/>
        <v/>
      </c>
      <c r="BC592" s="1">
        <f t="shared" si="285"/>
        <v>1</v>
      </c>
      <c r="BD592" s="90">
        <f t="shared" si="286"/>
        <v>1</v>
      </c>
      <c r="BE592" s="1">
        <f t="shared" si="309"/>
        <v>1</v>
      </c>
      <c r="BF592" s="1">
        <f t="shared" si="310"/>
        <v>1</v>
      </c>
      <c r="BI592"/>
      <c r="BJ592"/>
      <c r="BL592"/>
    </row>
    <row r="593" spans="1:64" ht="11.25" customHeight="1">
      <c r="A593" s="26" t="s">
        <v>3024</v>
      </c>
      <c r="B593" s="27" t="s">
        <v>3025</v>
      </c>
      <c r="C593" s="28">
        <v>139.99</v>
      </c>
      <c r="D593" s="28">
        <f t="shared" si="294"/>
        <v>69.995000000000005</v>
      </c>
      <c r="E593" s="22" t="s">
        <v>2816</v>
      </c>
      <c r="F593" s="22" t="s">
        <v>3026</v>
      </c>
      <c r="G593" s="22" t="s">
        <v>3027</v>
      </c>
      <c r="H593" s="22" t="s">
        <v>3028</v>
      </c>
      <c r="I593" s="23" t="s">
        <v>2950</v>
      </c>
      <c r="J593" s="22" t="s">
        <v>646</v>
      </c>
      <c r="K593" s="23">
        <v>150</v>
      </c>
      <c r="L593" s="23">
        <v>7</v>
      </c>
      <c r="M593" s="23">
        <v>7</v>
      </c>
      <c r="N593" s="3">
        <f t="shared" si="279"/>
        <v>7.3499999999999998E-3</v>
      </c>
      <c r="O593" s="4" t="e">
        <f>(C593-(C593*#REF!))-((C593-(C593*#REF!))*#REF!)</f>
        <v>#REF!</v>
      </c>
      <c r="P593" s="7"/>
      <c r="Q593" s="7"/>
      <c r="R593" s="5">
        <f t="shared" si="280"/>
        <v>0</v>
      </c>
      <c r="S593" s="4">
        <f t="shared" si="281"/>
        <v>0</v>
      </c>
      <c r="T593" s="13">
        <f t="shared" si="295"/>
        <v>97.993000000000009</v>
      </c>
      <c r="U593" s="13">
        <f t="shared" si="304"/>
        <v>48.996500000000005</v>
      </c>
      <c r="V593" s="14">
        <f>U593/C593</f>
        <v>0.35000000000000003</v>
      </c>
      <c r="W593" s="14"/>
      <c r="X593" s="19">
        <f t="shared" si="282"/>
        <v>48.996500000000005</v>
      </c>
      <c r="Y593" s="19">
        <f t="shared" si="283"/>
        <v>97.993000000000009</v>
      </c>
      <c r="Z593" s="15" t="e">
        <f t="shared" si="307"/>
        <v>#DIV/0!</v>
      </c>
      <c r="AA593" s="22" t="s">
        <v>3029</v>
      </c>
      <c r="AG593" s="94" t="s">
        <v>1169</v>
      </c>
      <c r="AH593" s="89" t="str">
        <f>VLOOKUP(AG593,Sheet1!$B$3:$D$36,2,FALSE)</f>
        <v>Decors</v>
      </c>
      <c r="AI593" s="89" t="s">
        <v>2835</v>
      </c>
      <c r="AJ593" s="1" t="str">
        <f t="shared" si="296"/>
        <v>Lasso hanging hat holder</v>
      </c>
      <c r="AK593" s="1" t="str">
        <f t="shared" si="297"/>
        <v>w150 x d7 x h7</v>
      </c>
      <c r="AL593" s="1" t="str">
        <f t="shared" si="298"/>
        <v>teak branches semi</v>
      </c>
      <c r="AM593" s="1" t="str">
        <f t="shared" si="299"/>
        <v>teak branches semi</v>
      </c>
      <c r="AN593" s="1" t="str">
        <f t="shared" si="311"/>
        <v>teak branches semi</v>
      </c>
      <c r="AQ593" s="1" t="str">
        <f t="shared" si="300"/>
        <v>B</v>
      </c>
      <c r="AR593" s="1" t="str">
        <f>VLOOKUP(TRIM(AI593),Sheet1!$D$3:$E$36,2,FALSE)</f>
        <v>10</v>
      </c>
      <c r="AS593" s="90" t="str">
        <f t="shared" si="301"/>
        <v>01</v>
      </c>
      <c r="AT593" s="1" t="str">
        <f t="shared" si="302"/>
        <v>01</v>
      </c>
      <c r="AU593" s="90" t="s">
        <v>664</v>
      </c>
      <c r="AV593" s="90"/>
      <c r="AW593" s="90"/>
      <c r="AX593" s="95" t="str">
        <f>AQ593&amp;AR593&amp;AS593&amp;"-"&amp;AT593&amp;AU593&amp;BA593</f>
        <v>B1001-0127</v>
      </c>
      <c r="AY593" s="99" t="str">
        <f>AQ593&amp;AR593&amp;AS593&amp;"-"&amp;AT593&amp;BA593</f>
        <v>B1001-01</v>
      </c>
      <c r="AZ593" s="90"/>
      <c r="BA593" s="1" t="str">
        <f t="shared" si="303"/>
        <v/>
      </c>
      <c r="BC593" s="1">
        <f t="shared" si="285"/>
        <v>1</v>
      </c>
      <c r="BD593" s="90">
        <f t="shared" si="286"/>
        <v>1</v>
      </c>
      <c r="BE593" s="1">
        <f t="shared" si="309"/>
        <v>1</v>
      </c>
      <c r="BF593" s="1">
        <f t="shared" si="310"/>
        <v>1</v>
      </c>
      <c r="BI593"/>
      <c r="BJ593"/>
      <c r="BL593"/>
    </row>
    <row r="594" spans="1:64" ht="11.25" customHeight="1">
      <c r="A594" s="26" t="s">
        <v>3030</v>
      </c>
      <c r="B594" s="27" t="s">
        <v>3031</v>
      </c>
      <c r="C594" s="28">
        <v>392.99</v>
      </c>
      <c r="D594" s="28">
        <f t="shared" si="294"/>
        <v>196.495</v>
      </c>
      <c r="E594" s="22" t="s">
        <v>2816</v>
      </c>
      <c r="F594" s="22" t="s">
        <v>3032</v>
      </c>
      <c r="G594" s="22" t="s">
        <v>3033</v>
      </c>
      <c r="H594" s="22" t="s">
        <v>3034</v>
      </c>
      <c r="I594" s="23" t="s">
        <v>3035</v>
      </c>
      <c r="J594" s="22" t="s">
        <v>670</v>
      </c>
      <c r="K594" s="23">
        <v>80</v>
      </c>
      <c r="L594" s="23">
        <v>60</v>
      </c>
      <c r="M594" s="23">
        <v>35</v>
      </c>
      <c r="N594" s="3">
        <f t="shared" si="279"/>
        <v>0.16800000000000001</v>
      </c>
      <c r="O594" s="4" t="e">
        <f>(C594-(C594*#REF!))-((C594-(C594*#REF!))*#REF!)</f>
        <v>#REF!</v>
      </c>
      <c r="P594" s="7"/>
      <c r="Q594" s="7"/>
      <c r="R594" s="5">
        <f t="shared" si="280"/>
        <v>0</v>
      </c>
      <c r="S594" s="4">
        <f t="shared" si="281"/>
        <v>0</v>
      </c>
      <c r="T594" s="13">
        <f t="shared" si="295"/>
        <v>275.09300000000002</v>
      </c>
      <c r="U594" s="13">
        <f t="shared" si="304"/>
        <v>137.54650000000001</v>
      </c>
      <c r="V594" s="14">
        <f>U594/C594</f>
        <v>0.35000000000000003</v>
      </c>
      <c r="W594" s="14"/>
      <c r="X594" s="19">
        <f t="shared" si="282"/>
        <v>137.54650000000001</v>
      </c>
      <c r="Y594" s="19">
        <f t="shared" si="283"/>
        <v>275.09300000000002</v>
      </c>
      <c r="Z594" s="15" t="e">
        <f t="shared" si="307"/>
        <v>#DIV/0!</v>
      </c>
      <c r="AA594" s="22" t="s">
        <v>3036</v>
      </c>
      <c r="AG594" s="94" t="s">
        <v>1169</v>
      </c>
      <c r="AH594" s="89" t="str">
        <f>VLOOKUP(AG594,Sheet1!$B$3:$D$36,2,FALSE)</f>
        <v>Decors</v>
      </c>
      <c r="AI594" s="89" t="s">
        <v>2835</v>
      </c>
      <c r="AJ594" s="1" t="str">
        <f t="shared" si="296"/>
        <v>Dreco natural pot</v>
      </c>
      <c r="AK594" s="1" t="str">
        <f t="shared" si="297"/>
        <v>w80 x d60 x h35</v>
      </c>
      <c r="AL594" s="1" t="str">
        <f t="shared" si="298"/>
        <v>riverstone semi</v>
      </c>
      <c r="AM594" s="1" t="str">
        <f t="shared" si="299"/>
        <v>riverstone semi</v>
      </c>
      <c r="AN594" s="1" t="str">
        <f t="shared" si="311"/>
        <v>riverstone semi</v>
      </c>
      <c r="AQ594" s="1" t="str">
        <f t="shared" si="300"/>
        <v>B</v>
      </c>
      <c r="AR594" s="1" t="str">
        <f>VLOOKUP(TRIM(AI594),Sheet1!$D$3:$E$36,2,FALSE)</f>
        <v>10</v>
      </c>
      <c r="AS594" s="90" t="str">
        <f t="shared" si="301"/>
        <v>01</v>
      </c>
      <c r="AT594" s="1" t="str">
        <f t="shared" si="302"/>
        <v>01</v>
      </c>
      <c r="AU594" s="90" t="s">
        <v>975</v>
      </c>
      <c r="AV594" s="90"/>
      <c r="AW594" s="90"/>
      <c r="AX594" s="95" t="str">
        <f>AQ594&amp;AR594&amp;AS594&amp;"-"&amp;AT594&amp;AU594&amp;BA594</f>
        <v>B1001-0118</v>
      </c>
      <c r="AY594" s="99" t="str">
        <f>AQ594&amp;AR594&amp;AS594&amp;"-"&amp;AT594&amp;BA594</f>
        <v>B1001-01</v>
      </c>
      <c r="AZ594" s="90"/>
      <c r="BA594" s="1" t="str">
        <f t="shared" si="303"/>
        <v/>
      </c>
      <c r="BC594" s="1">
        <f t="shared" si="285"/>
        <v>1</v>
      </c>
      <c r="BD594" s="90">
        <f t="shared" si="286"/>
        <v>1</v>
      </c>
      <c r="BE594" s="1">
        <f t="shared" si="309"/>
        <v>1</v>
      </c>
      <c r="BF594" s="1">
        <f t="shared" si="310"/>
        <v>1</v>
      </c>
      <c r="BI594"/>
      <c r="BJ594"/>
      <c r="BL594"/>
    </row>
    <row r="595" spans="1:64" ht="11.25" customHeight="1">
      <c r="A595" s="26" t="s">
        <v>3037</v>
      </c>
      <c r="B595" s="27" t="s">
        <v>3038</v>
      </c>
      <c r="C595" s="28">
        <v>269.99</v>
      </c>
      <c r="D595" s="28">
        <f t="shared" si="294"/>
        <v>134.995</v>
      </c>
      <c r="E595" s="22" t="s">
        <v>2816</v>
      </c>
      <c r="F595" s="22" t="s">
        <v>3039</v>
      </c>
      <c r="G595" s="22" t="s">
        <v>3040</v>
      </c>
      <c r="H595" s="22" t="s">
        <v>3041</v>
      </c>
      <c r="I595" s="23" t="s">
        <v>3042</v>
      </c>
      <c r="J595" s="22" t="s">
        <v>50</v>
      </c>
      <c r="K595" s="23">
        <v>53</v>
      </c>
      <c r="L595" s="23">
        <v>23</v>
      </c>
      <c r="M595" s="23">
        <v>5</v>
      </c>
      <c r="N595" s="3">
        <f t="shared" si="279"/>
        <v>6.0949999999999997E-3</v>
      </c>
      <c r="O595" s="4" t="e">
        <f>(C595-(C595*#REF!))-((C595-(C595*#REF!))*#REF!)</f>
        <v>#REF!</v>
      </c>
      <c r="P595" s="7">
        <v>385689.20961504465</v>
      </c>
      <c r="Q595" s="7">
        <v>0</v>
      </c>
      <c r="R595" s="5">
        <f t="shared" si="280"/>
        <v>385689.20961504465</v>
      </c>
      <c r="S595" s="4">
        <f t="shared" si="281"/>
        <v>25.71261397433631</v>
      </c>
      <c r="T595" s="13">
        <f t="shared" si="295"/>
        <v>188.99299999999999</v>
      </c>
      <c r="U595" s="13">
        <f t="shared" si="304"/>
        <v>94.496499999999997</v>
      </c>
      <c r="V595" s="14">
        <f>U595/C595</f>
        <v>0.35</v>
      </c>
      <c r="W595" s="14"/>
      <c r="X595" s="19">
        <f t="shared" si="282"/>
        <v>94.496499999999997</v>
      </c>
      <c r="Y595" s="19">
        <f t="shared" si="283"/>
        <v>188.99299999999999</v>
      </c>
      <c r="Z595" s="15">
        <f t="shared" si="307"/>
        <v>3.675102815074216</v>
      </c>
      <c r="AA595" s="22" t="s">
        <v>3043</v>
      </c>
      <c r="AG595" s="94" t="s">
        <v>1169</v>
      </c>
      <c r="AH595" s="89" t="str">
        <f>VLOOKUP(AG595,Sheet1!$B$3:$D$36,2,FALSE)</f>
        <v>Decors</v>
      </c>
      <c r="AI595" s="89" t="s">
        <v>2835</v>
      </c>
      <c r="AJ595" s="1" t="str">
        <f t="shared" si="296"/>
        <v>Laila outdoor swing</v>
      </c>
      <c r="AK595" s="1" t="str">
        <f t="shared" si="297"/>
        <v>w53 x d23 x h5</v>
      </c>
      <c r="AL595" s="1" t="str">
        <f t="shared" si="298"/>
        <v>teak &amp; rope semi</v>
      </c>
      <c r="AM595" s="1" t="str">
        <f t="shared" si="299"/>
        <v>teak &amp; rope semi</v>
      </c>
      <c r="AN595" s="1" t="str">
        <f t="shared" si="311"/>
        <v>teak &amp; rope semi</v>
      </c>
      <c r="AQ595" s="1" t="str">
        <f t="shared" si="300"/>
        <v>B</v>
      </c>
      <c r="AR595" s="1" t="str">
        <f>VLOOKUP(TRIM(AI595),Sheet1!$D$3:$E$36,2,FALSE)</f>
        <v>10</v>
      </c>
      <c r="AS595" s="90" t="str">
        <f t="shared" si="301"/>
        <v>01</v>
      </c>
      <c r="AT595" s="1" t="str">
        <f t="shared" si="302"/>
        <v>01</v>
      </c>
      <c r="AU595" s="90" t="s">
        <v>3044</v>
      </c>
      <c r="AV595" s="90"/>
      <c r="AW595" s="90"/>
      <c r="AX595" s="95" t="str">
        <f>AQ595&amp;AR595&amp;AS595&amp;"-"&amp;AT595&amp;AU595&amp;BA595</f>
        <v>B1001-0144</v>
      </c>
      <c r="AY595" s="99" t="str">
        <f>AQ595&amp;AR595&amp;AS595&amp;"-"&amp;AT595&amp;BA595</f>
        <v>B1001-01</v>
      </c>
      <c r="AZ595" s="90"/>
      <c r="BA595" s="1" t="str">
        <f t="shared" si="303"/>
        <v/>
      </c>
      <c r="BC595" s="1">
        <f t="shared" si="285"/>
        <v>1</v>
      </c>
      <c r="BD595" s="90">
        <f t="shared" si="286"/>
        <v>1</v>
      </c>
      <c r="BE595" s="1">
        <f t="shared" si="309"/>
        <v>1</v>
      </c>
      <c r="BF595" s="1">
        <f t="shared" si="310"/>
        <v>1</v>
      </c>
      <c r="BI595"/>
      <c r="BJ595"/>
      <c r="BL595"/>
    </row>
    <row r="596" spans="1:64" ht="11.25" customHeight="1">
      <c r="A596" s="26" t="s">
        <v>3045</v>
      </c>
      <c r="B596" s="27" t="s">
        <v>3046</v>
      </c>
      <c r="C596" s="28">
        <v>14965.99</v>
      </c>
      <c r="D596" s="28">
        <f t="shared" si="294"/>
        <v>7482.9949999999999</v>
      </c>
      <c r="E596" s="22" t="s">
        <v>2816</v>
      </c>
      <c r="F596" s="22" t="s">
        <v>3047</v>
      </c>
      <c r="G596" s="22" t="s">
        <v>3048</v>
      </c>
      <c r="H596" s="22" t="s">
        <v>3049</v>
      </c>
      <c r="I596" s="23" t="s">
        <v>3035</v>
      </c>
      <c r="J596" s="22" t="s">
        <v>670</v>
      </c>
      <c r="K596" s="23">
        <v>184</v>
      </c>
      <c r="L596" s="23">
        <v>126</v>
      </c>
      <c r="M596" s="23">
        <v>85</v>
      </c>
      <c r="N596" s="3">
        <f t="shared" si="279"/>
        <v>1.9706399999999999</v>
      </c>
      <c r="O596" s="4" t="e">
        <f>(C596-(C596*#REF!))-((C596-(C596*#REF!))*#REF!)</f>
        <v>#REF!</v>
      </c>
      <c r="P596" s="7"/>
      <c r="Q596" s="7"/>
      <c r="R596" s="5">
        <f t="shared" si="280"/>
        <v>0</v>
      </c>
      <c r="S596" s="4">
        <f t="shared" si="281"/>
        <v>0</v>
      </c>
      <c r="T596" s="13">
        <f t="shared" si="295"/>
        <v>10476.192999999999</v>
      </c>
      <c r="U596" s="13">
        <f t="shared" si="304"/>
        <v>5238.0964999999997</v>
      </c>
      <c r="V596" s="14">
        <f>U596/C596</f>
        <v>0.35</v>
      </c>
      <c r="W596" s="14"/>
      <c r="X596" s="19">
        <f t="shared" si="282"/>
        <v>5238.0964999999997</v>
      </c>
      <c r="Y596" s="19">
        <f t="shared" si="283"/>
        <v>10476.192999999999</v>
      </c>
      <c r="Z596" s="15" t="e">
        <f t="shared" si="307"/>
        <v>#DIV/0!</v>
      </c>
      <c r="AA596" s="22" t="s">
        <v>3050</v>
      </c>
      <c r="AG596" s="94" t="s">
        <v>1169</v>
      </c>
      <c r="AH596" s="89" t="str">
        <f>VLOOKUP(AG596,Sheet1!$B$3:$D$36,2,FALSE)</f>
        <v>Decors</v>
      </c>
      <c r="AI596" s="89" t="s">
        <v>2835</v>
      </c>
      <c r="AJ596" s="1" t="str">
        <f t="shared" si="296"/>
        <v>Kemala stone bath</v>
      </c>
      <c r="AK596" s="1" t="str">
        <f t="shared" si="297"/>
        <v>w184 x d126 x h85</v>
      </c>
      <c r="AL596" s="1" t="str">
        <f t="shared" si="298"/>
        <v>riverstone semi</v>
      </c>
      <c r="AM596" s="1" t="str">
        <f t="shared" si="299"/>
        <v>riverstone semi</v>
      </c>
      <c r="AN596" s="1" t="str">
        <f t="shared" si="311"/>
        <v>riverstone semi</v>
      </c>
      <c r="AQ596" s="1" t="str">
        <f t="shared" si="300"/>
        <v>B</v>
      </c>
      <c r="AR596" s="1" t="str">
        <f>VLOOKUP(TRIM(AI596),Sheet1!$D$3:$E$36,2,FALSE)</f>
        <v>10</v>
      </c>
      <c r="AS596" s="90" t="str">
        <f t="shared" si="301"/>
        <v>01</v>
      </c>
      <c r="AT596" s="1" t="str">
        <f t="shared" si="302"/>
        <v>01</v>
      </c>
      <c r="AU596" s="90" t="s">
        <v>975</v>
      </c>
      <c r="AV596" s="90"/>
      <c r="AW596" s="90"/>
      <c r="AX596" s="95" t="str">
        <f>AQ596&amp;AR596&amp;AS596&amp;"-"&amp;AT596&amp;AU596&amp;BA596</f>
        <v>B1001-0118</v>
      </c>
      <c r="AY596" s="99" t="str">
        <f>AQ596&amp;AR596&amp;AS596&amp;"-"&amp;AT596&amp;BA596</f>
        <v>B1001-01</v>
      </c>
      <c r="AZ596" s="90"/>
      <c r="BA596" s="1" t="str">
        <f t="shared" si="303"/>
        <v/>
      </c>
      <c r="BC596" s="1">
        <f t="shared" si="285"/>
        <v>1</v>
      </c>
      <c r="BD596" s="90">
        <f t="shared" si="286"/>
        <v>1</v>
      </c>
      <c r="BE596" s="1">
        <f t="shared" si="309"/>
        <v>1</v>
      </c>
      <c r="BF596" s="1">
        <f t="shared" si="310"/>
        <v>1</v>
      </c>
      <c r="BI596"/>
      <c r="BJ596"/>
      <c r="BL596"/>
    </row>
    <row r="597" spans="1:64" ht="11.25" customHeight="1">
      <c r="A597" s="26" t="s">
        <v>3051</v>
      </c>
      <c r="B597" s="27" t="s">
        <v>3052</v>
      </c>
      <c r="C597" s="28">
        <v>1565.99</v>
      </c>
      <c r="D597" s="28">
        <f t="shared" si="294"/>
        <v>782.995</v>
      </c>
      <c r="E597" s="22" t="s">
        <v>2816</v>
      </c>
      <c r="F597" s="22" t="s">
        <v>3053</v>
      </c>
      <c r="G597" s="22" t="s">
        <v>3054</v>
      </c>
      <c r="H597" s="22" t="s">
        <v>3055</v>
      </c>
      <c r="I597" s="23" t="s">
        <v>3035</v>
      </c>
      <c r="J597" s="22" t="s">
        <v>670</v>
      </c>
      <c r="K597" s="23">
        <v>85</v>
      </c>
      <c r="L597" s="23">
        <v>75</v>
      </c>
      <c r="M597" s="23">
        <v>40</v>
      </c>
      <c r="N597" s="3">
        <f t="shared" si="279"/>
        <v>0.255</v>
      </c>
      <c r="O597" s="4" t="e">
        <f>(C597-(C597*#REF!))-((C597-(C597*#REF!))*#REF!)</f>
        <v>#REF!</v>
      </c>
      <c r="P597" s="7">
        <f>3911559.47007463-Q597</f>
        <v>61559.470074629877</v>
      </c>
      <c r="Q597" s="7">
        <v>3850000</v>
      </c>
      <c r="R597" s="5">
        <f t="shared" si="280"/>
        <v>3911559.4700746299</v>
      </c>
      <c r="S597" s="4">
        <f t="shared" si="281"/>
        <v>260.77063133830865</v>
      </c>
      <c r="T597" s="13">
        <f t="shared" si="295"/>
        <v>1096.193</v>
      </c>
      <c r="U597" s="13">
        <f t="shared" si="304"/>
        <v>548.09649999999999</v>
      </c>
      <c r="V597" s="14">
        <f>U597/C597</f>
        <v>0.35</v>
      </c>
      <c r="W597" s="14"/>
      <c r="X597" s="19">
        <f t="shared" si="282"/>
        <v>548.09649999999999</v>
      </c>
      <c r="Y597" s="19">
        <f t="shared" si="283"/>
        <v>1096.193</v>
      </c>
      <c r="Z597" s="15">
        <f t="shared" si="307"/>
        <v>2.1018336964829887</v>
      </c>
      <c r="AA597" s="22" t="s">
        <v>3056</v>
      </c>
      <c r="AG597" s="94" t="s">
        <v>1169</v>
      </c>
      <c r="AH597" s="89" t="str">
        <f>VLOOKUP(AG597,Sheet1!$B$3:$D$36,2,FALSE)</f>
        <v>Decors</v>
      </c>
      <c r="AI597" s="89" t="s">
        <v>2835</v>
      </c>
      <c r="AJ597" s="1" t="str">
        <f t="shared" si="296"/>
        <v>Andara vessel bowl</v>
      </c>
      <c r="AK597" s="1" t="str">
        <f t="shared" si="297"/>
        <v>w85 x d75 x h40</v>
      </c>
      <c r="AL597" s="1" t="str">
        <f t="shared" si="298"/>
        <v>riverstone semi</v>
      </c>
      <c r="AM597" s="1" t="str">
        <f t="shared" si="299"/>
        <v>riverstone semi</v>
      </c>
      <c r="AN597" s="1" t="str">
        <f t="shared" si="311"/>
        <v>riverstone semi</v>
      </c>
      <c r="AQ597" s="1" t="str">
        <f t="shared" si="300"/>
        <v>B</v>
      </c>
      <c r="AR597" s="1" t="str">
        <f>VLOOKUP(TRIM(AI597),Sheet1!$D$3:$E$36,2,FALSE)</f>
        <v>10</v>
      </c>
      <c r="AS597" s="90" t="str">
        <f t="shared" si="301"/>
        <v>01</v>
      </c>
      <c r="AT597" s="1" t="str">
        <f t="shared" si="302"/>
        <v>01</v>
      </c>
      <c r="AU597" s="90" t="s">
        <v>975</v>
      </c>
      <c r="AV597" s="90"/>
      <c r="AW597" s="90"/>
      <c r="AX597" s="95" t="str">
        <f>AQ597&amp;AR597&amp;AS597&amp;"-"&amp;AT597&amp;AU597&amp;BA597</f>
        <v>B1001-0118</v>
      </c>
      <c r="AY597" s="99" t="str">
        <f>AQ597&amp;AR597&amp;AS597&amp;"-"&amp;AT597&amp;BA597</f>
        <v>B1001-01</v>
      </c>
      <c r="AZ597" s="90"/>
      <c r="BA597" s="1" t="str">
        <f t="shared" si="303"/>
        <v/>
      </c>
      <c r="BC597" s="1">
        <f t="shared" si="285"/>
        <v>1</v>
      </c>
      <c r="BD597" s="90">
        <f t="shared" si="286"/>
        <v>1</v>
      </c>
      <c r="BE597" s="1">
        <f t="shared" si="309"/>
        <v>1</v>
      </c>
      <c r="BF597" s="1">
        <f t="shared" si="310"/>
        <v>1</v>
      </c>
      <c r="BI597"/>
      <c r="BJ597"/>
      <c r="BL597"/>
    </row>
    <row r="598" spans="1:64" ht="11.25" customHeight="1">
      <c r="A598" s="26" t="s">
        <v>3057</v>
      </c>
      <c r="B598" s="27" t="s">
        <v>3058</v>
      </c>
      <c r="C598" s="28">
        <v>661.99</v>
      </c>
      <c r="D598" s="28">
        <f t="shared" si="294"/>
        <v>330.995</v>
      </c>
      <c r="E598" s="22" t="s">
        <v>2816</v>
      </c>
      <c r="F598" s="22" t="s">
        <v>3059</v>
      </c>
      <c r="G598" s="22" t="s">
        <v>3060</v>
      </c>
      <c r="H598" s="22" t="s">
        <v>3061</v>
      </c>
      <c r="I598" s="23" t="s">
        <v>3035</v>
      </c>
      <c r="J598" s="22" t="s">
        <v>670</v>
      </c>
      <c r="L598" s="23">
        <v>80</v>
      </c>
      <c r="M598" s="23">
        <v>30</v>
      </c>
      <c r="N598" s="3">
        <f t="shared" si="279"/>
        <v>0.192</v>
      </c>
      <c r="O598" s="4" t="e">
        <f>(C598-(C598*#REF!))-((C598-(C598*#REF!))*#REF!)</f>
        <v>#REF!</v>
      </c>
      <c r="P598" s="7">
        <f>2246350.6598209-Q598</f>
        <v>46350.659820899833</v>
      </c>
      <c r="Q598" s="7">
        <v>2200000</v>
      </c>
      <c r="R598" s="5">
        <f t="shared" si="280"/>
        <v>2246350.6598208998</v>
      </c>
      <c r="S598" s="4">
        <f t="shared" si="281"/>
        <v>149.75671065472665</v>
      </c>
      <c r="T598" s="13">
        <f t="shared" si="295"/>
        <v>463.39300000000003</v>
      </c>
      <c r="U598" s="13">
        <f t="shared" si="304"/>
        <v>231.69650000000001</v>
      </c>
      <c r="V598" s="14">
        <f>U598/C598</f>
        <v>0.35000000000000003</v>
      </c>
      <c r="W598" s="18">
        <f>S598*1.8</f>
        <v>269.56207917850799</v>
      </c>
      <c r="X598" s="19">
        <f t="shared" si="282"/>
        <v>269.56207917850799</v>
      </c>
      <c r="Y598" s="19">
        <f t="shared" si="283"/>
        <v>539.12415835701597</v>
      </c>
      <c r="Z598" s="15">
        <v>2</v>
      </c>
      <c r="AA598" s="22" t="s">
        <v>3062</v>
      </c>
      <c r="AG598" s="94" t="s">
        <v>1169</v>
      </c>
      <c r="AH598" s="89" t="str">
        <f>VLOOKUP(AG598,Sheet1!$B$3:$D$36,2,FALSE)</f>
        <v>Decors</v>
      </c>
      <c r="AI598" s="89" t="s">
        <v>2835</v>
      </c>
      <c r="AJ598" s="1" t="str">
        <f t="shared" si="296"/>
        <v>Sparta natural bowl</v>
      </c>
      <c r="AK598" s="1" t="str">
        <f t="shared" si="297"/>
        <v>ø80 x h30</v>
      </c>
      <c r="AL598" s="1" t="str">
        <f t="shared" si="298"/>
        <v>riverstone semi</v>
      </c>
      <c r="AM598" s="1" t="str">
        <f t="shared" si="299"/>
        <v>riverstone semi</v>
      </c>
      <c r="AN598" s="1" t="str">
        <f t="shared" si="311"/>
        <v>riverstone semi</v>
      </c>
      <c r="AQ598" s="1" t="str">
        <f t="shared" si="300"/>
        <v>B</v>
      </c>
      <c r="AR598" s="1" t="str">
        <f>VLOOKUP(TRIM(AI598),Sheet1!$D$3:$E$36,2,FALSE)</f>
        <v>10</v>
      </c>
      <c r="AS598" s="90" t="str">
        <f t="shared" si="301"/>
        <v>01</v>
      </c>
      <c r="AT598" s="1" t="str">
        <f t="shared" si="302"/>
        <v>01</v>
      </c>
      <c r="AU598" s="90" t="s">
        <v>975</v>
      </c>
      <c r="AV598" s="90"/>
      <c r="AW598" s="90"/>
      <c r="AX598" s="95" t="str">
        <f>AQ598&amp;AR598&amp;AS598&amp;"-"&amp;AT598&amp;AU598&amp;BA598</f>
        <v>B1001-0118</v>
      </c>
      <c r="AY598" s="99" t="str">
        <f>AQ598&amp;AR598&amp;AS598&amp;"-"&amp;AT598&amp;BA598</f>
        <v>B1001-01</v>
      </c>
      <c r="AZ598" s="90"/>
      <c r="BA598" s="1" t="str">
        <f t="shared" si="303"/>
        <v/>
      </c>
      <c r="BC598" s="1">
        <f t="shared" si="285"/>
        <v>1</v>
      </c>
      <c r="BD598" s="90">
        <f t="shared" si="286"/>
        <v>1</v>
      </c>
      <c r="BE598" s="1">
        <f t="shared" si="309"/>
        <v>1</v>
      </c>
      <c r="BF598" s="1">
        <f t="shared" si="310"/>
        <v>1</v>
      </c>
      <c r="BI598"/>
      <c r="BJ598"/>
      <c r="BL598"/>
    </row>
    <row r="599" spans="1:64" ht="11.25" customHeight="1">
      <c r="A599" s="26" t="s">
        <v>3063</v>
      </c>
      <c r="B599" s="27" t="s">
        <v>3064</v>
      </c>
      <c r="C599" s="28">
        <v>19.989999999999998</v>
      </c>
      <c r="D599" s="28">
        <f t="shared" si="294"/>
        <v>9.9949999999999992</v>
      </c>
      <c r="E599" s="22" t="s">
        <v>2816</v>
      </c>
      <c r="F599" s="22" t="s">
        <v>3065</v>
      </c>
      <c r="G599" s="22" t="s">
        <v>3066</v>
      </c>
      <c r="H599" s="22" t="s">
        <v>3067</v>
      </c>
      <c r="I599" s="23" t="s">
        <v>3068</v>
      </c>
      <c r="J599" s="22" t="s">
        <v>50</v>
      </c>
      <c r="L599" s="23">
        <v>8</v>
      </c>
      <c r="M599" s="23">
        <v>1.5</v>
      </c>
      <c r="N599" s="3">
        <f t="shared" si="279"/>
        <v>9.6000000000000002E-5</v>
      </c>
      <c r="O599" s="4" t="e">
        <f>(C599-(C599*#REF!))-((C599-(C599*#REF!))*#REF!)</f>
        <v>#REF!</v>
      </c>
      <c r="P599" s="7"/>
      <c r="Q599" s="7"/>
      <c r="R599" s="5">
        <f t="shared" si="280"/>
        <v>0</v>
      </c>
      <c r="S599" s="4">
        <f t="shared" si="281"/>
        <v>0</v>
      </c>
      <c r="T599" s="13">
        <f t="shared" si="295"/>
        <v>13.992999999999999</v>
      </c>
      <c r="U599" s="13">
        <f t="shared" si="304"/>
        <v>6.9964999999999993</v>
      </c>
      <c r="V599" s="14">
        <f>U599/C599</f>
        <v>0.35</v>
      </c>
      <c r="W599" s="14"/>
      <c r="X599" s="19">
        <f t="shared" si="282"/>
        <v>6.9964999999999993</v>
      </c>
      <c r="Y599" s="19">
        <f t="shared" si="283"/>
        <v>13.992999999999999</v>
      </c>
      <c r="Z599" s="15" t="e">
        <f>U599/S599</f>
        <v>#DIV/0!</v>
      </c>
      <c r="AA599" s="22" t="s">
        <v>3069</v>
      </c>
      <c r="AG599" s="94" t="s">
        <v>1169</v>
      </c>
      <c r="AH599" s="89" t="str">
        <f>VLOOKUP(AG599,Sheet1!$B$3:$D$36,2,FALSE)</f>
        <v>Decors</v>
      </c>
      <c r="AI599" s="89" t="s">
        <v>2835</v>
      </c>
      <c r="AJ599" s="1" t="str">
        <f t="shared" si="296"/>
        <v>Pico room cleaning sign</v>
      </c>
      <c r="AK599" s="1" t="str">
        <f t="shared" si="297"/>
        <v>ø8 x h1.5</v>
      </c>
      <c r="AL599" s="1" t="str">
        <f t="shared" si="298"/>
        <v>teak root + rope indoor</v>
      </c>
      <c r="AM599" s="1" t="str">
        <f t="shared" si="299"/>
        <v>teak root + rope indoor</v>
      </c>
      <c r="AN599" s="1" t="str">
        <f t="shared" ref="AN599:AN602" si="312">SUBSTITUTE(AL599,"indoor","")</f>
        <v xml:space="preserve">teak root + rope </v>
      </c>
      <c r="AO599" s="1" t="s">
        <v>54</v>
      </c>
      <c r="AQ599" s="1" t="str">
        <f t="shared" si="300"/>
        <v>B</v>
      </c>
      <c r="AR599" s="1" t="str">
        <f>VLOOKUP(TRIM(AI599),Sheet1!$D$3:$E$36,2,FALSE)</f>
        <v>10</v>
      </c>
      <c r="AS599" s="90" t="str">
        <f t="shared" si="301"/>
        <v>01</v>
      </c>
      <c r="AT599" s="1" t="str">
        <f t="shared" si="302"/>
        <v>01</v>
      </c>
      <c r="AU599" s="90" t="s">
        <v>648</v>
      </c>
      <c r="AV599" s="90"/>
      <c r="AW599" s="90"/>
      <c r="AX599" s="95" t="str">
        <f>AQ599&amp;AR599&amp;AS599&amp;"-"&amp;AT599&amp;AU599&amp;BA599</f>
        <v>B1001-0132IND</v>
      </c>
      <c r="AY599" s="99" t="str">
        <f>AQ599&amp;AR599&amp;AS599&amp;"-"&amp;AT599&amp;BA599</f>
        <v>B1001-01IND</v>
      </c>
      <c r="AZ599" s="90"/>
      <c r="BA599" s="1" t="str">
        <f t="shared" si="303"/>
        <v>IND</v>
      </c>
      <c r="BC599" s="1">
        <f t="shared" si="285"/>
        <v>1</v>
      </c>
      <c r="BD599" s="90">
        <f t="shared" si="286"/>
        <v>1</v>
      </c>
      <c r="BE599" s="1">
        <f t="shared" si="309"/>
        <v>1</v>
      </c>
      <c r="BF599" s="1">
        <f t="shared" si="310"/>
        <v>1</v>
      </c>
      <c r="BI599"/>
      <c r="BJ599"/>
      <c r="BL599"/>
    </row>
    <row r="600" spans="1:64" ht="11.25" customHeight="1">
      <c r="A600" s="26" t="s">
        <v>3070</v>
      </c>
      <c r="B600" s="27" t="s">
        <v>3071</v>
      </c>
      <c r="C600" s="28">
        <v>50.99</v>
      </c>
      <c r="D600" s="28">
        <f t="shared" si="294"/>
        <v>25.495000000000001</v>
      </c>
      <c r="E600" s="22" t="s">
        <v>2816</v>
      </c>
      <c r="F600" s="22" t="s">
        <v>3072</v>
      </c>
      <c r="G600" s="22" t="s">
        <v>3073</v>
      </c>
      <c r="H600" s="22" t="s">
        <v>3074</v>
      </c>
      <c r="I600" s="23" t="s">
        <v>3075</v>
      </c>
      <c r="J600" s="22" t="s">
        <v>670</v>
      </c>
      <c r="L600" s="23">
        <v>20</v>
      </c>
      <c r="M600" s="23">
        <v>12</v>
      </c>
      <c r="N600" s="3">
        <f t="shared" si="279"/>
        <v>4.7999999999999996E-3</v>
      </c>
      <c r="O600" s="4" t="e">
        <f>(C600-(C600*#REF!))-((C600-(C600*#REF!))*#REF!)</f>
        <v>#REF!</v>
      </c>
      <c r="P600" s="7">
        <f>223259.030768657-Q600</f>
        <v>3259.0307686569868</v>
      </c>
      <c r="Q600" s="7">
        <v>220000</v>
      </c>
      <c r="R600" s="5">
        <f t="shared" si="280"/>
        <v>223259.03076865699</v>
      </c>
      <c r="S600" s="4">
        <f t="shared" si="281"/>
        <v>14.883935384577132</v>
      </c>
      <c r="T600" s="13">
        <f t="shared" si="295"/>
        <v>35.692999999999998</v>
      </c>
      <c r="U600" s="13">
        <f t="shared" si="304"/>
        <v>17.846499999999999</v>
      </c>
      <c r="V600" s="14">
        <f>U600/C600</f>
        <v>0.35</v>
      </c>
      <c r="W600" s="18">
        <f>S600*1.6</f>
        <v>23.814296615323414</v>
      </c>
      <c r="X600" s="19">
        <f t="shared" si="282"/>
        <v>23.814296615323414</v>
      </c>
      <c r="Y600" s="19">
        <f t="shared" si="283"/>
        <v>47.628593230646828</v>
      </c>
      <c r="Z600" s="15">
        <v>2</v>
      </c>
      <c r="AA600" s="22" t="s">
        <v>3076</v>
      </c>
      <c r="AG600" s="94" t="s">
        <v>1169</v>
      </c>
      <c r="AH600" s="89" t="str">
        <f>VLOOKUP(AG600,Sheet1!$B$3:$D$36,2,FALSE)</f>
        <v>Decors</v>
      </c>
      <c r="AI600" s="89" t="s">
        <v>2835</v>
      </c>
      <c r="AJ600" s="1" t="str">
        <f t="shared" si="296"/>
        <v>Ringo deco basket</v>
      </c>
      <c r="AK600" s="1" t="str">
        <f t="shared" si="297"/>
        <v>ø20 x h12</v>
      </c>
      <c r="AL600" s="1" t="str">
        <f t="shared" si="298"/>
        <v>abaca indoor</v>
      </c>
      <c r="AM600" s="1" t="str">
        <f t="shared" si="299"/>
        <v>abaca indoor</v>
      </c>
      <c r="AN600" s="1" t="str">
        <f t="shared" si="312"/>
        <v xml:space="preserve">abaca </v>
      </c>
      <c r="AO600" s="1" t="s">
        <v>54</v>
      </c>
      <c r="AQ600" s="1" t="str">
        <f t="shared" si="300"/>
        <v>B</v>
      </c>
      <c r="AR600" s="1" t="str">
        <f>VLOOKUP(TRIM(AI600),Sheet1!$D$3:$E$36,2,FALSE)</f>
        <v>10</v>
      </c>
      <c r="AS600" s="90" t="str">
        <f t="shared" si="301"/>
        <v>01</v>
      </c>
      <c r="AT600" s="1" t="str">
        <f t="shared" si="302"/>
        <v>01</v>
      </c>
      <c r="AU600" s="90" t="s">
        <v>52</v>
      </c>
      <c r="AV600" s="90"/>
      <c r="AW600" s="90"/>
      <c r="AX600" s="95" t="str">
        <f>AQ600&amp;AR600&amp;AS600&amp;"-"&amp;AT600&amp;AU600&amp;BA600</f>
        <v>B1001-0101IND</v>
      </c>
      <c r="AY600" s="99" t="str">
        <f>AQ600&amp;AR600&amp;AS600&amp;"-"&amp;AT600&amp;BA600</f>
        <v>B1001-01IND</v>
      </c>
      <c r="AZ600" s="90"/>
      <c r="BA600" s="1" t="str">
        <f t="shared" si="303"/>
        <v>IND</v>
      </c>
      <c r="BC600" s="1">
        <f t="shared" si="285"/>
        <v>1</v>
      </c>
      <c r="BD600" s="90">
        <f t="shared" si="286"/>
        <v>1</v>
      </c>
      <c r="BE600" s="1">
        <f t="shared" si="309"/>
        <v>1</v>
      </c>
      <c r="BF600" s="1">
        <f t="shared" si="310"/>
        <v>1</v>
      </c>
      <c r="BI600"/>
      <c r="BJ600"/>
      <c r="BL600"/>
    </row>
    <row r="601" spans="1:64" ht="11.25" customHeight="1">
      <c r="A601" s="26" t="s">
        <v>3077</v>
      </c>
      <c r="B601" s="27" t="s">
        <v>3078</v>
      </c>
      <c r="C601" s="28">
        <v>159.99</v>
      </c>
      <c r="D601" s="28">
        <f t="shared" si="294"/>
        <v>79.995000000000005</v>
      </c>
      <c r="E601" s="22" t="s">
        <v>2816</v>
      </c>
      <c r="F601" s="22" t="s">
        <v>3079</v>
      </c>
      <c r="G601" s="22" t="s">
        <v>3080</v>
      </c>
      <c r="H601" s="22" t="s">
        <v>3081</v>
      </c>
      <c r="I601" s="23" t="s">
        <v>3082</v>
      </c>
      <c r="J601" s="22" t="s">
        <v>670</v>
      </c>
      <c r="K601" s="23">
        <v>27</v>
      </c>
      <c r="L601" s="23">
        <v>8</v>
      </c>
      <c r="M601" s="23">
        <v>35</v>
      </c>
      <c r="N601" s="3">
        <f t="shared" si="279"/>
        <v>7.5599999999999999E-3</v>
      </c>
      <c r="O601" s="4" t="e">
        <f>(C601-(C601*#REF!))-((C601-(C601*#REF!))*#REF!)</f>
        <v>#REF!</v>
      </c>
      <c r="P601" s="7"/>
      <c r="Q601" s="7"/>
      <c r="R601" s="5">
        <f t="shared" si="280"/>
        <v>0</v>
      </c>
      <c r="S601" s="4">
        <f t="shared" si="281"/>
        <v>0</v>
      </c>
      <c r="T601" s="13">
        <f t="shared" si="295"/>
        <v>111.99300000000001</v>
      </c>
      <c r="U601" s="13">
        <f t="shared" si="304"/>
        <v>55.996500000000005</v>
      </c>
      <c r="V601" s="14">
        <f>U601/C601</f>
        <v>0.35000000000000003</v>
      </c>
      <c r="W601" s="14"/>
      <c r="X601" s="19">
        <f t="shared" si="282"/>
        <v>55.996500000000005</v>
      </c>
      <c r="Y601" s="19">
        <f t="shared" si="283"/>
        <v>111.99300000000001</v>
      </c>
      <c r="Z601" s="15" t="e">
        <f>U601/S601</f>
        <v>#DIV/0!</v>
      </c>
      <c r="AA601" s="22" t="s">
        <v>3083</v>
      </c>
      <c r="AG601" s="94" t="s">
        <v>1169</v>
      </c>
      <c r="AH601" s="89" t="str">
        <f>VLOOKUP(AG601,Sheet1!$B$3:$D$36,2,FALSE)</f>
        <v>Decors</v>
      </c>
      <c r="AI601" s="89" t="s">
        <v>2835</v>
      </c>
      <c r="AJ601" s="1" t="str">
        <f t="shared" si="296"/>
        <v>Suzanna make-up mirror</v>
      </c>
      <c r="AK601" s="1" t="str">
        <f t="shared" si="297"/>
        <v>w27 x d8 x h35</v>
      </c>
      <c r="AL601" s="1" t="str">
        <f t="shared" si="298"/>
        <v>lavastone &amp; mirror indoor</v>
      </c>
      <c r="AM601" s="1" t="str">
        <f t="shared" si="299"/>
        <v>lavastone &amp; mirror indoor</v>
      </c>
      <c r="AN601" s="1" t="str">
        <f t="shared" si="312"/>
        <v xml:space="preserve">lavastone &amp; mirror </v>
      </c>
      <c r="AO601" s="1" t="s">
        <v>54</v>
      </c>
      <c r="AQ601" s="1" t="str">
        <f t="shared" si="300"/>
        <v>B</v>
      </c>
      <c r="AR601" s="1" t="str">
        <f>VLOOKUP(TRIM(AI601),Sheet1!$D$3:$E$36,2,FALSE)</f>
        <v>10</v>
      </c>
      <c r="AS601" s="90" t="str">
        <f t="shared" si="301"/>
        <v>01</v>
      </c>
      <c r="AT601" s="1" t="str">
        <f t="shared" si="302"/>
        <v>01</v>
      </c>
      <c r="AU601" s="90" t="s">
        <v>823</v>
      </c>
      <c r="AV601" s="90"/>
      <c r="AW601" s="90"/>
      <c r="AX601" s="95" t="str">
        <f>AQ601&amp;AR601&amp;AS601&amp;"-"&amp;AT601&amp;AU601&amp;BA601</f>
        <v>B1001-0108IND</v>
      </c>
      <c r="AY601" s="99" t="str">
        <f>AQ601&amp;AR601&amp;AS601&amp;"-"&amp;AT601&amp;BA601</f>
        <v>B1001-01IND</v>
      </c>
      <c r="AZ601" s="90"/>
      <c r="BA601" s="1" t="str">
        <f t="shared" si="303"/>
        <v>IND</v>
      </c>
      <c r="BC601" s="1">
        <f t="shared" si="285"/>
        <v>1</v>
      </c>
      <c r="BD601" s="90">
        <f t="shared" si="286"/>
        <v>1</v>
      </c>
      <c r="BE601" s="1">
        <f t="shared" si="309"/>
        <v>1</v>
      </c>
      <c r="BF601" s="1">
        <f t="shared" si="310"/>
        <v>1</v>
      </c>
      <c r="BI601"/>
      <c r="BJ601"/>
      <c r="BL601"/>
    </row>
    <row r="602" spans="1:64" s="63" customFormat="1" ht="15.75">
      <c r="A602" s="33" t="s">
        <v>3084</v>
      </c>
      <c r="B602" s="34"/>
      <c r="C602" s="35"/>
      <c r="D602" s="36"/>
      <c r="E602" s="39"/>
      <c r="F602" s="40"/>
      <c r="G602" s="39"/>
      <c r="H602" s="39"/>
      <c r="I602" s="41"/>
      <c r="J602" s="39"/>
      <c r="K602" s="41"/>
      <c r="L602" s="41"/>
      <c r="M602" s="41"/>
      <c r="N602" s="48"/>
      <c r="O602" s="48"/>
      <c r="P602" s="49"/>
      <c r="Q602" s="49"/>
      <c r="R602" s="50"/>
      <c r="S602" s="48"/>
      <c r="T602" s="13"/>
      <c r="U602" s="13"/>
      <c r="V602" s="14"/>
      <c r="W602" s="14"/>
      <c r="X602" s="60"/>
      <c r="Y602" s="60"/>
      <c r="Z602" s="15"/>
      <c r="AA602" s="39"/>
      <c r="AG602" s="93"/>
      <c r="AH602" s="89"/>
      <c r="AI602" s="89"/>
      <c r="AJ602" s="1"/>
      <c r="AK602" s="1"/>
      <c r="AL602" s="1"/>
      <c r="AM602" s="1"/>
      <c r="AN602" s="1"/>
      <c r="AQ602" s="1"/>
      <c r="AR602" s="1"/>
      <c r="AS602" s="90"/>
      <c r="AT602" s="1"/>
      <c r="AU602" s="90"/>
      <c r="AV602" s="90"/>
      <c r="AW602" s="90"/>
      <c r="AX602" s="95"/>
      <c r="AY602" s="99" t="str">
        <f>AQ602&amp;AR602&amp;AS602&amp;"-"&amp;AT602&amp;BA602</f>
        <v>-</v>
      </c>
      <c r="AZ602" s="90"/>
      <c r="BA602" s="1"/>
      <c r="BC602" s="1"/>
      <c r="BD602" s="90"/>
      <c r="BE602" s="1"/>
      <c r="BF602" s="1"/>
      <c r="BI602"/>
      <c r="BJ602"/>
      <c r="BK602" s="1"/>
      <c r="BL602"/>
    </row>
    <row r="603" spans="1:64" ht="11.25" customHeight="1">
      <c r="A603" s="26" t="s">
        <v>3085</v>
      </c>
      <c r="B603" s="27" t="s">
        <v>3086</v>
      </c>
      <c r="D603" s="28">
        <f t="shared" si="294"/>
        <v>0</v>
      </c>
      <c r="E603" s="22" t="s">
        <v>3087</v>
      </c>
      <c r="F603" s="22" t="s">
        <v>3088</v>
      </c>
      <c r="G603" s="22" t="s">
        <v>338</v>
      </c>
      <c r="H603" s="22" t="s">
        <v>3089</v>
      </c>
      <c r="I603" s="23" t="s">
        <v>3090</v>
      </c>
      <c r="J603" s="22" t="s">
        <v>670</v>
      </c>
      <c r="K603" s="23">
        <v>18</v>
      </c>
      <c r="L603" s="23">
        <v>8</v>
      </c>
      <c r="M603" s="23">
        <v>100</v>
      </c>
      <c r="N603" s="3">
        <f t="shared" ref="N603:N611" si="313">(IF(ISBLANK(K603),(L603*L603*M603),(K603*L603*M603)))/1000000</f>
        <v>1.44E-2</v>
      </c>
      <c r="O603" s="4" t="e">
        <f>(C603-(C603*#REF!))-((C603-(C603*#REF!))*#REF!)</f>
        <v>#REF!</v>
      </c>
      <c r="P603" s="7">
        <v>217813.79948656718</v>
      </c>
      <c r="Q603" s="7">
        <v>0</v>
      </c>
      <c r="R603" s="5">
        <f t="shared" ref="R603:R611" si="314">P603+Q603</f>
        <v>217813.79948656718</v>
      </c>
      <c r="S603" s="4">
        <f t="shared" ref="S603:S611" si="315">R603/15000</f>
        <v>14.520919965771146</v>
      </c>
      <c r="T603" s="13">
        <f t="shared" si="295"/>
        <v>0</v>
      </c>
      <c r="U603" s="13">
        <f t="shared" si="304"/>
        <v>0</v>
      </c>
      <c r="V603" s="14" t="e">
        <f>U603/C603</f>
        <v>#DIV/0!</v>
      </c>
      <c r="W603" s="18">
        <f>S603*3</f>
        <v>43.562759897313441</v>
      </c>
      <c r="X603" s="19">
        <f t="shared" ref="X603:X611" si="316">IF(ISBLANK(W603),U603, W603)</f>
        <v>43.562759897313441</v>
      </c>
      <c r="Y603" s="19">
        <f t="shared" ref="Y603:Y611" si="317">X603*2</f>
        <v>87.125519794626882</v>
      </c>
      <c r="Z603" s="15">
        <v>2</v>
      </c>
      <c r="AA603" s="22" t="s">
        <v>3091</v>
      </c>
      <c r="AG603" s="94" t="s">
        <v>1169</v>
      </c>
      <c r="AH603" s="89" t="str">
        <f>VLOOKUP(AG603,Sheet1!$B$3:$D$36,2,FALSE)</f>
        <v>Decors</v>
      </c>
      <c r="AI603" s="89" t="s">
        <v>3092</v>
      </c>
      <c r="AJ603" s="1" t="str">
        <f t="shared" si="296"/>
        <v>Hanging Kubo</v>
      </c>
      <c r="AK603" s="1" t="str">
        <f t="shared" si="297"/>
        <v>w18 x d8 x h100 (vertical)</v>
      </c>
      <c r="AL603" s="1" t="str">
        <f t="shared" si="298"/>
        <v>teak chainsaw cut fumé indoor</v>
      </c>
      <c r="AM603" s="1" t="str">
        <f t="shared" si="299"/>
        <v>teak chainsaw cut fumé indoor</v>
      </c>
      <c r="AN603" s="1" t="str">
        <f t="shared" ref="AN603:AN612" si="318">SUBSTITUTE(AL603,"indoor","")</f>
        <v xml:space="preserve">teak chainsaw cut fumé </v>
      </c>
      <c r="AO603" s="1" t="s">
        <v>54</v>
      </c>
      <c r="AQ603" s="1" t="str">
        <f t="shared" si="300"/>
        <v>B</v>
      </c>
      <c r="AR603" s="1" t="str">
        <f>VLOOKUP(TRIM(AI603),Sheet1!$D$3:$E$36,2,FALSE)</f>
        <v>11</v>
      </c>
      <c r="AS603" s="90" t="str">
        <f t="shared" si="301"/>
        <v>01</v>
      </c>
      <c r="AT603" s="1" t="str">
        <f t="shared" si="302"/>
        <v>01</v>
      </c>
      <c r="AU603" s="90" t="s">
        <v>1048</v>
      </c>
      <c r="AV603" s="90"/>
      <c r="AW603" s="90"/>
      <c r="AX603" s="95" t="str">
        <f>AQ603&amp;AR603&amp;AS603&amp;"-"&amp;AT603&amp;AU603&amp;BA603</f>
        <v>B1101-0128IND</v>
      </c>
      <c r="AY603" s="99" t="str">
        <f>AQ603&amp;AR603&amp;AS603&amp;"-"&amp;AT603&amp;BA603</f>
        <v>B1101-01IND</v>
      </c>
      <c r="AZ603" s="90"/>
      <c r="BA603" s="1" t="str">
        <f t="shared" si="303"/>
        <v>IND</v>
      </c>
      <c r="BC603" s="1">
        <f t="shared" si="285"/>
        <v>1</v>
      </c>
      <c r="BD603" s="90">
        <f t="shared" si="286"/>
        <v>1</v>
      </c>
      <c r="BE603" s="1">
        <f t="shared" si="309"/>
        <v>1</v>
      </c>
      <c r="BF603" s="1">
        <f t="shared" si="310"/>
        <v>1</v>
      </c>
      <c r="BI603"/>
      <c r="BJ603"/>
      <c r="BL603"/>
    </row>
    <row r="604" spans="1:64" ht="11.25" customHeight="1">
      <c r="A604" s="26" t="s">
        <v>3093</v>
      </c>
      <c r="B604" s="27" t="s">
        <v>3086</v>
      </c>
      <c r="C604" s="28">
        <v>199.99</v>
      </c>
      <c r="D604" s="28">
        <f t="shared" si="294"/>
        <v>99.995000000000005</v>
      </c>
      <c r="E604" s="22" t="s">
        <v>3087</v>
      </c>
      <c r="F604" s="22" t="s">
        <v>3088</v>
      </c>
      <c r="G604" s="22" t="s">
        <v>338</v>
      </c>
      <c r="H604" s="22" t="s">
        <v>3094</v>
      </c>
      <c r="I604" s="23" t="s">
        <v>3090</v>
      </c>
      <c r="J604" s="22" t="s">
        <v>670</v>
      </c>
      <c r="K604" s="23">
        <v>18</v>
      </c>
      <c r="L604" s="23">
        <v>8</v>
      </c>
      <c r="M604" s="23">
        <v>100</v>
      </c>
      <c r="N604" s="3">
        <f t="shared" si="313"/>
        <v>1.44E-2</v>
      </c>
      <c r="O604" s="4" t="e">
        <f>(C604-(C604*#REF!))-((C604-(C604*#REF!))*#REF!)</f>
        <v>#REF!</v>
      </c>
      <c r="P604" s="7">
        <v>217813.79948656718</v>
      </c>
      <c r="Q604" s="7">
        <v>0</v>
      </c>
      <c r="R604" s="5">
        <f t="shared" si="314"/>
        <v>217813.79948656718</v>
      </c>
      <c r="S604" s="4">
        <f t="shared" si="315"/>
        <v>14.520919965771146</v>
      </c>
      <c r="T604" s="13">
        <f t="shared" si="295"/>
        <v>139.99299999999999</v>
      </c>
      <c r="U604" s="13">
        <f t="shared" si="304"/>
        <v>69.996499999999997</v>
      </c>
      <c r="V604" s="14">
        <f>U604/C604</f>
        <v>0.35</v>
      </c>
      <c r="W604" s="14"/>
      <c r="X604" s="19">
        <f t="shared" si="316"/>
        <v>69.996499999999997</v>
      </c>
      <c r="Y604" s="19">
        <f t="shared" si="317"/>
        <v>139.99299999999999</v>
      </c>
      <c r="Z604" s="15">
        <f t="shared" ref="Z604:Z639" si="319">U604/S604</f>
        <v>4.82039017947874</v>
      </c>
      <c r="AA604" s="22" t="s">
        <v>3091</v>
      </c>
      <c r="AG604" s="94" t="s">
        <v>1169</v>
      </c>
      <c r="AH604" s="89" t="str">
        <f>VLOOKUP(AG604,Sheet1!$B$3:$D$36,2,FALSE)</f>
        <v>Decors</v>
      </c>
      <c r="AI604" s="89" t="s">
        <v>3092</v>
      </c>
      <c r="AJ604" s="1" t="str">
        <f t="shared" si="296"/>
        <v>Hanging Kubo</v>
      </c>
      <c r="AK604" s="1" t="str">
        <f t="shared" si="297"/>
        <v>w18 x d8 x h100 (horizontal)</v>
      </c>
      <c r="AL604" s="1" t="str">
        <f t="shared" si="298"/>
        <v>teak chainsaw cut fumé indoor</v>
      </c>
      <c r="AM604" s="1" t="str">
        <f t="shared" si="299"/>
        <v>teak chainsaw cut fumé indoor</v>
      </c>
      <c r="AN604" s="1" t="str">
        <f t="shared" si="318"/>
        <v xml:space="preserve">teak chainsaw cut fumé </v>
      </c>
      <c r="AO604" s="1" t="s">
        <v>54</v>
      </c>
      <c r="AQ604" s="1" t="str">
        <f t="shared" si="300"/>
        <v>B</v>
      </c>
      <c r="AR604" s="1" t="str">
        <f>VLOOKUP(TRIM(AI604),Sheet1!$D$3:$E$36,2,FALSE)</f>
        <v>11</v>
      </c>
      <c r="AS604" s="90" t="str">
        <f t="shared" si="301"/>
        <v>02</v>
      </c>
      <c r="AT604" s="1" t="str">
        <f t="shared" si="302"/>
        <v>01</v>
      </c>
      <c r="AU604" s="90" t="s">
        <v>1048</v>
      </c>
      <c r="AV604" s="90"/>
      <c r="AW604" s="90"/>
      <c r="AX604" s="95" t="str">
        <f>AQ604&amp;AR604&amp;AS604&amp;"-"&amp;AT604&amp;AU604&amp;BA604</f>
        <v>B1102-0128IND</v>
      </c>
      <c r="AY604" s="99" t="str">
        <f>AQ604&amp;AR604&amp;AS604&amp;"-"&amp;AT604&amp;BA604</f>
        <v>B1102-01IND</v>
      </c>
      <c r="AZ604" s="90"/>
      <c r="BA604" s="1" t="str">
        <f t="shared" si="303"/>
        <v>IND</v>
      </c>
      <c r="BC604" s="1" t="str">
        <f t="shared" si="285"/>
        <v/>
      </c>
      <c r="BD604" s="90">
        <f t="shared" si="286"/>
        <v>2</v>
      </c>
      <c r="BE604" s="1">
        <f t="shared" si="309"/>
        <v>1</v>
      </c>
      <c r="BF604" s="1">
        <f t="shared" si="310"/>
        <v>1</v>
      </c>
      <c r="BI604"/>
      <c r="BJ604"/>
      <c r="BL604"/>
    </row>
    <row r="605" spans="1:64" ht="11.25" customHeight="1">
      <c r="A605" s="26" t="s">
        <v>3095</v>
      </c>
      <c r="B605" s="27" t="s">
        <v>3086</v>
      </c>
      <c r="C605" s="28">
        <v>199.99</v>
      </c>
      <c r="D605" s="28">
        <f t="shared" si="294"/>
        <v>99.995000000000005</v>
      </c>
      <c r="E605" s="22" t="s">
        <v>3087</v>
      </c>
      <c r="F605" s="22" t="s">
        <v>3088</v>
      </c>
      <c r="G605" s="22" t="s">
        <v>338</v>
      </c>
      <c r="H605" s="22" t="s">
        <v>3096</v>
      </c>
      <c r="I605" s="23" t="s">
        <v>3090</v>
      </c>
      <c r="J605" s="22" t="s">
        <v>50</v>
      </c>
      <c r="K605" s="23">
        <v>18</v>
      </c>
      <c r="L605" s="23">
        <v>8</v>
      </c>
      <c r="M605" s="23">
        <v>100</v>
      </c>
      <c r="N605" s="3">
        <f t="shared" si="313"/>
        <v>1.44E-2</v>
      </c>
      <c r="O605" s="4" t="e">
        <f>(C605-(C605*#REF!))-((C605-(C605*#REF!))*#REF!)</f>
        <v>#REF!</v>
      </c>
      <c r="P605" s="7">
        <v>217813.79948656718</v>
      </c>
      <c r="Q605" s="7">
        <v>0</v>
      </c>
      <c r="R605" s="5">
        <f t="shared" si="314"/>
        <v>217813.79948656718</v>
      </c>
      <c r="S605" s="4">
        <f t="shared" si="315"/>
        <v>14.520919965771146</v>
      </c>
      <c r="T605" s="13">
        <f t="shared" si="295"/>
        <v>139.99299999999999</v>
      </c>
      <c r="U605" s="13">
        <f t="shared" si="304"/>
        <v>69.996499999999997</v>
      </c>
      <c r="V605" s="14">
        <f>U605/C605</f>
        <v>0.35</v>
      </c>
      <c r="W605" s="14"/>
      <c r="X605" s="19">
        <f t="shared" si="316"/>
        <v>69.996499999999997</v>
      </c>
      <c r="Y605" s="19">
        <f t="shared" si="317"/>
        <v>139.99299999999999</v>
      </c>
      <c r="Z605" s="15">
        <f t="shared" si="319"/>
        <v>4.82039017947874</v>
      </c>
      <c r="AA605" s="22" t="s">
        <v>3097</v>
      </c>
      <c r="AG605" s="94" t="s">
        <v>1169</v>
      </c>
      <c r="AH605" s="89" t="str">
        <f>VLOOKUP(AG605,Sheet1!$B$3:$D$36,2,FALSE)</f>
        <v>Decors</v>
      </c>
      <c r="AI605" s="89" t="s">
        <v>3092</v>
      </c>
      <c r="AJ605" s="1" t="str">
        <f t="shared" si="296"/>
        <v>Hanging Kubo</v>
      </c>
      <c r="AK605" s="1" t="str">
        <f t="shared" si="297"/>
        <v>w18 x d8 x h100 (diagonal)</v>
      </c>
      <c r="AL605" s="1" t="str">
        <f t="shared" si="298"/>
        <v>teak chainsaw cut fumé indoor</v>
      </c>
      <c r="AM605" s="1" t="str">
        <f t="shared" si="299"/>
        <v>teak chainsaw cut fumé indoor</v>
      </c>
      <c r="AN605" s="1" t="str">
        <f t="shared" si="318"/>
        <v xml:space="preserve">teak chainsaw cut fumé </v>
      </c>
      <c r="AO605" s="1" t="s">
        <v>54</v>
      </c>
      <c r="AQ605" s="1" t="str">
        <f t="shared" si="300"/>
        <v>B</v>
      </c>
      <c r="AR605" s="1" t="str">
        <f>VLOOKUP(TRIM(AI605),Sheet1!$D$3:$E$36,2,FALSE)</f>
        <v>11</v>
      </c>
      <c r="AS605" s="90" t="str">
        <f t="shared" si="301"/>
        <v>03</v>
      </c>
      <c r="AT605" s="1" t="str">
        <f t="shared" si="302"/>
        <v>01</v>
      </c>
      <c r="AU605" s="90" t="s">
        <v>1048</v>
      </c>
      <c r="AV605" s="90"/>
      <c r="AW605" s="90"/>
      <c r="AX605" s="95" t="str">
        <f>AQ605&amp;AR605&amp;AS605&amp;"-"&amp;AT605&amp;AU605&amp;BA605</f>
        <v>B1103-0128IND</v>
      </c>
      <c r="AY605" s="99" t="str">
        <f>AQ605&amp;AR605&amp;AS605&amp;"-"&amp;AT605&amp;BA605</f>
        <v>B1103-01IND</v>
      </c>
      <c r="AZ605" s="90"/>
      <c r="BA605" s="1" t="str">
        <f t="shared" si="303"/>
        <v>IND</v>
      </c>
      <c r="BC605" s="1" t="str">
        <f t="shared" si="285"/>
        <v/>
      </c>
      <c r="BD605" s="90">
        <f t="shared" si="286"/>
        <v>3</v>
      </c>
      <c r="BE605" s="1">
        <f t="shared" si="309"/>
        <v>1</v>
      </c>
      <c r="BF605" s="1">
        <f t="shared" si="310"/>
        <v>1</v>
      </c>
      <c r="BI605"/>
      <c r="BJ605"/>
      <c r="BL605"/>
    </row>
    <row r="606" spans="1:64" ht="11.25" customHeight="1">
      <c r="A606" s="26" t="s">
        <v>3098</v>
      </c>
      <c r="B606" s="27" t="s">
        <v>3099</v>
      </c>
      <c r="C606" s="28">
        <v>129.99</v>
      </c>
      <c r="D606" s="28">
        <f t="shared" si="294"/>
        <v>64.995000000000005</v>
      </c>
      <c r="E606" s="22" t="s">
        <v>3087</v>
      </c>
      <c r="F606" s="22" t="s">
        <v>3100</v>
      </c>
      <c r="G606" s="22" t="s">
        <v>445</v>
      </c>
      <c r="H606" s="22" t="s">
        <v>3101</v>
      </c>
      <c r="I606" s="23" t="s">
        <v>3090</v>
      </c>
      <c r="J606" s="22" t="s">
        <v>50</v>
      </c>
      <c r="K606" s="23">
        <v>40</v>
      </c>
      <c r="L606" s="23">
        <v>40</v>
      </c>
      <c r="M606" s="23">
        <v>3</v>
      </c>
      <c r="N606" s="3">
        <f t="shared" si="313"/>
        <v>4.7999999999999996E-3</v>
      </c>
      <c r="O606" s="4" t="e">
        <f>(C606-(C606*#REF!))-((C606-(C606*#REF!))*#REF!)</f>
        <v>#REF!</v>
      </c>
      <c r="P606" s="7">
        <v>144160.2664955224</v>
      </c>
      <c r="Q606" s="7">
        <v>0</v>
      </c>
      <c r="R606" s="5">
        <f t="shared" si="314"/>
        <v>144160.2664955224</v>
      </c>
      <c r="S606" s="4">
        <f t="shared" si="315"/>
        <v>9.6106844330348267</v>
      </c>
      <c r="T606" s="13">
        <f t="shared" si="295"/>
        <v>90.993000000000009</v>
      </c>
      <c r="U606" s="13">
        <f t="shared" si="304"/>
        <v>45.496500000000005</v>
      </c>
      <c r="V606" s="14">
        <f>U606/C606</f>
        <v>0.35000000000000003</v>
      </c>
      <c r="W606" s="14"/>
      <c r="X606" s="19">
        <f t="shared" si="316"/>
        <v>45.496500000000005</v>
      </c>
      <c r="Y606" s="19">
        <f t="shared" si="317"/>
        <v>90.993000000000009</v>
      </c>
      <c r="Z606" s="15">
        <f t="shared" si="319"/>
        <v>4.733950044558199</v>
      </c>
      <c r="AA606" s="22" t="s">
        <v>3102</v>
      </c>
      <c r="AG606" s="94" t="s">
        <v>1169</v>
      </c>
      <c r="AH606" s="89" t="str">
        <f>VLOOKUP(AG606,Sheet1!$B$3:$D$36,2,FALSE)</f>
        <v>Decors</v>
      </c>
      <c r="AI606" s="89" t="s">
        <v>3092</v>
      </c>
      <c r="AJ606" s="1" t="str">
        <f t="shared" si="296"/>
        <v>Kubo Panel</v>
      </c>
      <c r="AK606" s="1" t="str">
        <f t="shared" si="297"/>
        <v>w40 x d40 x h3</v>
      </c>
      <c r="AL606" s="1" t="str">
        <f t="shared" si="298"/>
        <v>teak chainsaw cut fumé indoor</v>
      </c>
      <c r="AM606" s="1" t="str">
        <f t="shared" si="299"/>
        <v>teak chainsaw cut fumé indoor</v>
      </c>
      <c r="AN606" s="1" t="str">
        <f t="shared" si="318"/>
        <v xml:space="preserve">teak chainsaw cut fumé </v>
      </c>
      <c r="AO606" s="1" t="s">
        <v>54</v>
      </c>
      <c r="AQ606" s="1" t="str">
        <f t="shared" si="300"/>
        <v>B</v>
      </c>
      <c r="AR606" s="1" t="str">
        <f>VLOOKUP(TRIM(AI606),Sheet1!$D$3:$E$36,2,FALSE)</f>
        <v>11</v>
      </c>
      <c r="AS606" s="90" t="str">
        <f t="shared" si="301"/>
        <v>01</v>
      </c>
      <c r="AT606" s="1" t="str">
        <f t="shared" si="302"/>
        <v>01</v>
      </c>
      <c r="AU606" s="90" t="s">
        <v>1048</v>
      </c>
      <c r="AV606" s="90"/>
      <c r="AW606" s="90"/>
      <c r="AX606" s="95" t="str">
        <f>AQ606&amp;AR606&amp;AS606&amp;"-"&amp;AT606&amp;AU606&amp;BA606</f>
        <v>B1101-0128IND</v>
      </c>
      <c r="AY606" s="99" t="str">
        <f>AQ606&amp;AR606&amp;AS606&amp;"-"&amp;AT606&amp;BA606</f>
        <v>B1101-01IND</v>
      </c>
      <c r="AZ606" s="90"/>
      <c r="BA606" s="1" t="str">
        <f t="shared" si="303"/>
        <v>IND</v>
      </c>
      <c r="BC606" s="1">
        <f t="shared" si="285"/>
        <v>1</v>
      </c>
      <c r="BD606" s="90">
        <f t="shared" si="286"/>
        <v>1</v>
      </c>
      <c r="BE606" s="1">
        <f t="shared" si="309"/>
        <v>1</v>
      </c>
      <c r="BF606" s="1">
        <f t="shared" si="310"/>
        <v>1</v>
      </c>
      <c r="BI606"/>
      <c r="BJ606"/>
      <c r="BL606"/>
    </row>
    <row r="607" spans="1:64" ht="11.25" customHeight="1">
      <c r="A607" s="26" t="s">
        <v>3103</v>
      </c>
      <c r="B607" s="27" t="s">
        <v>3099</v>
      </c>
      <c r="C607" s="28">
        <v>199.99</v>
      </c>
      <c r="D607" s="28">
        <f t="shared" si="294"/>
        <v>99.995000000000005</v>
      </c>
      <c r="E607" s="22" t="s">
        <v>3087</v>
      </c>
      <c r="F607" s="22" t="s">
        <v>3104</v>
      </c>
      <c r="G607" s="22" t="s">
        <v>445</v>
      </c>
      <c r="H607" s="22" t="s">
        <v>3105</v>
      </c>
      <c r="I607" s="23" t="s">
        <v>3090</v>
      </c>
      <c r="J607" s="22" t="s">
        <v>50</v>
      </c>
      <c r="K607" s="23">
        <v>60</v>
      </c>
      <c r="L607" s="23">
        <v>60</v>
      </c>
      <c r="M607" s="23">
        <v>3</v>
      </c>
      <c r="N607" s="3">
        <f t="shared" si="313"/>
        <v>1.0800000000000001E-2</v>
      </c>
      <c r="O607" s="4" t="e">
        <f>(C607-(C607*#REF!))-((C607-(C607*#REF!))*#REF!)</f>
        <v>#REF!</v>
      </c>
      <c r="P607" s="7">
        <v>254295.96461492535</v>
      </c>
      <c r="Q607" s="7">
        <v>0</v>
      </c>
      <c r="R607" s="5">
        <f t="shared" si="314"/>
        <v>254295.96461492535</v>
      </c>
      <c r="S607" s="4">
        <f t="shared" si="315"/>
        <v>16.953064307661691</v>
      </c>
      <c r="T607" s="13">
        <f t="shared" si="295"/>
        <v>139.99299999999999</v>
      </c>
      <c r="U607" s="13">
        <f t="shared" si="304"/>
        <v>69.996499999999997</v>
      </c>
      <c r="V607" s="14">
        <f>U607/C607</f>
        <v>0.35</v>
      </c>
      <c r="W607" s="14"/>
      <c r="X607" s="19">
        <f t="shared" si="316"/>
        <v>69.996499999999997</v>
      </c>
      <c r="Y607" s="19">
        <f t="shared" si="317"/>
        <v>139.99299999999999</v>
      </c>
      <c r="Z607" s="15">
        <f t="shared" si="319"/>
        <v>4.1288405877376455</v>
      </c>
      <c r="AA607" s="22" t="s">
        <v>3106</v>
      </c>
      <c r="AG607" s="94" t="s">
        <v>1169</v>
      </c>
      <c r="AH607" s="89" t="str">
        <f>VLOOKUP(AG607,Sheet1!$B$3:$D$36,2,FALSE)</f>
        <v>Decors</v>
      </c>
      <c r="AI607" s="89" t="s">
        <v>3092</v>
      </c>
      <c r="AJ607" s="1" t="str">
        <f t="shared" si="296"/>
        <v>Kubo Panel</v>
      </c>
      <c r="AK607" s="1" t="str">
        <f t="shared" si="297"/>
        <v>w60 x d60 x h3</v>
      </c>
      <c r="AL607" s="1" t="str">
        <f t="shared" si="298"/>
        <v>teak chainsaw cut fumé indoor</v>
      </c>
      <c r="AM607" s="1" t="str">
        <f t="shared" si="299"/>
        <v>teak chainsaw cut fumé indoor</v>
      </c>
      <c r="AN607" s="1" t="str">
        <f t="shared" si="318"/>
        <v xml:space="preserve">teak chainsaw cut fumé </v>
      </c>
      <c r="AO607" s="1" t="s">
        <v>54</v>
      </c>
      <c r="AQ607" s="1" t="str">
        <f t="shared" si="300"/>
        <v>B</v>
      </c>
      <c r="AR607" s="1" t="str">
        <f>VLOOKUP(TRIM(AI607),Sheet1!$D$3:$E$36,2,FALSE)</f>
        <v>11</v>
      </c>
      <c r="AS607" s="90" t="str">
        <f t="shared" si="301"/>
        <v>02</v>
      </c>
      <c r="AT607" s="1" t="str">
        <f t="shared" si="302"/>
        <v>01</v>
      </c>
      <c r="AU607" s="90" t="s">
        <v>1048</v>
      </c>
      <c r="AV607" s="90"/>
      <c r="AW607" s="90"/>
      <c r="AX607" s="95" t="str">
        <f>AQ607&amp;AR607&amp;AS607&amp;"-"&amp;AT607&amp;AU607&amp;BA607</f>
        <v>B1102-0128IND</v>
      </c>
      <c r="AY607" s="99" t="str">
        <f>AQ607&amp;AR607&amp;AS607&amp;"-"&amp;AT607&amp;BA607</f>
        <v>B1102-01IND</v>
      </c>
      <c r="AZ607" s="90"/>
      <c r="BA607" s="1" t="str">
        <f t="shared" si="303"/>
        <v>IND</v>
      </c>
      <c r="BC607" s="1" t="str">
        <f t="shared" si="285"/>
        <v/>
      </c>
      <c r="BD607" s="90">
        <f t="shared" si="286"/>
        <v>2</v>
      </c>
      <c r="BE607" s="1">
        <f t="shared" si="309"/>
        <v>1</v>
      </c>
      <c r="BF607" s="1">
        <f t="shared" si="310"/>
        <v>1</v>
      </c>
      <c r="BI607"/>
      <c r="BJ607"/>
      <c r="BL607"/>
    </row>
    <row r="608" spans="1:64" ht="11.25" customHeight="1">
      <c r="A608" s="26" t="s">
        <v>3107</v>
      </c>
      <c r="B608" s="27" t="s">
        <v>3099</v>
      </c>
      <c r="C608" s="28">
        <v>659.99</v>
      </c>
      <c r="D608" s="28">
        <f t="shared" si="294"/>
        <v>329.995</v>
      </c>
      <c r="E608" s="22" t="s">
        <v>3087</v>
      </c>
      <c r="F608" s="22" t="s">
        <v>3108</v>
      </c>
      <c r="G608" s="22" t="s">
        <v>445</v>
      </c>
      <c r="H608" s="22" t="s">
        <v>3109</v>
      </c>
      <c r="I608" s="23" t="s">
        <v>3090</v>
      </c>
      <c r="J608" s="22" t="s">
        <v>50</v>
      </c>
      <c r="K608" s="23">
        <v>220</v>
      </c>
      <c r="L608" s="23">
        <v>80</v>
      </c>
      <c r="M608" s="23">
        <v>3</v>
      </c>
      <c r="N608" s="3">
        <f t="shared" si="313"/>
        <v>5.28E-2</v>
      </c>
      <c r="O608" s="4" t="e">
        <f>(C608-(C608*#REF!))-((C608-(C608*#REF!))*#REF!)</f>
        <v>#REF!</v>
      </c>
      <c r="P608" s="7">
        <v>757830.93145074625</v>
      </c>
      <c r="Q608" s="7">
        <v>0</v>
      </c>
      <c r="R608" s="5">
        <f t="shared" si="314"/>
        <v>757830.93145074625</v>
      </c>
      <c r="S608" s="4">
        <f t="shared" si="315"/>
        <v>50.522062096716418</v>
      </c>
      <c r="T608" s="13">
        <f t="shared" si="295"/>
        <v>461.99300000000005</v>
      </c>
      <c r="U608" s="13">
        <f t="shared" si="304"/>
        <v>230.99650000000003</v>
      </c>
      <c r="V608" s="14">
        <f>U608/C608</f>
        <v>0.35000000000000003</v>
      </c>
      <c r="W608" s="14"/>
      <c r="X608" s="19">
        <f t="shared" si="316"/>
        <v>230.99650000000003</v>
      </c>
      <c r="Y608" s="19">
        <f t="shared" si="317"/>
        <v>461.99300000000005</v>
      </c>
      <c r="Z608" s="15">
        <f t="shared" si="319"/>
        <v>4.5721906512405237</v>
      </c>
      <c r="AA608" s="22" t="s">
        <v>3110</v>
      </c>
      <c r="AG608" s="94" t="s">
        <v>1169</v>
      </c>
      <c r="AH608" s="89" t="str">
        <f>VLOOKUP(AG608,Sheet1!$B$3:$D$36,2,FALSE)</f>
        <v>Decors</v>
      </c>
      <c r="AI608" s="89" t="s">
        <v>3092</v>
      </c>
      <c r="AJ608" s="1" t="str">
        <f t="shared" si="296"/>
        <v>Kubo Panel</v>
      </c>
      <c r="AK608" s="1" t="str">
        <f t="shared" si="297"/>
        <v>w220 x d80 x h3</v>
      </c>
      <c r="AL608" s="1" t="str">
        <f t="shared" si="298"/>
        <v>teak chainsaw cut fumé indoor</v>
      </c>
      <c r="AM608" s="1" t="str">
        <f t="shared" si="299"/>
        <v>teak chainsaw cut fumé indoor</v>
      </c>
      <c r="AN608" s="1" t="str">
        <f t="shared" si="318"/>
        <v xml:space="preserve">teak chainsaw cut fumé </v>
      </c>
      <c r="AO608" s="1" t="s">
        <v>54</v>
      </c>
      <c r="AQ608" s="1" t="str">
        <f t="shared" si="300"/>
        <v>B</v>
      </c>
      <c r="AR608" s="1" t="str">
        <f>VLOOKUP(TRIM(AI608),Sheet1!$D$3:$E$36,2,FALSE)</f>
        <v>11</v>
      </c>
      <c r="AS608" s="90" t="str">
        <f t="shared" si="301"/>
        <v>03</v>
      </c>
      <c r="AT608" s="1" t="str">
        <f t="shared" si="302"/>
        <v>01</v>
      </c>
      <c r="AU608" s="90" t="s">
        <v>1048</v>
      </c>
      <c r="AV608" s="90"/>
      <c r="AW608" s="90"/>
      <c r="AX608" s="95" t="str">
        <f>AQ608&amp;AR608&amp;AS608&amp;"-"&amp;AT608&amp;AU608&amp;BA608</f>
        <v>B1103-0128IND</v>
      </c>
      <c r="AY608" s="99" t="str">
        <f>AQ608&amp;AR608&amp;AS608&amp;"-"&amp;AT608&amp;BA608</f>
        <v>B1103-01IND</v>
      </c>
      <c r="AZ608" s="90"/>
      <c r="BA608" s="1" t="str">
        <f t="shared" si="303"/>
        <v>IND</v>
      </c>
      <c r="BC608" s="1" t="str">
        <f t="shared" si="285"/>
        <v/>
      </c>
      <c r="BD608" s="90">
        <f t="shared" si="286"/>
        <v>3</v>
      </c>
      <c r="BE608" s="1">
        <f t="shared" si="309"/>
        <v>1</v>
      </c>
      <c r="BF608" s="1">
        <f t="shared" si="310"/>
        <v>1</v>
      </c>
      <c r="BI608"/>
      <c r="BJ608"/>
      <c r="BL608"/>
    </row>
    <row r="609" spans="1:64" ht="11.25" customHeight="1">
      <c r="A609" s="26" t="s">
        <v>3111</v>
      </c>
      <c r="B609" s="27" t="s">
        <v>3112</v>
      </c>
      <c r="C609" s="28">
        <v>339.99</v>
      </c>
      <c r="D609" s="28">
        <f t="shared" si="294"/>
        <v>169.995</v>
      </c>
      <c r="E609" s="22" t="s">
        <v>3087</v>
      </c>
      <c r="F609" s="22" t="s">
        <v>3113</v>
      </c>
      <c r="G609" s="22" t="s">
        <v>792</v>
      </c>
      <c r="H609" s="22" t="s">
        <v>3114</v>
      </c>
      <c r="I609" s="23" t="s">
        <v>3090</v>
      </c>
      <c r="J609" s="22" t="s">
        <v>50</v>
      </c>
      <c r="K609" s="23">
        <v>18</v>
      </c>
      <c r="L609" s="23">
        <v>8</v>
      </c>
      <c r="M609" s="23">
        <v>180</v>
      </c>
      <c r="N609" s="3">
        <f t="shared" si="313"/>
        <v>2.5919999999999999E-2</v>
      </c>
      <c r="O609" s="4" t="e">
        <f>(C609-(C609*#REF!))-((C609-(C609*#REF!))*#REF!)</f>
        <v>#REF!</v>
      </c>
      <c r="P609" s="7">
        <v>299420.83907582099</v>
      </c>
      <c r="Q609" s="7">
        <v>0</v>
      </c>
      <c r="R609" s="5">
        <f t="shared" si="314"/>
        <v>299420.83907582099</v>
      </c>
      <c r="S609" s="4">
        <f t="shared" si="315"/>
        <v>19.961389271721398</v>
      </c>
      <c r="T609" s="13">
        <f t="shared" si="295"/>
        <v>237.99299999999999</v>
      </c>
      <c r="U609" s="13">
        <f t="shared" si="304"/>
        <v>118.9965</v>
      </c>
      <c r="V609" s="14">
        <f>U609/C609</f>
        <v>0.35</v>
      </c>
      <c r="W609" s="14"/>
      <c r="X609" s="19">
        <f t="shared" si="316"/>
        <v>118.9965</v>
      </c>
      <c r="Y609" s="19">
        <f t="shared" si="317"/>
        <v>237.99299999999999</v>
      </c>
      <c r="Z609" s="15">
        <f t="shared" si="319"/>
        <v>5.961333571535433</v>
      </c>
      <c r="AA609" s="22" t="s">
        <v>3115</v>
      </c>
      <c r="AG609" s="94" t="s">
        <v>1169</v>
      </c>
      <c r="AH609" s="89" t="str">
        <f>VLOOKUP(AG609,Sheet1!$B$3:$D$36,2,FALSE)</f>
        <v>Decors</v>
      </c>
      <c r="AI609" s="89" t="s">
        <v>3092</v>
      </c>
      <c r="AJ609" s="1" t="str">
        <f t="shared" si="296"/>
        <v>Standing Kubo</v>
      </c>
      <c r="AK609" s="1" t="str">
        <f t="shared" si="297"/>
        <v>w18 x d8 x h180 (vertical)</v>
      </c>
      <c r="AL609" s="1" t="str">
        <f t="shared" si="298"/>
        <v>teak chainsaw cut fumé indoor</v>
      </c>
      <c r="AM609" s="1" t="str">
        <f t="shared" si="299"/>
        <v>teak chainsaw cut fumé indoor</v>
      </c>
      <c r="AN609" s="1" t="str">
        <f t="shared" si="318"/>
        <v xml:space="preserve">teak chainsaw cut fumé </v>
      </c>
      <c r="AO609" s="1" t="s">
        <v>54</v>
      </c>
      <c r="AQ609" s="1" t="str">
        <f t="shared" si="300"/>
        <v>B</v>
      </c>
      <c r="AR609" s="1" t="str">
        <f>VLOOKUP(TRIM(AI609),Sheet1!$D$3:$E$36,2,FALSE)</f>
        <v>11</v>
      </c>
      <c r="AS609" s="90" t="str">
        <f t="shared" si="301"/>
        <v>01</v>
      </c>
      <c r="AT609" s="1" t="str">
        <f t="shared" si="302"/>
        <v>01</v>
      </c>
      <c r="AU609" s="90" t="s">
        <v>1048</v>
      </c>
      <c r="AV609" s="90"/>
      <c r="AW609" s="90"/>
      <c r="AX609" s="95" t="str">
        <f>AQ609&amp;AR609&amp;AS609&amp;"-"&amp;AT609&amp;AU609&amp;BA609</f>
        <v>B1101-0128IND</v>
      </c>
      <c r="AY609" s="99" t="str">
        <f>AQ609&amp;AR609&amp;AS609&amp;"-"&amp;AT609&amp;BA609</f>
        <v>B1101-01IND</v>
      </c>
      <c r="AZ609" s="90"/>
      <c r="BA609" s="1" t="str">
        <f t="shared" si="303"/>
        <v>IND</v>
      </c>
      <c r="BC609" s="1">
        <f t="shared" si="285"/>
        <v>1</v>
      </c>
      <c r="BD609" s="90">
        <f t="shared" si="286"/>
        <v>1</v>
      </c>
      <c r="BE609" s="1">
        <f t="shared" si="309"/>
        <v>1</v>
      </c>
      <c r="BF609" s="1">
        <f t="shared" si="310"/>
        <v>1</v>
      </c>
      <c r="BI609"/>
      <c r="BJ609"/>
      <c r="BL609"/>
    </row>
    <row r="610" spans="1:64" ht="11.25" customHeight="1">
      <c r="A610" s="26" t="s">
        <v>3116</v>
      </c>
      <c r="B610" s="27" t="s">
        <v>3112</v>
      </c>
      <c r="C610" s="28">
        <v>339.99</v>
      </c>
      <c r="D610" s="28">
        <f t="shared" si="294"/>
        <v>169.995</v>
      </c>
      <c r="E610" s="22" t="s">
        <v>3087</v>
      </c>
      <c r="F610" s="22" t="s">
        <v>3117</v>
      </c>
      <c r="G610" s="22" t="s">
        <v>792</v>
      </c>
      <c r="H610" s="22" t="s">
        <v>3118</v>
      </c>
      <c r="I610" s="23" t="s">
        <v>3090</v>
      </c>
      <c r="J610" s="22" t="s">
        <v>50</v>
      </c>
      <c r="K610" s="23">
        <v>18</v>
      </c>
      <c r="L610" s="23">
        <v>8</v>
      </c>
      <c r="M610" s="23">
        <v>170</v>
      </c>
      <c r="N610" s="3">
        <f t="shared" si="313"/>
        <v>2.4479999999999998E-2</v>
      </c>
      <c r="O610" s="4" t="e">
        <f>(C610-(C610*#REF!))-((C610-(C610*#REF!))*#REF!)</f>
        <v>#REF!</v>
      </c>
      <c r="P610" s="7"/>
      <c r="Q610" s="7"/>
      <c r="R610" s="5">
        <f t="shared" si="314"/>
        <v>0</v>
      </c>
      <c r="S610" s="4">
        <f t="shared" si="315"/>
        <v>0</v>
      </c>
      <c r="T610" s="13">
        <f t="shared" si="295"/>
        <v>237.99299999999999</v>
      </c>
      <c r="U610" s="13">
        <f t="shared" si="304"/>
        <v>118.9965</v>
      </c>
      <c r="V610" s="14">
        <f>U610/C610</f>
        <v>0.35</v>
      </c>
      <c r="W610" s="14"/>
      <c r="X610" s="19">
        <f t="shared" si="316"/>
        <v>118.9965</v>
      </c>
      <c r="Y610" s="19">
        <f t="shared" si="317"/>
        <v>237.99299999999999</v>
      </c>
      <c r="Z610" s="15" t="e">
        <f t="shared" si="319"/>
        <v>#DIV/0!</v>
      </c>
      <c r="AA610" s="22" t="s">
        <v>3115</v>
      </c>
      <c r="AG610" s="94" t="s">
        <v>1169</v>
      </c>
      <c r="AH610" s="89" t="str">
        <f>VLOOKUP(AG610,Sheet1!$B$3:$D$36,2,FALSE)</f>
        <v>Decors</v>
      </c>
      <c r="AI610" s="89" t="s">
        <v>3092</v>
      </c>
      <c r="AJ610" s="1" t="str">
        <f t="shared" si="296"/>
        <v>Standing Kubo</v>
      </c>
      <c r="AK610" s="1" t="str">
        <f t="shared" si="297"/>
        <v>w18 x d8 x h170 (horizontal)</v>
      </c>
      <c r="AL610" s="1" t="str">
        <f t="shared" si="298"/>
        <v>teak chainsaw cut fumé indoor</v>
      </c>
      <c r="AM610" s="1" t="str">
        <f t="shared" si="299"/>
        <v>teak chainsaw cut fumé indoor</v>
      </c>
      <c r="AN610" s="1" t="str">
        <f t="shared" si="318"/>
        <v xml:space="preserve">teak chainsaw cut fumé </v>
      </c>
      <c r="AO610" s="1" t="s">
        <v>54</v>
      </c>
      <c r="AQ610" s="1" t="str">
        <f t="shared" si="300"/>
        <v>B</v>
      </c>
      <c r="AR610" s="1" t="str">
        <f>VLOOKUP(TRIM(AI610),Sheet1!$D$3:$E$36,2,FALSE)</f>
        <v>11</v>
      </c>
      <c r="AS610" s="90" t="str">
        <f t="shared" si="301"/>
        <v>02</v>
      </c>
      <c r="AT610" s="1" t="str">
        <f t="shared" si="302"/>
        <v>01</v>
      </c>
      <c r="AU610" s="90" t="s">
        <v>1048</v>
      </c>
      <c r="AV610" s="90"/>
      <c r="AW610" s="90"/>
      <c r="AX610" s="95" t="str">
        <f>AQ610&amp;AR610&amp;AS610&amp;"-"&amp;AT610&amp;AU610&amp;BA610</f>
        <v>B1102-0128IND</v>
      </c>
      <c r="AY610" s="99" t="str">
        <f>AQ610&amp;AR610&amp;AS610&amp;"-"&amp;AT610&amp;BA610</f>
        <v>B1102-01IND</v>
      </c>
      <c r="AZ610" s="90"/>
      <c r="BA610" s="1" t="str">
        <f t="shared" si="303"/>
        <v>IND</v>
      </c>
      <c r="BC610" s="1" t="str">
        <f t="shared" si="285"/>
        <v/>
      </c>
      <c r="BD610" s="90">
        <f t="shared" si="286"/>
        <v>2</v>
      </c>
      <c r="BE610" s="1">
        <f t="shared" si="309"/>
        <v>1</v>
      </c>
      <c r="BF610" s="1">
        <f t="shared" si="310"/>
        <v>1</v>
      </c>
      <c r="BI610"/>
      <c r="BJ610"/>
      <c r="BL610"/>
    </row>
    <row r="611" spans="1:64" ht="11.25" customHeight="1">
      <c r="A611" s="26" t="s">
        <v>3119</v>
      </c>
      <c r="B611" s="27" t="s">
        <v>3112</v>
      </c>
      <c r="C611" s="28">
        <v>339.99</v>
      </c>
      <c r="D611" s="28">
        <f t="shared" si="294"/>
        <v>169.995</v>
      </c>
      <c r="E611" s="22" t="s">
        <v>3087</v>
      </c>
      <c r="F611" s="22" t="s">
        <v>3117</v>
      </c>
      <c r="G611" s="22" t="s">
        <v>792</v>
      </c>
      <c r="H611" s="22" t="s">
        <v>3120</v>
      </c>
      <c r="I611" s="23" t="s">
        <v>3090</v>
      </c>
      <c r="J611" s="22" t="s">
        <v>50</v>
      </c>
      <c r="K611" s="23">
        <v>18</v>
      </c>
      <c r="L611" s="23">
        <v>8</v>
      </c>
      <c r="M611" s="23">
        <v>170</v>
      </c>
      <c r="N611" s="3">
        <f t="shared" si="313"/>
        <v>2.4479999999999998E-2</v>
      </c>
      <c r="O611" s="4" t="e">
        <f>(C611-(C611*#REF!))-((C611-(C611*#REF!))*#REF!)</f>
        <v>#REF!</v>
      </c>
      <c r="P611" s="7"/>
      <c r="Q611" s="7"/>
      <c r="R611" s="5">
        <f t="shared" si="314"/>
        <v>0</v>
      </c>
      <c r="S611" s="4">
        <f t="shared" si="315"/>
        <v>0</v>
      </c>
      <c r="T611" s="13">
        <f t="shared" si="295"/>
        <v>237.99299999999999</v>
      </c>
      <c r="U611" s="13">
        <f t="shared" si="304"/>
        <v>118.9965</v>
      </c>
      <c r="V611" s="14">
        <f>U611/C611</f>
        <v>0.35</v>
      </c>
      <c r="W611" s="14"/>
      <c r="X611" s="19">
        <f t="shared" si="316"/>
        <v>118.9965</v>
      </c>
      <c r="Y611" s="19">
        <f t="shared" si="317"/>
        <v>237.99299999999999</v>
      </c>
      <c r="Z611" s="15" t="e">
        <f t="shared" si="319"/>
        <v>#DIV/0!</v>
      </c>
      <c r="AA611" s="22" t="s">
        <v>3121</v>
      </c>
      <c r="AG611" s="94" t="s">
        <v>1169</v>
      </c>
      <c r="AH611" s="89" t="str">
        <f>VLOOKUP(AG611,Sheet1!$B$3:$D$36,2,FALSE)</f>
        <v>Decors</v>
      </c>
      <c r="AI611" s="89" t="s">
        <v>3092</v>
      </c>
      <c r="AJ611" s="1" t="str">
        <f t="shared" si="296"/>
        <v>Standing Kubo</v>
      </c>
      <c r="AK611" s="1" t="str">
        <f t="shared" si="297"/>
        <v>w18 x d8 x h170 (diagonal)</v>
      </c>
      <c r="AL611" s="1" t="str">
        <f t="shared" si="298"/>
        <v>teak chainsaw cut fumé indoor</v>
      </c>
      <c r="AM611" s="1" t="str">
        <f t="shared" si="299"/>
        <v>teak chainsaw cut fumé indoor</v>
      </c>
      <c r="AN611" s="1" t="str">
        <f t="shared" si="318"/>
        <v xml:space="preserve">teak chainsaw cut fumé </v>
      </c>
      <c r="AO611" s="1" t="s">
        <v>54</v>
      </c>
      <c r="AQ611" s="1" t="str">
        <f t="shared" si="300"/>
        <v>B</v>
      </c>
      <c r="AR611" s="1" t="str">
        <f>VLOOKUP(TRIM(AI611),Sheet1!$D$3:$E$36,2,FALSE)</f>
        <v>11</v>
      </c>
      <c r="AS611" s="90" t="str">
        <f t="shared" si="301"/>
        <v>03</v>
      </c>
      <c r="AT611" s="1" t="str">
        <f t="shared" si="302"/>
        <v>01</v>
      </c>
      <c r="AU611" s="90" t="s">
        <v>1048</v>
      </c>
      <c r="AV611" s="90"/>
      <c r="AW611" s="90"/>
      <c r="AX611" s="95" t="str">
        <f>AQ611&amp;AR611&amp;AS611&amp;"-"&amp;AT611&amp;AU611&amp;BA611</f>
        <v>B1103-0128IND</v>
      </c>
      <c r="AY611" s="99" t="str">
        <f>AQ611&amp;AR611&amp;AS611&amp;"-"&amp;AT611&amp;BA611</f>
        <v>B1103-01IND</v>
      </c>
      <c r="AZ611" s="90"/>
      <c r="BA611" s="1" t="str">
        <f t="shared" si="303"/>
        <v>IND</v>
      </c>
      <c r="BC611" s="1" t="str">
        <f t="shared" si="285"/>
        <v/>
      </c>
      <c r="BD611" s="90">
        <f t="shared" si="286"/>
        <v>3</v>
      </c>
      <c r="BE611" s="1">
        <f t="shared" si="309"/>
        <v>1</v>
      </c>
      <c r="BF611" s="1">
        <f t="shared" si="310"/>
        <v>1</v>
      </c>
      <c r="BI611"/>
      <c r="BJ611"/>
      <c r="BL611"/>
    </row>
    <row r="612" spans="1:64" s="63" customFormat="1" ht="15.75">
      <c r="A612" s="33" t="s">
        <v>3122</v>
      </c>
      <c r="B612" s="34"/>
      <c r="C612" s="35"/>
      <c r="D612" s="36"/>
      <c r="E612" s="39"/>
      <c r="F612" s="40"/>
      <c r="G612" s="39"/>
      <c r="H612" s="39"/>
      <c r="I612" s="41"/>
      <c r="J612" s="39"/>
      <c r="K612" s="41"/>
      <c r="L612" s="41"/>
      <c r="M612" s="41"/>
      <c r="N612" s="48"/>
      <c r="O612" s="48"/>
      <c r="P612" s="49"/>
      <c r="Q612" s="49"/>
      <c r="R612" s="50"/>
      <c r="S612" s="48"/>
      <c r="T612" s="13"/>
      <c r="U612" s="13"/>
      <c r="V612" s="14"/>
      <c r="W612" s="14"/>
      <c r="X612" s="60"/>
      <c r="Y612" s="60"/>
      <c r="Z612" s="15"/>
      <c r="AA612" s="39"/>
      <c r="AG612" s="93"/>
      <c r="AH612" s="89"/>
      <c r="AI612" s="89"/>
      <c r="AJ612" s="1"/>
      <c r="AK612" s="1"/>
      <c r="AL612" s="1"/>
      <c r="AM612" s="1"/>
      <c r="AN612" s="1"/>
      <c r="AQ612" s="1"/>
      <c r="AR612" s="1"/>
      <c r="AS612" s="90"/>
      <c r="AT612" s="1"/>
      <c r="AU612" s="90"/>
      <c r="AV612" s="90"/>
      <c r="AW612" s="90"/>
      <c r="AX612" s="95"/>
      <c r="AY612" s="99" t="str">
        <f>AQ612&amp;AR612&amp;AS612&amp;"-"&amp;AT612&amp;BA612</f>
        <v>-</v>
      </c>
      <c r="AZ612" s="90"/>
      <c r="BA612" s="1"/>
      <c r="BC612" s="1"/>
      <c r="BD612" s="90"/>
      <c r="BE612" s="1"/>
      <c r="BF612" s="1"/>
      <c r="BI612"/>
      <c r="BJ612"/>
      <c r="BK612" s="1"/>
      <c r="BL612"/>
    </row>
    <row r="613" spans="1:64" ht="11.25" customHeight="1">
      <c r="A613" s="26" t="s">
        <v>3123</v>
      </c>
      <c r="B613" s="27" t="s">
        <v>3124</v>
      </c>
      <c r="C613" s="28">
        <v>1479.99</v>
      </c>
      <c r="D613" s="28">
        <f t="shared" si="294"/>
        <v>739.995</v>
      </c>
      <c r="E613" s="22" t="s">
        <v>3125</v>
      </c>
      <c r="F613" s="22" t="s">
        <v>3126</v>
      </c>
      <c r="G613" s="22" t="s">
        <v>3127</v>
      </c>
      <c r="H613" s="22" t="s">
        <v>3128</v>
      </c>
      <c r="I613" s="23" t="s">
        <v>1046</v>
      </c>
      <c r="J613" s="22" t="s">
        <v>670</v>
      </c>
      <c r="K613" s="23">
        <v>150</v>
      </c>
      <c r="L613" s="23">
        <v>200</v>
      </c>
      <c r="M613" s="23">
        <v>8</v>
      </c>
      <c r="N613" s="3">
        <f t="shared" ref="N613:N628" si="320">(IF(ISBLANK(K613),(L613*L613*M613),(K613*L613*M613)))/1000000</f>
        <v>0.24</v>
      </c>
      <c r="O613" s="4" t="e">
        <f>(C613-(C613*#REF!))-((C613-(C613*#REF!))*#REF!)</f>
        <v>#REF!</v>
      </c>
      <c r="P613" s="7"/>
      <c r="Q613" s="7"/>
      <c r="R613" s="5">
        <f t="shared" ref="R613:R628" si="321">P613+Q613</f>
        <v>0</v>
      </c>
      <c r="S613" s="4">
        <f t="shared" ref="S613:S628" si="322">R613/15000</f>
        <v>0</v>
      </c>
      <c r="T613" s="13">
        <f t="shared" si="295"/>
        <v>1035.9929999999999</v>
      </c>
      <c r="U613" s="13">
        <f t="shared" si="304"/>
        <v>517.99649999999997</v>
      </c>
      <c r="V613" s="14">
        <f>U613/C613</f>
        <v>0.35</v>
      </c>
      <c r="W613" s="14"/>
      <c r="X613" s="19">
        <f t="shared" ref="X613:X628" si="323">IF(ISBLANK(W613),U613, W613)</f>
        <v>517.99649999999997</v>
      </c>
      <c r="Y613" s="19">
        <f t="shared" ref="Y613:Y628" si="324">X613*2</f>
        <v>1035.9929999999999</v>
      </c>
      <c r="Z613" s="15" t="e">
        <f t="shared" si="319"/>
        <v>#DIV/0!</v>
      </c>
      <c r="AA613" s="22" t="s">
        <v>3129</v>
      </c>
      <c r="AG613" s="94" t="s">
        <v>1169</v>
      </c>
      <c r="AH613" s="89" t="str">
        <f>VLOOKUP(AG613,Sheet1!$B$3:$D$36,2,FALSE)</f>
        <v>Decors</v>
      </c>
      <c r="AI613" s="89" t="str">
        <f>VLOOKUP(AG613,Sheet1!$B$3:$D$36,3,FALSE)</f>
        <v>Mirrors</v>
      </c>
      <c r="AJ613" s="1" t="str">
        <f t="shared" si="296"/>
        <v>Berbatov Mirror M</v>
      </c>
      <c r="AK613" s="1" t="str">
        <f t="shared" si="297"/>
        <v>w150 x d200 x h8</v>
      </c>
      <c r="AL613" s="1" t="str">
        <f t="shared" si="298"/>
        <v>teak chainsaw cut indoor</v>
      </c>
      <c r="AM613" s="1" t="str">
        <f t="shared" si="299"/>
        <v>teak chainsaw cut indoor</v>
      </c>
      <c r="AN613" s="1" t="str">
        <f t="shared" ref="AN613:AN629" si="325">SUBSTITUTE(AL613,"indoor","")</f>
        <v xml:space="preserve">teak chainsaw cut </v>
      </c>
      <c r="AO613" s="1" t="s">
        <v>54</v>
      </c>
      <c r="AQ613" s="1" t="str">
        <f t="shared" si="300"/>
        <v>B</v>
      </c>
      <c r="AR613" s="1" t="str">
        <f>VLOOKUP(TRIM(AI613),Sheet1!$D$3:$E$36,2,FALSE)</f>
        <v>01</v>
      </c>
      <c r="AS613" s="90" t="str">
        <f t="shared" si="301"/>
        <v>01</v>
      </c>
      <c r="AT613" s="1" t="str">
        <f t="shared" si="302"/>
        <v>01</v>
      </c>
      <c r="AU613" s="90" t="s">
        <v>1048</v>
      </c>
      <c r="AV613" s="90"/>
      <c r="AW613" s="90"/>
      <c r="AX613" s="95" t="str">
        <f>AQ613&amp;AR613&amp;AS613&amp;"-"&amp;AT613&amp;AU613&amp;BA613</f>
        <v>B0101-0128IND</v>
      </c>
      <c r="AY613" s="99" t="str">
        <f>AQ613&amp;AR613&amp;AS613&amp;"-"&amp;AT613&amp;BA613</f>
        <v>B0101-01IND</v>
      </c>
      <c r="AZ613" s="90"/>
      <c r="BA613" s="1" t="str">
        <f t="shared" si="303"/>
        <v>IND</v>
      </c>
      <c r="BC613" s="1">
        <f t="shared" si="285"/>
        <v>1</v>
      </c>
      <c r="BD613" s="90">
        <f t="shared" si="286"/>
        <v>1</v>
      </c>
      <c r="BE613" s="1">
        <f t="shared" si="309"/>
        <v>1</v>
      </c>
      <c r="BF613" s="1">
        <f t="shared" si="310"/>
        <v>1</v>
      </c>
      <c r="BI613"/>
      <c r="BJ613"/>
      <c r="BL613"/>
    </row>
    <row r="614" spans="1:64" ht="11.25" customHeight="1">
      <c r="A614" s="26" t="s">
        <v>3130</v>
      </c>
      <c r="B614" s="27" t="s">
        <v>3124</v>
      </c>
      <c r="C614" s="28">
        <v>1019.99</v>
      </c>
      <c r="D614" s="28">
        <f t="shared" si="294"/>
        <v>509.995</v>
      </c>
      <c r="E614" s="22" t="s">
        <v>3125</v>
      </c>
      <c r="F614" s="22" t="s">
        <v>3131</v>
      </c>
      <c r="G614" s="22" t="s">
        <v>120</v>
      </c>
      <c r="H614" s="22" t="s">
        <v>3132</v>
      </c>
      <c r="I614" s="23" t="s">
        <v>1046</v>
      </c>
      <c r="J614" s="22" t="s">
        <v>670</v>
      </c>
      <c r="K614" s="23">
        <v>80</v>
      </c>
      <c r="L614" s="23">
        <v>180</v>
      </c>
      <c r="M614" s="23">
        <v>8</v>
      </c>
      <c r="N614" s="3">
        <f t="shared" si="320"/>
        <v>0.1152</v>
      </c>
      <c r="O614" s="4" t="e">
        <f>(C614-(C614*#REF!))-((C614-(C614*#REF!))*#REF!)</f>
        <v>#REF!</v>
      </c>
      <c r="P614" s="7">
        <v>1083166.675952239</v>
      </c>
      <c r="Q614" s="7">
        <v>0</v>
      </c>
      <c r="R614" s="5">
        <f t="shared" si="321"/>
        <v>1083166.675952239</v>
      </c>
      <c r="S614" s="4">
        <f t="shared" si="322"/>
        <v>72.21111173014927</v>
      </c>
      <c r="T614" s="13">
        <f t="shared" si="295"/>
        <v>713.99299999999994</v>
      </c>
      <c r="U614" s="13">
        <f t="shared" si="304"/>
        <v>356.99649999999997</v>
      </c>
      <c r="V614" s="14">
        <f>U614/C614</f>
        <v>0.35</v>
      </c>
      <c r="W614" s="14"/>
      <c r="X614" s="19">
        <f t="shared" si="323"/>
        <v>356.99649999999997</v>
      </c>
      <c r="Y614" s="19">
        <f t="shared" si="324"/>
        <v>713.99299999999994</v>
      </c>
      <c r="Z614" s="15">
        <f t="shared" si="319"/>
        <v>4.943789002087172</v>
      </c>
      <c r="AA614" s="22" t="s">
        <v>3133</v>
      </c>
      <c r="AG614" s="94" t="s">
        <v>1169</v>
      </c>
      <c r="AH614" s="89" t="str">
        <f>VLOOKUP(AG614,Sheet1!$B$3:$D$36,2,FALSE)</f>
        <v>Decors</v>
      </c>
      <c r="AI614" s="89" t="str">
        <f>VLOOKUP(AG614,Sheet1!$B$3:$D$36,3,FALSE)</f>
        <v>Mirrors</v>
      </c>
      <c r="AJ614" s="1" t="str">
        <f t="shared" si="296"/>
        <v>Berbatov Mirror L</v>
      </c>
      <c r="AK614" s="1" t="str">
        <f t="shared" si="297"/>
        <v>w80 x d180 x h8</v>
      </c>
      <c r="AL614" s="1" t="str">
        <f t="shared" si="298"/>
        <v>teak chainsaw cut indoor</v>
      </c>
      <c r="AM614" s="1" t="str">
        <f t="shared" si="299"/>
        <v>teak chainsaw cut indoor</v>
      </c>
      <c r="AN614" s="1" t="str">
        <f t="shared" si="325"/>
        <v xml:space="preserve">teak chainsaw cut </v>
      </c>
      <c r="AO614" s="1" t="s">
        <v>54</v>
      </c>
      <c r="AQ614" s="1" t="str">
        <f t="shared" si="300"/>
        <v>B</v>
      </c>
      <c r="AR614" s="1" t="str">
        <f>VLOOKUP(TRIM(AI614),Sheet1!$D$3:$E$36,2,FALSE)</f>
        <v>01</v>
      </c>
      <c r="AS614" s="90" t="str">
        <f t="shared" si="301"/>
        <v>01</v>
      </c>
      <c r="AT614" s="1" t="str">
        <f t="shared" si="302"/>
        <v>01</v>
      </c>
      <c r="AU614" s="90" t="s">
        <v>1048</v>
      </c>
      <c r="AV614" s="90"/>
      <c r="AW614" s="90"/>
      <c r="AX614" s="95" t="str">
        <f>AQ614&amp;AR614&amp;AS614&amp;"-"&amp;AT614&amp;AU614&amp;BA614</f>
        <v>B0101-0128IND</v>
      </c>
      <c r="AY614" s="99" t="str">
        <f>AQ614&amp;AR614&amp;AS614&amp;"-"&amp;AT614&amp;BA614</f>
        <v>B0101-01IND</v>
      </c>
      <c r="AZ614" s="90"/>
      <c r="BA614" s="1" t="str">
        <f t="shared" si="303"/>
        <v>IND</v>
      </c>
      <c r="BC614" s="1">
        <f t="shared" si="285"/>
        <v>1</v>
      </c>
      <c r="BD614" s="90">
        <f t="shared" si="286"/>
        <v>1</v>
      </c>
      <c r="BE614" s="1">
        <f t="shared" si="309"/>
        <v>1</v>
      </c>
      <c r="BF614" s="1">
        <f t="shared" si="310"/>
        <v>1</v>
      </c>
      <c r="BI614"/>
      <c r="BJ614"/>
      <c r="BL614"/>
    </row>
    <row r="615" spans="1:64" ht="11.25" customHeight="1">
      <c r="A615" s="26" t="s">
        <v>3134</v>
      </c>
      <c r="B615" s="27" t="s">
        <v>3124</v>
      </c>
      <c r="C615" s="28">
        <v>1129.99</v>
      </c>
      <c r="D615" s="28">
        <f t="shared" si="294"/>
        <v>564.995</v>
      </c>
      <c r="E615" s="22" t="s">
        <v>3125</v>
      </c>
      <c r="F615" s="22" t="s">
        <v>3135</v>
      </c>
      <c r="G615" s="22" t="s">
        <v>120</v>
      </c>
      <c r="H615" s="22" t="s">
        <v>3136</v>
      </c>
      <c r="I615" s="23" t="s">
        <v>1046</v>
      </c>
      <c r="J615" s="22" t="s">
        <v>50</v>
      </c>
      <c r="K615" s="23">
        <v>80</v>
      </c>
      <c r="L615" s="23">
        <v>180</v>
      </c>
      <c r="M615" s="23">
        <v>8</v>
      </c>
      <c r="N615" s="3">
        <f t="shared" si="320"/>
        <v>0.1152</v>
      </c>
      <c r="O615" s="4" t="e">
        <f>(C615-(C615*#REF!))-((C615-(C615*#REF!))*#REF!)</f>
        <v>#REF!</v>
      </c>
      <c r="P615" s="7"/>
      <c r="Q615" s="7"/>
      <c r="R615" s="5">
        <f t="shared" si="321"/>
        <v>0</v>
      </c>
      <c r="S615" s="4">
        <f t="shared" si="322"/>
        <v>0</v>
      </c>
      <c r="T615" s="13">
        <f t="shared" si="295"/>
        <v>790.99299999999994</v>
      </c>
      <c r="U615" s="13">
        <f t="shared" si="304"/>
        <v>395.49649999999997</v>
      </c>
      <c r="V615" s="14">
        <f>U615/C615</f>
        <v>0.35</v>
      </c>
      <c r="W615" s="14"/>
      <c r="X615" s="19">
        <f t="shared" si="323"/>
        <v>395.49649999999997</v>
      </c>
      <c r="Y615" s="19">
        <f t="shared" si="324"/>
        <v>790.99299999999994</v>
      </c>
      <c r="Z615" s="15" t="e">
        <f t="shared" si="319"/>
        <v>#DIV/0!</v>
      </c>
      <c r="AA615" s="22" t="s">
        <v>3137</v>
      </c>
      <c r="AG615" s="94" t="s">
        <v>1169</v>
      </c>
      <c r="AH615" s="89" t="str">
        <f>VLOOKUP(AG615,Sheet1!$B$3:$D$36,2,FALSE)</f>
        <v>Decors</v>
      </c>
      <c r="AI615" s="89" t="str">
        <f>VLOOKUP(AG615,Sheet1!$B$3:$D$36,3,FALSE)</f>
        <v>Mirrors</v>
      </c>
      <c r="AJ615" s="1" t="str">
        <f t="shared" si="296"/>
        <v>Berbatov Mirror L</v>
      </c>
      <c r="AK615" s="1" t="str">
        <f t="shared" si="297"/>
        <v>w80 x d180 x h8 - frame 10</v>
      </c>
      <c r="AL615" s="1" t="str">
        <f t="shared" si="298"/>
        <v>teak chainsaw cut indoor</v>
      </c>
      <c r="AM615" s="1" t="str">
        <f t="shared" si="299"/>
        <v>teak chainsaw cut indoor</v>
      </c>
      <c r="AN615" s="1" t="str">
        <f t="shared" si="325"/>
        <v xml:space="preserve">teak chainsaw cut </v>
      </c>
      <c r="AO615" s="1" t="s">
        <v>54</v>
      </c>
      <c r="AQ615" s="1" t="str">
        <f t="shared" si="300"/>
        <v>B</v>
      </c>
      <c r="AR615" s="1" t="str">
        <f>VLOOKUP(TRIM(AI615),Sheet1!$D$3:$E$36,2,FALSE)</f>
        <v>01</v>
      </c>
      <c r="AS615" s="90" t="str">
        <f t="shared" si="301"/>
        <v>02</v>
      </c>
      <c r="AT615" s="1" t="str">
        <f t="shared" si="302"/>
        <v>01</v>
      </c>
      <c r="AU615" s="90" t="s">
        <v>1048</v>
      </c>
      <c r="AV615" s="90"/>
      <c r="AW615" s="90"/>
      <c r="AX615" s="95" t="str">
        <f>AQ615&amp;AR615&amp;AS615&amp;"-"&amp;AT615&amp;AU615&amp;BA615</f>
        <v>B0102-0128IND</v>
      </c>
      <c r="AY615" s="99" t="str">
        <f>AQ615&amp;AR615&amp;AS615&amp;"-"&amp;AT615&amp;BA615</f>
        <v>B0102-01IND</v>
      </c>
      <c r="AZ615" s="90"/>
      <c r="BA615" s="1" t="str">
        <f t="shared" si="303"/>
        <v>IND</v>
      </c>
      <c r="BC615" s="1" t="str">
        <f t="shared" si="285"/>
        <v/>
      </c>
      <c r="BD615" s="90">
        <f t="shared" si="286"/>
        <v>2</v>
      </c>
      <c r="BE615" s="1">
        <f t="shared" si="309"/>
        <v>1</v>
      </c>
      <c r="BF615" s="1">
        <f t="shared" si="310"/>
        <v>1</v>
      </c>
      <c r="BI615"/>
      <c r="BJ615"/>
      <c r="BL615"/>
    </row>
    <row r="616" spans="1:64" ht="11.25" customHeight="1">
      <c r="A616" s="26" t="s">
        <v>3138</v>
      </c>
      <c r="B616" s="27" t="s">
        <v>3124</v>
      </c>
      <c r="C616" s="28">
        <v>1389.99</v>
      </c>
      <c r="D616" s="28">
        <f t="shared" si="294"/>
        <v>694.995</v>
      </c>
      <c r="E616" s="22" t="s">
        <v>3125</v>
      </c>
      <c r="F616" s="22" t="s">
        <v>3135</v>
      </c>
      <c r="G616" s="22" t="s">
        <v>120</v>
      </c>
      <c r="H616" s="22" t="s">
        <v>3139</v>
      </c>
      <c r="I616" s="23" t="s">
        <v>1046</v>
      </c>
      <c r="J616" s="22" t="s">
        <v>50</v>
      </c>
      <c r="K616" s="23">
        <v>80</v>
      </c>
      <c r="L616" s="23">
        <v>180</v>
      </c>
      <c r="M616" s="23">
        <v>8</v>
      </c>
      <c r="N616" s="3">
        <f t="shared" si="320"/>
        <v>0.1152</v>
      </c>
      <c r="O616" s="4" t="e">
        <f>(C616-(C616*#REF!))-((C616-(C616*#REF!))*#REF!)</f>
        <v>#REF!</v>
      </c>
      <c r="P616" s="7"/>
      <c r="Q616" s="7"/>
      <c r="R616" s="5">
        <f t="shared" si="321"/>
        <v>0</v>
      </c>
      <c r="S616" s="4">
        <f t="shared" si="322"/>
        <v>0</v>
      </c>
      <c r="T616" s="13">
        <f t="shared" si="295"/>
        <v>972.99299999999994</v>
      </c>
      <c r="U616" s="13">
        <f t="shared" si="304"/>
        <v>486.49649999999997</v>
      </c>
      <c r="V616" s="14">
        <f>U616/C616</f>
        <v>0.35</v>
      </c>
      <c r="W616" s="14"/>
      <c r="X616" s="19">
        <f t="shared" si="323"/>
        <v>486.49649999999997</v>
      </c>
      <c r="Y616" s="19">
        <f t="shared" si="324"/>
        <v>972.99299999999994</v>
      </c>
      <c r="Z616" s="15" t="e">
        <f t="shared" si="319"/>
        <v>#DIV/0!</v>
      </c>
      <c r="AA616" s="22" t="s">
        <v>3140</v>
      </c>
      <c r="AG616" s="94" t="s">
        <v>1169</v>
      </c>
      <c r="AH616" s="89" t="str">
        <f>VLOOKUP(AG616,Sheet1!$B$3:$D$36,2,FALSE)</f>
        <v>Decors</v>
      </c>
      <c r="AI616" s="89" t="str">
        <f>VLOOKUP(AG616,Sheet1!$B$3:$D$36,3,FALSE)</f>
        <v>Mirrors</v>
      </c>
      <c r="AJ616" s="1" t="str">
        <f t="shared" si="296"/>
        <v>Berbatov Mirror L</v>
      </c>
      <c r="AK616" s="1" t="str">
        <f t="shared" si="297"/>
        <v>w80 x d180 x h8 - frame 18</v>
      </c>
      <c r="AL616" s="1" t="str">
        <f t="shared" si="298"/>
        <v>teak chainsaw cut indoor</v>
      </c>
      <c r="AM616" s="1" t="str">
        <f t="shared" si="299"/>
        <v>teak chainsaw cut indoor</v>
      </c>
      <c r="AN616" s="1" t="str">
        <f t="shared" si="325"/>
        <v xml:space="preserve">teak chainsaw cut </v>
      </c>
      <c r="AO616" s="1" t="s">
        <v>54</v>
      </c>
      <c r="AQ616" s="1" t="str">
        <f t="shared" si="300"/>
        <v>B</v>
      </c>
      <c r="AR616" s="1" t="str">
        <f>VLOOKUP(TRIM(AI616),Sheet1!$D$3:$E$36,2,FALSE)</f>
        <v>01</v>
      </c>
      <c r="AS616" s="90" t="str">
        <f t="shared" si="301"/>
        <v>03</v>
      </c>
      <c r="AT616" s="1" t="str">
        <f t="shared" si="302"/>
        <v>01</v>
      </c>
      <c r="AU616" s="90" t="s">
        <v>1048</v>
      </c>
      <c r="AV616" s="90"/>
      <c r="AW616" s="90"/>
      <c r="AX616" s="95" t="str">
        <f>AQ616&amp;AR616&amp;AS616&amp;"-"&amp;AT616&amp;AU616&amp;BA616</f>
        <v>B0103-0128IND</v>
      </c>
      <c r="AY616" s="99" t="str">
        <f>AQ616&amp;AR616&amp;AS616&amp;"-"&amp;AT616&amp;BA616</f>
        <v>B0103-01IND</v>
      </c>
      <c r="AZ616" s="90"/>
      <c r="BA616" s="1" t="str">
        <f t="shared" si="303"/>
        <v>IND</v>
      </c>
      <c r="BC616" s="1" t="str">
        <f t="shared" si="285"/>
        <v/>
      </c>
      <c r="BD616" s="90">
        <f t="shared" si="286"/>
        <v>3</v>
      </c>
      <c r="BE616" s="1">
        <f t="shared" si="309"/>
        <v>1</v>
      </c>
      <c r="BF616" s="1">
        <f t="shared" si="310"/>
        <v>1</v>
      </c>
      <c r="BI616"/>
      <c r="BJ616"/>
      <c r="BL616"/>
    </row>
    <row r="617" spans="1:64" ht="11.25" customHeight="1">
      <c r="A617" s="26" t="s">
        <v>3141</v>
      </c>
      <c r="B617" s="27" t="s">
        <v>3124</v>
      </c>
      <c r="C617" s="28">
        <v>659.99</v>
      </c>
      <c r="D617" s="28">
        <f t="shared" si="294"/>
        <v>329.995</v>
      </c>
      <c r="E617" s="22" t="s">
        <v>3125</v>
      </c>
      <c r="F617" s="22" t="s">
        <v>3142</v>
      </c>
      <c r="G617" s="22" t="s">
        <v>3143</v>
      </c>
      <c r="H617" s="22" t="s">
        <v>3144</v>
      </c>
      <c r="I617" s="23" t="s">
        <v>1046</v>
      </c>
      <c r="J617" s="22" t="s">
        <v>50</v>
      </c>
      <c r="K617" s="23">
        <v>80</v>
      </c>
      <c r="L617" s="23">
        <v>80</v>
      </c>
      <c r="M617" s="23">
        <v>8</v>
      </c>
      <c r="N617" s="3">
        <f t="shared" si="320"/>
        <v>5.1200000000000002E-2</v>
      </c>
      <c r="O617" s="4" t="e">
        <f>(C617-(C617*#REF!))-((C617-(C617*#REF!))*#REF!)</f>
        <v>#REF!</v>
      </c>
      <c r="P617" s="7">
        <v>941082.30095223885</v>
      </c>
      <c r="Q617" s="7">
        <v>0</v>
      </c>
      <c r="R617" s="5">
        <f t="shared" si="321"/>
        <v>941082.30095223885</v>
      </c>
      <c r="S617" s="4">
        <f t="shared" si="322"/>
        <v>62.738820063482592</v>
      </c>
      <c r="T617" s="13">
        <f t="shared" si="295"/>
        <v>461.99300000000005</v>
      </c>
      <c r="U617" s="13">
        <f t="shared" si="304"/>
        <v>230.99650000000003</v>
      </c>
      <c r="V617" s="14">
        <f>U617/C617</f>
        <v>0.35000000000000003</v>
      </c>
      <c r="W617" s="14"/>
      <c r="X617" s="19">
        <f t="shared" si="323"/>
        <v>230.99650000000003</v>
      </c>
      <c r="Y617" s="19">
        <f t="shared" si="324"/>
        <v>461.99300000000005</v>
      </c>
      <c r="Z617" s="15">
        <f t="shared" si="319"/>
        <v>3.6818751096412883</v>
      </c>
      <c r="AA617" s="22" t="s">
        <v>3133</v>
      </c>
      <c r="AG617" s="94" t="s">
        <v>1169</v>
      </c>
      <c r="AH617" s="89" t="str">
        <f>VLOOKUP(AG617,Sheet1!$B$3:$D$36,2,FALSE)</f>
        <v>Decors</v>
      </c>
      <c r="AI617" s="89" t="str">
        <f>VLOOKUP(AG617,Sheet1!$B$3:$D$36,3,FALSE)</f>
        <v>Mirrors</v>
      </c>
      <c r="AJ617" s="1" t="str">
        <f t="shared" si="296"/>
        <v>Berbatov Mirror S</v>
      </c>
      <c r="AK617" s="1" t="str">
        <f t="shared" si="297"/>
        <v>w80 x d80 x h8</v>
      </c>
      <c r="AL617" s="1" t="str">
        <f t="shared" si="298"/>
        <v>teak chainsaw cut indoor</v>
      </c>
      <c r="AM617" s="1" t="str">
        <f t="shared" si="299"/>
        <v>teak chainsaw cut indoor</v>
      </c>
      <c r="AN617" s="1" t="str">
        <f t="shared" si="325"/>
        <v xml:space="preserve">teak chainsaw cut </v>
      </c>
      <c r="AO617" s="1" t="s">
        <v>54</v>
      </c>
      <c r="AQ617" s="1" t="str">
        <f t="shared" si="300"/>
        <v>B</v>
      </c>
      <c r="AR617" s="1" t="str">
        <f>VLOOKUP(TRIM(AI617),Sheet1!$D$3:$E$36,2,FALSE)</f>
        <v>01</v>
      </c>
      <c r="AS617" s="90" t="str">
        <f t="shared" si="301"/>
        <v>01</v>
      </c>
      <c r="AT617" s="1" t="str">
        <f t="shared" si="302"/>
        <v>01</v>
      </c>
      <c r="AU617" s="90" t="s">
        <v>1048</v>
      </c>
      <c r="AV617" s="90"/>
      <c r="AW617" s="90"/>
      <c r="AX617" s="95" t="str">
        <f>AQ617&amp;AR617&amp;AS617&amp;"-"&amp;AT617&amp;AU617&amp;BA617</f>
        <v>B0101-0128IND</v>
      </c>
      <c r="AY617" s="99" t="str">
        <f>AQ617&amp;AR617&amp;AS617&amp;"-"&amp;AT617&amp;BA617</f>
        <v>B0101-01IND</v>
      </c>
      <c r="AZ617" s="90"/>
      <c r="BA617" s="1" t="str">
        <f t="shared" si="303"/>
        <v>IND</v>
      </c>
      <c r="BC617" s="1">
        <f t="shared" ref="BC617:BC680" si="326">IF(AJ616&lt;&gt;AJ617,1,"")</f>
        <v>1</v>
      </c>
      <c r="BD617" s="90">
        <f t="shared" ref="BD617:BD680" si="327">IF(BC617=1,1,BD616+1)</f>
        <v>1</v>
      </c>
      <c r="BE617" s="1">
        <f t="shared" si="309"/>
        <v>1</v>
      </c>
      <c r="BF617" s="1">
        <f t="shared" si="310"/>
        <v>1</v>
      </c>
      <c r="BI617"/>
      <c r="BJ617"/>
      <c r="BL617"/>
    </row>
    <row r="618" spans="1:64" ht="11.25" customHeight="1">
      <c r="A618" s="26" t="s">
        <v>3145</v>
      </c>
      <c r="B618" s="27" t="s">
        <v>3146</v>
      </c>
      <c r="C618" s="28">
        <v>1169.99</v>
      </c>
      <c r="D618" s="28">
        <f t="shared" si="294"/>
        <v>584.995</v>
      </c>
      <c r="E618" s="22" t="s">
        <v>3125</v>
      </c>
      <c r="F618" s="22" t="s">
        <v>3147</v>
      </c>
      <c r="G618" s="22" t="s">
        <v>3146</v>
      </c>
      <c r="H618" s="22" t="s">
        <v>3148</v>
      </c>
      <c r="I618" s="23" t="s">
        <v>3149</v>
      </c>
      <c r="J618" s="22" t="s">
        <v>646</v>
      </c>
      <c r="K618" s="23">
        <v>80</v>
      </c>
      <c r="L618" s="23">
        <v>5</v>
      </c>
      <c r="M618" s="23">
        <v>80</v>
      </c>
      <c r="N618" s="3">
        <f t="shared" si="320"/>
        <v>3.2000000000000001E-2</v>
      </c>
      <c r="O618" s="4" t="e">
        <f>(C618-(C618*#REF!))-((C618-(C618*#REF!))*#REF!)</f>
        <v>#REF!</v>
      </c>
      <c r="P618" s="7"/>
      <c r="Q618" s="7"/>
      <c r="R618" s="5">
        <f t="shared" si="321"/>
        <v>0</v>
      </c>
      <c r="S618" s="4">
        <f t="shared" si="322"/>
        <v>0</v>
      </c>
      <c r="T618" s="13">
        <f t="shared" si="295"/>
        <v>818.99299999999994</v>
      </c>
      <c r="U618" s="13">
        <f t="shared" si="304"/>
        <v>409.49649999999997</v>
      </c>
      <c r="V618" s="14">
        <f>U618/C618</f>
        <v>0.35</v>
      </c>
      <c r="W618" s="14"/>
      <c r="X618" s="19">
        <f t="shared" si="323"/>
        <v>409.49649999999997</v>
      </c>
      <c r="Y618" s="19">
        <f t="shared" si="324"/>
        <v>818.99299999999994</v>
      </c>
      <c r="Z618" s="15" t="e">
        <f t="shared" si="319"/>
        <v>#DIV/0!</v>
      </c>
      <c r="AA618" s="22" t="s">
        <v>3150</v>
      </c>
      <c r="AG618" s="94" t="s">
        <v>1169</v>
      </c>
      <c r="AH618" s="89" t="str">
        <f>VLOOKUP(AG618,Sheet1!$B$3:$D$36,2,FALSE)</f>
        <v>Decors</v>
      </c>
      <c r="AI618" s="89" t="str">
        <f>VLOOKUP(AG618,Sheet1!$B$3:$D$36,3,FALSE)</f>
        <v>Mirrors</v>
      </c>
      <c r="AJ618" s="1" t="str">
        <f t="shared" si="296"/>
        <v>Mirror rustic skuduras plain</v>
      </c>
      <c r="AK618" s="1" t="str">
        <f t="shared" si="297"/>
        <v>w80 x d5 x h80</v>
      </c>
      <c r="AL618" s="1" t="str">
        <f t="shared" si="298"/>
        <v>skuduras plain indoor</v>
      </c>
      <c r="AM618" s="1" t="str">
        <f t="shared" si="299"/>
        <v>skuduras plain indoor</v>
      </c>
      <c r="AN618" s="1" t="str">
        <f t="shared" si="325"/>
        <v xml:space="preserve">skuduras plain </v>
      </c>
      <c r="AO618" s="1" t="s">
        <v>54</v>
      </c>
      <c r="AQ618" s="1" t="str">
        <f t="shared" si="300"/>
        <v>B</v>
      </c>
      <c r="AR618" s="1" t="str">
        <f>VLOOKUP(TRIM(AI618),Sheet1!$D$3:$E$36,2,FALSE)</f>
        <v>01</v>
      </c>
      <c r="AS618" s="90" t="str">
        <f t="shared" si="301"/>
        <v>01</v>
      </c>
      <c r="AT618" s="1" t="str">
        <f t="shared" si="302"/>
        <v>01</v>
      </c>
      <c r="AU618" s="90" t="s">
        <v>3151</v>
      </c>
      <c r="AV618" s="90"/>
      <c r="AW618" s="90"/>
      <c r="AX618" s="95" t="str">
        <f>AQ618&amp;AR618&amp;AS618&amp;"-"&amp;AT618&amp;AU618&amp;BA618</f>
        <v>B0101-0122IND</v>
      </c>
      <c r="AY618" s="99" t="str">
        <f>AQ618&amp;AR618&amp;AS618&amp;"-"&amp;AT618&amp;BA618</f>
        <v>B0101-01IND</v>
      </c>
      <c r="AZ618" s="90"/>
      <c r="BA618" s="1" t="str">
        <f t="shared" si="303"/>
        <v>IND</v>
      </c>
      <c r="BC618" s="1">
        <f t="shared" si="326"/>
        <v>1</v>
      </c>
      <c r="BD618" s="90">
        <f t="shared" si="327"/>
        <v>1</v>
      </c>
      <c r="BE618" s="1">
        <f t="shared" si="309"/>
        <v>1</v>
      </c>
      <c r="BF618" s="1">
        <f t="shared" si="310"/>
        <v>1</v>
      </c>
      <c r="BI618"/>
      <c r="BJ618"/>
      <c r="BL618"/>
    </row>
    <row r="619" spans="1:64" ht="11.25" customHeight="1">
      <c r="A619" s="26" t="s">
        <v>3152</v>
      </c>
      <c r="B619" s="27" t="s">
        <v>3153</v>
      </c>
      <c r="C619" s="28">
        <v>459.99</v>
      </c>
      <c r="D619" s="28">
        <f t="shared" si="294"/>
        <v>229.995</v>
      </c>
      <c r="E619" s="22" t="s">
        <v>3125</v>
      </c>
      <c r="F619" s="22" t="s">
        <v>3154</v>
      </c>
      <c r="G619" s="22" t="s">
        <v>3155</v>
      </c>
      <c r="H619" s="22" t="s">
        <v>3148</v>
      </c>
      <c r="I619" s="23" t="s">
        <v>1125</v>
      </c>
      <c r="J619" s="22" t="s">
        <v>50</v>
      </c>
      <c r="K619" s="23">
        <v>80</v>
      </c>
      <c r="L619" s="23">
        <v>5</v>
      </c>
      <c r="M619" s="23">
        <v>80</v>
      </c>
      <c r="N619" s="3">
        <f t="shared" si="320"/>
        <v>3.2000000000000001E-2</v>
      </c>
      <c r="O619" s="4" t="e">
        <f>(C619-(C619*#REF!))-((C619-(C619*#REF!))*#REF!)</f>
        <v>#REF!</v>
      </c>
      <c r="P619" s="7"/>
      <c r="Q619" s="7"/>
      <c r="R619" s="5">
        <f t="shared" si="321"/>
        <v>0</v>
      </c>
      <c r="S619" s="4">
        <f t="shared" si="322"/>
        <v>0</v>
      </c>
      <c r="T619" s="13">
        <f t="shared" si="295"/>
        <v>321.99300000000005</v>
      </c>
      <c r="U619" s="13">
        <f t="shared" si="304"/>
        <v>160.99650000000003</v>
      </c>
      <c r="V619" s="14">
        <f>U619/C619</f>
        <v>0.35000000000000003</v>
      </c>
      <c r="W619" s="14"/>
      <c r="X619" s="19">
        <f t="shared" si="323"/>
        <v>160.99650000000003</v>
      </c>
      <c r="Y619" s="19">
        <f t="shared" si="324"/>
        <v>321.99300000000005</v>
      </c>
      <c r="Z619" s="15" t="e">
        <f t="shared" si="319"/>
        <v>#DIV/0!</v>
      </c>
      <c r="AA619" s="22" t="s">
        <v>3156</v>
      </c>
      <c r="AG619" s="94" t="s">
        <v>1169</v>
      </c>
      <c r="AH619" s="89" t="str">
        <f>VLOOKUP(AG619,Sheet1!$B$3:$D$36,2,FALSE)</f>
        <v>Decors</v>
      </c>
      <c r="AI619" s="89" t="str">
        <f>VLOOKUP(AG619,Sheet1!$B$3:$D$36,3,FALSE)</f>
        <v>Mirrors</v>
      </c>
      <c r="AJ619" s="1" t="str">
        <f t="shared" si="296"/>
        <v>Decul mirror rustic rust</v>
      </c>
      <c r="AK619" s="1" t="str">
        <f t="shared" si="297"/>
        <v>w80 x d5 x h80</v>
      </c>
      <c r="AL619" s="1" t="str">
        <f t="shared" si="298"/>
        <v>rustic rust indoor</v>
      </c>
      <c r="AM619" s="1" t="str">
        <f t="shared" si="299"/>
        <v>rustic rust indoor</v>
      </c>
      <c r="AN619" s="1" t="str">
        <f t="shared" si="325"/>
        <v xml:space="preserve">rustic rust </v>
      </c>
      <c r="AO619" s="1" t="s">
        <v>54</v>
      </c>
      <c r="AQ619" s="1" t="str">
        <f t="shared" si="300"/>
        <v>B</v>
      </c>
      <c r="AR619" s="1" t="str">
        <f>VLOOKUP(TRIM(AI619),Sheet1!$D$3:$E$36,2,FALSE)</f>
        <v>01</v>
      </c>
      <c r="AS619" s="90" t="str">
        <f t="shared" si="301"/>
        <v>01</v>
      </c>
      <c r="AT619" s="1" t="str">
        <f t="shared" si="302"/>
        <v>02</v>
      </c>
      <c r="AU619" s="90" t="s">
        <v>1126</v>
      </c>
      <c r="AV619" s="90"/>
      <c r="AW619" s="90"/>
      <c r="AX619" s="95" t="str">
        <f>AQ619&amp;AR619&amp;AS619&amp;"-"&amp;AT619&amp;AU619&amp;BA619</f>
        <v>B0101-0219IND</v>
      </c>
      <c r="AY619" s="99" t="str">
        <f>AQ619&amp;AR619&amp;AS619&amp;"-"&amp;AT619&amp;BA619</f>
        <v>B0101-02IND</v>
      </c>
      <c r="AZ619" s="90"/>
      <c r="BA619" s="1" t="str">
        <f t="shared" si="303"/>
        <v>IND</v>
      </c>
      <c r="BC619" s="1">
        <f t="shared" si="326"/>
        <v>1</v>
      </c>
      <c r="BD619" s="90">
        <f t="shared" si="327"/>
        <v>1</v>
      </c>
      <c r="BE619" s="1" t="str">
        <f t="shared" si="309"/>
        <v/>
      </c>
      <c r="BF619" s="1">
        <f t="shared" si="310"/>
        <v>2</v>
      </c>
      <c r="BI619"/>
      <c r="BJ619"/>
      <c r="BL619"/>
    </row>
    <row r="620" spans="1:64" ht="11.25" customHeight="1">
      <c r="A620" s="26" t="s">
        <v>3157</v>
      </c>
      <c r="B620" s="27" t="s">
        <v>3158</v>
      </c>
      <c r="C620" s="28">
        <v>499.99</v>
      </c>
      <c r="D620" s="28">
        <f t="shared" si="294"/>
        <v>249.995</v>
      </c>
      <c r="E620" s="22" t="s">
        <v>3125</v>
      </c>
      <c r="F620" s="22" t="s">
        <v>3154</v>
      </c>
      <c r="G620" s="22" t="s">
        <v>208</v>
      </c>
      <c r="H620" s="22" t="s">
        <v>3148</v>
      </c>
      <c r="I620" s="23" t="s">
        <v>3159</v>
      </c>
      <c r="J620" s="22" t="s">
        <v>853</v>
      </c>
      <c r="K620" s="23">
        <v>80</v>
      </c>
      <c r="L620" s="23">
        <v>5</v>
      </c>
      <c r="M620" s="23">
        <v>80</v>
      </c>
      <c r="N620" s="3">
        <f t="shared" si="320"/>
        <v>3.2000000000000001E-2</v>
      </c>
      <c r="O620" s="4" t="e">
        <f>(C620-(C620*#REF!))-((C620-(C620*#REF!))*#REF!)</f>
        <v>#REF!</v>
      </c>
      <c r="P620" s="7"/>
      <c r="Q620" s="7"/>
      <c r="R620" s="5">
        <f t="shared" si="321"/>
        <v>0</v>
      </c>
      <c r="S620" s="4">
        <f t="shared" si="322"/>
        <v>0</v>
      </c>
      <c r="T620" s="13">
        <f t="shared" si="295"/>
        <v>349.99300000000005</v>
      </c>
      <c r="U620" s="13">
        <f t="shared" si="304"/>
        <v>174.99650000000003</v>
      </c>
      <c r="V620" s="14">
        <f>U620/C620</f>
        <v>0.35000000000000003</v>
      </c>
      <c r="W620" s="14"/>
      <c r="X620" s="19">
        <f t="shared" si="323"/>
        <v>174.99650000000003</v>
      </c>
      <c r="Y620" s="19">
        <f t="shared" si="324"/>
        <v>349.99300000000005</v>
      </c>
      <c r="Z620" s="15" t="e">
        <f t="shared" si="319"/>
        <v>#DIV/0!</v>
      </c>
      <c r="AA620" s="22" t="s">
        <v>3160</v>
      </c>
      <c r="AG620" s="94" t="s">
        <v>1169</v>
      </c>
      <c r="AH620" s="89" t="str">
        <f>VLOOKUP(AG620,Sheet1!$B$3:$D$36,2,FALSE)</f>
        <v>Decors</v>
      </c>
      <c r="AI620" s="89" t="str">
        <f>VLOOKUP(AG620,Sheet1!$B$3:$D$36,3,FALSE)</f>
        <v>Mirrors</v>
      </c>
      <c r="AJ620" s="1" t="str">
        <f t="shared" si="296"/>
        <v>Decul mirror rustic</v>
      </c>
      <c r="AK620" s="1" t="str">
        <f t="shared" si="297"/>
        <v>w80 x d5 x h80</v>
      </c>
      <c r="AL620" s="1" t="str">
        <f t="shared" si="298"/>
        <v>teak rustic indoor</v>
      </c>
      <c r="AM620" s="1" t="str">
        <f t="shared" si="299"/>
        <v>teak rustic indoor</v>
      </c>
      <c r="AN620" s="1" t="str">
        <f t="shared" si="325"/>
        <v xml:space="preserve">teak rustic </v>
      </c>
      <c r="AO620" s="1" t="s">
        <v>54</v>
      </c>
      <c r="AQ620" s="1" t="str">
        <f t="shared" si="300"/>
        <v>B</v>
      </c>
      <c r="AR620" s="1" t="str">
        <f>VLOOKUP(TRIM(AI620),Sheet1!$D$3:$E$36,2,FALSE)</f>
        <v>01</v>
      </c>
      <c r="AS620" s="90" t="str">
        <f t="shared" si="301"/>
        <v>01</v>
      </c>
      <c r="AT620" s="1" t="str">
        <f t="shared" si="302"/>
        <v>03</v>
      </c>
      <c r="AU620" s="90" t="s">
        <v>714</v>
      </c>
      <c r="AV620" s="90"/>
      <c r="AW620" s="90"/>
      <c r="AX620" s="95" t="str">
        <f>AQ620&amp;AR620&amp;AS620&amp;"-"&amp;AT620&amp;AU620&amp;BA620</f>
        <v>B0101-0333IND</v>
      </c>
      <c r="AY620" s="99" t="str">
        <f>AQ620&amp;AR620&amp;AS620&amp;"-"&amp;AT620&amp;BA620</f>
        <v>B0101-03IND</v>
      </c>
      <c r="AZ620" s="90"/>
      <c r="BA620" s="1" t="str">
        <f t="shared" si="303"/>
        <v>IND</v>
      </c>
      <c r="BC620" s="1">
        <f t="shared" si="326"/>
        <v>1</v>
      </c>
      <c r="BD620" s="90">
        <f t="shared" si="327"/>
        <v>1</v>
      </c>
      <c r="BE620" s="1" t="str">
        <f t="shared" si="309"/>
        <v/>
      </c>
      <c r="BF620" s="1">
        <f t="shared" si="310"/>
        <v>3</v>
      </c>
      <c r="BI620"/>
      <c r="BJ620"/>
      <c r="BL620"/>
    </row>
    <row r="621" spans="1:64" ht="11.25" customHeight="1">
      <c r="A621" s="26" t="s">
        <v>3161</v>
      </c>
      <c r="B621" s="27" t="s">
        <v>3158</v>
      </c>
      <c r="D621" s="28">
        <f t="shared" si="294"/>
        <v>0</v>
      </c>
      <c r="E621" s="22" t="s">
        <v>3125</v>
      </c>
      <c r="F621" s="22" t="s">
        <v>3162</v>
      </c>
      <c r="G621" s="22" t="s">
        <v>208</v>
      </c>
      <c r="H621" s="22" t="s">
        <v>3163</v>
      </c>
      <c r="I621" s="23" t="s">
        <v>3164</v>
      </c>
      <c r="J621" s="22" t="s">
        <v>853</v>
      </c>
      <c r="K621" s="23">
        <v>80</v>
      </c>
      <c r="L621" s="23">
        <v>10</v>
      </c>
      <c r="M621" s="23">
        <v>80</v>
      </c>
      <c r="N621" s="3">
        <f t="shared" si="320"/>
        <v>6.4000000000000001E-2</v>
      </c>
      <c r="O621" s="4" t="e">
        <f>(C621-(C621*#REF!))-((C621-(C621*#REF!))*#REF!)</f>
        <v>#REF!</v>
      </c>
      <c r="P621" s="7"/>
      <c r="Q621" s="7"/>
      <c r="R621" s="5">
        <f t="shared" si="321"/>
        <v>0</v>
      </c>
      <c r="S621" s="4">
        <f t="shared" si="322"/>
        <v>0</v>
      </c>
      <c r="T621" s="13">
        <f t="shared" si="295"/>
        <v>0</v>
      </c>
      <c r="U621" s="13">
        <f t="shared" si="304"/>
        <v>0</v>
      </c>
      <c r="V621" s="14" t="e">
        <f>U621/C621</f>
        <v>#DIV/0!</v>
      </c>
      <c r="W621" s="14"/>
      <c r="X621" s="19">
        <f t="shared" si="323"/>
        <v>0</v>
      </c>
      <c r="Y621" s="19">
        <f t="shared" si="324"/>
        <v>0</v>
      </c>
      <c r="Z621" s="15" t="e">
        <f t="shared" si="319"/>
        <v>#DIV/0!</v>
      </c>
      <c r="AA621" s="22" t="s">
        <v>3165</v>
      </c>
      <c r="AG621" s="94" t="s">
        <v>1169</v>
      </c>
      <c r="AH621" s="89" t="str">
        <f>VLOOKUP(AG621,Sheet1!$B$3:$D$36,2,FALSE)</f>
        <v>Decors</v>
      </c>
      <c r="AI621" s="89" t="str">
        <f>VLOOKUP(AG621,Sheet1!$B$3:$D$36,3,FALSE)</f>
        <v>Mirrors</v>
      </c>
      <c r="AJ621" s="1" t="str">
        <f t="shared" si="296"/>
        <v>Decul mirror rustic</v>
      </c>
      <c r="AK621" s="1" t="str">
        <f t="shared" si="297"/>
        <v>w80 x d10 x h80</v>
      </c>
      <c r="AL621" s="1" t="str">
        <f t="shared" si="298"/>
        <v>teak rustic
indoor</v>
      </c>
      <c r="AM621" s="1" t="str">
        <f t="shared" si="299"/>
        <v>teak rustic
indoor</v>
      </c>
      <c r="AN621" s="1" t="str">
        <f t="shared" si="325"/>
        <v xml:space="preserve">teak rustic
</v>
      </c>
      <c r="AO621" s="1" t="s">
        <v>54</v>
      </c>
      <c r="AQ621" s="1" t="str">
        <f t="shared" si="300"/>
        <v>B</v>
      </c>
      <c r="AR621" s="1" t="str">
        <f>VLOOKUP(TRIM(AI621),Sheet1!$D$3:$E$36,2,FALSE)</f>
        <v>01</v>
      </c>
      <c r="AS621" s="90" t="str">
        <f t="shared" si="301"/>
        <v>02</v>
      </c>
      <c r="AT621" s="1" t="str">
        <f t="shared" si="302"/>
        <v>01</v>
      </c>
      <c r="AU621" s="90" t="s">
        <v>714</v>
      </c>
      <c r="AV621" s="90"/>
      <c r="AW621" s="90"/>
      <c r="AX621" s="95" t="str">
        <f>AQ621&amp;AR621&amp;AS621&amp;"-"&amp;AT621&amp;AU621&amp;BA621</f>
        <v>B0102-0133IND</v>
      </c>
      <c r="AY621" s="99" t="str">
        <f>AQ621&amp;AR621&amp;AS621&amp;"-"&amp;AT621&amp;BA621</f>
        <v>B0102-01IND</v>
      </c>
      <c r="AZ621" s="90"/>
      <c r="BA621" s="1" t="str">
        <f t="shared" si="303"/>
        <v>IND</v>
      </c>
      <c r="BC621" s="1" t="str">
        <f t="shared" si="326"/>
        <v/>
      </c>
      <c r="BD621" s="90">
        <f t="shared" si="327"/>
        <v>2</v>
      </c>
      <c r="BE621" s="1">
        <f t="shared" si="309"/>
        <v>1</v>
      </c>
      <c r="BF621" s="1">
        <f t="shared" si="310"/>
        <v>1</v>
      </c>
      <c r="BI621"/>
      <c r="BJ621"/>
      <c r="BL621"/>
    </row>
    <row r="622" spans="1:64" ht="11.25" customHeight="1">
      <c r="A622" s="26" t="s">
        <v>3166</v>
      </c>
      <c r="B622" s="27" t="s">
        <v>3158</v>
      </c>
      <c r="C622" s="28">
        <v>829.99</v>
      </c>
      <c r="D622" s="28">
        <f t="shared" si="294"/>
        <v>414.995</v>
      </c>
      <c r="E622" s="22" t="s">
        <v>3125</v>
      </c>
      <c r="F622" s="22" t="s">
        <v>3167</v>
      </c>
      <c r="G622" s="22" t="s">
        <v>208</v>
      </c>
      <c r="H622" s="22" t="s">
        <v>3168</v>
      </c>
      <c r="I622" s="23" t="s">
        <v>3159</v>
      </c>
      <c r="J622" s="22" t="s">
        <v>853</v>
      </c>
      <c r="K622" s="23">
        <v>180</v>
      </c>
      <c r="L622" s="23">
        <v>5</v>
      </c>
      <c r="M622" s="23">
        <v>80</v>
      </c>
      <c r="N622" s="3">
        <f t="shared" si="320"/>
        <v>7.1999999999999995E-2</v>
      </c>
      <c r="O622" s="4" t="e">
        <f>(C622-(C622*#REF!))-((C622-(C622*#REF!))*#REF!)</f>
        <v>#REF!</v>
      </c>
      <c r="P622" s="7"/>
      <c r="Q622" s="7"/>
      <c r="R622" s="5">
        <f t="shared" si="321"/>
        <v>0</v>
      </c>
      <c r="S622" s="4">
        <f t="shared" si="322"/>
        <v>0</v>
      </c>
      <c r="T622" s="13">
        <f t="shared" si="295"/>
        <v>580.99300000000005</v>
      </c>
      <c r="U622" s="13">
        <f t="shared" si="304"/>
        <v>290.49650000000003</v>
      </c>
      <c r="V622" s="14">
        <f>U622/C622</f>
        <v>0.35000000000000003</v>
      </c>
      <c r="W622" s="14"/>
      <c r="X622" s="19">
        <f t="shared" si="323"/>
        <v>290.49650000000003</v>
      </c>
      <c r="Y622" s="19">
        <f t="shared" si="324"/>
        <v>580.99300000000005</v>
      </c>
      <c r="Z622" s="15" t="e">
        <f t="shared" si="319"/>
        <v>#DIV/0!</v>
      </c>
      <c r="AA622" s="22" t="s">
        <v>3169</v>
      </c>
      <c r="AG622" s="94" t="s">
        <v>1169</v>
      </c>
      <c r="AH622" s="89" t="str">
        <f>VLOOKUP(AG622,Sheet1!$B$3:$D$36,2,FALSE)</f>
        <v>Decors</v>
      </c>
      <c r="AI622" s="89" t="str">
        <f>VLOOKUP(AG622,Sheet1!$B$3:$D$36,3,FALSE)</f>
        <v>Mirrors</v>
      </c>
      <c r="AJ622" s="1" t="str">
        <f t="shared" si="296"/>
        <v>Decul mirror rustic</v>
      </c>
      <c r="AK622" s="1" t="str">
        <f t="shared" si="297"/>
        <v>w180 x d5 x h80</v>
      </c>
      <c r="AL622" s="1" t="str">
        <f t="shared" si="298"/>
        <v>teak rustic indoor</v>
      </c>
      <c r="AM622" s="1" t="str">
        <f t="shared" si="299"/>
        <v>teak rustic indoor</v>
      </c>
      <c r="AN622" s="1" t="str">
        <f t="shared" si="325"/>
        <v xml:space="preserve">teak rustic </v>
      </c>
      <c r="AO622" s="1" t="s">
        <v>54</v>
      </c>
      <c r="AQ622" s="1" t="str">
        <f t="shared" si="300"/>
        <v>B</v>
      </c>
      <c r="AR622" s="1" t="str">
        <f>VLOOKUP(TRIM(AI622),Sheet1!$D$3:$E$36,2,FALSE)</f>
        <v>01</v>
      </c>
      <c r="AS622" s="90" t="str">
        <f t="shared" si="301"/>
        <v>03</v>
      </c>
      <c r="AT622" s="1" t="str">
        <f t="shared" si="302"/>
        <v>01</v>
      </c>
      <c r="AU622" s="90" t="s">
        <v>714</v>
      </c>
      <c r="AV622" s="90"/>
      <c r="AW622" s="90"/>
      <c r="AX622" s="95" t="str">
        <f>AQ622&amp;AR622&amp;AS622&amp;"-"&amp;AT622&amp;AU622&amp;BA622</f>
        <v>B0103-0133IND</v>
      </c>
      <c r="AY622" s="99" t="str">
        <f>AQ622&amp;AR622&amp;AS622&amp;"-"&amp;AT622&amp;BA622</f>
        <v>B0103-01IND</v>
      </c>
      <c r="AZ622" s="90"/>
      <c r="BA622" s="1" t="str">
        <f t="shared" si="303"/>
        <v>IND</v>
      </c>
      <c r="BC622" s="1" t="str">
        <f t="shared" si="326"/>
        <v/>
      </c>
      <c r="BD622" s="90">
        <f t="shared" si="327"/>
        <v>3</v>
      </c>
      <c r="BE622" s="1">
        <f t="shared" si="309"/>
        <v>1</v>
      </c>
      <c r="BF622" s="1">
        <f t="shared" si="310"/>
        <v>1</v>
      </c>
      <c r="BI622"/>
      <c r="BJ622"/>
      <c r="BL622"/>
    </row>
    <row r="623" spans="1:64" ht="11.25" customHeight="1">
      <c r="A623" s="26" t="s">
        <v>3170</v>
      </c>
      <c r="B623" s="27" t="s">
        <v>3158</v>
      </c>
      <c r="C623" s="28">
        <v>1269.99</v>
      </c>
      <c r="D623" s="28">
        <f t="shared" si="294"/>
        <v>634.995</v>
      </c>
      <c r="E623" s="22" t="s">
        <v>3125</v>
      </c>
      <c r="F623" s="22" t="s">
        <v>3171</v>
      </c>
      <c r="G623" s="22" t="s">
        <v>208</v>
      </c>
      <c r="H623" s="22" t="s">
        <v>3172</v>
      </c>
      <c r="I623" s="23" t="s">
        <v>3159</v>
      </c>
      <c r="J623" s="22" t="s">
        <v>853</v>
      </c>
      <c r="K623" s="23">
        <v>180</v>
      </c>
      <c r="L623" s="23">
        <v>10</v>
      </c>
      <c r="M623" s="23">
        <v>80</v>
      </c>
      <c r="N623" s="3">
        <f t="shared" si="320"/>
        <v>0.14399999999999999</v>
      </c>
      <c r="O623" s="4" t="e">
        <f>(C623-(C623*#REF!))-((C623-(C623*#REF!))*#REF!)</f>
        <v>#REF!</v>
      </c>
      <c r="P623" s="7"/>
      <c r="Q623" s="7"/>
      <c r="R623" s="5">
        <f t="shared" si="321"/>
        <v>0</v>
      </c>
      <c r="S623" s="4">
        <f t="shared" si="322"/>
        <v>0</v>
      </c>
      <c r="T623" s="13">
        <f t="shared" si="295"/>
        <v>888.99299999999994</v>
      </c>
      <c r="U623" s="13">
        <f t="shared" si="304"/>
        <v>444.49649999999997</v>
      </c>
      <c r="V623" s="14">
        <f>U623/C623</f>
        <v>0.35</v>
      </c>
      <c r="W623" s="14"/>
      <c r="X623" s="19">
        <f t="shared" si="323"/>
        <v>444.49649999999997</v>
      </c>
      <c r="Y623" s="19">
        <f t="shared" si="324"/>
        <v>888.99299999999994</v>
      </c>
      <c r="Z623" s="15" t="e">
        <f t="shared" si="319"/>
        <v>#DIV/0!</v>
      </c>
      <c r="AA623" s="22" t="s">
        <v>3169</v>
      </c>
      <c r="AG623" s="94" t="s">
        <v>1169</v>
      </c>
      <c r="AH623" s="89" t="str">
        <f>VLOOKUP(AG623,Sheet1!$B$3:$D$36,2,FALSE)</f>
        <v>Decors</v>
      </c>
      <c r="AI623" s="89" t="str">
        <f>VLOOKUP(AG623,Sheet1!$B$3:$D$36,3,FALSE)</f>
        <v>Mirrors</v>
      </c>
      <c r="AJ623" s="1" t="str">
        <f t="shared" si="296"/>
        <v>Decul mirror rustic</v>
      </c>
      <c r="AK623" s="1" t="str">
        <f t="shared" si="297"/>
        <v>w180 x d10 x h80</v>
      </c>
      <c r="AL623" s="1" t="str">
        <f t="shared" si="298"/>
        <v>teak rustic indoor</v>
      </c>
      <c r="AM623" s="1" t="str">
        <f t="shared" si="299"/>
        <v>teak rustic indoor</v>
      </c>
      <c r="AN623" s="1" t="str">
        <f t="shared" si="325"/>
        <v xml:space="preserve">teak rustic </v>
      </c>
      <c r="AO623" s="1" t="s">
        <v>54</v>
      </c>
      <c r="AQ623" s="1" t="str">
        <f t="shared" si="300"/>
        <v>B</v>
      </c>
      <c r="AR623" s="1" t="str">
        <f>VLOOKUP(TRIM(AI623),Sheet1!$D$3:$E$36,2,FALSE)</f>
        <v>01</v>
      </c>
      <c r="AS623" s="90" t="str">
        <f t="shared" si="301"/>
        <v>04</v>
      </c>
      <c r="AT623" s="1" t="str">
        <f t="shared" si="302"/>
        <v>01</v>
      </c>
      <c r="AU623" s="90" t="s">
        <v>714</v>
      </c>
      <c r="AV623" s="90"/>
      <c r="AW623" s="90"/>
      <c r="AX623" s="95" t="str">
        <f>AQ623&amp;AR623&amp;AS623&amp;"-"&amp;AT623&amp;AU623&amp;BA623</f>
        <v>B0104-0133IND</v>
      </c>
      <c r="AY623" s="99" t="str">
        <f>AQ623&amp;AR623&amp;AS623&amp;"-"&amp;AT623&amp;BA623</f>
        <v>B0104-01IND</v>
      </c>
      <c r="AZ623" s="90"/>
      <c r="BA623" s="1" t="str">
        <f t="shared" si="303"/>
        <v>IND</v>
      </c>
      <c r="BC623" s="1" t="str">
        <f t="shared" si="326"/>
        <v/>
      </c>
      <c r="BD623" s="90">
        <f t="shared" si="327"/>
        <v>4</v>
      </c>
      <c r="BE623" s="1">
        <f t="shared" si="309"/>
        <v>1</v>
      </c>
      <c r="BF623" s="1">
        <f t="shared" si="310"/>
        <v>1</v>
      </c>
      <c r="BI623"/>
      <c r="BJ623"/>
      <c r="BL623"/>
    </row>
    <row r="624" spans="1:64" ht="11.25" customHeight="1">
      <c r="A624" s="26" t="s">
        <v>3173</v>
      </c>
      <c r="B624" s="27" t="s">
        <v>3174</v>
      </c>
      <c r="C624" s="28">
        <v>249.99</v>
      </c>
      <c r="D624" s="28">
        <f t="shared" si="294"/>
        <v>124.995</v>
      </c>
      <c r="E624" s="22" t="s">
        <v>3125</v>
      </c>
      <c r="F624" s="22" t="s">
        <v>3175</v>
      </c>
      <c r="G624" s="22" t="s">
        <v>519</v>
      </c>
      <c r="H624" s="22" t="s">
        <v>3176</v>
      </c>
      <c r="I624" s="23" t="s">
        <v>846</v>
      </c>
      <c r="J624" s="22" t="s">
        <v>50</v>
      </c>
      <c r="L624" s="23">
        <v>50</v>
      </c>
      <c r="M624" s="23">
        <v>4</v>
      </c>
      <c r="N624" s="3">
        <f t="shared" si="320"/>
        <v>0.01</v>
      </c>
      <c r="O624" s="4" t="e">
        <f>(C624-(C624*#REF!))-((C624-(C624*#REF!))*#REF!)</f>
        <v>#REF!</v>
      </c>
      <c r="P624" s="7"/>
      <c r="Q624" s="7"/>
      <c r="R624" s="5">
        <f t="shared" si="321"/>
        <v>0</v>
      </c>
      <c r="S624" s="4">
        <f t="shared" si="322"/>
        <v>0</v>
      </c>
      <c r="T624" s="13">
        <f t="shared" si="295"/>
        <v>174.99299999999999</v>
      </c>
      <c r="U624" s="13">
        <f t="shared" si="304"/>
        <v>87.496499999999997</v>
      </c>
      <c r="V624" s="14">
        <f>U624/C624</f>
        <v>0.35</v>
      </c>
      <c r="W624" s="14"/>
      <c r="X624" s="19">
        <f t="shared" si="323"/>
        <v>87.496499999999997</v>
      </c>
      <c r="Y624" s="19">
        <f t="shared" si="324"/>
        <v>174.99299999999999</v>
      </c>
      <c r="Z624" s="15" t="e">
        <f t="shared" si="319"/>
        <v>#DIV/0!</v>
      </c>
      <c r="AA624" s="22" t="s">
        <v>3177</v>
      </c>
      <c r="AG624" s="94" t="s">
        <v>1169</v>
      </c>
      <c r="AH624" s="89" t="str">
        <f>VLOOKUP(AG624,Sheet1!$B$3:$D$36,2,FALSE)</f>
        <v>Decors</v>
      </c>
      <c r="AI624" s="89" t="str">
        <f>VLOOKUP(AG624,Sheet1!$B$3:$D$36,3,FALSE)</f>
        <v>Mirrors</v>
      </c>
      <c r="AJ624" s="1" t="str">
        <f t="shared" si="296"/>
        <v>Mirror Sivana</v>
      </c>
      <c r="AK624" s="1" t="str">
        <f t="shared" si="297"/>
        <v>ø50 x h4</v>
      </c>
      <c r="AL624" s="1" t="str">
        <f t="shared" si="298"/>
        <v>bare indoor</v>
      </c>
      <c r="AM624" s="1" t="str">
        <f t="shared" si="299"/>
        <v>bare indoor</v>
      </c>
      <c r="AN624" s="1" t="str">
        <f t="shared" si="325"/>
        <v xml:space="preserve">bare </v>
      </c>
      <c r="AO624" s="1" t="s">
        <v>54</v>
      </c>
      <c r="AQ624" s="1" t="str">
        <f t="shared" si="300"/>
        <v>B</v>
      </c>
      <c r="AR624" s="1" t="str">
        <f>VLOOKUP(TRIM(AI624),Sheet1!$D$3:$E$36,2,FALSE)</f>
        <v>01</v>
      </c>
      <c r="AS624" s="90" t="str">
        <f t="shared" si="301"/>
        <v>01</v>
      </c>
      <c r="AT624" s="1" t="str">
        <f t="shared" si="302"/>
        <v>01</v>
      </c>
      <c r="AU624" s="90" t="s">
        <v>817</v>
      </c>
      <c r="AV624" s="90"/>
      <c r="AW624" s="90"/>
      <c r="AX624" s="95" t="str">
        <f>AQ624&amp;AR624&amp;AS624&amp;"-"&amp;AT624&amp;AU624&amp;BA624</f>
        <v>B0101-0103IND</v>
      </c>
      <c r="AY624" s="99" t="str">
        <f>AQ624&amp;AR624&amp;AS624&amp;"-"&amp;AT624&amp;BA624</f>
        <v>B0101-01IND</v>
      </c>
      <c r="AZ624" s="90"/>
      <c r="BA624" s="1" t="str">
        <f t="shared" si="303"/>
        <v>IND</v>
      </c>
      <c r="BC624" s="1">
        <f t="shared" si="326"/>
        <v>1</v>
      </c>
      <c r="BD624" s="90">
        <f t="shared" si="327"/>
        <v>1</v>
      </c>
      <c r="BE624" s="1">
        <f t="shared" si="309"/>
        <v>1</v>
      </c>
      <c r="BF624" s="1">
        <f t="shared" si="310"/>
        <v>1</v>
      </c>
      <c r="BI624"/>
      <c r="BJ624"/>
      <c r="BL624"/>
    </row>
    <row r="625" spans="1:64" ht="11.25" customHeight="1">
      <c r="A625" s="26" t="s">
        <v>3178</v>
      </c>
      <c r="B625" s="27" t="s">
        <v>3174</v>
      </c>
      <c r="C625" s="28">
        <v>319.99</v>
      </c>
      <c r="D625" s="28">
        <f t="shared" si="294"/>
        <v>159.995</v>
      </c>
      <c r="E625" s="22" t="s">
        <v>3125</v>
      </c>
      <c r="F625" s="22" t="s">
        <v>3179</v>
      </c>
      <c r="G625" s="22" t="s">
        <v>519</v>
      </c>
      <c r="H625" s="22" t="s">
        <v>3180</v>
      </c>
      <c r="I625" s="23" t="s">
        <v>846</v>
      </c>
      <c r="J625" s="22" t="s">
        <v>50</v>
      </c>
      <c r="L625" s="23">
        <v>70</v>
      </c>
      <c r="M625" s="23">
        <v>4</v>
      </c>
      <c r="N625" s="3">
        <f t="shared" si="320"/>
        <v>1.9599999999999999E-2</v>
      </c>
      <c r="O625" s="4" t="e">
        <f>(C625-(C625*#REF!))-((C625-(C625*#REF!))*#REF!)</f>
        <v>#REF!</v>
      </c>
      <c r="P625" s="7"/>
      <c r="Q625" s="7"/>
      <c r="R625" s="5">
        <f t="shared" si="321"/>
        <v>0</v>
      </c>
      <c r="S625" s="4">
        <f t="shared" si="322"/>
        <v>0</v>
      </c>
      <c r="T625" s="13">
        <f t="shared" si="295"/>
        <v>223.99299999999999</v>
      </c>
      <c r="U625" s="13">
        <f t="shared" si="304"/>
        <v>111.9965</v>
      </c>
      <c r="V625" s="14">
        <f>U625/C625</f>
        <v>0.35</v>
      </c>
      <c r="W625" s="14"/>
      <c r="X625" s="19">
        <f t="shared" si="323"/>
        <v>111.9965</v>
      </c>
      <c r="Y625" s="19">
        <f t="shared" si="324"/>
        <v>223.99299999999999</v>
      </c>
      <c r="Z625" s="15" t="e">
        <f t="shared" si="319"/>
        <v>#DIV/0!</v>
      </c>
      <c r="AA625" s="22" t="s">
        <v>3181</v>
      </c>
      <c r="AG625" s="94" t="s">
        <v>1169</v>
      </c>
      <c r="AH625" s="89" t="str">
        <f>VLOOKUP(AG625,Sheet1!$B$3:$D$36,2,FALSE)</f>
        <v>Decors</v>
      </c>
      <c r="AI625" s="89" t="str">
        <f>VLOOKUP(AG625,Sheet1!$B$3:$D$36,3,FALSE)</f>
        <v>Mirrors</v>
      </c>
      <c r="AJ625" s="1" t="str">
        <f t="shared" si="296"/>
        <v>Mirror Sivana</v>
      </c>
      <c r="AK625" s="1" t="str">
        <f t="shared" si="297"/>
        <v>ø70 x h4</v>
      </c>
      <c r="AL625" s="1" t="str">
        <f t="shared" si="298"/>
        <v>bare indoor</v>
      </c>
      <c r="AM625" s="1" t="str">
        <f t="shared" si="299"/>
        <v>bare indoor</v>
      </c>
      <c r="AN625" s="1" t="str">
        <f t="shared" si="325"/>
        <v xml:space="preserve">bare </v>
      </c>
      <c r="AO625" s="1" t="s">
        <v>54</v>
      </c>
      <c r="AQ625" s="1" t="str">
        <f t="shared" si="300"/>
        <v>B</v>
      </c>
      <c r="AR625" s="1" t="str">
        <f>VLOOKUP(TRIM(AI625),Sheet1!$D$3:$E$36,2,FALSE)</f>
        <v>01</v>
      </c>
      <c r="AS625" s="90" t="str">
        <f t="shared" si="301"/>
        <v>02</v>
      </c>
      <c r="AT625" s="1" t="str">
        <f t="shared" si="302"/>
        <v>01</v>
      </c>
      <c r="AU625" s="90" t="s">
        <v>817</v>
      </c>
      <c r="AV625" s="90"/>
      <c r="AW625" s="90"/>
      <c r="AX625" s="95" t="str">
        <f>AQ625&amp;AR625&amp;AS625&amp;"-"&amp;AT625&amp;AU625&amp;BA625</f>
        <v>B0102-0103IND</v>
      </c>
      <c r="AY625" s="99" t="str">
        <f>AQ625&amp;AR625&amp;AS625&amp;"-"&amp;AT625&amp;BA625</f>
        <v>B0102-01IND</v>
      </c>
      <c r="AZ625" s="90"/>
      <c r="BA625" s="1" t="str">
        <f t="shared" si="303"/>
        <v>IND</v>
      </c>
      <c r="BC625" s="1" t="str">
        <f t="shared" si="326"/>
        <v/>
      </c>
      <c r="BD625" s="90">
        <f t="shared" si="327"/>
        <v>2</v>
      </c>
      <c r="BE625" s="1">
        <f t="shared" si="309"/>
        <v>1</v>
      </c>
      <c r="BF625" s="1">
        <f t="shared" si="310"/>
        <v>1</v>
      </c>
      <c r="BJ625"/>
      <c r="BL625"/>
    </row>
    <row r="626" spans="1:64" ht="11.25" customHeight="1">
      <c r="A626" s="26" t="s">
        <v>3182</v>
      </c>
      <c r="B626" s="27" t="s">
        <v>3174</v>
      </c>
      <c r="C626" s="28">
        <v>489.99</v>
      </c>
      <c r="D626" s="28">
        <f t="shared" si="294"/>
        <v>244.995</v>
      </c>
      <c r="E626" s="22" t="s">
        <v>3125</v>
      </c>
      <c r="F626" s="22" t="s">
        <v>3183</v>
      </c>
      <c r="G626" s="22" t="s">
        <v>519</v>
      </c>
      <c r="H626" s="22" t="s">
        <v>3184</v>
      </c>
      <c r="I626" s="23" t="s">
        <v>846</v>
      </c>
      <c r="J626" s="22" t="s">
        <v>50</v>
      </c>
      <c r="L626" s="23">
        <v>90</v>
      </c>
      <c r="M626" s="23">
        <v>4</v>
      </c>
      <c r="N626" s="3">
        <f t="shared" si="320"/>
        <v>3.2399999999999998E-2</v>
      </c>
      <c r="O626" s="4" t="e">
        <f>(C626-(C626*#REF!))-((C626-(C626*#REF!))*#REF!)</f>
        <v>#REF!</v>
      </c>
      <c r="P626" s="7">
        <v>1050827.0168239551</v>
      </c>
      <c r="Q626" s="7">
        <v>0</v>
      </c>
      <c r="R626" s="5">
        <f t="shared" si="321"/>
        <v>1050827.0168239551</v>
      </c>
      <c r="S626" s="4">
        <f t="shared" si="322"/>
        <v>70.055134454930339</v>
      </c>
      <c r="T626" s="13">
        <f t="shared" si="295"/>
        <v>342.99300000000005</v>
      </c>
      <c r="U626" s="13">
        <f t="shared" si="304"/>
        <v>171.49650000000003</v>
      </c>
      <c r="V626" s="14">
        <f>U626/C626</f>
        <v>0.35000000000000003</v>
      </c>
      <c r="W626" s="14"/>
      <c r="X626" s="19">
        <f t="shared" si="323"/>
        <v>171.49650000000003</v>
      </c>
      <c r="Y626" s="19">
        <f t="shared" si="324"/>
        <v>342.99300000000005</v>
      </c>
      <c r="Z626" s="15">
        <f t="shared" si="319"/>
        <v>2.4480218521360708</v>
      </c>
      <c r="AA626" s="22" t="s">
        <v>3185</v>
      </c>
      <c r="AG626" s="94" t="s">
        <v>1169</v>
      </c>
      <c r="AH626" s="89" t="str">
        <f>VLOOKUP(AG626,Sheet1!$B$3:$D$36,2,FALSE)</f>
        <v>Decors</v>
      </c>
      <c r="AI626" s="89" t="str">
        <f>VLOOKUP(AG626,Sheet1!$B$3:$D$36,3,FALSE)</f>
        <v>Mirrors</v>
      </c>
      <c r="AJ626" s="1" t="str">
        <f t="shared" si="296"/>
        <v>Mirror Sivana</v>
      </c>
      <c r="AK626" s="1" t="str">
        <f t="shared" si="297"/>
        <v>ø90 x h4</v>
      </c>
      <c r="AL626" s="1" t="str">
        <f t="shared" si="298"/>
        <v>bare indoor</v>
      </c>
      <c r="AM626" s="1" t="str">
        <f t="shared" si="299"/>
        <v>bare indoor</v>
      </c>
      <c r="AN626" s="1" t="str">
        <f t="shared" si="325"/>
        <v xml:space="preserve">bare </v>
      </c>
      <c r="AO626" s="1" t="s">
        <v>54</v>
      </c>
      <c r="AQ626" s="1" t="str">
        <f t="shared" si="300"/>
        <v>B</v>
      </c>
      <c r="AR626" s="1" t="str">
        <f>VLOOKUP(TRIM(AI626),Sheet1!$D$3:$E$36,2,FALSE)</f>
        <v>01</v>
      </c>
      <c r="AS626" s="90" t="str">
        <f t="shared" si="301"/>
        <v>03</v>
      </c>
      <c r="AT626" s="1" t="str">
        <f t="shared" si="302"/>
        <v>01</v>
      </c>
      <c r="AU626" s="90" t="s">
        <v>817</v>
      </c>
      <c r="AV626" s="90"/>
      <c r="AW626" s="90"/>
      <c r="AX626" s="95" t="str">
        <f>AQ626&amp;AR626&amp;AS626&amp;"-"&amp;AT626&amp;AU626&amp;BA626</f>
        <v>B0103-0103IND</v>
      </c>
      <c r="AY626" s="99" t="str">
        <f>AQ626&amp;AR626&amp;AS626&amp;"-"&amp;AT626&amp;BA626</f>
        <v>B0103-01IND</v>
      </c>
      <c r="AZ626" s="90"/>
      <c r="BA626" s="1" t="str">
        <f t="shared" si="303"/>
        <v>IND</v>
      </c>
      <c r="BC626" s="1" t="str">
        <f t="shared" si="326"/>
        <v/>
      </c>
      <c r="BD626" s="90">
        <f t="shared" si="327"/>
        <v>3</v>
      </c>
      <c r="BE626" s="1">
        <f t="shared" si="309"/>
        <v>1</v>
      </c>
      <c r="BF626" s="1">
        <f t="shared" si="310"/>
        <v>1</v>
      </c>
    </row>
    <row r="627" spans="1:64" ht="11.25" customHeight="1">
      <c r="A627" s="26" t="s">
        <v>3186</v>
      </c>
      <c r="B627" s="27" t="s">
        <v>3174</v>
      </c>
      <c r="D627" s="28">
        <f t="shared" si="294"/>
        <v>0</v>
      </c>
      <c r="E627" s="22" t="s">
        <v>3125</v>
      </c>
      <c r="F627" s="22" t="s">
        <v>3187</v>
      </c>
      <c r="G627" s="22" t="s">
        <v>519</v>
      </c>
      <c r="H627" s="22" t="s">
        <v>3188</v>
      </c>
      <c r="I627" s="23" t="s">
        <v>3189</v>
      </c>
      <c r="J627" s="22" t="s">
        <v>50</v>
      </c>
      <c r="L627" s="23">
        <v>105</v>
      </c>
      <c r="M627" s="23">
        <v>4</v>
      </c>
      <c r="N627" s="3">
        <f t="shared" si="320"/>
        <v>4.41E-2</v>
      </c>
      <c r="O627" s="4" t="e">
        <f>(C627-(C627*#REF!))-((C627-(C627*#REF!))*#REF!)</f>
        <v>#REF!</v>
      </c>
      <c r="P627" s="7"/>
      <c r="Q627" s="7"/>
      <c r="R627" s="5">
        <f t="shared" si="321"/>
        <v>0</v>
      </c>
      <c r="S627" s="4">
        <f t="shared" si="322"/>
        <v>0</v>
      </c>
      <c r="T627" s="13">
        <f t="shared" si="295"/>
        <v>0</v>
      </c>
      <c r="U627" s="13">
        <f t="shared" si="304"/>
        <v>0</v>
      </c>
      <c r="V627" s="14" t="e">
        <f>U627/C627</f>
        <v>#DIV/0!</v>
      </c>
      <c r="W627" s="14"/>
      <c r="X627" s="19">
        <f t="shared" si="323"/>
        <v>0</v>
      </c>
      <c r="Y627" s="19">
        <f t="shared" si="324"/>
        <v>0</v>
      </c>
      <c r="Z627" s="15" t="e">
        <f t="shared" si="319"/>
        <v>#DIV/0!</v>
      </c>
      <c r="AA627" s="22" t="s">
        <v>3177</v>
      </c>
      <c r="AG627" s="94" t="s">
        <v>1169</v>
      </c>
      <c r="AH627" s="89" t="str">
        <f>VLOOKUP(AG627,Sheet1!$B$3:$D$36,2,FALSE)</f>
        <v>Decors</v>
      </c>
      <c r="AI627" s="89" t="str">
        <f>VLOOKUP(AG627,Sheet1!$B$3:$D$36,3,FALSE)</f>
        <v>Mirrors</v>
      </c>
      <c r="AJ627" s="1" t="str">
        <f t="shared" si="296"/>
        <v>Mirror Sivana</v>
      </c>
      <c r="AK627" s="1" t="str">
        <f t="shared" si="297"/>
        <v>ø105 x h4</v>
      </c>
      <c r="AL627" s="1" t="str">
        <f t="shared" si="298"/>
        <v>bare
indoor</v>
      </c>
      <c r="AM627" s="1" t="str">
        <f t="shared" si="299"/>
        <v>bare
indoor</v>
      </c>
      <c r="AN627" s="1" t="str">
        <f t="shared" si="325"/>
        <v xml:space="preserve">bare
</v>
      </c>
      <c r="AO627" s="1" t="s">
        <v>54</v>
      </c>
      <c r="AQ627" s="1" t="str">
        <f t="shared" si="300"/>
        <v>B</v>
      </c>
      <c r="AR627" s="1" t="str">
        <f>VLOOKUP(TRIM(AI627),Sheet1!$D$3:$E$36,2,FALSE)</f>
        <v>01</v>
      </c>
      <c r="AS627" s="90" t="str">
        <f t="shared" si="301"/>
        <v>04</v>
      </c>
      <c r="AT627" s="1" t="str">
        <f t="shared" si="302"/>
        <v>01</v>
      </c>
      <c r="AU627" s="90" t="s">
        <v>817</v>
      </c>
      <c r="AV627" s="90"/>
      <c r="AW627" s="90"/>
      <c r="AX627" s="95" t="str">
        <f>AQ627&amp;AR627&amp;AS627&amp;"-"&amp;AT627&amp;AU627&amp;BA627</f>
        <v>B0104-0103IND</v>
      </c>
      <c r="AY627" s="99" t="str">
        <f>AQ627&amp;AR627&amp;AS627&amp;"-"&amp;AT627&amp;BA627</f>
        <v>B0104-01IND</v>
      </c>
      <c r="AZ627" s="90"/>
      <c r="BA627" s="1" t="str">
        <f t="shared" si="303"/>
        <v>IND</v>
      </c>
      <c r="BC627" s="1" t="str">
        <f t="shared" si="326"/>
        <v/>
      </c>
      <c r="BD627" s="90">
        <f t="shared" si="327"/>
        <v>4</v>
      </c>
      <c r="BE627" s="1">
        <f t="shared" si="309"/>
        <v>1</v>
      </c>
      <c r="BF627" s="1">
        <f t="shared" si="310"/>
        <v>1</v>
      </c>
    </row>
    <row r="628" spans="1:64" ht="11.25" customHeight="1">
      <c r="A628" s="26" t="s">
        <v>3190</v>
      </c>
      <c r="B628" s="27" t="s">
        <v>3191</v>
      </c>
      <c r="C628" s="28">
        <v>1998.99</v>
      </c>
      <c r="D628" s="28">
        <f t="shared" si="294"/>
        <v>999.495</v>
      </c>
      <c r="E628" s="22" t="s">
        <v>3125</v>
      </c>
      <c r="F628" s="22" t="s">
        <v>3192</v>
      </c>
      <c r="G628" s="22" t="s">
        <v>3193</v>
      </c>
      <c r="H628" s="22" t="s">
        <v>3194</v>
      </c>
      <c r="I628" s="23" t="s">
        <v>3195</v>
      </c>
      <c r="J628" s="22" t="s">
        <v>646</v>
      </c>
      <c r="K628" s="23">
        <v>85</v>
      </c>
      <c r="L628" s="23">
        <v>5</v>
      </c>
      <c r="M628" s="23">
        <v>78</v>
      </c>
      <c r="N628" s="3">
        <f t="shared" si="320"/>
        <v>3.3149999999999999E-2</v>
      </c>
      <c r="O628" s="4" t="e">
        <f>(C628-(C628*#REF!))-((C628-(C628*#REF!))*#REF!)</f>
        <v>#REF!</v>
      </c>
      <c r="P628" s="7"/>
      <c r="Q628" s="7"/>
      <c r="R628" s="5">
        <f t="shared" si="321"/>
        <v>0</v>
      </c>
      <c r="S628" s="4">
        <f t="shared" si="322"/>
        <v>0</v>
      </c>
      <c r="T628" s="13">
        <f t="shared" si="295"/>
        <v>1399.2930000000001</v>
      </c>
      <c r="U628" s="13">
        <f t="shared" si="304"/>
        <v>699.64650000000006</v>
      </c>
      <c r="V628" s="14">
        <f>U628/C628</f>
        <v>0.35000000000000003</v>
      </c>
      <c r="W628" s="14"/>
      <c r="X628" s="19">
        <f t="shared" si="323"/>
        <v>699.64650000000006</v>
      </c>
      <c r="Y628" s="19">
        <f t="shared" si="324"/>
        <v>1399.2930000000001</v>
      </c>
      <c r="Z628" s="15" t="e">
        <f t="shared" si="319"/>
        <v>#DIV/0!</v>
      </c>
      <c r="AA628" s="22" t="s">
        <v>3196</v>
      </c>
      <c r="AG628" s="94" t="s">
        <v>1169</v>
      </c>
      <c r="AH628" s="89" t="str">
        <f>VLOOKUP(AG628,Sheet1!$B$3:$D$36,2,FALSE)</f>
        <v>Decors</v>
      </c>
      <c r="AI628" s="89" t="str">
        <f>VLOOKUP(AG628,Sheet1!$B$3:$D$36,3,FALSE)</f>
        <v>Mirrors</v>
      </c>
      <c r="AJ628" s="1" t="str">
        <f t="shared" si="296"/>
        <v>Mirror Jack</v>
      </c>
      <c r="AK628" s="1" t="str">
        <f t="shared" si="297"/>
        <v>w85 x d5 x h78</v>
      </c>
      <c r="AL628" s="1" t="str">
        <f t="shared" si="298"/>
        <v>paprika vintage indoor</v>
      </c>
      <c r="AM628" s="1" t="str">
        <f t="shared" si="299"/>
        <v>paprika vintage indoor</v>
      </c>
      <c r="AN628" s="1" t="str">
        <f t="shared" si="325"/>
        <v xml:space="preserve">paprika vintage </v>
      </c>
      <c r="AO628" s="1" t="s">
        <v>54</v>
      </c>
      <c r="AQ628" s="1" t="str">
        <f t="shared" si="300"/>
        <v>B</v>
      </c>
      <c r="AR628" s="1" t="str">
        <f>VLOOKUP(TRIM(AI628),Sheet1!$D$3:$E$36,2,FALSE)</f>
        <v>01</v>
      </c>
      <c r="AS628" s="90" t="str">
        <f t="shared" si="301"/>
        <v>01</v>
      </c>
      <c r="AT628" s="1" t="str">
        <f t="shared" si="302"/>
        <v>01</v>
      </c>
      <c r="AU628" s="90" t="s">
        <v>3197</v>
      </c>
      <c r="AV628" s="90"/>
      <c r="AW628" s="90"/>
      <c r="AX628" s="95" t="str">
        <f>AQ628&amp;AR628&amp;AS628&amp;"-"&amp;AT628&amp;AU628&amp;BA628</f>
        <v>B0101-0115IND</v>
      </c>
      <c r="AY628" s="99" t="str">
        <f>AQ628&amp;AR628&amp;AS628&amp;"-"&amp;AT628&amp;BA628</f>
        <v>B0101-01IND</v>
      </c>
      <c r="AZ628" s="90"/>
      <c r="BA628" s="1" t="str">
        <f t="shared" si="303"/>
        <v>IND</v>
      </c>
      <c r="BC628" s="1">
        <f t="shared" si="326"/>
        <v>1</v>
      </c>
      <c r="BD628" s="90">
        <f t="shared" si="327"/>
        <v>1</v>
      </c>
      <c r="BE628" s="1">
        <f t="shared" si="309"/>
        <v>1</v>
      </c>
      <c r="BF628" s="1">
        <f t="shared" si="310"/>
        <v>1</v>
      </c>
    </row>
    <row r="629" spans="1:64" s="63" customFormat="1" ht="15.75">
      <c r="A629" s="33" t="s">
        <v>3198</v>
      </c>
      <c r="B629" s="34"/>
      <c r="C629" s="35"/>
      <c r="D629" s="36"/>
      <c r="E629" s="39"/>
      <c r="F629" s="40"/>
      <c r="G629" s="39"/>
      <c r="H629" s="39"/>
      <c r="I629" s="41"/>
      <c r="J629" s="39"/>
      <c r="K629" s="41"/>
      <c r="L629" s="41"/>
      <c r="M629" s="41"/>
      <c r="N629" s="48"/>
      <c r="O629" s="48"/>
      <c r="P629" s="49"/>
      <c r="Q629" s="49"/>
      <c r="R629" s="50"/>
      <c r="S629" s="48"/>
      <c r="T629" s="13"/>
      <c r="U629" s="13"/>
      <c r="V629" s="14"/>
      <c r="W629" s="14"/>
      <c r="X629" s="60"/>
      <c r="Y629" s="60"/>
      <c r="Z629" s="15"/>
      <c r="AA629" s="39"/>
      <c r="AG629" s="93"/>
      <c r="AH629" s="89"/>
      <c r="AI629" s="89"/>
      <c r="AJ629" s="1"/>
      <c r="AK629" s="1"/>
      <c r="AL629" s="1"/>
      <c r="AM629" s="1"/>
      <c r="AN629" s="1"/>
      <c r="AQ629" s="1"/>
      <c r="AR629" s="1"/>
      <c r="AS629" s="90"/>
      <c r="AT629" s="1"/>
      <c r="AU629" s="90"/>
      <c r="AV629" s="90"/>
      <c r="AW629" s="90"/>
      <c r="AX629" s="95"/>
      <c r="AY629" s="99" t="str">
        <f>AQ629&amp;AR629&amp;AS629&amp;"-"&amp;AT629&amp;BA629</f>
        <v>-</v>
      </c>
      <c r="AZ629" s="90"/>
      <c r="BA629" s="1"/>
      <c r="BC629" s="1"/>
      <c r="BD629" s="90"/>
      <c r="BE629" s="1"/>
      <c r="BF629" s="1"/>
    </row>
    <row r="630" spans="1:64" ht="11.25" customHeight="1">
      <c r="A630" s="26" t="s">
        <v>3199</v>
      </c>
      <c r="B630" s="27" t="s">
        <v>3200</v>
      </c>
      <c r="C630" s="28">
        <v>459.99</v>
      </c>
      <c r="D630" s="28">
        <f t="shared" si="294"/>
        <v>229.995</v>
      </c>
      <c r="E630" s="22" t="s">
        <v>3201</v>
      </c>
      <c r="F630" s="22" t="s">
        <v>3202</v>
      </c>
      <c r="G630" s="22" t="s">
        <v>3200</v>
      </c>
      <c r="H630" s="22" t="s">
        <v>3203</v>
      </c>
      <c r="I630" s="23" t="s">
        <v>2848</v>
      </c>
      <c r="J630" s="22" t="s">
        <v>670</v>
      </c>
      <c r="K630" s="23">
        <v>60</v>
      </c>
      <c r="L630" s="23">
        <v>20</v>
      </c>
      <c r="M630" s="23">
        <v>180</v>
      </c>
      <c r="N630" s="3">
        <f t="shared" ref="N630:N638" si="328">(IF(ISBLANK(K630),(L630*L630*M630),(K630*L630*M630)))/1000000</f>
        <v>0.216</v>
      </c>
      <c r="O630" s="4" t="e">
        <f>(C630-(C630*#REF!))-((C630-(C630*#REF!))*#REF!)</f>
        <v>#REF!</v>
      </c>
      <c r="P630" s="7">
        <f>1147848.49229851-Q630</f>
        <v>147848.49229850993</v>
      </c>
      <c r="Q630" s="7">
        <v>1000000</v>
      </c>
      <c r="R630" s="5">
        <f t="shared" ref="R630:R638" si="329">P630+Q630</f>
        <v>1147848.4922985099</v>
      </c>
      <c r="S630" s="4">
        <f t="shared" ref="S630:S638" si="330">R630/15000</f>
        <v>76.523232819900656</v>
      </c>
      <c r="T630" s="13">
        <f t="shared" si="295"/>
        <v>321.99300000000005</v>
      </c>
      <c r="U630" s="13">
        <f t="shared" si="304"/>
        <v>160.99650000000003</v>
      </c>
      <c r="V630" s="14">
        <f>U630/C630</f>
        <v>0.35000000000000003</v>
      </c>
      <c r="W630" s="14"/>
      <c r="X630" s="19">
        <f t="shared" ref="X630:X638" si="331">IF(ISBLANK(W630),U630, W630)</f>
        <v>160.99650000000003</v>
      </c>
      <c r="Y630" s="19">
        <f t="shared" ref="Y630:Y638" si="332">X630*2</f>
        <v>321.99300000000005</v>
      </c>
      <c r="Z630" s="15">
        <f t="shared" si="319"/>
        <v>2.103890466558167</v>
      </c>
      <c r="AA630" s="22" t="s">
        <v>3204</v>
      </c>
      <c r="AG630" s="94" t="s">
        <v>1169</v>
      </c>
      <c r="AH630" s="89" t="str">
        <f>VLOOKUP(AG630,Sheet1!$B$3:$D$36,2,FALSE)</f>
        <v>Decors</v>
      </c>
      <c r="AI630" s="89" t="s">
        <v>3205</v>
      </c>
      <c r="AJ630" s="1" t="str">
        <f t="shared" si="296"/>
        <v>Rustic divider single</v>
      </c>
      <c r="AK630" s="1" t="str">
        <f t="shared" si="297"/>
        <v>w60 x d20 x h180</v>
      </c>
      <c r="AL630" s="1" t="str">
        <f t="shared" si="298"/>
        <v>reclaimed teak outdoor</v>
      </c>
      <c r="AM630" s="1" t="str">
        <f t="shared" si="299"/>
        <v>reclaimed teak outdoor</v>
      </c>
      <c r="AN630" s="1" t="str">
        <f t="shared" ref="AN630:AN631" si="333">SUBSTITUTE(AL630,"outdoor","")</f>
        <v xml:space="preserve">reclaimed teak </v>
      </c>
      <c r="AO630" s="1" t="s">
        <v>59</v>
      </c>
      <c r="AQ630" s="1" t="str">
        <f t="shared" si="300"/>
        <v>B</v>
      </c>
      <c r="AR630" s="1" t="str">
        <f>VLOOKUP(TRIM(AI630),Sheet1!$D$3:$E$36,2,FALSE)</f>
        <v>02</v>
      </c>
      <c r="AS630" s="90" t="str">
        <f t="shared" si="301"/>
        <v>01</v>
      </c>
      <c r="AT630" s="1" t="str">
        <f t="shared" si="302"/>
        <v>01</v>
      </c>
      <c r="AU630" s="90" t="s">
        <v>1033</v>
      </c>
      <c r="AV630" s="90"/>
      <c r="AW630" s="90"/>
      <c r="AX630" s="95" t="str">
        <f>AQ630&amp;AR630&amp;AS630&amp;"-"&amp;AT630&amp;AU630&amp;BA630</f>
        <v>B0201-0117OUT</v>
      </c>
      <c r="AY630" s="99" t="str">
        <f>AQ630&amp;AR630&amp;AS630&amp;"-"&amp;AT630&amp;BA630</f>
        <v>B0201-01OUT</v>
      </c>
      <c r="AZ630" s="90"/>
      <c r="BA630" s="1" t="str">
        <f t="shared" si="303"/>
        <v>OUT</v>
      </c>
      <c r="BC630" s="1">
        <f t="shared" si="326"/>
        <v>1</v>
      </c>
      <c r="BD630" s="90">
        <f t="shared" si="327"/>
        <v>1</v>
      </c>
      <c r="BE630" s="1">
        <f t="shared" si="309"/>
        <v>1</v>
      </c>
      <c r="BF630" s="1">
        <f t="shared" si="310"/>
        <v>1</v>
      </c>
    </row>
    <row r="631" spans="1:64" ht="11.25" customHeight="1">
      <c r="A631" s="26" t="s">
        <v>3206</v>
      </c>
      <c r="B631" s="27" t="s">
        <v>3207</v>
      </c>
      <c r="C631" s="28">
        <v>649.99</v>
      </c>
      <c r="D631" s="28">
        <f t="shared" si="294"/>
        <v>324.995</v>
      </c>
      <c r="E631" s="22" t="s">
        <v>3201</v>
      </c>
      <c r="F631" s="22" t="s">
        <v>3208</v>
      </c>
      <c r="G631" s="22" t="s">
        <v>3207</v>
      </c>
      <c r="H631" s="22" t="s">
        <v>3209</v>
      </c>
      <c r="I631" s="23" t="s">
        <v>2848</v>
      </c>
      <c r="J631" s="22" t="s">
        <v>670</v>
      </c>
      <c r="K631" s="23">
        <v>100</v>
      </c>
      <c r="L631" s="23">
        <v>20</v>
      </c>
      <c r="M631" s="23">
        <v>220</v>
      </c>
      <c r="N631" s="3">
        <f t="shared" si="328"/>
        <v>0.44</v>
      </c>
      <c r="O631" s="4" t="e">
        <f>(C631-(C631*#REF!))-((C631-(C631*#REF!))*#REF!)</f>
        <v>#REF!</v>
      </c>
      <c r="P631" s="7">
        <f>1536429.04820968-Q631</f>
        <v>216429.04820968001</v>
      </c>
      <c r="Q631" s="7">
        <v>1320000</v>
      </c>
      <c r="R631" s="5">
        <f t="shared" si="329"/>
        <v>1536429.04820968</v>
      </c>
      <c r="S631" s="4">
        <f t="shared" si="330"/>
        <v>102.42860321397866</v>
      </c>
      <c r="T631" s="13">
        <f t="shared" si="295"/>
        <v>454.99300000000005</v>
      </c>
      <c r="U631" s="13">
        <f t="shared" si="304"/>
        <v>227.49650000000003</v>
      </c>
      <c r="V631" s="14">
        <f>U631/C631</f>
        <v>0.35000000000000003</v>
      </c>
      <c r="W631" s="14"/>
      <c r="X631" s="19">
        <f t="shared" si="331"/>
        <v>227.49650000000003</v>
      </c>
      <c r="Y631" s="19">
        <f t="shared" si="332"/>
        <v>454.99300000000005</v>
      </c>
      <c r="Z631" s="15">
        <f t="shared" si="319"/>
        <v>2.2210251127289906</v>
      </c>
      <c r="AA631" s="22" t="s">
        <v>3210</v>
      </c>
      <c r="AG631" s="94" t="s">
        <v>1169</v>
      </c>
      <c r="AH631" s="89" t="str">
        <f>VLOOKUP(AG631,Sheet1!$B$3:$D$36,2,FALSE)</f>
        <v>Decors</v>
      </c>
      <c r="AI631" s="89" t="s">
        <v>3205</v>
      </c>
      <c r="AJ631" s="1" t="str">
        <f t="shared" si="296"/>
        <v>Rustic divider double</v>
      </c>
      <c r="AK631" s="1" t="str">
        <f t="shared" si="297"/>
        <v>w100 x d20 x h220</v>
      </c>
      <c r="AL631" s="1" t="str">
        <f t="shared" si="298"/>
        <v>reclaimed teak outdoor</v>
      </c>
      <c r="AM631" s="1" t="str">
        <f t="shared" si="299"/>
        <v>reclaimed teak outdoor</v>
      </c>
      <c r="AN631" s="1" t="str">
        <f t="shared" si="333"/>
        <v xml:space="preserve">reclaimed teak </v>
      </c>
      <c r="AO631" s="1" t="s">
        <v>59</v>
      </c>
      <c r="AQ631" s="1" t="str">
        <f t="shared" si="300"/>
        <v>B</v>
      </c>
      <c r="AR631" s="1" t="str">
        <f>VLOOKUP(TRIM(AI631),Sheet1!$D$3:$E$36,2,FALSE)</f>
        <v>02</v>
      </c>
      <c r="AS631" s="90" t="str">
        <f t="shared" si="301"/>
        <v>01</v>
      </c>
      <c r="AT631" s="1" t="str">
        <f t="shared" si="302"/>
        <v>01</v>
      </c>
      <c r="AU631" s="90" t="s">
        <v>1033</v>
      </c>
      <c r="AV631" s="90"/>
      <c r="AW631" s="90"/>
      <c r="AX631" s="95" t="str">
        <f>AQ631&amp;AR631&amp;AS631&amp;"-"&amp;AT631&amp;AU631&amp;BA631</f>
        <v>B0201-0117OUT</v>
      </c>
      <c r="AY631" s="99" t="str">
        <f>AQ631&amp;AR631&amp;AS631&amp;"-"&amp;AT631&amp;BA631</f>
        <v>B0201-01OUT</v>
      </c>
      <c r="AZ631" s="90"/>
      <c r="BA631" s="1" t="str">
        <f t="shared" si="303"/>
        <v>OUT</v>
      </c>
      <c r="BC631" s="1">
        <f t="shared" si="326"/>
        <v>1</v>
      </c>
      <c r="BD631" s="90">
        <f t="shared" si="327"/>
        <v>1</v>
      </c>
      <c r="BE631" s="1">
        <f t="shared" si="309"/>
        <v>1</v>
      </c>
      <c r="BF631" s="1">
        <f t="shared" si="310"/>
        <v>1</v>
      </c>
    </row>
    <row r="632" spans="1:64" ht="11.25" customHeight="1">
      <c r="A632" s="26" t="s">
        <v>3211</v>
      </c>
      <c r="B632" s="27" t="s">
        <v>3212</v>
      </c>
      <c r="C632" s="28">
        <v>574.99</v>
      </c>
      <c r="D632" s="28">
        <f t="shared" si="294"/>
        <v>287.495</v>
      </c>
      <c r="E632" s="22" t="s">
        <v>3201</v>
      </c>
      <c r="F632" s="22" t="s">
        <v>3213</v>
      </c>
      <c r="G632" s="22" t="s">
        <v>3212</v>
      </c>
      <c r="H632" s="22" t="s">
        <v>3214</v>
      </c>
      <c r="I632" s="23" t="s">
        <v>2950</v>
      </c>
      <c r="J632" s="22" t="s">
        <v>646</v>
      </c>
      <c r="K632" s="23">
        <v>78</v>
      </c>
      <c r="L632" s="23">
        <v>38</v>
      </c>
      <c r="M632" s="23">
        <v>200</v>
      </c>
      <c r="N632" s="3">
        <f t="shared" si="328"/>
        <v>0.59279999999999999</v>
      </c>
      <c r="O632" s="4" t="e">
        <f>(C632-(C632*#REF!))-((C632-(C632*#REF!))*#REF!)</f>
        <v>#REF!</v>
      </c>
      <c r="P632" s="7">
        <f>1229545.40688646-Q632</f>
        <v>229545.40688646003</v>
      </c>
      <c r="Q632" s="7">
        <v>1000000</v>
      </c>
      <c r="R632" s="5">
        <f t="shared" si="329"/>
        <v>1229545.40688646</v>
      </c>
      <c r="S632" s="4">
        <f t="shared" si="330"/>
        <v>81.969693792430675</v>
      </c>
      <c r="T632" s="13">
        <f t="shared" si="295"/>
        <v>402.49300000000005</v>
      </c>
      <c r="U632" s="13">
        <f t="shared" si="304"/>
        <v>201.24650000000003</v>
      </c>
      <c r="V632" s="14">
        <f>U632/C632</f>
        <v>0.35000000000000003</v>
      </c>
      <c r="W632" s="14"/>
      <c r="X632" s="19">
        <f t="shared" si="331"/>
        <v>201.24650000000003</v>
      </c>
      <c r="Y632" s="19">
        <f t="shared" si="332"/>
        <v>402.49300000000005</v>
      </c>
      <c r="Z632" s="15">
        <f t="shared" si="319"/>
        <v>2.4551329971978464</v>
      </c>
      <c r="AA632" s="22" t="s">
        <v>3215</v>
      </c>
      <c r="AG632" s="94" t="s">
        <v>1169</v>
      </c>
      <c r="AH632" s="89" t="str">
        <f>VLOOKUP(AG632,Sheet1!$B$3:$D$36,2,FALSE)</f>
        <v>Decors</v>
      </c>
      <c r="AI632" s="89" t="s">
        <v>3205</v>
      </c>
      <c r="AJ632" s="1" t="str">
        <f t="shared" si="296"/>
        <v>Branch divider</v>
      </c>
      <c r="AK632" s="1" t="str">
        <f t="shared" si="297"/>
        <v>w78 x d38 x h200</v>
      </c>
      <c r="AL632" s="1" t="str">
        <f t="shared" si="298"/>
        <v>teak branches semi</v>
      </c>
      <c r="AM632" s="1" t="str">
        <f t="shared" si="299"/>
        <v>teak branches semi</v>
      </c>
      <c r="AN632" s="1" t="str">
        <f t="shared" ref="AN632" si="334">SUBSTITUTE(AL632,"indoor","")</f>
        <v>teak branches semi</v>
      </c>
      <c r="AQ632" s="1" t="str">
        <f t="shared" si="300"/>
        <v>B</v>
      </c>
      <c r="AR632" s="1" t="str">
        <f>VLOOKUP(TRIM(AI632),Sheet1!$D$3:$E$36,2,FALSE)</f>
        <v>02</v>
      </c>
      <c r="AS632" s="90" t="str">
        <f t="shared" si="301"/>
        <v>01</v>
      </c>
      <c r="AT632" s="1" t="str">
        <f t="shared" si="302"/>
        <v>01</v>
      </c>
      <c r="AU632" s="90" t="s">
        <v>664</v>
      </c>
      <c r="AV632" s="90"/>
      <c r="AW632" s="90"/>
      <c r="AX632" s="95" t="str">
        <f>AQ632&amp;AR632&amp;AS632&amp;"-"&amp;AT632&amp;AU632&amp;BA632</f>
        <v>B0201-0127</v>
      </c>
      <c r="AY632" s="99" t="str">
        <f>AQ632&amp;AR632&amp;AS632&amp;"-"&amp;AT632&amp;BA632</f>
        <v>B0201-01</v>
      </c>
      <c r="AZ632" s="90"/>
      <c r="BA632" s="1" t="str">
        <f t="shared" si="303"/>
        <v/>
      </c>
      <c r="BC632" s="1">
        <f t="shared" si="326"/>
        <v>1</v>
      </c>
      <c r="BD632" s="90">
        <f t="shared" si="327"/>
        <v>1</v>
      </c>
      <c r="BE632" s="1">
        <f t="shared" si="309"/>
        <v>1</v>
      </c>
      <c r="BF632" s="1">
        <f t="shared" si="310"/>
        <v>1</v>
      </c>
    </row>
    <row r="633" spans="1:64" ht="11.25" customHeight="1">
      <c r="A633" s="26" t="s">
        <v>3216</v>
      </c>
      <c r="B633" s="27" t="s">
        <v>3217</v>
      </c>
      <c r="C633" s="28">
        <v>679.99</v>
      </c>
      <c r="D633" s="28">
        <f t="shared" si="294"/>
        <v>339.995</v>
      </c>
      <c r="E633" s="22" t="s">
        <v>3201</v>
      </c>
      <c r="F633" s="22" t="s">
        <v>3218</v>
      </c>
      <c r="G633" s="22" t="s">
        <v>700</v>
      </c>
      <c r="H633" s="22" t="s">
        <v>3203</v>
      </c>
      <c r="I633" s="23" t="s">
        <v>2833</v>
      </c>
      <c r="J633" s="22" t="s">
        <v>2193</v>
      </c>
      <c r="K633" s="23">
        <v>60</v>
      </c>
      <c r="L633" s="23">
        <v>20</v>
      </c>
      <c r="M633" s="23">
        <v>180</v>
      </c>
      <c r="N633" s="3">
        <f t="shared" si="328"/>
        <v>0.216</v>
      </c>
      <c r="O633" s="4" t="e">
        <f>(C633-(C633*#REF!))-((C633-(C633*#REF!))*#REF!)</f>
        <v>#REF!</v>
      </c>
      <c r="P633" s="7"/>
      <c r="Q633" s="7"/>
      <c r="R633" s="5">
        <f t="shared" si="329"/>
        <v>0</v>
      </c>
      <c r="S633" s="4">
        <f t="shared" si="330"/>
        <v>0</v>
      </c>
      <c r="T633" s="13">
        <f t="shared" si="295"/>
        <v>475.99300000000005</v>
      </c>
      <c r="U633" s="13">
        <f t="shared" si="304"/>
        <v>237.99650000000003</v>
      </c>
      <c r="V633" s="14">
        <f>U633/C633</f>
        <v>0.35000000000000003</v>
      </c>
      <c r="W633" s="14"/>
      <c r="X633" s="19">
        <f t="shared" si="331"/>
        <v>237.99650000000003</v>
      </c>
      <c r="Y633" s="19">
        <f t="shared" si="332"/>
        <v>475.99300000000005</v>
      </c>
      <c r="Z633" s="15" t="e">
        <f t="shared" si="319"/>
        <v>#DIV/0!</v>
      </c>
      <c r="AA633" s="22" t="s">
        <v>3219</v>
      </c>
      <c r="AG633" s="94" t="s">
        <v>1169</v>
      </c>
      <c r="AH633" s="89" t="str">
        <f>VLOOKUP(AG633,Sheet1!$B$3:$D$36,2,FALSE)</f>
        <v>Decors</v>
      </c>
      <c r="AI633" s="89" t="s">
        <v>3205</v>
      </c>
      <c r="AJ633" s="1" t="str">
        <f t="shared" si="296"/>
        <v>Rood Divider</v>
      </c>
      <c r="AK633" s="1" t="str">
        <f t="shared" si="297"/>
        <v>w60 x d20 x h180</v>
      </c>
      <c r="AL633" s="1" t="str">
        <f t="shared" si="298"/>
        <v>bare outdoor</v>
      </c>
      <c r="AM633" s="1" t="str">
        <f t="shared" si="299"/>
        <v>bare outdoor</v>
      </c>
      <c r="AN633" s="1" t="str">
        <f t="shared" ref="AN633:AN638" si="335">SUBSTITUTE(AL633,"outdoor","")</f>
        <v xml:space="preserve">bare </v>
      </c>
      <c r="AO633" s="1" t="s">
        <v>59</v>
      </c>
      <c r="AQ633" s="1" t="str">
        <f t="shared" si="300"/>
        <v>B</v>
      </c>
      <c r="AR633" s="1" t="str">
        <f>VLOOKUP(TRIM(AI633),Sheet1!$D$3:$E$36,2,FALSE)</f>
        <v>02</v>
      </c>
      <c r="AS633" s="90" t="str">
        <f t="shared" si="301"/>
        <v>01</v>
      </c>
      <c r="AT633" s="1" t="str">
        <f t="shared" si="302"/>
        <v>01</v>
      </c>
      <c r="AU633" s="90" t="s">
        <v>817</v>
      </c>
      <c r="AV633" s="90"/>
      <c r="AW633" s="90"/>
      <c r="AX633" s="95" t="str">
        <f>AQ633&amp;AR633&amp;AS633&amp;"-"&amp;AT633&amp;AU633&amp;BA633</f>
        <v>B0201-0103OUT</v>
      </c>
      <c r="AY633" s="99" t="str">
        <f>AQ633&amp;AR633&amp;AS633&amp;"-"&amp;AT633&amp;BA633</f>
        <v>B0201-01OUT</v>
      </c>
      <c r="AZ633" s="90"/>
      <c r="BA633" s="1" t="str">
        <f t="shared" si="303"/>
        <v>OUT</v>
      </c>
      <c r="BC633" s="1">
        <f t="shared" si="326"/>
        <v>1</v>
      </c>
      <c r="BD633" s="90">
        <f t="shared" si="327"/>
        <v>1</v>
      </c>
      <c r="BE633" s="1">
        <f t="shared" si="309"/>
        <v>1</v>
      </c>
      <c r="BF633" s="1">
        <f t="shared" si="310"/>
        <v>1</v>
      </c>
    </row>
    <row r="634" spans="1:64" ht="11.25" customHeight="1">
      <c r="A634" s="26" t="s">
        <v>3220</v>
      </c>
      <c r="B634" s="27" t="s">
        <v>3217</v>
      </c>
      <c r="C634" s="28">
        <v>1179.99</v>
      </c>
      <c r="D634" s="28">
        <f t="shared" si="294"/>
        <v>589.995</v>
      </c>
      <c r="E634" s="22" t="s">
        <v>3201</v>
      </c>
      <c r="F634" s="22" t="s">
        <v>3221</v>
      </c>
      <c r="G634" s="22" t="s">
        <v>700</v>
      </c>
      <c r="H634" s="22" t="s">
        <v>3222</v>
      </c>
      <c r="I634" s="23" t="s">
        <v>2833</v>
      </c>
      <c r="J634" s="22" t="s">
        <v>2193</v>
      </c>
      <c r="K634" s="23">
        <v>100</v>
      </c>
      <c r="L634" s="23">
        <v>23</v>
      </c>
      <c r="M634" s="23">
        <v>230</v>
      </c>
      <c r="N634" s="3">
        <f t="shared" si="328"/>
        <v>0.52900000000000003</v>
      </c>
      <c r="O634" s="4" t="e">
        <f>(C634-(C634*#REF!))-((C634-(C634*#REF!))*#REF!)</f>
        <v>#REF!</v>
      </c>
      <c r="P634" s="7"/>
      <c r="Q634" s="7"/>
      <c r="R634" s="5">
        <f t="shared" si="329"/>
        <v>0</v>
      </c>
      <c r="S634" s="4">
        <f t="shared" si="330"/>
        <v>0</v>
      </c>
      <c r="T634" s="13">
        <f t="shared" si="295"/>
        <v>825.99299999999994</v>
      </c>
      <c r="U634" s="13">
        <f t="shared" si="304"/>
        <v>412.99649999999997</v>
      </c>
      <c r="V634" s="14">
        <f>U634/C634</f>
        <v>0.35</v>
      </c>
      <c r="W634" s="14"/>
      <c r="X634" s="19">
        <f t="shared" si="331"/>
        <v>412.99649999999997</v>
      </c>
      <c r="Y634" s="19">
        <f t="shared" si="332"/>
        <v>825.99299999999994</v>
      </c>
      <c r="Z634" s="15" t="e">
        <f t="shared" si="319"/>
        <v>#DIV/0!</v>
      </c>
      <c r="AA634" s="22" t="s">
        <v>3219</v>
      </c>
      <c r="AG634" s="94" t="s">
        <v>1169</v>
      </c>
      <c r="AH634" s="89" t="str">
        <f>VLOOKUP(AG634,Sheet1!$B$3:$D$36,2,FALSE)</f>
        <v>Decors</v>
      </c>
      <c r="AI634" s="89" t="s">
        <v>3205</v>
      </c>
      <c r="AJ634" s="1" t="str">
        <f t="shared" si="296"/>
        <v>Rood Divider</v>
      </c>
      <c r="AK634" s="1" t="str">
        <f t="shared" si="297"/>
        <v>w100 x d23 x h230</v>
      </c>
      <c r="AL634" s="1" t="str">
        <f t="shared" si="298"/>
        <v>bare outdoor</v>
      </c>
      <c r="AM634" s="1" t="str">
        <f t="shared" si="299"/>
        <v>bare outdoor</v>
      </c>
      <c r="AN634" s="1" t="str">
        <f t="shared" si="335"/>
        <v xml:space="preserve">bare </v>
      </c>
      <c r="AO634" s="1" t="s">
        <v>59</v>
      </c>
      <c r="AQ634" s="1" t="str">
        <f t="shared" si="300"/>
        <v>B</v>
      </c>
      <c r="AR634" s="1" t="str">
        <f>VLOOKUP(TRIM(AI634),Sheet1!$D$3:$E$36,2,FALSE)</f>
        <v>02</v>
      </c>
      <c r="AS634" s="90" t="str">
        <f t="shared" si="301"/>
        <v>02</v>
      </c>
      <c r="AT634" s="1" t="str">
        <f t="shared" si="302"/>
        <v>01</v>
      </c>
      <c r="AU634" s="90" t="s">
        <v>817</v>
      </c>
      <c r="AV634" s="90"/>
      <c r="AW634" s="90"/>
      <c r="AX634" s="95" t="str">
        <f>AQ634&amp;AR634&amp;AS634&amp;"-"&amp;AT634&amp;AU634&amp;BA634</f>
        <v>B0202-0103OUT</v>
      </c>
      <c r="AY634" s="99" t="str">
        <f>AQ634&amp;AR634&amp;AS634&amp;"-"&amp;AT634&amp;BA634</f>
        <v>B0202-01OUT</v>
      </c>
      <c r="AZ634" s="90"/>
      <c r="BA634" s="1" t="str">
        <f t="shared" si="303"/>
        <v>OUT</v>
      </c>
      <c r="BC634" s="1" t="str">
        <f t="shared" si="326"/>
        <v/>
      </c>
      <c r="BD634" s="90">
        <f t="shared" si="327"/>
        <v>2</v>
      </c>
      <c r="BE634" s="1">
        <f t="shared" si="309"/>
        <v>1</v>
      </c>
      <c r="BF634" s="1">
        <f t="shared" si="310"/>
        <v>1</v>
      </c>
    </row>
    <row r="635" spans="1:64" ht="11.25" customHeight="1">
      <c r="A635" s="26" t="s">
        <v>3223</v>
      </c>
      <c r="B635" s="27" t="s">
        <v>3224</v>
      </c>
      <c r="C635" s="28">
        <v>214.99</v>
      </c>
      <c r="D635" s="28">
        <f t="shared" si="294"/>
        <v>107.495</v>
      </c>
      <c r="E635" s="22" t="s">
        <v>3201</v>
      </c>
      <c r="F635" s="22" t="s">
        <v>3225</v>
      </c>
      <c r="G635" s="22" t="s">
        <v>261</v>
      </c>
      <c r="H635" s="22" t="s">
        <v>3226</v>
      </c>
      <c r="I635" s="23" t="s">
        <v>3227</v>
      </c>
      <c r="J635" s="22" t="s">
        <v>646</v>
      </c>
      <c r="K635" s="23">
        <v>120</v>
      </c>
      <c r="L635" s="23">
        <v>4</v>
      </c>
      <c r="M635" s="23">
        <v>100</v>
      </c>
      <c r="N635" s="3">
        <f t="shared" si="328"/>
        <v>4.8000000000000001E-2</v>
      </c>
      <c r="O635" s="4" t="e">
        <f>(C635-(C635*#REF!))-((C635-(C635*#REF!))*#REF!)</f>
        <v>#REF!</v>
      </c>
      <c r="P635" s="7"/>
      <c r="Q635" s="7"/>
      <c r="R635" s="5">
        <f t="shared" si="329"/>
        <v>0</v>
      </c>
      <c r="S635" s="4">
        <f t="shared" si="330"/>
        <v>0</v>
      </c>
      <c r="T635" s="13">
        <f t="shared" si="295"/>
        <v>150.49299999999999</v>
      </c>
      <c r="U635" s="13">
        <f t="shared" si="304"/>
        <v>75.246499999999997</v>
      </c>
      <c r="V635" s="14">
        <f>U635/C635</f>
        <v>0.35</v>
      </c>
      <c r="W635" s="14"/>
      <c r="X635" s="19">
        <f t="shared" si="331"/>
        <v>75.246499999999997</v>
      </c>
      <c r="Y635" s="19">
        <f t="shared" si="332"/>
        <v>150.49299999999999</v>
      </c>
      <c r="Z635" s="15" t="e">
        <f t="shared" si="319"/>
        <v>#DIV/0!</v>
      </c>
      <c r="AA635" s="22" t="s">
        <v>3228</v>
      </c>
      <c r="AG635" s="94" t="s">
        <v>1169</v>
      </c>
      <c r="AH635" s="89" t="str">
        <f>VLOOKUP(AG635,Sheet1!$B$3:$D$36,2,FALSE)</f>
        <v>Decors</v>
      </c>
      <c r="AI635" s="89" t="s">
        <v>3205</v>
      </c>
      <c r="AJ635" s="1" t="str">
        <f t="shared" si="296"/>
        <v>Frank horizontal fence</v>
      </c>
      <c r="AK635" s="1" t="str">
        <f t="shared" si="297"/>
        <v>w120 x d4 x h100</v>
      </c>
      <c r="AL635" s="1" t="str">
        <f t="shared" si="298"/>
        <v>teak branches outdoor</v>
      </c>
      <c r="AM635" s="1" t="str">
        <f t="shared" si="299"/>
        <v>teak branches outdoor</v>
      </c>
      <c r="AN635" s="1" t="str">
        <f t="shared" si="335"/>
        <v xml:space="preserve">teak branches </v>
      </c>
      <c r="AO635" s="1" t="s">
        <v>59</v>
      </c>
      <c r="AQ635" s="1" t="str">
        <f t="shared" si="300"/>
        <v>B</v>
      </c>
      <c r="AR635" s="1" t="str">
        <f>VLOOKUP(TRIM(AI635),Sheet1!$D$3:$E$36,2,FALSE)</f>
        <v>02</v>
      </c>
      <c r="AS635" s="90" t="str">
        <f t="shared" si="301"/>
        <v>01</v>
      </c>
      <c r="AT635" s="1" t="str">
        <f t="shared" si="302"/>
        <v>01</v>
      </c>
      <c r="AU635" s="90" t="s">
        <v>664</v>
      </c>
      <c r="AV635" s="90"/>
      <c r="AW635" s="90"/>
      <c r="AX635" s="95" t="str">
        <f>AQ635&amp;AR635&amp;AS635&amp;"-"&amp;AT635&amp;AU635&amp;BA635</f>
        <v>B0201-0127OUT</v>
      </c>
      <c r="AY635" s="99" t="str">
        <f>AQ635&amp;AR635&amp;AS635&amp;"-"&amp;AT635&amp;BA635</f>
        <v>B0201-01OUT</v>
      </c>
      <c r="AZ635" s="90"/>
      <c r="BA635" s="1" t="str">
        <f t="shared" si="303"/>
        <v>OUT</v>
      </c>
      <c r="BC635" s="1">
        <f t="shared" si="326"/>
        <v>1</v>
      </c>
      <c r="BD635" s="90">
        <f t="shared" si="327"/>
        <v>1</v>
      </c>
      <c r="BE635" s="1">
        <f t="shared" si="309"/>
        <v>1</v>
      </c>
      <c r="BF635" s="1">
        <f t="shared" si="310"/>
        <v>1</v>
      </c>
    </row>
    <row r="636" spans="1:64" ht="11.25" customHeight="1">
      <c r="A636" s="26" t="s">
        <v>3229</v>
      </c>
      <c r="B636" s="27" t="s">
        <v>3224</v>
      </c>
      <c r="C636" s="28">
        <v>364.99</v>
      </c>
      <c r="D636" s="28">
        <f t="shared" si="294"/>
        <v>182.495</v>
      </c>
      <c r="E636" s="22" t="s">
        <v>3201</v>
      </c>
      <c r="F636" s="22" t="s">
        <v>3230</v>
      </c>
      <c r="G636" s="22" t="s">
        <v>261</v>
      </c>
      <c r="H636" s="22" t="s">
        <v>3231</v>
      </c>
      <c r="I636" s="23" t="s">
        <v>3227</v>
      </c>
      <c r="J636" s="22" t="s">
        <v>646</v>
      </c>
      <c r="K636" s="23">
        <v>220</v>
      </c>
      <c r="L636" s="23">
        <v>1</v>
      </c>
      <c r="M636" s="23">
        <v>150</v>
      </c>
      <c r="N636" s="3">
        <f t="shared" si="328"/>
        <v>3.3000000000000002E-2</v>
      </c>
      <c r="O636" s="4" t="e">
        <f>(C636-(C636*#REF!))-((C636-(C636*#REF!))*#REF!)</f>
        <v>#REF!</v>
      </c>
      <c r="P636" s="7"/>
      <c r="Q636" s="7"/>
      <c r="R636" s="5">
        <f t="shared" si="329"/>
        <v>0</v>
      </c>
      <c r="S636" s="4">
        <f t="shared" si="330"/>
        <v>0</v>
      </c>
      <c r="T636" s="13">
        <f t="shared" si="295"/>
        <v>255.49299999999999</v>
      </c>
      <c r="U636" s="13">
        <f t="shared" si="304"/>
        <v>127.7465</v>
      </c>
      <c r="V636" s="14">
        <f>U636/C636</f>
        <v>0.35</v>
      </c>
      <c r="W636" s="14"/>
      <c r="X636" s="19">
        <f t="shared" si="331"/>
        <v>127.7465</v>
      </c>
      <c r="Y636" s="19">
        <f t="shared" si="332"/>
        <v>255.49299999999999</v>
      </c>
      <c r="Z636" s="15" t="e">
        <f t="shared" si="319"/>
        <v>#DIV/0!</v>
      </c>
      <c r="AA636" s="22" t="s">
        <v>3232</v>
      </c>
      <c r="AG636" s="94" t="s">
        <v>1169</v>
      </c>
      <c r="AH636" s="89" t="str">
        <f>VLOOKUP(AG636,Sheet1!$B$3:$D$36,2,FALSE)</f>
        <v>Decors</v>
      </c>
      <c r="AI636" s="89" t="s">
        <v>3205</v>
      </c>
      <c r="AJ636" s="1" t="str">
        <f t="shared" si="296"/>
        <v>Frank horizontal fence</v>
      </c>
      <c r="AK636" s="1" t="str">
        <f t="shared" si="297"/>
        <v>w220 x d1 x h150</v>
      </c>
      <c r="AL636" s="1" t="str">
        <f t="shared" si="298"/>
        <v>teak branches outdoor</v>
      </c>
      <c r="AM636" s="1" t="str">
        <f t="shared" si="299"/>
        <v>teak branches outdoor</v>
      </c>
      <c r="AN636" s="1" t="str">
        <f t="shared" si="335"/>
        <v xml:space="preserve">teak branches </v>
      </c>
      <c r="AO636" s="1" t="s">
        <v>59</v>
      </c>
      <c r="AQ636" s="1" t="str">
        <f t="shared" si="300"/>
        <v>B</v>
      </c>
      <c r="AR636" s="1" t="str">
        <f>VLOOKUP(TRIM(AI636),Sheet1!$D$3:$E$36,2,FALSE)</f>
        <v>02</v>
      </c>
      <c r="AS636" s="90" t="str">
        <f t="shared" si="301"/>
        <v>02</v>
      </c>
      <c r="AT636" s="1" t="str">
        <f t="shared" si="302"/>
        <v>01</v>
      </c>
      <c r="AU636" s="90" t="s">
        <v>664</v>
      </c>
      <c r="AV636" s="90"/>
      <c r="AW636" s="90"/>
      <c r="AX636" s="95" t="str">
        <f>AQ636&amp;AR636&amp;AS636&amp;"-"&amp;AT636&amp;AU636&amp;BA636</f>
        <v>B0202-0127OUT</v>
      </c>
      <c r="AY636" s="99" t="str">
        <f>AQ636&amp;AR636&amp;AS636&amp;"-"&amp;AT636&amp;BA636</f>
        <v>B0202-01OUT</v>
      </c>
      <c r="AZ636" s="90"/>
      <c r="BA636" s="1" t="str">
        <f t="shared" si="303"/>
        <v>OUT</v>
      </c>
      <c r="BC636" s="1" t="str">
        <f t="shared" si="326"/>
        <v/>
      </c>
      <c r="BD636" s="90">
        <f t="shared" si="327"/>
        <v>2</v>
      </c>
      <c r="BE636" s="1">
        <f t="shared" si="309"/>
        <v>1</v>
      </c>
      <c r="BF636" s="1">
        <f t="shared" si="310"/>
        <v>1</v>
      </c>
    </row>
    <row r="637" spans="1:64" ht="11.25" customHeight="1">
      <c r="A637" s="26" t="s">
        <v>3233</v>
      </c>
      <c r="B637" s="27" t="s">
        <v>3234</v>
      </c>
      <c r="C637" s="28">
        <v>254.99</v>
      </c>
      <c r="D637" s="28">
        <f t="shared" si="294"/>
        <v>127.495</v>
      </c>
      <c r="E637" s="22" t="s">
        <v>3201</v>
      </c>
      <c r="F637" s="22" t="s">
        <v>3225</v>
      </c>
      <c r="G637" s="22" t="s">
        <v>264</v>
      </c>
      <c r="H637" s="22" t="s">
        <v>3226</v>
      </c>
      <c r="I637" s="23" t="s">
        <v>3227</v>
      </c>
      <c r="J637" s="22" t="s">
        <v>646</v>
      </c>
      <c r="K637" s="23">
        <v>120</v>
      </c>
      <c r="L637" s="23">
        <v>4</v>
      </c>
      <c r="M637" s="23">
        <v>100</v>
      </c>
      <c r="N637" s="3">
        <f t="shared" si="328"/>
        <v>4.8000000000000001E-2</v>
      </c>
      <c r="O637" s="4" t="e">
        <f>(C637-(C637*#REF!))-((C637-(C637*#REF!))*#REF!)</f>
        <v>#REF!</v>
      </c>
      <c r="P637" s="7"/>
      <c r="Q637" s="7"/>
      <c r="R637" s="5">
        <f t="shared" si="329"/>
        <v>0</v>
      </c>
      <c r="S637" s="4">
        <f t="shared" si="330"/>
        <v>0</v>
      </c>
      <c r="T637" s="13">
        <f t="shared" si="295"/>
        <v>178.49299999999999</v>
      </c>
      <c r="U637" s="13">
        <f t="shared" si="304"/>
        <v>89.246499999999997</v>
      </c>
      <c r="V637" s="14">
        <f>U637/C637</f>
        <v>0.35</v>
      </c>
      <c r="W637" s="14"/>
      <c r="X637" s="19">
        <f t="shared" si="331"/>
        <v>89.246499999999997</v>
      </c>
      <c r="Y637" s="19">
        <f t="shared" si="332"/>
        <v>178.49299999999999</v>
      </c>
      <c r="Z637" s="15" t="e">
        <f t="shared" si="319"/>
        <v>#DIV/0!</v>
      </c>
      <c r="AA637" s="22" t="s">
        <v>3235</v>
      </c>
      <c r="AG637" s="94" t="s">
        <v>1169</v>
      </c>
      <c r="AH637" s="89" t="str">
        <f>VLOOKUP(AG637,Sheet1!$B$3:$D$36,2,FALSE)</f>
        <v>Decors</v>
      </c>
      <c r="AI637" s="89" t="s">
        <v>3205</v>
      </c>
      <c r="AJ637" s="1" t="str">
        <f t="shared" si="296"/>
        <v>Frank vertical fence</v>
      </c>
      <c r="AK637" s="1" t="str">
        <f t="shared" si="297"/>
        <v>w120 x d4 x h100</v>
      </c>
      <c r="AL637" s="1" t="str">
        <f t="shared" si="298"/>
        <v>teak branches outdoor</v>
      </c>
      <c r="AM637" s="1" t="str">
        <f t="shared" si="299"/>
        <v>teak branches outdoor</v>
      </c>
      <c r="AN637" s="1" t="str">
        <f t="shared" si="335"/>
        <v xml:space="preserve">teak branches </v>
      </c>
      <c r="AO637" s="1" t="s">
        <v>59</v>
      </c>
      <c r="AQ637" s="1" t="str">
        <f t="shared" si="300"/>
        <v>B</v>
      </c>
      <c r="AR637" s="1" t="str">
        <f>VLOOKUP(TRIM(AI637),Sheet1!$D$3:$E$36,2,FALSE)</f>
        <v>02</v>
      </c>
      <c r="AS637" s="90" t="str">
        <f t="shared" si="301"/>
        <v>01</v>
      </c>
      <c r="AT637" s="1" t="str">
        <f t="shared" si="302"/>
        <v>01</v>
      </c>
      <c r="AU637" s="90" t="s">
        <v>664</v>
      </c>
      <c r="AV637" s="90"/>
      <c r="AW637" s="90"/>
      <c r="AX637" s="95" t="str">
        <f>AQ637&amp;AR637&amp;AS637&amp;"-"&amp;AT637&amp;AU637&amp;BA637</f>
        <v>B0201-0127OUT</v>
      </c>
      <c r="AY637" s="99" t="str">
        <f>AQ637&amp;AR637&amp;AS637&amp;"-"&amp;AT637&amp;BA637</f>
        <v>B0201-01OUT</v>
      </c>
      <c r="AZ637" s="90"/>
      <c r="BA637" s="1" t="str">
        <f t="shared" si="303"/>
        <v>OUT</v>
      </c>
      <c r="BC637" s="1">
        <f t="shared" si="326"/>
        <v>1</v>
      </c>
      <c r="BD637" s="90">
        <f t="shared" si="327"/>
        <v>1</v>
      </c>
      <c r="BE637" s="1">
        <f t="shared" si="309"/>
        <v>1</v>
      </c>
      <c r="BF637" s="1">
        <f t="shared" si="310"/>
        <v>1</v>
      </c>
    </row>
    <row r="638" spans="1:64" ht="11.25" customHeight="1">
      <c r="A638" s="26" t="s">
        <v>3236</v>
      </c>
      <c r="B638" s="27" t="s">
        <v>3234</v>
      </c>
      <c r="C638" s="28">
        <v>414.99</v>
      </c>
      <c r="D638" s="28">
        <f t="shared" si="294"/>
        <v>207.495</v>
      </c>
      <c r="E638" s="22" t="s">
        <v>3201</v>
      </c>
      <c r="F638" s="22" t="s">
        <v>3230</v>
      </c>
      <c r="G638" s="22" t="s">
        <v>264</v>
      </c>
      <c r="H638" s="22" t="s">
        <v>3231</v>
      </c>
      <c r="I638" s="23" t="s">
        <v>3227</v>
      </c>
      <c r="J638" s="22" t="s">
        <v>646</v>
      </c>
      <c r="K638" s="23">
        <v>220</v>
      </c>
      <c r="L638" s="23">
        <v>1</v>
      </c>
      <c r="M638" s="23">
        <v>150</v>
      </c>
      <c r="N638" s="3">
        <f t="shared" si="328"/>
        <v>3.3000000000000002E-2</v>
      </c>
      <c r="O638" s="4" t="e">
        <f>(C638-(C638*#REF!))-((C638-(C638*#REF!))*#REF!)</f>
        <v>#REF!</v>
      </c>
      <c r="P638" s="7"/>
      <c r="Q638" s="7"/>
      <c r="R638" s="5">
        <f t="shared" si="329"/>
        <v>0</v>
      </c>
      <c r="S638" s="4">
        <f t="shared" si="330"/>
        <v>0</v>
      </c>
      <c r="T638" s="13">
        <f t="shared" si="295"/>
        <v>290.49299999999999</v>
      </c>
      <c r="U638" s="13">
        <f t="shared" si="304"/>
        <v>145.2465</v>
      </c>
      <c r="V638" s="14">
        <f>U638/C638</f>
        <v>0.35</v>
      </c>
      <c r="W638" s="14"/>
      <c r="X638" s="19">
        <f t="shared" si="331"/>
        <v>145.2465</v>
      </c>
      <c r="Y638" s="19">
        <f t="shared" si="332"/>
        <v>290.49299999999999</v>
      </c>
      <c r="Z638" s="15" t="e">
        <f t="shared" si="319"/>
        <v>#DIV/0!</v>
      </c>
      <c r="AA638" s="22" t="s">
        <v>3237</v>
      </c>
      <c r="AG638" s="94" t="s">
        <v>1169</v>
      </c>
      <c r="AH638" s="89" t="str">
        <f>VLOOKUP(AG638,Sheet1!$B$3:$D$36,2,FALSE)</f>
        <v>Decors</v>
      </c>
      <c r="AI638" s="89" t="s">
        <v>3205</v>
      </c>
      <c r="AJ638" s="1" t="str">
        <f t="shared" si="296"/>
        <v>Frank vertical fence</v>
      </c>
      <c r="AK638" s="1" t="str">
        <f t="shared" si="297"/>
        <v>w220 x d1 x h150</v>
      </c>
      <c r="AL638" s="1" t="str">
        <f t="shared" si="298"/>
        <v>teak branches outdoor</v>
      </c>
      <c r="AM638" s="1" t="str">
        <f t="shared" si="299"/>
        <v>teak branches outdoor</v>
      </c>
      <c r="AN638" s="1" t="str">
        <f t="shared" si="335"/>
        <v xml:space="preserve">teak branches </v>
      </c>
      <c r="AO638" s="1" t="s">
        <v>59</v>
      </c>
      <c r="AQ638" s="1" t="str">
        <f t="shared" si="300"/>
        <v>B</v>
      </c>
      <c r="AR638" s="1" t="str">
        <f>VLOOKUP(TRIM(AI638),Sheet1!$D$3:$E$36,2,FALSE)</f>
        <v>02</v>
      </c>
      <c r="AS638" s="90" t="str">
        <f t="shared" si="301"/>
        <v>02</v>
      </c>
      <c r="AT638" s="1" t="str">
        <f t="shared" si="302"/>
        <v>01</v>
      </c>
      <c r="AU638" s="90" t="s">
        <v>664</v>
      </c>
      <c r="AV638" s="90"/>
      <c r="AW638" s="90"/>
      <c r="AX638" s="95" t="str">
        <f>AQ638&amp;AR638&amp;AS638&amp;"-"&amp;AT638&amp;AU638&amp;BA638</f>
        <v>B0202-0127OUT</v>
      </c>
      <c r="AY638" s="99" t="str">
        <f>AQ638&amp;AR638&amp;AS638&amp;"-"&amp;AT638&amp;BA638</f>
        <v>B0202-01OUT</v>
      </c>
      <c r="AZ638" s="90"/>
      <c r="BA638" s="1" t="str">
        <f t="shared" si="303"/>
        <v>OUT</v>
      </c>
      <c r="BC638" s="1" t="str">
        <f t="shared" si="326"/>
        <v/>
      </c>
      <c r="BD638" s="90">
        <f t="shared" si="327"/>
        <v>2</v>
      </c>
      <c r="BE638" s="1">
        <f t="shared" si="309"/>
        <v>1</v>
      </c>
      <c r="BF638" s="1">
        <f t="shared" si="310"/>
        <v>1</v>
      </c>
    </row>
    <row r="639" spans="1:64" s="63" customFormat="1" ht="15.75">
      <c r="A639" s="33" t="s">
        <v>3238</v>
      </c>
      <c r="B639" s="34"/>
      <c r="C639" s="35"/>
      <c r="D639" s="36"/>
      <c r="E639" s="39"/>
      <c r="F639" s="40"/>
      <c r="G639" s="39"/>
      <c r="H639" s="39"/>
      <c r="I639" s="41"/>
      <c r="J639" s="39"/>
      <c r="K639" s="41"/>
      <c r="L639" s="41"/>
      <c r="M639" s="41"/>
      <c r="N639" s="48"/>
      <c r="O639" s="48"/>
      <c r="P639" s="49"/>
      <c r="Q639" s="49"/>
      <c r="R639" s="50"/>
      <c r="S639" s="48"/>
      <c r="T639" s="13"/>
      <c r="U639" s="13"/>
      <c r="V639" s="14"/>
      <c r="W639" s="14"/>
      <c r="X639" s="60"/>
      <c r="Y639" s="60"/>
      <c r="Z639" s="15"/>
      <c r="AA639" s="39"/>
      <c r="AG639" s="93"/>
      <c r="AH639" s="89"/>
      <c r="AI639" s="89"/>
      <c r="AJ639" s="1"/>
      <c r="AK639" s="1"/>
      <c r="AL639" s="1"/>
      <c r="AM639" s="1"/>
      <c r="AN639" s="1"/>
      <c r="AQ639" s="1"/>
      <c r="AR639" s="1"/>
      <c r="AS639" s="90"/>
      <c r="AT639" s="1"/>
      <c r="AU639" s="90"/>
      <c r="AV639" s="90"/>
      <c r="AW639" s="90"/>
      <c r="AX639" s="95"/>
      <c r="AY639" s="99" t="str">
        <f>AQ639&amp;AR639&amp;AS639&amp;"-"&amp;AT639&amp;BA639</f>
        <v>-</v>
      </c>
      <c r="AZ639" s="90"/>
      <c r="BA639" s="1"/>
      <c r="BC639" s="1"/>
      <c r="BD639" s="90"/>
      <c r="BE639" s="1"/>
      <c r="BF639" s="1"/>
    </row>
    <row r="640" spans="1:64" ht="11.25" customHeight="1">
      <c r="A640" s="26">
        <v>30249</v>
      </c>
      <c r="B640" s="27" t="s">
        <v>3239</v>
      </c>
      <c r="C640" s="28">
        <v>15.99</v>
      </c>
      <c r="D640" s="28">
        <f t="shared" si="294"/>
        <v>7.9950000000000001</v>
      </c>
      <c r="E640" s="22" t="s">
        <v>3240</v>
      </c>
      <c r="F640" s="22" t="s">
        <v>3241</v>
      </c>
      <c r="G640" s="22" t="s">
        <v>3242</v>
      </c>
      <c r="H640" s="22" t="s">
        <v>3243</v>
      </c>
      <c r="I640" s="23" t="s">
        <v>3244</v>
      </c>
      <c r="J640" s="22" t="s">
        <v>670</v>
      </c>
      <c r="K640" s="23">
        <v>28</v>
      </c>
      <c r="L640" s="23">
        <v>28</v>
      </c>
      <c r="M640" s="23">
        <v>33</v>
      </c>
      <c r="N640" s="3">
        <f t="shared" ref="N640:N655" si="336">(IF(ISBLANK(K640),(L640*L640*M640),(K640*L640*M640)))/1000000</f>
        <v>2.5871999999999999E-2</v>
      </c>
      <c r="O640" s="4" t="e">
        <f>(C640-(C640*#REF!))-((C640-(C640*#REF!))*#REF!)</f>
        <v>#REF!</v>
      </c>
      <c r="P640" s="7">
        <f>176245.751410866-Q640</f>
        <v>6245.7514108660107</v>
      </c>
      <c r="Q640" s="7">
        <v>170000</v>
      </c>
      <c r="R640" s="5">
        <f t="shared" ref="R640:R654" si="337">P640+Q640</f>
        <v>176245.75141086601</v>
      </c>
      <c r="S640" s="4">
        <f t="shared" ref="S640:S655" si="338">R640/15000</f>
        <v>11.7497167607244</v>
      </c>
      <c r="T640" s="13">
        <f t="shared" si="295"/>
        <v>11.193000000000001</v>
      </c>
      <c r="U640" s="13">
        <f t="shared" si="304"/>
        <v>5.5965000000000007</v>
      </c>
      <c r="V640" s="14">
        <f>U640/C640</f>
        <v>0.35000000000000003</v>
      </c>
      <c r="W640" s="18">
        <f>S640*$W$1</f>
        <v>23.4994335214488</v>
      </c>
      <c r="X640" s="19">
        <f t="shared" ref="X640:X655" si="339">IF(ISBLANK(W640),U640, W640)</f>
        <v>23.4994335214488</v>
      </c>
      <c r="Y640" s="19">
        <f t="shared" ref="Y640:Y655" si="340">X640*2</f>
        <v>46.998867042897601</v>
      </c>
      <c r="Z640" s="15">
        <v>2</v>
      </c>
      <c r="AA640" s="22" t="s">
        <v>3245</v>
      </c>
      <c r="AG640" s="94" t="s">
        <v>1169</v>
      </c>
      <c r="AH640" s="89" t="str">
        <f>VLOOKUP(AG640,Sheet1!$B$3:$D$36,2,FALSE)</f>
        <v>Decors</v>
      </c>
      <c r="AI640" s="89" t="s">
        <v>3246</v>
      </c>
      <c r="AJ640" s="1" t="str">
        <f t="shared" si="296"/>
        <v>Rob basket high</v>
      </c>
      <c r="AK640" s="1" t="str">
        <f t="shared" si="297"/>
        <v>w28 x d28 x h33</v>
      </c>
      <c r="AL640" s="1" t="str">
        <f t="shared" si="298"/>
        <v>kubu grey semi</v>
      </c>
      <c r="AM640" s="1" t="str">
        <f t="shared" si="299"/>
        <v>kubu grey semi</v>
      </c>
      <c r="AN640" s="1" t="str">
        <f t="shared" ref="AN639:AN649" si="341">SUBSTITUTE(AL640,"indoor","")</f>
        <v>kubu grey semi</v>
      </c>
      <c r="AQ640" s="1" t="str">
        <f t="shared" si="300"/>
        <v>B</v>
      </c>
      <c r="AR640" s="1" t="str">
        <f>VLOOKUP(TRIM(AI640),Sheet1!$D$3:$E$36,2,FALSE)</f>
        <v>03</v>
      </c>
      <c r="AS640" s="90" t="str">
        <f t="shared" si="301"/>
        <v>01</v>
      </c>
      <c r="AT640" s="1" t="str">
        <f t="shared" si="302"/>
        <v>01</v>
      </c>
      <c r="AU640" s="90" t="s">
        <v>1198</v>
      </c>
      <c r="AV640" s="90"/>
      <c r="AW640" s="90"/>
      <c r="AX640" s="95" t="str">
        <f>AQ640&amp;AR640&amp;AS640&amp;"-"&amp;AT640&amp;AU640&amp;BA640</f>
        <v>B0301-0107</v>
      </c>
      <c r="AY640" s="99" t="str">
        <f>AQ640&amp;AR640&amp;AS640&amp;"-"&amp;AT640&amp;BA640</f>
        <v>B0301-01</v>
      </c>
      <c r="AZ640" s="90"/>
      <c r="BA640" s="1" t="str">
        <f t="shared" si="303"/>
        <v/>
      </c>
      <c r="BC640" s="1">
        <f t="shared" si="326"/>
        <v>1</v>
      </c>
      <c r="BD640" s="90">
        <f t="shared" si="327"/>
        <v>1</v>
      </c>
      <c r="BE640" s="1">
        <f t="shared" si="309"/>
        <v>1</v>
      </c>
      <c r="BF640" s="1">
        <f t="shared" si="310"/>
        <v>1</v>
      </c>
    </row>
    <row r="641" spans="1:58" ht="11.25" customHeight="1">
      <c r="A641" s="26" t="s">
        <v>3247</v>
      </c>
      <c r="B641" s="27" t="s">
        <v>3248</v>
      </c>
      <c r="C641" s="28">
        <v>117.99</v>
      </c>
      <c r="D641" s="28">
        <f t="shared" si="294"/>
        <v>58.994999999999997</v>
      </c>
      <c r="E641" s="22" t="s">
        <v>3240</v>
      </c>
      <c r="F641" s="22" t="s">
        <v>3249</v>
      </c>
      <c r="G641" s="22" t="s">
        <v>3250</v>
      </c>
      <c r="H641" s="22" t="s">
        <v>3251</v>
      </c>
      <c r="I641" s="23" t="s">
        <v>3244</v>
      </c>
      <c r="J641" s="22" t="s">
        <v>670</v>
      </c>
      <c r="K641" s="23">
        <v>40</v>
      </c>
      <c r="L641" s="23">
        <v>30</v>
      </c>
      <c r="M641" s="23">
        <v>29</v>
      </c>
      <c r="N641" s="3">
        <f t="shared" si="336"/>
        <v>3.4799999999999998E-2</v>
      </c>
      <c r="O641" s="4" t="e">
        <f>(C641-(C641*#REF!))-((C641-(C641*#REF!))*#REF!)</f>
        <v>#REF!</v>
      </c>
      <c r="P641" s="7"/>
      <c r="Q641" s="7"/>
      <c r="R641" s="5">
        <f t="shared" si="337"/>
        <v>0</v>
      </c>
      <c r="S641" s="4">
        <f t="shared" si="338"/>
        <v>0</v>
      </c>
      <c r="T641" s="13">
        <f t="shared" si="295"/>
        <v>82.592999999999989</v>
      </c>
      <c r="U641" s="13">
        <f t="shared" si="304"/>
        <v>41.296499999999995</v>
      </c>
      <c r="V641" s="14">
        <f>U641/C641</f>
        <v>0.35</v>
      </c>
      <c r="W641" s="14"/>
      <c r="X641" s="19">
        <f t="shared" si="339"/>
        <v>41.296499999999995</v>
      </c>
      <c r="Y641" s="19">
        <f t="shared" si="340"/>
        <v>82.592999999999989</v>
      </c>
      <c r="Z641" s="15" t="e">
        <f>U641/S641</f>
        <v>#DIV/0!</v>
      </c>
      <c r="AA641" s="22" t="s">
        <v>3252</v>
      </c>
      <c r="AG641" s="94" t="s">
        <v>1169</v>
      </c>
      <c r="AH641" s="89" t="str">
        <f>VLOOKUP(AG641,Sheet1!$B$3:$D$36,2,FALSE)</f>
        <v>Decors</v>
      </c>
      <c r="AI641" s="89" t="s">
        <v>3246</v>
      </c>
      <c r="AJ641" s="1" t="str">
        <f t="shared" si="296"/>
        <v>Dean rectangular</v>
      </c>
      <c r="AK641" s="1" t="str">
        <f t="shared" si="297"/>
        <v>w40 x d30 x h29, w60 x d45 x h36, w50 x d39 x h30, set / 3</v>
      </c>
      <c r="AL641" s="1" t="str">
        <f t="shared" si="298"/>
        <v>kubu grey semi</v>
      </c>
      <c r="AM641" s="1" t="str">
        <f t="shared" si="299"/>
        <v>kubu grey semi</v>
      </c>
      <c r="AN641" s="1" t="str">
        <f t="shared" si="341"/>
        <v>kubu grey semi</v>
      </c>
      <c r="AQ641" s="1" t="str">
        <f t="shared" si="300"/>
        <v>B</v>
      </c>
      <c r="AR641" s="1" t="str">
        <f>VLOOKUP(TRIM(AI641),Sheet1!$D$3:$E$36,2,FALSE)</f>
        <v>03</v>
      </c>
      <c r="AS641" s="90" t="str">
        <f t="shared" si="301"/>
        <v>01</v>
      </c>
      <c r="AT641" s="1" t="str">
        <f t="shared" si="302"/>
        <v>01</v>
      </c>
      <c r="AU641" s="90" t="s">
        <v>1198</v>
      </c>
      <c r="AV641" s="90"/>
      <c r="AW641" s="90"/>
      <c r="AX641" s="95" t="str">
        <f>AQ641&amp;AR641&amp;AS641&amp;"-"&amp;AT641&amp;AU641&amp;BA641</f>
        <v>B0301-0107</v>
      </c>
      <c r="AY641" s="99" t="str">
        <f>AQ641&amp;AR641&amp;AS641&amp;"-"&amp;AT641&amp;BA641</f>
        <v>B0301-01</v>
      </c>
      <c r="AZ641" s="90"/>
      <c r="BA641" s="1" t="str">
        <f t="shared" si="303"/>
        <v/>
      </c>
      <c r="BC641" s="1">
        <f t="shared" si="326"/>
        <v>1</v>
      </c>
      <c r="BD641" s="90">
        <f t="shared" si="327"/>
        <v>1</v>
      </c>
      <c r="BE641" s="1">
        <f t="shared" si="309"/>
        <v>1</v>
      </c>
      <c r="BF641" s="1">
        <f t="shared" si="310"/>
        <v>1</v>
      </c>
    </row>
    <row r="642" spans="1:58" ht="11.25" customHeight="1">
      <c r="A642" s="26" t="s">
        <v>3253</v>
      </c>
      <c r="B642" s="27" t="s">
        <v>3254</v>
      </c>
      <c r="C642" s="28">
        <v>97.99</v>
      </c>
      <c r="D642" s="28">
        <f t="shared" si="294"/>
        <v>48.994999999999997</v>
      </c>
      <c r="E642" s="22" t="s">
        <v>3240</v>
      </c>
      <c r="F642" s="22" t="s">
        <v>3249</v>
      </c>
      <c r="G642" s="22" t="s">
        <v>3255</v>
      </c>
      <c r="H642" s="22" t="s">
        <v>3256</v>
      </c>
      <c r="I642" s="23" t="s">
        <v>3244</v>
      </c>
      <c r="J642" s="22" t="s">
        <v>670</v>
      </c>
      <c r="K642" s="23">
        <v>30</v>
      </c>
      <c r="L642" s="23">
        <v>30</v>
      </c>
      <c r="M642" s="23">
        <v>20</v>
      </c>
      <c r="N642" s="3">
        <f t="shared" si="336"/>
        <v>1.7999999999999999E-2</v>
      </c>
      <c r="O642" s="4" t="e">
        <f>(C642-(C642*#REF!))-((C642-(C642*#REF!))*#REF!)</f>
        <v>#REF!</v>
      </c>
      <c r="P642" s="7"/>
      <c r="Q642" s="7"/>
      <c r="R642" s="5">
        <f t="shared" si="337"/>
        <v>0</v>
      </c>
      <c r="S642" s="4">
        <f t="shared" si="338"/>
        <v>0</v>
      </c>
      <c r="T642" s="13">
        <f t="shared" si="295"/>
        <v>68.592999999999989</v>
      </c>
      <c r="U642" s="13">
        <f t="shared" si="304"/>
        <v>34.296499999999995</v>
      </c>
      <c r="V642" s="14">
        <f>U642/C642</f>
        <v>0.35</v>
      </c>
      <c r="W642" s="14"/>
      <c r="X642" s="19">
        <f t="shared" si="339"/>
        <v>34.296499999999995</v>
      </c>
      <c r="Y642" s="19">
        <f t="shared" si="340"/>
        <v>68.592999999999989</v>
      </c>
      <c r="Z642" s="15" t="e">
        <f>U642/S642</f>
        <v>#DIV/0!</v>
      </c>
      <c r="AA642" s="22" t="s">
        <v>3257</v>
      </c>
      <c r="AG642" s="94" t="s">
        <v>1169</v>
      </c>
      <c r="AH642" s="89" t="str">
        <f>VLOOKUP(AG642,Sheet1!$B$3:$D$36,2,FALSE)</f>
        <v>Decors</v>
      </c>
      <c r="AI642" s="89" t="s">
        <v>3246</v>
      </c>
      <c r="AJ642" s="1" t="str">
        <f t="shared" si="296"/>
        <v>Dean basket</v>
      </c>
      <c r="AK642" s="1" t="str">
        <f t="shared" si="297"/>
        <v>w30 x d30 x h20, w45 x d45 x h45, w40 x d40 x h40, set / 3</v>
      </c>
      <c r="AL642" s="1" t="str">
        <f t="shared" si="298"/>
        <v>kubu grey semi</v>
      </c>
      <c r="AM642" s="1" t="str">
        <f t="shared" si="299"/>
        <v>kubu grey semi</v>
      </c>
      <c r="AN642" s="1" t="str">
        <f t="shared" si="341"/>
        <v>kubu grey semi</v>
      </c>
      <c r="AQ642" s="1" t="str">
        <f t="shared" si="300"/>
        <v>B</v>
      </c>
      <c r="AR642" s="1" t="str">
        <f>VLOOKUP(TRIM(AI642),Sheet1!$D$3:$E$36,2,FALSE)</f>
        <v>03</v>
      </c>
      <c r="AS642" s="90" t="str">
        <f t="shared" si="301"/>
        <v>01</v>
      </c>
      <c r="AT642" s="1" t="str">
        <f t="shared" si="302"/>
        <v>01</v>
      </c>
      <c r="AU642" s="90" t="s">
        <v>1198</v>
      </c>
      <c r="AV642" s="90"/>
      <c r="AW642" s="90"/>
      <c r="AX642" s="95" t="str">
        <f>AQ642&amp;AR642&amp;AS642&amp;"-"&amp;AT642&amp;AU642&amp;BA642</f>
        <v>B0301-0107</v>
      </c>
      <c r="AY642" s="99" t="str">
        <f>AQ642&amp;AR642&amp;AS642&amp;"-"&amp;AT642&amp;BA642</f>
        <v>B0301-01</v>
      </c>
      <c r="AZ642" s="90"/>
      <c r="BA642" s="1" t="str">
        <f t="shared" si="303"/>
        <v/>
      </c>
      <c r="BC642" s="1">
        <f t="shared" si="326"/>
        <v>1</v>
      </c>
      <c r="BD642" s="90">
        <f t="shared" si="327"/>
        <v>1</v>
      </c>
      <c r="BE642" s="1">
        <f t="shared" si="309"/>
        <v>1</v>
      </c>
      <c r="BF642" s="1">
        <f t="shared" si="310"/>
        <v>1</v>
      </c>
    </row>
    <row r="643" spans="1:58" ht="11.25" customHeight="1">
      <c r="A643" s="26">
        <v>999051</v>
      </c>
      <c r="B643" s="27" t="s">
        <v>3258</v>
      </c>
      <c r="C643" s="28">
        <v>172.99</v>
      </c>
      <c r="D643" s="28">
        <f t="shared" si="294"/>
        <v>86.495000000000005</v>
      </c>
      <c r="E643" s="22" t="s">
        <v>3240</v>
      </c>
      <c r="F643" s="22" t="s">
        <v>3259</v>
      </c>
      <c r="G643" s="22" t="s">
        <v>3260</v>
      </c>
      <c r="H643" s="22" t="s">
        <v>3261</v>
      </c>
      <c r="I643" s="23" t="s">
        <v>3244</v>
      </c>
      <c r="J643" s="22" t="s">
        <v>670</v>
      </c>
      <c r="K643" s="23">
        <v>31</v>
      </c>
      <c r="L643" s="23">
        <v>21</v>
      </c>
      <c r="M643" s="23">
        <v>17</v>
      </c>
      <c r="N643" s="3">
        <f t="shared" si="336"/>
        <v>1.1067E-2</v>
      </c>
      <c r="O643" s="4" t="e">
        <f>(C643-(C643*#REF!))-((C643-(C643*#REF!))*#REF!)</f>
        <v>#REF!</v>
      </c>
      <c r="P643" s="7"/>
      <c r="Q643" s="7"/>
      <c r="R643" s="5">
        <f t="shared" si="337"/>
        <v>0</v>
      </c>
      <c r="S643" s="4">
        <f t="shared" si="338"/>
        <v>0</v>
      </c>
      <c r="T643" s="13">
        <f t="shared" si="295"/>
        <v>121.09300000000002</v>
      </c>
      <c r="U643" s="13">
        <f t="shared" si="304"/>
        <v>60.546500000000009</v>
      </c>
      <c r="V643" s="14">
        <f>U643/C643</f>
        <v>0.35000000000000003</v>
      </c>
      <c r="W643" s="14"/>
      <c r="X643" s="19">
        <f t="shared" si="339"/>
        <v>60.546500000000009</v>
      </c>
      <c r="Y643" s="19">
        <f t="shared" si="340"/>
        <v>121.09300000000002</v>
      </c>
      <c r="Z643" s="15" t="e">
        <f>U643/S643</f>
        <v>#DIV/0!</v>
      </c>
      <c r="AA643" s="22" t="s">
        <v>3262</v>
      </c>
      <c r="AG643" s="94" t="s">
        <v>1169</v>
      </c>
      <c r="AH643" s="89" t="str">
        <f>VLOOKUP(AG643,Sheet1!$B$3:$D$36,2,FALSE)</f>
        <v>Decors</v>
      </c>
      <c r="AI643" s="89" t="s">
        <v>3246</v>
      </c>
      <c r="AJ643" s="1" t="str">
        <f t="shared" si="296"/>
        <v>Downy box with cover</v>
      </c>
      <c r="AK643" s="1" t="str">
        <f t="shared" si="297"/>
        <v>w31 x d21 x h17, w52 x d43 x h35, w45 x d36 x h30, w38 x d28 x h23, set / 4</v>
      </c>
      <c r="AL643" s="1" t="str">
        <f t="shared" si="298"/>
        <v>kubu grey semi</v>
      </c>
      <c r="AM643" s="1" t="str">
        <f t="shared" si="299"/>
        <v>kubu grey semi</v>
      </c>
      <c r="AN643" s="1" t="str">
        <f t="shared" si="341"/>
        <v>kubu grey semi</v>
      </c>
      <c r="AQ643" s="1" t="str">
        <f t="shared" si="300"/>
        <v>B</v>
      </c>
      <c r="AR643" s="1" t="str">
        <f>VLOOKUP(TRIM(AI643),Sheet1!$D$3:$E$36,2,FALSE)</f>
        <v>03</v>
      </c>
      <c r="AS643" s="90" t="str">
        <f t="shared" si="301"/>
        <v>01</v>
      </c>
      <c r="AT643" s="1" t="str">
        <f t="shared" si="302"/>
        <v>01</v>
      </c>
      <c r="AU643" s="90" t="s">
        <v>1198</v>
      </c>
      <c r="AV643" s="90"/>
      <c r="AW643" s="90"/>
      <c r="AX643" s="95" t="str">
        <f>AQ643&amp;AR643&amp;AS643&amp;"-"&amp;AT643&amp;AU643&amp;BA643</f>
        <v>B0301-0107</v>
      </c>
      <c r="AY643" s="99" t="str">
        <f>AQ643&amp;AR643&amp;AS643&amp;"-"&amp;AT643&amp;BA643</f>
        <v>B0301-01</v>
      </c>
      <c r="AZ643" s="90"/>
      <c r="BA643" s="1" t="str">
        <f t="shared" si="303"/>
        <v/>
      </c>
      <c r="BC643" s="1">
        <f t="shared" si="326"/>
        <v>1</v>
      </c>
      <c r="BD643" s="90">
        <f t="shared" si="327"/>
        <v>1</v>
      </c>
      <c r="BE643" s="1">
        <f t="shared" si="309"/>
        <v>1</v>
      </c>
      <c r="BF643" s="1">
        <f t="shared" si="310"/>
        <v>1</v>
      </c>
    </row>
    <row r="644" spans="1:58" ht="11.25" customHeight="1">
      <c r="A644" s="26" t="s">
        <v>3263</v>
      </c>
      <c r="B644" s="27" t="s">
        <v>3264</v>
      </c>
      <c r="C644" s="28">
        <v>174.99</v>
      </c>
      <c r="D644" s="28">
        <f t="shared" si="294"/>
        <v>87.495000000000005</v>
      </c>
      <c r="E644" s="22" t="s">
        <v>3240</v>
      </c>
      <c r="F644" s="22" t="s">
        <v>3265</v>
      </c>
      <c r="G644" s="22" t="s">
        <v>3266</v>
      </c>
      <c r="H644" s="22" t="s">
        <v>3267</v>
      </c>
      <c r="I644" s="23" t="s">
        <v>3244</v>
      </c>
      <c r="J644" s="22" t="s">
        <v>670</v>
      </c>
      <c r="K644" s="23">
        <v>32</v>
      </c>
      <c r="L644" s="23">
        <v>32</v>
      </c>
      <c r="M644" s="23">
        <v>51</v>
      </c>
      <c r="N644" s="3">
        <f t="shared" si="336"/>
        <v>5.2224E-2</v>
      </c>
      <c r="O644" s="4" t="e">
        <f>(C644-(C644*#REF!))-((C644-(C644*#REF!))*#REF!)</f>
        <v>#REF!</v>
      </c>
      <c r="P644" s="7">
        <f>536408.037898119-Q644</f>
        <v>41408.037898118957</v>
      </c>
      <c r="Q644" s="7">
        <v>495000</v>
      </c>
      <c r="R644" s="5">
        <f t="shared" si="337"/>
        <v>536408.03789811896</v>
      </c>
      <c r="S644" s="4">
        <f t="shared" si="338"/>
        <v>35.760535859874594</v>
      </c>
      <c r="T644" s="13">
        <f t="shared" si="295"/>
        <v>122.49300000000001</v>
      </c>
      <c r="U644" s="13">
        <f t="shared" si="304"/>
        <v>61.246500000000005</v>
      </c>
      <c r="V644" s="14">
        <f>U644/C644</f>
        <v>0.35000000000000003</v>
      </c>
      <c r="W644" s="18">
        <f>S644*$W$1</f>
        <v>71.521071719749187</v>
      </c>
      <c r="X644" s="19">
        <f t="shared" si="339"/>
        <v>71.521071719749187</v>
      </c>
      <c r="Y644" s="19">
        <f t="shared" si="340"/>
        <v>143.04214343949837</v>
      </c>
      <c r="Z644" s="15">
        <v>2</v>
      </c>
      <c r="AA644" s="22" t="s">
        <v>3268</v>
      </c>
      <c r="AG644" s="94" t="s">
        <v>1169</v>
      </c>
      <c r="AH644" s="89" t="str">
        <f>VLOOKUP(AG644,Sheet1!$B$3:$D$36,2,FALSE)</f>
        <v>Decors</v>
      </c>
      <c r="AI644" s="89" t="s">
        <v>3246</v>
      </c>
      <c r="AJ644" s="1" t="str">
        <f t="shared" si="296"/>
        <v>Downy box with cover high</v>
      </c>
      <c r="AK644" s="1" t="str">
        <f t="shared" si="297"/>
        <v>w32 x d32 x h51, w39 x d39 x h62, w25 x d25 x h40, set / 3</v>
      </c>
      <c r="AL644" s="1" t="str">
        <f t="shared" si="298"/>
        <v>kubu grey semi</v>
      </c>
      <c r="AM644" s="1" t="str">
        <f t="shared" si="299"/>
        <v>kubu grey semi</v>
      </c>
      <c r="AN644" s="1" t="str">
        <f t="shared" si="341"/>
        <v>kubu grey semi</v>
      </c>
      <c r="AQ644" s="1" t="str">
        <f t="shared" si="300"/>
        <v>B</v>
      </c>
      <c r="AR644" s="1" t="str">
        <f>VLOOKUP(TRIM(AI644),Sheet1!$D$3:$E$36,2,FALSE)</f>
        <v>03</v>
      </c>
      <c r="AS644" s="90" t="str">
        <f t="shared" si="301"/>
        <v>01</v>
      </c>
      <c r="AT644" s="1" t="str">
        <f t="shared" si="302"/>
        <v>01</v>
      </c>
      <c r="AU644" s="90" t="s">
        <v>1198</v>
      </c>
      <c r="AV644" s="90"/>
      <c r="AW644" s="90"/>
      <c r="AX644" s="95" t="str">
        <f>AQ644&amp;AR644&amp;AS644&amp;"-"&amp;AT644&amp;AU644&amp;BA644</f>
        <v>B0301-0107</v>
      </c>
      <c r="AY644" s="99" t="str">
        <f>AQ644&amp;AR644&amp;AS644&amp;"-"&amp;AT644&amp;BA644</f>
        <v>B0301-01</v>
      </c>
      <c r="AZ644" s="90"/>
      <c r="BA644" s="1" t="str">
        <f t="shared" si="303"/>
        <v/>
      </c>
      <c r="BC644" s="1">
        <f t="shared" si="326"/>
        <v>1</v>
      </c>
      <c r="BD644" s="90">
        <f t="shared" si="327"/>
        <v>1</v>
      </c>
      <c r="BE644" s="1">
        <f t="shared" si="309"/>
        <v>1</v>
      </c>
      <c r="BF644" s="1">
        <f t="shared" si="310"/>
        <v>1</v>
      </c>
    </row>
    <row r="645" spans="1:58" ht="11.25" customHeight="1">
      <c r="A645" s="26" t="s">
        <v>3269</v>
      </c>
      <c r="B645" s="27" t="s">
        <v>3270</v>
      </c>
      <c r="C645" s="28">
        <v>58.99</v>
      </c>
      <c r="D645" s="28">
        <f t="shared" ref="D645:D708" si="342">C645*$D$1</f>
        <v>29.495000000000001</v>
      </c>
      <c r="E645" s="22" t="s">
        <v>3240</v>
      </c>
      <c r="F645" s="22" t="s">
        <v>3271</v>
      </c>
      <c r="G645" s="22" t="s">
        <v>3272</v>
      </c>
      <c r="H645" s="22" t="s">
        <v>3273</v>
      </c>
      <c r="I645" s="23" t="s">
        <v>3244</v>
      </c>
      <c r="J645" s="22" t="s">
        <v>670</v>
      </c>
      <c r="K645" s="23">
        <v>55</v>
      </c>
      <c r="L645" s="23">
        <v>15</v>
      </c>
      <c r="M645" s="23">
        <v>57</v>
      </c>
      <c r="N645" s="3">
        <f t="shared" si="336"/>
        <v>4.7024999999999997E-2</v>
      </c>
      <c r="O645" s="4" t="e">
        <f>(C645-(C645*#REF!))-((C645-(C645*#REF!))*#REF!)</f>
        <v>#REF!</v>
      </c>
      <c r="P645" s="7">
        <v>0</v>
      </c>
      <c r="Q645" s="7">
        <v>150000</v>
      </c>
      <c r="R645" s="5">
        <f t="shared" si="337"/>
        <v>150000</v>
      </c>
      <c r="S645" s="4">
        <f t="shared" si="338"/>
        <v>10</v>
      </c>
      <c r="T645" s="13">
        <f t="shared" ref="T645:T708" si="343">C645-(C645*$T$1)</f>
        <v>41.293000000000006</v>
      </c>
      <c r="U645" s="13">
        <f t="shared" si="304"/>
        <v>20.646500000000003</v>
      </c>
      <c r="V645" s="14">
        <f>U645/C645</f>
        <v>0.35000000000000003</v>
      </c>
      <c r="W645" s="18">
        <f>S645*2.3</f>
        <v>23</v>
      </c>
      <c r="X645" s="19">
        <f t="shared" si="339"/>
        <v>23</v>
      </c>
      <c r="Y645" s="19">
        <f t="shared" si="340"/>
        <v>46</v>
      </c>
      <c r="Z645" s="15">
        <v>2</v>
      </c>
      <c r="AA645" s="22" t="s">
        <v>3274</v>
      </c>
      <c r="AG645" s="94" t="s">
        <v>1169</v>
      </c>
      <c r="AH645" s="89" t="str">
        <f>VLOOKUP(AG645,Sheet1!$B$3:$D$36,2,FALSE)</f>
        <v>Decors</v>
      </c>
      <c r="AI645" s="89" t="s">
        <v>3246</v>
      </c>
      <c r="AJ645" s="1" t="str">
        <f t="shared" ref="AJ645:AJ708" si="344">G645</f>
        <v>Marry umbrella basket</v>
      </c>
      <c r="AK645" s="1" t="str">
        <f t="shared" ref="AK645:AK708" si="345">TRIM(H645)</f>
        <v>w55 x d15 x h57</v>
      </c>
      <c r="AL645" s="1" t="str">
        <f t="shared" ref="AL645:AL708" si="346">I645</f>
        <v>kubu grey semi</v>
      </c>
      <c r="AM645" s="1" t="str">
        <f t="shared" ref="AM645:AM708" si="347">I645</f>
        <v>kubu grey semi</v>
      </c>
      <c r="AN645" s="1" t="str">
        <f t="shared" si="341"/>
        <v>kubu grey semi</v>
      </c>
      <c r="AQ645" s="1" t="str">
        <f t="shared" ref="AQ645:AQ708" si="348">IF(TRIM(AG645)="01","A",IF(TRIM(AG645)="02","B",IF(TRIM(AG645)="03","C",IF(TRIM(AG645)="04","D",IF(TRIM(AG645)="05","E","F")))))</f>
        <v>B</v>
      </c>
      <c r="AR645" s="1" t="str">
        <f>VLOOKUP(TRIM(AI645),Sheet1!$D$3:$E$36,2,FALSE)</f>
        <v>03</v>
      </c>
      <c r="AS645" s="90" t="str">
        <f t="shared" ref="AS645:AS708" si="349">IF(LEN(BD645)=1,"0"&amp;BD645,BD645)</f>
        <v>01</v>
      </c>
      <c r="AT645" s="1" t="str">
        <f t="shared" ref="AT645:AT708" si="350">IF(LEN(BF645)=1,"0"&amp;BF645,BF645)</f>
        <v>01</v>
      </c>
      <c r="AU645" s="90" t="s">
        <v>1198</v>
      </c>
      <c r="AV645" s="90"/>
      <c r="AW645" s="90"/>
      <c r="AX645" s="95" t="str">
        <f>AQ645&amp;AR645&amp;AS645&amp;"-"&amp;AT645&amp;AU645&amp;BA645</f>
        <v>B0301-0107</v>
      </c>
      <c r="AY645" s="99" t="str">
        <f>AQ645&amp;AR645&amp;AS645&amp;"-"&amp;AT645&amp;BA645</f>
        <v>B0301-01</v>
      </c>
      <c r="AZ645" s="90"/>
      <c r="BA645" s="1" t="str">
        <f t="shared" ref="BA645:BA708" si="351">IF(AO645="","",UPPER(LEFT(AO645,3)))</f>
        <v/>
      </c>
      <c r="BC645" s="1">
        <f t="shared" si="326"/>
        <v>1</v>
      </c>
      <c r="BD645" s="90">
        <f t="shared" si="327"/>
        <v>1</v>
      </c>
      <c r="BE645" s="1">
        <f t="shared" si="309"/>
        <v>1</v>
      </c>
      <c r="BF645" s="1">
        <f t="shared" si="310"/>
        <v>1</v>
      </c>
    </row>
    <row r="646" spans="1:58" ht="11.25" customHeight="1">
      <c r="A646" s="26" t="s">
        <v>3275</v>
      </c>
      <c r="B646" s="27" t="s">
        <v>3276</v>
      </c>
      <c r="C646" s="28">
        <v>237.99</v>
      </c>
      <c r="D646" s="28">
        <f t="shared" si="342"/>
        <v>118.995</v>
      </c>
      <c r="E646" s="22" t="s">
        <v>3240</v>
      </c>
      <c r="F646" s="22" t="s">
        <v>3277</v>
      </c>
      <c r="G646" s="22" t="s">
        <v>3278</v>
      </c>
      <c r="H646" s="22" t="s">
        <v>3279</v>
      </c>
      <c r="I646" s="23" t="s">
        <v>3244</v>
      </c>
      <c r="J646" s="22" t="s">
        <v>670</v>
      </c>
      <c r="K646" s="23">
        <v>70</v>
      </c>
      <c r="L646" s="23">
        <v>40</v>
      </c>
      <c r="M646" s="23">
        <v>48</v>
      </c>
      <c r="N646" s="3">
        <f t="shared" si="336"/>
        <v>0.13439999999999999</v>
      </c>
      <c r="O646" s="4" t="e">
        <f>(C646-(C646*#REF!))-((C646-(C646*#REF!))*#REF!)</f>
        <v>#REF!</v>
      </c>
      <c r="P646" s="7"/>
      <c r="Q646" s="7"/>
      <c r="R646" s="5">
        <f t="shared" si="337"/>
        <v>0</v>
      </c>
      <c r="S646" s="4">
        <f t="shared" si="338"/>
        <v>0</v>
      </c>
      <c r="T646" s="13">
        <f t="shared" si="343"/>
        <v>166.59300000000002</v>
      </c>
      <c r="U646" s="13">
        <f t="shared" ref="U646:U709" si="352">T646-(T646*$U$1)</f>
        <v>83.296500000000009</v>
      </c>
      <c r="V646" s="14">
        <f>U646/C646</f>
        <v>0.35000000000000003</v>
      </c>
      <c r="W646" s="14"/>
      <c r="X646" s="19">
        <f t="shared" si="339"/>
        <v>83.296500000000009</v>
      </c>
      <c r="Y646" s="19">
        <f t="shared" si="340"/>
        <v>166.59300000000002</v>
      </c>
      <c r="Z646" s="15" t="e">
        <f>U646/S646</f>
        <v>#DIV/0!</v>
      </c>
      <c r="AA646" s="22" t="s">
        <v>3280</v>
      </c>
      <c r="AG646" s="94" t="s">
        <v>1169</v>
      </c>
      <c r="AH646" s="89" t="str">
        <f>VLOOKUP(AG646,Sheet1!$B$3:$D$36,2,FALSE)</f>
        <v>Decors</v>
      </c>
      <c r="AI646" s="89" t="s">
        <v>3246</v>
      </c>
      <c r="AJ646" s="1" t="str">
        <f t="shared" si="344"/>
        <v>Billy rectangular basket wood</v>
      </c>
      <c r="AK646" s="1" t="str">
        <f t="shared" si="345"/>
        <v>w70 x d40 x h48, w80 x d50 x h54, set / 2</v>
      </c>
      <c r="AL646" s="1" t="str">
        <f t="shared" si="346"/>
        <v>kubu grey semi</v>
      </c>
      <c r="AM646" s="1" t="str">
        <f t="shared" si="347"/>
        <v>kubu grey semi</v>
      </c>
      <c r="AN646" s="1" t="str">
        <f t="shared" si="341"/>
        <v>kubu grey semi</v>
      </c>
      <c r="AQ646" s="1" t="str">
        <f t="shared" si="348"/>
        <v>B</v>
      </c>
      <c r="AR646" s="1" t="str">
        <f>VLOOKUP(TRIM(AI646),Sheet1!$D$3:$E$36,2,FALSE)</f>
        <v>03</v>
      </c>
      <c r="AS646" s="90" t="str">
        <f t="shared" si="349"/>
        <v>01</v>
      </c>
      <c r="AT646" s="1" t="str">
        <f t="shared" si="350"/>
        <v>01</v>
      </c>
      <c r="AU646" s="90" t="s">
        <v>1198</v>
      </c>
      <c r="AV646" s="90"/>
      <c r="AW646" s="90"/>
      <c r="AX646" s="95" t="str">
        <f>AQ646&amp;AR646&amp;AS646&amp;"-"&amp;AT646&amp;AU646&amp;BA646</f>
        <v>B0301-0107</v>
      </c>
      <c r="AY646" s="99" t="str">
        <f>AQ646&amp;AR646&amp;AS646&amp;"-"&amp;AT646&amp;BA646</f>
        <v>B0301-01</v>
      </c>
      <c r="AZ646" s="90"/>
      <c r="BA646" s="1" t="str">
        <f t="shared" si="351"/>
        <v/>
      </c>
      <c r="BC646" s="1">
        <f t="shared" si="326"/>
        <v>1</v>
      </c>
      <c r="BD646" s="90">
        <f t="shared" si="327"/>
        <v>1</v>
      </c>
      <c r="BE646" s="1">
        <f t="shared" si="309"/>
        <v>1</v>
      </c>
      <c r="BF646" s="1">
        <f t="shared" si="310"/>
        <v>1</v>
      </c>
    </row>
    <row r="647" spans="1:58" ht="11.25" customHeight="1">
      <c r="A647" s="26" t="s">
        <v>3281</v>
      </c>
      <c r="B647" s="27" t="s">
        <v>3282</v>
      </c>
      <c r="C647" s="28">
        <v>56.99</v>
      </c>
      <c r="D647" s="28">
        <f t="shared" si="342"/>
        <v>28.495000000000001</v>
      </c>
      <c r="E647" s="22" t="s">
        <v>3240</v>
      </c>
      <c r="F647" s="22" t="s">
        <v>3283</v>
      </c>
      <c r="G647" s="22" t="s">
        <v>132</v>
      </c>
      <c r="H647" s="22" t="s">
        <v>3284</v>
      </c>
      <c r="I647" s="23" t="s">
        <v>3244</v>
      </c>
      <c r="J647" s="22" t="s">
        <v>670</v>
      </c>
      <c r="L647" s="23">
        <v>38</v>
      </c>
      <c r="M647" s="23">
        <v>47</v>
      </c>
      <c r="N647" s="3">
        <f t="shared" si="336"/>
        <v>6.7867999999999998E-2</v>
      </c>
      <c r="O647" s="4" t="e">
        <f>(C647-(C647*#REF!))-((C647-(C647*#REF!))*#REF!)</f>
        <v>#REF!</v>
      </c>
      <c r="P647" s="7">
        <f>195000-Q647</f>
        <v>-16383.992607940309</v>
      </c>
      <c r="Q647" s="7">
        <v>211383.99260794031</v>
      </c>
      <c r="R647" s="5">
        <f t="shared" si="337"/>
        <v>195000</v>
      </c>
      <c r="S647" s="4">
        <f t="shared" si="338"/>
        <v>13</v>
      </c>
      <c r="T647" s="13">
        <f t="shared" si="343"/>
        <v>39.893000000000001</v>
      </c>
      <c r="U647" s="13">
        <f t="shared" si="352"/>
        <v>19.9465</v>
      </c>
      <c r="V647" s="14">
        <f>U647/C647</f>
        <v>0.35</v>
      </c>
      <c r="W647" s="18">
        <f>S647*$W$1</f>
        <v>26</v>
      </c>
      <c r="X647" s="19">
        <f t="shared" si="339"/>
        <v>26</v>
      </c>
      <c r="Y647" s="19">
        <f t="shared" si="340"/>
        <v>52</v>
      </c>
      <c r="Z647" s="15">
        <v>2</v>
      </c>
      <c r="AA647" s="22" t="s">
        <v>3285</v>
      </c>
      <c r="AG647" s="94" t="s">
        <v>1169</v>
      </c>
      <c r="AH647" s="89" t="str">
        <f>VLOOKUP(AG647,Sheet1!$B$3:$D$36,2,FALSE)</f>
        <v>Decors</v>
      </c>
      <c r="AI647" s="89" t="s">
        <v>3246</v>
      </c>
      <c r="AJ647" s="1" t="str">
        <f t="shared" si="344"/>
        <v>Billy round basket wood</v>
      </c>
      <c r="AK647" s="1" t="str">
        <f t="shared" si="345"/>
        <v>ø38 x h47</v>
      </c>
      <c r="AL647" s="1" t="str">
        <f t="shared" si="346"/>
        <v>kubu grey semi</v>
      </c>
      <c r="AM647" s="1" t="str">
        <f t="shared" si="347"/>
        <v>kubu grey semi</v>
      </c>
      <c r="AN647" s="1" t="str">
        <f t="shared" si="341"/>
        <v>kubu grey semi</v>
      </c>
      <c r="AQ647" s="1" t="str">
        <f t="shared" si="348"/>
        <v>B</v>
      </c>
      <c r="AR647" s="1" t="str">
        <f>VLOOKUP(TRIM(AI647),Sheet1!$D$3:$E$36,2,FALSE)</f>
        <v>03</v>
      </c>
      <c r="AS647" s="90" t="str">
        <f t="shared" si="349"/>
        <v>01</v>
      </c>
      <c r="AT647" s="1" t="str">
        <f t="shared" si="350"/>
        <v>01</v>
      </c>
      <c r="AU647" s="90" t="s">
        <v>1198</v>
      </c>
      <c r="AV647" s="90"/>
      <c r="AW647" s="90"/>
      <c r="AX647" s="95" t="str">
        <f>AQ647&amp;AR647&amp;AS647&amp;"-"&amp;AT647&amp;AU647&amp;BA647</f>
        <v>B0301-0107</v>
      </c>
      <c r="AY647" s="99" t="str">
        <f>AQ647&amp;AR647&amp;AS647&amp;"-"&amp;AT647&amp;BA647</f>
        <v>B0301-01</v>
      </c>
      <c r="AZ647" s="90"/>
      <c r="BA647" s="1" t="str">
        <f t="shared" si="351"/>
        <v/>
      </c>
      <c r="BC647" s="1">
        <f t="shared" si="326"/>
        <v>1</v>
      </c>
      <c r="BD647" s="90">
        <f t="shared" si="327"/>
        <v>1</v>
      </c>
      <c r="BE647" s="1">
        <f t="shared" si="309"/>
        <v>1</v>
      </c>
      <c r="BF647" s="1">
        <f t="shared" si="310"/>
        <v>1</v>
      </c>
    </row>
    <row r="648" spans="1:58" ht="11.25" customHeight="1">
      <c r="A648" s="26" t="s">
        <v>3286</v>
      </c>
      <c r="B648" s="27" t="s">
        <v>3282</v>
      </c>
      <c r="C648" s="28">
        <v>93.99</v>
      </c>
      <c r="D648" s="28">
        <f t="shared" si="342"/>
        <v>46.994999999999997</v>
      </c>
      <c r="E648" s="22" t="s">
        <v>3240</v>
      </c>
      <c r="F648" s="22" t="s">
        <v>3287</v>
      </c>
      <c r="G648" s="22" t="s">
        <v>132</v>
      </c>
      <c r="H648" s="22" t="s">
        <v>3288</v>
      </c>
      <c r="I648" s="23" t="s">
        <v>3244</v>
      </c>
      <c r="J648" s="22" t="s">
        <v>670</v>
      </c>
      <c r="L648" s="23">
        <v>60</v>
      </c>
      <c r="M648" s="23">
        <v>60</v>
      </c>
      <c r="N648" s="3">
        <f t="shared" si="336"/>
        <v>0.216</v>
      </c>
      <c r="O648" s="4" t="e">
        <f>(C648-(C648*#REF!))-((C648-(C648*#REF!))*#REF!)</f>
        <v>#REF!</v>
      </c>
      <c r="P648" s="7">
        <v>0</v>
      </c>
      <c r="Q648" s="7">
        <v>250000</v>
      </c>
      <c r="R648" s="5">
        <f t="shared" si="337"/>
        <v>250000</v>
      </c>
      <c r="S648" s="4">
        <f t="shared" si="338"/>
        <v>16.666666666666668</v>
      </c>
      <c r="T648" s="13">
        <f t="shared" si="343"/>
        <v>65.792999999999992</v>
      </c>
      <c r="U648" s="13">
        <f t="shared" si="352"/>
        <v>32.896499999999996</v>
      </c>
      <c r="V648" s="14">
        <f>U648/C648</f>
        <v>0.35</v>
      </c>
      <c r="W648" s="18">
        <f>S648*2.2</f>
        <v>36.666666666666671</v>
      </c>
      <c r="X648" s="19">
        <f t="shared" si="339"/>
        <v>36.666666666666671</v>
      </c>
      <c r="Y648" s="19">
        <f t="shared" si="340"/>
        <v>73.333333333333343</v>
      </c>
      <c r="Z648" s="15">
        <v>2</v>
      </c>
      <c r="AA648" s="22" t="s">
        <v>3285</v>
      </c>
      <c r="AG648" s="94" t="s">
        <v>1169</v>
      </c>
      <c r="AH648" s="89" t="str">
        <f>VLOOKUP(AG648,Sheet1!$B$3:$D$36,2,FALSE)</f>
        <v>Decors</v>
      </c>
      <c r="AI648" s="89" t="s">
        <v>3246</v>
      </c>
      <c r="AJ648" s="1" t="str">
        <f t="shared" si="344"/>
        <v>Billy round basket wood</v>
      </c>
      <c r="AK648" s="1" t="str">
        <f t="shared" si="345"/>
        <v>ø60 x h60</v>
      </c>
      <c r="AL648" s="1" t="str">
        <f t="shared" si="346"/>
        <v>kubu grey semi</v>
      </c>
      <c r="AM648" s="1" t="str">
        <f t="shared" si="347"/>
        <v>kubu grey semi</v>
      </c>
      <c r="AN648" s="1" t="str">
        <f t="shared" si="341"/>
        <v>kubu grey semi</v>
      </c>
      <c r="AQ648" s="1" t="str">
        <f t="shared" si="348"/>
        <v>B</v>
      </c>
      <c r="AR648" s="1" t="str">
        <f>VLOOKUP(TRIM(AI648),Sheet1!$D$3:$E$36,2,FALSE)</f>
        <v>03</v>
      </c>
      <c r="AS648" s="90" t="str">
        <f t="shared" si="349"/>
        <v>02</v>
      </c>
      <c r="AT648" s="1" t="str">
        <f t="shared" si="350"/>
        <v>01</v>
      </c>
      <c r="AU648" s="90" t="s">
        <v>1198</v>
      </c>
      <c r="AV648" s="90"/>
      <c r="AW648" s="90"/>
      <c r="AX648" s="95" t="str">
        <f>AQ648&amp;AR648&amp;AS648&amp;"-"&amp;AT648&amp;AU648&amp;BA648</f>
        <v>B0302-0107</v>
      </c>
      <c r="AY648" s="99" t="str">
        <f>AQ648&amp;AR648&amp;AS648&amp;"-"&amp;AT648&amp;BA648</f>
        <v>B0302-01</v>
      </c>
      <c r="AZ648" s="90"/>
      <c r="BA648" s="1" t="str">
        <f t="shared" si="351"/>
        <v/>
      </c>
      <c r="BC648" s="1" t="str">
        <f t="shared" si="326"/>
        <v/>
      </c>
      <c r="BD648" s="90">
        <f t="shared" si="327"/>
        <v>2</v>
      </c>
      <c r="BE648" s="1">
        <f t="shared" si="309"/>
        <v>1</v>
      </c>
      <c r="BF648" s="1">
        <f t="shared" si="310"/>
        <v>1</v>
      </c>
    </row>
    <row r="649" spans="1:58" ht="11.25" customHeight="1">
      <c r="A649" s="26" t="s">
        <v>3289</v>
      </c>
      <c r="B649" s="27" t="s">
        <v>3282</v>
      </c>
      <c r="C649" s="28">
        <v>129.99</v>
      </c>
      <c r="D649" s="28">
        <f t="shared" si="342"/>
        <v>64.995000000000005</v>
      </c>
      <c r="E649" s="22" t="s">
        <v>3240</v>
      </c>
      <c r="F649" s="22" t="s">
        <v>3290</v>
      </c>
      <c r="G649" s="22" t="s">
        <v>132</v>
      </c>
      <c r="H649" s="22" t="s">
        <v>3291</v>
      </c>
      <c r="I649" s="23" t="s">
        <v>3244</v>
      </c>
      <c r="J649" s="22" t="s">
        <v>670</v>
      </c>
      <c r="L649" s="23">
        <v>48</v>
      </c>
      <c r="M649" s="23">
        <v>57</v>
      </c>
      <c r="N649" s="3">
        <f t="shared" si="336"/>
        <v>0.131328</v>
      </c>
      <c r="O649" s="4" t="e">
        <f>(C649-(C649*#REF!))-((C649-(C649*#REF!))*#REF!)</f>
        <v>#REF!</v>
      </c>
      <c r="P649" s="7">
        <f>246703.851317493-Q649</f>
        <v>31703.851317493012</v>
      </c>
      <c r="Q649" s="7">
        <v>215000</v>
      </c>
      <c r="R649" s="5">
        <f t="shared" si="337"/>
        <v>246703.85131749301</v>
      </c>
      <c r="S649" s="4">
        <f t="shared" si="338"/>
        <v>16.446923421166201</v>
      </c>
      <c r="T649" s="13">
        <f t="shared" si="343"/>
        <v>90.993000000000009</v>
      </c>
      <c r="U649" s="13">
        <f t="shared" si="352"/>
        <v>45.496500000000005</v>
      </c>
      <c r="V649" s="14">
        <f>U649/C649</f>
        <v>0.35000000000000003</v>
      </c>
      <c r="W649" s="14"/>
      <c r="X649" s="19">
        <f t="shared" si="339"/>
        <v>45.496500000000005</v>
      </c>
      <c r="Y649" s="19">
        <f t="shared" si="340"/>
        <v>90.993000000000009</v>
      </c>
      <c r="Z649" s="15">
        <f>U649/S649</f>
        <v>2.7662620439667607</v>
      </c>
      <c r="AA649" s="22" t="s">
        <v>3292</v>
      </c>
      <c r="AG649" s="94" t="s">
        <v>1169</v>
      </c>
      <c r="AH649" s="89" t="str">
        <f>VLOOKUP(AG649,Sheet1!$B$3:$D$36,2,FALSE)</f>
        <v>Decors</v>
      </c>
      <c r="AI649" s="89" t="s">
        <v>3246</v>
      </c>
      <c r="AJ649" s="1" t="str">
        <f t="shared" si="344"/>
        <v>Billy round basket wood</v>
      </c>
      <c r="AK649" s="1" t="str">
        <f t="shared" si="345"/>
        <v>ø48 x h57</v>
      </c>
      <c r="AL649" s="1" t="str">
        <f t="shared" si="346"/>
        <v>kubu grey semi</v>
      </c>
      <c r="AM649" s="1" t="str">
        <f t="shared" si="347"/>
        <v>kubu grey semi</v>
      </c>
      <c r="AN649" s="1" t="str">
        <f t="shared" si="341"/>
        <v>kubu grey semi</v>
      </c>
      <c r="AQ649" s="1" t="str">
        <f t="shared" si="348"/>
        <v>B</v>
      </c>
      <c r="AR649" s="1" t="str">
        <f>VLOOKUP(TRIM(AI649),Sheet1!$D$3:$E$36,2,FALSE)</f>
        <v>03</v>
      </c>
      <c r="AS649" s="90" t="str">
        <f t="shared" si="349"/>
        <v>03</v>
      </c>
      <c r="AT649" s="1" t="str">
        <f t="shared" si="350"/>
        <v>01</v>
      </c>
      <c r="AU649" s="90" t="s">
        <v>1198</v>
      </c>
      <c r="AV649" s="90"/>
      <c r="AW649" s="90"/>
      <c r="AX649" s="95" t="str">
        <f>AQ649&amp;AR649&amp;AS649&amp;"-"&amp;AT649&amp;AU649&amp;BA649</f>
        <v>B0303-0107</v>
      </c>
      <c r="AY649" s="99" t="str">
        <f>AQ649&amp;AR649&amp;AS649&amp;"-"&amp;AT649&amp;BA649</f>
        <v>B0303-01</v>
      </c>
      <c r="AZ649" s="90"/>
      <c r="BA649" s="1" t="str">
        <f t="shared" si="351"/>
        <v/>
      </c>
      <c r="BC649" s="1" t="str">
        <f t="shared" si="326"/>
        <v/>
      </c>
      <c r="BD649" s="90">
        <f t="shared" si="327"/>
        <v>3</v>
      </c>
      <c r="BE649" s="1">
        <f t="shared" si="309"/>
        <v>1</v>
      </c>
      <c r="BF649" s="1">
        <f t="shared" si="310"/>
        <v>1</v>
      </c>
    </row>
    <row r="650" spans="1:58" ht="11.25" customHeight="1">
      <c r="A650" s="26">
        <v>28918</v>
      </c>
      <c r="B650" s="27" t="s">
        <v>3293</v>
      </c>
      <c r="C650" s="28">
        <v>95.99</v>
      </c>
      <c r="D650" s="28">
        <f t="shared" si="342"/>
        <v>47.994999999999997</v>
      </c>
      <c r="E650" s="22" t="s">
        <v>3240</v>
      </c>
      <c r="F650" s="22" t="s">
        <v>3294</v>
      </c>
      <c r="G650" s="22" t="s">
        <v>3295</v>
      </c>
      <c r="H650" s="22" t="s">
        <v>3296</v>
      </c>
      <c r="I650" s="23" t="s">
        <v>3297</v>
      </c>
      <c r="J650" s="22" t="s">
        <v>670</v>
      </c>
      <c r="L650" s="23">
        <v>43</v>
      </c>
      <c r="M650" s="23">
        <v>39</v>
      </c>
      <c r="N650" s="3">
        <f t="shared" si="336"/>
        <v>7.2110999999999995E-2</v>
      </c>
      <c r="O650" s="4" t="e">
        <f>(C650-(C650*#REF!))-((C650-(C650*#REF!))*#REF!)</f>
        <v>#REF!</v>
      </c>
      <c r="P650" s="7">
        <f>Q650*0.11</f>
        <v>37950</v>
      </c>
      <c r="Q650" s="7">
        <v>345000</v>
      </c>
      <c r="R650" s="5">
        <f t="shared" si="337"/>
        <v>382950</v>
      </c>
      <c r="S650" s="4">
        <f t="shared" si="338"/>
        <v>25.53</v>
      </c>
      <c r="T650" s="13">
        <f t="shared" si="343"/>
        <v>67.192999999999998</v>
      </c>
      <c r="U650" s="13">
        <f t="shared" si="352"/>
        <v>33.596499999999999</v>
      </c>
      <c r="V650" s="14">
        <f>U650/C650</f>
        <v>0.35000000000000003</v>
      </c>
      <c r="W650" s="18">
        <f>S650*1.65</f>
        <v>42.124499999999998</v>
      </c>
      <c r="X650" s="19">
        <f t="shared" si="339"/>
        <v>42.124499999999998</v>
      </c>
      <c r="Y650" s="19">
        <f t="shared" si="340"/>
        <v>84.248999999999995</v>
      </c>
      <c r="Z650" s="15">
        <v>2</v>
      </c>
      <c r="AA650" s="22" t="s">
        <v>3298</v>
      </c>
      <c r="AG650" s="94" t="s">
        <v>1169</v>
      </c>
      <c r="AH650" s="89" t="str">
        <f>VLOOKUP(AG650,Sheet1!$B$3:$D$36,2,FALSE)</f>
        <v>Decors</v>
      </c>
      <c r="AI650" s="89" t="s">
        <v>3246</v>
      </c>
      <c r="AJ650" s="1" t="str">
        <f t="shared" si="344"/>
        <v>Lea round basket</v>
      </c>
      <c r="AK650" s="1" t="str">
        <f t="shared" si="345"/>
        <v>ø43 x h39 , ø38 x h33, set / 2</v>
      </c>
      <c r="AL650" s="1" t="str">
        <f t="shared" si="346"/>
        <v>Abaca indoor</v>
      </c>
      <c r="AM650" s="1" t="str">
        <f t="shared" si="347"/>
        <v>Abaca indoor</v>
      </c>
      <c r="AN650" s="1" t="str">
        <f>SUBSTITUTE(AL650,"indoor","")</f>
        <v xml:space="preserve">Abaca </v>
      </c>
      <c r="AO650" s="1" t="s">
        <v>54</v>
      </c>
      <c r="AQ650" s="1" t="str">
        <f t="shared" si="348"/>
        <v>B</v>
      </c>
      <c r="AR650" s="1" t="str">
        <f>VLOOKUP(TRIM(AI650),Sheet1!$D$3:$E$36,2,FALSE)</f>
        <v>03</v>
      </c>
      <c r="AS650" s="90" t="str">
        <f t="shared" si="349"/>
        <v>01</v>
      </c>
      <c r="AT650" s="1" t="str">
        <f t="shared" si="350"/>
        <v>01</v>
      </c>
      <c r="AU650" s="90" t="s">
        <v>52</v>
      </c>
      <c r="AV650" s="90"/>
      <c r="AW650" s="90"/>
      <c r="AX650" s="95" t="str">
        <f>AQ650&amp;AR650&amp;AS650&amp;"-"&amp;AT650&amp;AU650&amp;BA650</f>
        <v>B0301-0101IND</v>
      </c>
      <c r="AY650" s="99" t="str">
        <f>AQ650&amp;AR650&amp;AS650&amp;"-"&amp;AT650&amp;BA650</f>
        <v>B0301-01IND</v>
      </c>
      <c r="AZ650" s="90"/>
      <c r="BA650" s="1" t="str">
        <f t="shared" si="351"/>
        <v>IND</v>
      </c>
      <c r="BC650" s="1">
        <f t="shared" si="326"/>
        <v>1</v>
      </c>
      <c r="BD650" s="90">
        <f t="shared" si="327"/>
        <v>1</v>
      </c>
      <c r="BE650" s="1">
        <f t="shared" si="309"/>
        <v>1</v>
      </c>
      <c r="BF650" s="1">
        <f t="shared" si="310"/>
        <v>1</v>
      </c>
    </row>
    <row r="651" spans="1:58" ht="11.25" customHeight="1">
      <c r="A651" s="26">
        <v>33007</v>
      </c>
      <c r="B651" s="27" t="s">
        <v>3299</v>
      </c>
      <c r="C651" s="28">
        <v>96.99</v>
      </c>
      <c r="D651" s="28">
        <f t="shared" si="342"/>
        <v>48.494999999999997</v>
      </c>
      <c r="E651" s="22" t="s">
        <v>3240</v>
      </c>
      <c r="F651" s="22" t="s">
        <v>3300</v>
      </c>
      <c r="G651" s="22" t="s">
        <v>3301</v>
      </c>
      <c r="H651" s="22" t="s">
        <v>3302</v>
      </c>
      <c r="I651" s="23" t="s">
        <v>3244</v>
      </c>
      <c r="J651" s="22" t="s">
        <v>670</v>
      </c>
      <c r="K651" s="23">
        <v>60</v>
      </c>
      <c r="L651" s="23">
        <v>40</v>
      </c>
      <c r="M651" s="23">
        <v>30</v>
      </c>
      <c r="N651" s="3">
        <f t="shared" si="336"/>
        <v>7.1999999999999995E-2</v>
      </c>
      <c r="O651" s="4" t="e">
        <f>(C651-(C651*#REF!))-((C651-(C651*#REF!))*#REF!)</f>
        <v>#REF!</v>
      </c>
      <c r="P651" s="7"/>
      <c r="Q651" s="7"/>
      <c r="R651" s="5">
        <f t="shared" si="337"/>
        <v>0</v>
      </c>
      <c r="S651" s="4">
        <f t="shared" si="338"/>
        <v>0</v>
      </c>
      <c r="T651" s="13">
        <f t="shared" si="343"/>
        <v>67.893000000000001</v>
      </c>
      <c r="U651" s="13">
        <f t="shared" si="352"/>
        <v>33.9465</v>
      </c>
      <c r="V651" s="14">
        <f>U651/C651</f>
        <v>0.35000000000000003</v>
      </c>
      <c r="W651" s="14"/>
      <c r="X651" s="19">
        <f t="shared" si="339"/>
        <v>33.9465</v>
      </c>
      <c r="Y651" s="19">
        <f t="shared" si="340"/>
        <v>67.893000000000001</v>
      </c>
      <c r="Z651" s="15" t="e">
        <f>U651/S651</f>
        <v>#DIV/0!</v>
      </c>
      <c r="AA651" s="22" t="s">
        <v>3303</v>
      </c>
      <c r="AG651" s="94" t="s">
        <v>1169</v>
      </c>
      <c r="AH651" s="89" t="str">
        <f>VLOOKUP(AG651,Sheet1!$B$3:$D$36,2,FALSE)</f>
        <v>Decors</v>
      </c>
      <c r="AI651" s="89" t="s">
        <v>3246</v>
      </c>
      <c r="AJ651" s="1" t="str">
        <f t="shared" si="344"/>
        <v>Morino laundry basket</v>
      </c>
      <c r="AK651" s="1" t="str">
        <f t="shared" si="345"/>
        <v>w60 x d40 x h30</v>
      </c>
      <c r="AL651" s="1" t="str">
        <f t="shared" si="346"/>
        <v>kubu grey semi</v>
      </c>
      <c r="AM651" s="1" t="str">
        <f t="shared" si="347"/>
        <v>kubu grey semi</v>
      </c>
      <c r="AN651" s="1" t="str">
        <f t="shared" ref="AN651:AN672" si="353">SUBSTITUTE(AL651,"indoor","")</f>
        <v>kubu grey semi</v>
      </c>
      <c r="AQ651" s="1" t="str">
        <f t="shared" si="348"/>
        <v>B</v>
      </c>
      <c r="AR651" s="1" t="str">
        <f>VLOOKUP(TRIM(AI651),Sheet1!$D$3:$E$36,2,FALSE)</f>
        <v>03</v>
      </c>
      <c r="AS651" s="90" t="str">
        <f t="shared" si="349"/>
        <v>01</v>
      </c>
      <c r="AT651" s="1" t="str">
        <f t="shared" si="350"/>
        <v>01</v>
      </c>
      <c r="AU651" s="90" t="s">
        <v>1198</v>
      </c>
      <c r="AV651" s="90"/>
      <c r="AW651" s="90"/>
      <c r="AX651" s="95" t="str">
        <f>AQ651&amp;AR651&amp;AS651&amp;"-"&amp;AT651&amp;AU651&amp;BA651</f>
        <v>B0301-0107</v>
      </c>
      <c r="AY651" s="99" t="str">
        <f>AQ651&amp;AR651&amp;AS651&amp;"-"&amp;AT651&amp;BA651</f>
        <v>B0301-01</v>
      </c>
      <c r="AZ651" s="90"/>
      <c r="BA651" s="1" t="str">
        <f t="shared" si="351"/>
        <v/>
      </c>
      <c r="BC651" s="1">
        <f t="shared" si="326"/>
        <v>1</v>
      </c>
      <c r="BD651" s="90">
        <f t="shared" si="327"/>
        <v>1</v>
      </c>
      <c r="BE651" s="1">
        <f t="shared" si="309"/>
        <v>1</v>
      </c>
      <c r="BF651" s="1">
        <f t="shared" si="310"/>
        <v>1</v>
      </c>
    </row>
    <row r="652" spans="1:58" ht="11.25" customHeight="1">
      <c r="A652" s="26">
        <v>33016</v>
      </c>
      <c r="B652" s="27" t="s">
        <v>3304</v>
      </c>
      <c r="C652" s="28">
        <v>51.99</v>
      </c>
      <c r="D652" s="28">
        <f t="shared" si="342"/>
        <v>25.995000000000001</v>
      </c>
      <c r="E652" s="22" t="s">
        <v>3240</v>
      </c>
      <c r="F652" s="22" t="s">
        <v>3305</v>
      </c>
      <c r="G652" s="22" t="s">
        <v>3306</v>
      </c>
      <c r="H652" s="22" t="s">
        <v>3307</v>
      </c>
      <c r="I652" s="23" t="s">
        <v>3244</v>
      </c>
      <c r="J652" s="22" t="s">
        <v>670</v>
      </c>
      <c r="K652" s="23">
        <v>45</v>
      </c>
      <c r="L652" s="23">
        <v>35</v>
      </c>
      <c r="M652" s="23">
        <v>50</v>
      </c>
      <c r="N652" s="3">
        <f t="shared" si="336"/>
        <v>7.8750000000000001E-2</v>
      </c>
      <c r="O652" s="4" t="e">
        <f>(C652-(C652*#REF!))-((C652-(C652*#REF!))*#REF!)</f>
        <v>#REF!</v>
      </c>
      <c r="P652" s="7"/>
      <c r="Q652" s="7"/>
      <c r="R652" s="5">
        <f t="shared" si="337"/>
        <v>0</v>
      </c>
      <c r="S652" s="4">
        <f t="shared" si="338"/>
        <v>0</v>
      </c>
      <c r="T652" s="13">
        <f t="shared" si="343"/>
        <v>36.393000000000001</v>
      </c>
      <c r="U652" s="13">
        <f t="shared" si="352"/>
        <v>18.1965</v>
      </c>
      <c r="V652" s="14">
        <f>U652/C652</f>
        <v>0.35</v>
      </c>
      <c r="W652" s="14"/>
      <c r="X652" s="19">
        <f t="shared" si="339"/>
        <v>18.1965</v>
      </c>
      <c r="Y652" s="19">
        <f t="shared" si="340"/>
        <v>36.393000000000001</v>
      </c>
      <c r="Z652" s="15" t="e">
        <f>U652/S652</f>
        <v>#DIV/0!</v>
      </c>
      <c r="AA652" s="22" t="s">
        <v>3308</v>
      </c>
      <c r="AG652" s="94" t="s">
        <v>1169</v>
      </c>
      <c r="AH652" s="89" t="str">
        <f>VLOOKUP(AG652,Sheet1!$B$3:$D$36,2,FALSE)</f>
        <v>Decors</v>
      </c>
      <c r="AI652" s="89" t="s">
        <v>3246</v>
      </c>
      <c r="AJ652" s="1" t="str">
        <f t="shared" si="344"/>
        <v>Linda wood basket</v>
      </c>
      <c r="AK652" s="1" t="str">
        <f t="shared" si="345"/>
        <v>w45 x d35 x h50</v>
      </c>
      <c r="AL652" s="1" t="str">
        <f t="shared" si="346"/>
        <v>kubu grey semi</v>
      </c>
      <c r="AM652" s="1" t="str">
        <f t="shared" si="347"/>
        <v>kubu grey semi</v>
      </c>
      <c r="AN652" s="1" t="str">
        <f t="shared" si="353"/>
        <v>kubu grey semi</v>
      </c>
      <c r="AQ652" s="1" t="str">
        <f t="shared" si="348"/>
        <v>B</v>
      </c>
      <c r="AR652" s="1" t="str">
        <f>VLOOKUP(TRIM(AI652),Sheet1!$D$3:$E$36,2,FALSE)</f>
        <v>03</v>
      </c>
      <c r="AS652" s="90" t="str">
        <f t="shared" si="349"/>
        <v>01</v>
      </c>
      <c r="AT652" s="1" t="str">
        <f t="shared" si="350"/>
        <v>01</v>
      </c>
      <c r="AU652" s="90" t="s">
        <v>1198</v>
      </c>
      <c r="AV652" s="90"/>
      <c r="AW652" s="90"/>
      <c r="AX652" s="95" t="str">
        <f>AQ652&amp;AR652&amp;AS652&amp;"-"&amp;AT652&amp;AU652&amp;BA652</f>
        <v>B0301-0107</v>
      </c>
      <c r="AY652" s="99" t="str">
        <f>AQ652&amp;AR652&amp;AS652&amp;"-"&amp;AT652&amp;BA652</f>
        <v>B0301-01</v>
      </c>
      <c r="AZ652" s="90"/>
      <c r="BA652" s="1" t="str">
        <f t="shared" si="351"/>
        <v/>
      </c>
      <c r="BC652" s="1">
        <f t="shared" si="326"/>
        <v>1</v>
      </c>
      <c r="BD652" s="90">
        <f t="shared" si="327"/>
        <v>1</v>
      </c>
      <c r="BE652" s="1">
        <f t="shared" si="309"/>
        <v>1</v>
      </c>
      <c r="BF652" s="1">
        <f t="shared" si="310"/>
        <v>1</v>
      </c>
    </row>
    <row r="653" spans="1:58" ht="11.25" customHeight="1">
      <c r="A653" s="26">
        <v>33017</v>
      </c>
      <c r="B653" s="27" t="s">
        <v>3309</v>
      </c>
      <c r="C653" s="28">
        <v>72.989999999999995</v>
      </c>
      <c r="D653" s="28">
        <f t="shared" si="342"/>
        <v>36.494999999999997</v>
      </c>
      <c r="E653" s="22" t="s">
        <v>3240</v>
      </c>
      <c r="F653" s="22" t="s">
        <v>3310</v>
      </c>
      <c r="G653" s="22" t="s">
        <v>3311</v>
      </c>
      <c r="H653" s="22" t="s">
        <v>3312</v>
      </c>
      <c r="I653" s="23" t="s">
        <v>3244</v>
      </c>
      <c r="J653" s="22" t="s">
        <v>670</v>
      </c>
      <c r="K653" s="23">
        <v>45</v>
      </c>
      <c r="L653" s="23">
        <v>20</v>
      </c>
      <c r="M653" s="23">
        <v>45</v>
      </c>
      <c r="N653" s="3">
        <f t="shared" si="336"/>
        <v>4.0500000000000001E-2</v>
      </c>
      <c r="O653" s="4" t="e">
        <f>(C653-(C653*#REF!))-((C653-(C653*#REF!))*#REF!)</f>
        <v>#REF!</v>
      </c>
      <c r="P653" s="7"/>
      <c r="Q653" s="7"/>
      <c r="R653" s="5">
        <f t="shared" si="337"/>
        <v>0</v>
      </c>
      <c r="S653" s="4">
        <f t="shared" si="338"/>
        <v>0</v>
      </c>
      <c r="T653" s="13">
        <f t="shared" si="343"/>
        <v>51.092999999999996</v>
      </c>
      <c r="U653" s="13">
        <f t="shared" si="352"/>
        <v>25.546499999999998</v>
      </c>
      <c r="V653" s="14">
        <f>U653/C653</f>
        <v>0.35</v>
      </c>
      <c r="W653" s="14"/>
      <c r="X653" s="19">
        <f t="shared" si="339"/>
        <v>25.546499999999998</v>
      </c>
      <c r="Y653" s="19">
        <f t="shared" si="340"/>
        <v>51.092999999999996</v>
      </c>
      <c r="Z653" s="15" t="e">
        <f>U653/S653</f>
        <v>#DIV/0!</v>
      </c>
      <c r="AA653" s="22" t="s">
        <v>3313</v>
      </c>
      <c r="AG653" s="94" t="s">
        <v>1169</v>
      </c>
      <c r="AH653" s="89" t="str">
        <f>VLOOKUP(AG653,Sheet1!$B$3:$D$36,2,FALSE)</f>
        <v>Decors</v>
      </c>
      <c r="AI653" s="89" t="s">
        <v>3246</v>
      </c>
      <c r="AJ653" s="1" t="str">
        <f t="shared" si="344"/>
        <v>Gerald umbrella holder</v>
      </c>
      <c r="AK653" s="1" t="str">
        <f t="shared" si="345"/>
        <v>w45 x d20 x h45</v>
      </c>
      <c r="AL653" s="1" t="str">
        <f t="shared" si="346"/>
        <v>kubu grey semi</v>
      </c>
      <c r="AM653" s="1" t="str">
        <f t="shared" si="347"/>
        <v>kubu grey semi</v>
      </c>
      <c r="AN653" s="1" t="str">
        <f t="shared" si="353"/>
        <v>kubu grey semi</v>
      </c>
      <c r="AQ653" s="1" t="str">
        <f t="shared" si="348"/>
        <v>B</v>
      </c>
      <c r="AR653" s="1" t="str">
        <f>VLOOKUP(TRIM(AI653),Sheet1!$D$3:$E$36,2,FALSE)</f>
        <v>03</v>
      </c>
      <c r="AS653" s="90" t="str">
        <f t="shared" si="349"/>
        <v>01</v>
      </c>
      <c r="AT653" s="1" t="str">
        <f t="shared" si="350"/>
        <v>01</v>
      </c>
      <c r="AU653" s="90" t="s">
        <v>1198</v>
      </c>
      <c r="AV653" s="90"/>
      <c r="AW653" s="90"/>
      <c r="AX653" s="95" t="str">
        <f>AQ653&amp;AR653&amp;AS653&amp;"-"&amp;AT653&amp;AU653&amp;BA653</f>
        <v>B0301-0107</v>
      </c>
      <c r="AY653" s="99" t="str">
        <f>AQ653&amp;AR653&amp;AS653&amp;"-"&amp;AT653&amp;BA653</f>
        <v>B0301-01</v>
      </c>
      <c r="AZ653" s="90"/>
      <c r="BA653" s="1" t="str">
        <f t="shared" si="351"/>
        <v/>
      </c>
      <c r="BC653" s="1">
        <f t="shared" si="326"/>
        <v>1</v>
      </c>
      <c r="BD653" s="90">
        <f t="shared" si="327"/>
        <v>1</v>
      </c>
      <c r="BE653" s="1">
        <f t="shared" ref="BE653:BE716" si="354">IF(AK652&lt;&gt;AK653,1,"")</f>
        <v>1</v>
      </c>
      <c r="BF653" s="1">
        <f t="shared" ref="BF653:BF716" si="355">IF(BE653=1,1,BF652+1)</f>
        <v>1</v>
      </c>
    </row>
    <row r="654" spans="1:58" ht="11.25" customHeight="1">
      <c r="A654" s="26" t="s">
        <v>3314</v>
      </c>
      <c r="B654" s="27" t="s">
        <v>3315</v>
      </c>
      <c r="C654" s="28">
        <v>52.99</v>
      </c>
      <c r="D654" s="28">
        <f t="shared" si="342"/>
        <v>26.495000000000001</v>
      </c>
      <c r="E654" s="22" t="s">
        <v>3240</v>
      </c>
      <c r="F654" s="22" t="s">
        <v>3316</v>
      </c>
      <c r="G654" s="22" t="s">
        <v>529</v>
      </c>
      <c r="H654" s="22" t="s">
        <v>3317</v>
      </c>
      <c r="I654" s="23" t="s">
        <v>3318</v>
      </c>
      <c r="J654" s="22" t="s">
        <v>670</v>
      </c>
      <c r="L654" s="23">
        <v>25</v>
      </c>
      <c r="M654" s="23">
        <v>25</v>
      </c>
      <c r="N654" s="3">
        <f t="shared" si="336"/>
        <v>1.5625E-2</v>
      </c>
      <c r="O654" s="4" t="e">
        <f>(C654-(C654*#REF!))-((C654-(C654*#REF!))*#REF!)</f>
        <v>#REF!</v>
      </c>
      <c r="P654" s="7"/>
      <c r="Q654" s="7"/>
      <c r="R654" s="5">
        <f t="shared" si="337"/>
        <v>0</v>
      </c>
      <c r="S654" s="4">
        <f t="shared" si="338"/>
        <v>0</v>
      </c>
      <c r="T654" s="13">
        <f t="shared" si="343"/>
        <v>37.093000000000004</v>
      </c>
      <c r="U654" s="13">
        <f t="shared" si="352"/>
        <v>18.546500000000002</v>
      </c>
      <c r="V654" s="14">
        <f>U654/C654</f>
        <v>0.35000000000000003</v>
      </c>
      <c r="W654" s="14"/>
      <c r="X654" s="19">
        <f t="shared" si="339"/>
        <v>18.546500000000002</v>
      </c>
      <c r="Y654" s="19">
        <f t="shared" si="340"/>
        <v>37.093000000000004</v>
      </c>
      <c r="Z654" s="15" t="e">
        <f>U654/S654</f>
        <v>#DIV/0!</v>
      </c>
      <c r="AA654" s="22" t="s">
        <v>3319</v>
      </c>
      <c r="AG654" s="94" t="s">
        <v>1169</v>
      </c>
      <c r="AH654" s="89" t="str">
        <f>VLOOKUP(AG654,Sheet1!$B$3:$D$36,2,FALSE)</f>
        <v>Decors</v>
      </c>
      <c r="AI654" s="89" t="s">
        <v>3246</v>
      </c>
      <c r="AJ654" s="1" t="str">
        <f t="shared" si="344"/>
        <v>Mona round basket</v>
      </c>
      <c r="AK654" s="1" t="str">
        <f t="shared" si="345"/>
        <v>ø25 x h25</v>
      </c>
      <c r="AL654" s="1" t="str">
        <f t="shared" si="346"/>
        <v>abaca semi</v>
      </c>
      <c r="AM654" s="1" t="str">
        <f t="shared" si="347"/>
        <v>abaca semi</v>
      </c>
      <c r="AN654" s="1" t="str">
        <f t="shared" si="353"/>
        <v>abaca semi</v>
      </c>
      <c r="AQ654" s="1" t="str">
        <f t="shared" si="348"/>
        <v>B</v>
      </c>
      <c r="AR654" s="1" t="str">
        <f>VLOOKUP(TRIM(AI654),Sheet1!$D$3:$E$36,2,FALSE)</f>
        <v>03</v>
      </c>
      <c r="AS654" s="90" t="str">
        <f t="shared" si="349"/>
        <v>01</v>
      </c>
      <c r="AT654" s="1" t="str">
        <f t="shared" si="350"/>
        <v>01</v>
      </c>
      <c r="AU654" s="90" t="s">
        <v>52</v>
      </c>
      <c r="AV654" s="90"/>
      <c r="AW654" s="90"/>
      <c r="AX654" s="95" t="str">
        <f>AQ654&amp;AR654&amp;AS654&amp;"-"&amp;AT654&amp;AU654&amp;BA654</f>
        <v>B0301-0101</v>
      </c>
      <c r="AY654" s="99" t="str">
        <f>AQ654&amp;AR654&amp;AS654&amp;"-"&amp;AT654&amp;BA654</f>
        <v>B0301-01</v>
      </c>
      <c r="AZ654" s="90"/>
      <c r="BA654" s="1" t="str">
        <f t="shared" si="351"/>
        <v/>
      </c>
      <c r="BC654" s="1">
        <f t="shared" si="326"/>
        <v>1</v>
      </c>
      <c r="BD654" s="90">
        <f t="shared" si="327"/>
        <v>1</v>
      </c>
      <c r="BE654" s="1">
        <f t="shared" si="354"/>
        <v>1</v>
      </c>
      <c r="BF654" s="1">
        <f t="shared" si="355"/>
        <v>1</v>
      </c>
    </row>
    <row r="655" spans="1:58" ht="11.25" customHeight="1">
      <c r="A655" s="26" t="s">
        <v>3320</v>
      </c>
      <c r="B655" s="27" t="s">
        <v>3315</v>
      </c>
      <c r="C655" s="28">
        <v>62.99</v>
      </c>
      <c r="D655" s="28">
        <f t="shared" si="342"/>
        <v>31.495000000000001</v>
      </c>
      <c r="E655" s="22" t="s">
        <v>3240</v>
      </c>
      <c r="F655" s="22" t="s">
        <v>3321</v>
      </c>
      <c r="G655" s="22" t="s">
        <v>529</v>
      </c>
      <c r="H655" s="22" t="s">
        <v>3322</v>
      </c>
      <c r="I655" s="23" t="s">
        <v>3318</v>
      </c>
      <c r="J655" s="22" t="s">
        <v>670</v>
      </c>
      <c r="L655" s="23">
        <v>30</v>
      </c>
      <c r="M655" s="23">
        <v>30</v>
      </c>
      <c r="N655" s="3">
        <f t="shared" si="336"/>
        <v>2.7E-2</v>
      </c>
      <c r="O655" s="4" t="e">
        <f>(C655-(C655*#REF!))-((C655-(C655*#REF!))*#REF!)</f>
        <v>#REF!</v>
      </c>
      <c r="P655" s="7">
        <f>351518.061537313-Q655</f>
        <v>6518.061537312984</v>
      </c>
      <c r="Q655" s="7">
        <v>345000</v>
      </c>
      <c r="R655" s="5">
        <v>150000</v>
      </c>
      <c r="S655" s="4">
        <f t="shared" si="338"/>
        <v>10</v>
      </c>
      <c r="T655" s="13">
        <f t="shared" si="343"/>
        <v>44.093000000000004</v>
      </c>
      <c r="U655" s="13">
        <f t="shared" si="352"/>
        <v>22.046500000000002</v>
      </c>
      <c r="V655" s="14">
        <f>U655/C655</f>
        <v>0.35000000000000003</v>
      </c>
      <c r="W655" s="18">
        <f>S655*2</f>
        <v>20</v>
      </c>
      <c r="X655" s="19">
        <f t="shared" si="339"/>
        <v>20</v>
      </c>
      <c r="Y655" s="19">
        <f t="shared" si="340"/>
        <v>40</v>
      </c>
      <c r="Z655" s="15">
        <v>2</v>
      </c>
      <c r="AA655" s="22" t="s">
        <v>3323</v>
      </c>
      <c r="AG655" s="94" t="s">
        <v>1169</v>
      </c>
      <c r="AH655" s="89" t="str">
        <f>VLOOKUP(AG655,Sheet1!$B$3:$D$36,2,FALSE)</f>
        <v>Decors</v>
      </c>
      <c r="AI655" s="89" t="s">
        <v>3246</v>
      </c>
      <c r="AJ655" s="1" t="str">
        <f t="shared" si="344"/>
        <v>Mona round basket</v>
      </c>
      <c r="AK655" s="1" t="str">
        <f t="shared" si="345"/>
        <v>ø30 x h30</v>
      </c>
      <c r="AL655" s="1" t="str">
        <f t="shared" si="346"/>
        <v>abaca semi</v>
      </c>
      <c r="AM655" s="1" t="str">
        <f t="shared" si="347"/>
        <v>abaca semi</v>
      </c>
      <c r="AN655" s="1" t="str">
        <f t="shared" si="353"/>
        <v>abaca semi</v>
      </c>
      <c r="AQ655" s="1" t="str">
        <f t="shared" si="348"/>
        <v>B</v>
      </c>
      <c r="AR655" s="1" t="str">
        <f>VLOOKUP(TRIM(AI655),Sheet1!$D$3:$E$36,2,FALSE)</f>
        <v>03</v>
      </c>
      <c r="AS655" s="90" t="str">
        <f t="shared" si="349"/>
        <v>02</v>
      </c>
      <c r="AT655" s="1" t="str">
        <f t="shared" si="350"/>
        <v>01</v>
      </c>
      <c r="AU655" s="90" t="s">
        <v>52</v>
      </c>
      <c r="AV655" s="90"/>
      <c r="AW655" s="90"/>
      <c r="AX655" s="95" t="str">
        <f>AQ655&amp;AR655&amp;AS655&amp;"-"&amp;AT655&amp;AU655&amp;BA655</f>
        <v>B0302-0101</v>
      </c>
      <c r="AY655" s="99" t="str">
        <f>AQ655&amp;AR655&amp;AS655&amp;"-"&amp;AT655&amp;BA655</f>
        <v>B0302-01</v>
      </c>
      <c r="AZ655" s="90"/>
      <c r="BA655" s="1" t="str">
        <f t="shared" si="351"/>
        <v/>
      </c>
      <c r="BC655" s="1" t="str">
        <f t="shared" si="326"/>
        <v/>
      </c>
      <c r="BD655" s="90">
        <f t="shared" si="327"/>
        <v>2</v>
      </c>
      <c r="BE655" s="1">
        <f t="shared" si="354"/>
        <v>1</v>
      </c>
      <c r="BF655" s="1">
        <f t="shared" si="355"/>
        <v>1</v>
      </c>
    </row>
    <row r="656" spans="1:58" s="63" customFormat="1" ht="15.75">
      <c r="A656" s="33" t="s">
        <v>3324</v>
      </c>
      <c r="B656" s="34"/>
      <c r="C656" s="35"/>
      <c r="D656" s="36"/>
      <c r="E656" s="39"/>
      <c r="F656" s="40"/>
      <c r="G656" s="39"/>
      <c r="H656" s="39"/>
      <c r="I656" s="41"/>
      <c r="J656" s="39"/>
      <c r="K656" s="41"/>
      <c r="L656" s="41"/>
      <c r="M656" s="41"/>
      <c r="N656" s="48"/>
      <c r="O656" s="48"/>
      <c r="P656" s="49"/>
      <c r="Q656" s="49"/>
      <c r="R656" s="50"/>
      <c r="S656" s="48"/>
      <c r="T656" s="13"/>
      <c r="U656" s="13"/>
      <c r="V656" s="14"/>
      <c r="W656" s="14"/>
      <c r="X656" s="60"/>
      <c r="Y656" s="60"/>
      <c r="Z656" s="15"/>
      <c r="AA656" s="39"/>
      <c r="AG656" s="93"/>
      <c r="AH656" s="89"/>
      <c r="AI656" s="89"/>
      <c r="AJ656" s="1"/>
      <c r="AK656" s="1"/>
      <c r="AL656" s="1"/>
      <c r="AM656" s="1"/>
      <c r="AN656" s="1"/>
      <c r="AQ656" s="1"/>
      <c r="AR656" s="1"/>
      <c r="AS656" s="90"/>
      <c r="AT656" s="1"/>
      <c r="AU656" s="90"/>
      <c r="AV656" s="90"/>
      <c r="AW656" s="90"/>
      <c r="AX656" s="95"/>
      <c r="AY656" s="99" t="str">
        <f>AQ656&amp;AR656&amp;AS656&amp;"-"&amp;AT656&amp;BA656</f>
        <v>-</v>
      </c>
      <c r="AZ656" s="90"/>
      <c r="BA656" s="1"/>
      <c r="BC656" s="1"/>
      <c r="BD656" s="90"/>
      <c r="BE656" s="1"/>
      <c r="BF656" s="1"/>
    </row>
    <row r="657" spans="1:58" ht="11.25" customHeight="1">
      <c r="A657" s="26" t="s">
        <v>3325</v>
      </c>
      <c r="B657" s="27" t="s">
        <v>3326</v>
      </c>
      <c r="C657" s="28">
        <v>114.99</v>
      </c>
      <c r="D657" s="28">
        <f t="shared" si="342"/>
        <v>57.494999999999997</v>
      </c>
      <c r="E657" s="22" t="s">
        <v>3327</v>
      </c>
      <c r="F657" s="22" t="s">
        <v>3328</v>
      </c>
      <c r="G657" s="22" t="s">
        <v>900</v>
      </c>
      <c r="H657" s="22" t="s">
        <v>3329</v>
      </c>
      <c r="I657" s="23" t="s">
        <v>2950</v>
      </c>
      <c r="J657" s="22" t="s">
        <v>670</v>
      </c>
      <c r="K657" s="23">
        <v>45</v>
      </c>
      <c r="L657" s="23">
        <v>40</v>
      </c>
      <c r="M657" s="23">
        <v>100</v>
      </c>
      <c r="N657" s="3">
        <f t="shared" ref="N657:N682" si="356">(IF(ISBLANK(K657),(L657*L657*M657),(K657*L657*M657)))/1000000</f>
        <v>0.18</v>
      </c>
      <c r="O657" s="4" t="e">
        <f>(C657-(C657*#REF!))-((C657-(C657*#REF!))*#REF!)</f>
        <v>#REF!</v>
      </c>
      <c r="P657" s="7"/>
      <c r="Q657" s="7"/>
      <c r="R657" s="5">
        <f t="shared" ref="R657:R682" si="357">P657+Q657</f>
        <v>0</v>
      </c>
      <c r="S657" s="4">
        <f t="shared" ref="S657:S682" si="358">R657/15000</f>
        <v>0</v>
      </c>
      <c r="T657" s="13">
        <f t="shared" si="343"/>
        <v>80.492999999999995</v>
      </c>
      <c r="U657" s="13">
        <f t="shared" si="352"/>
        <v>40.246499999999997</v>
      </c>
      <c r="V657" s="14">
        <f>U657/C657</f>
        <v>0.35</v>
      </c>
      <c r="W657" s="14"/>
      <c r="X657" s="19">
        <f t="shared" ref="X657:X682" si="359">IF(ISBLANK(W657),U657, W657)</f>
        <v>40.246499999999997</v>
      </c>
      <c r="Y657" s="19">
        <f t="shared" ref="Y657:Y682" si="360">X657*2</f>
        <v>80.492999999999995</v>
      </c>
      <c r="Z657" s="15" t="e">
        <f t="shared" ref="Z656:Z674" si="361">U657/S657</f>
        <v>#DIV/0!</v>
      </c>
      <c r="AA657" s="22" t="s">
        <v>3330</v>
      </c>
      <c r="AG657" s="94" t="s">
        <v>1169</v>
      </c>
      <c r="AH657" s="89" t="str">
        <f>VLOOKUP(AG657,Sheet1!$B$3:$D$36,2,FALSE)</f>
        <v>Decors</v>
      </c>
      <c r="AI657" s="89" t="s">
        <v>3331</v>
      </c>
      <c r="AJ657" s="1" t="str">
        <f t="shared" si="344"/>
        <v>Weenie towel rack</v>
      </c>
      <c r="AK657" s="1" t="str">
        <f t="shared" si="345"/>
        <v>w45 x d40 x h100</v>
      </c>
      <c r="AL657" s="1" t="str">
        <f t="shared" si="346"/>
        <v>teak branches semi</v>
      </c>
      <c r="AM657" s="1" t="str">
        <f t="shared" si="347"/>
        <v>teak branches semi</v>
      </c>
      <c r="AN657" s="1" t="str">
        <f t="shared" si="353"/>
        <v>teak branches semi</v>
      </c>
      <c r="AQ657" s="1" t="str">
        <f t="shared" si="348"/>
        <v>B</v>
      </c>
      <c r="AR657" s="1" t="str">
        <f>VLOOKUP(TRIM(AI657),Sheet1!$D$3:$E$36,2,FALSE)</f>
        <v>04</v>
      </c>
      <c r="AS657" s="90" t="str">
        <f t="shared" si="349"/>
        <v>01</v>
      </c>
      <c r="AT657" s="1" t="str">
        <f t="shared" si="350"/>
        <v>01</v>
      </c>
      <c r="AU657" s="90" t="s">
        <v>664</v>
      </c>
      <c r="AV657" s="90"/>
      <c r="AW657" s="90"/>
      <c r="AX657" s="95" t="str">
        <f>AQ657&amp;AR657&amp;AS657&amp;"-"&amp;AT657&amp;AU657&amp;BA657</f>
        <v>B0401-0127</v>
      </c>
      <c r="AY657" s="99" t="str">
        <f>AQ657&amp;AR657&amp;AS657&amp;"-"&amp;AT657&amp;BA657</f>
        <v>B0401-01</v>
      </c>
      <c r="AZ657" s="90"/>
      <c r="BA657" s="1" t="str">
        <f t="shared" si="351"/>
        <v/>
      </c>
      <c r="BC657" s="1">
        <f t="shared" si="326"/>
        <v>1</v>
      </c>
      <c r="BD657" s="90">
        <f t="shared" si="327"/>
        <v>1</v>
      </c>
      <c r="BE657" s="1">
        <f t="shared" si="354"/>
        <v>1</v>
      </c>
      <c r="BF657" s="1">
        <f t="shared" si="355"/>
        <v>1</v>
      </c>
    </row>
    <row r="658" spans="1:58" ht="11.25" customHeight="1">
      <c r="A658" s="26" t="s">
        <v>3332</v>
      </c>
      <c r="B658" s="27" t="s">
        <v>3326</v>
      </c>
      <c r="C658" s="28">
        <v>154.99</v>
      </c>
      <c r="D658" s="28">
        <f t="shared" si="342"/>
        <v>77.495000000000005</v>
      </c>
      <c r="E658" s="22" t="s">
        <v>3327</v>
      </c>
      <c r="F658" s="22" t="s">
        <v>3333</v>
      </c>
      <c r="G658" s="22" t="s">
        <v>900</v>
      </c>
      <c r="H658" s="22" t="s">
        <v>3334</v>
      </c>
      <c r="I658" s="23" t="s">
        <v>2950</v>
      </c>
      <c r="J658" s="22" t="s">
        <v>670</v>
      </c>
      <c r="K658" s="23">
        <v>70</v>
      </c>
      <c r="L658" s="23">
        <v>40</v>
      </c>
      <c r="M658" s="23">
        <v>100</v>
      </c>
      <c r="N658" s="3">
        <f t="shared" si="356"/>
        <v>0.28000000000000003</v>
      </c>
      <c r="O658" s="4" t="e">
        <f>(C658-(C658*#REF!))-((C658-(C658*#REF!))*#REF!)</f>
        <v>#REF!</v>
      </c>
      <c r="P658" s="7"/>
      <c r="Q658" s="7"/>
      <c r="R658" s="5">
        <f t="shared" si="357"/>
        <v>0</v>
      </c>
      <c r="S658" s="4">
        <f t="shared" si="358"/>
        <v>0</v>
      </c>
      <c r="T658" s="13">
        <f t="shared" si="343"/>
        <v>108.49300000000001</v>
      </c>
      <c r="U658" s="13">
        <f t="shared" si="352"/>
        <v>54.246500000000005</v>
      </c>
      <c r="V658" s="14">
        <f>U658/C658</f>
        <v>0.35000000000000003</v>
      </c>
      <c r="W658" s="14"/>
      <c r="X658" s="19">
        <f t="shared" si="359"/>
        <v>54.246500000000005</v>
      </c>
      <c r="Y658" s="19">
        <f t="shared" si="360"/>
        <v>108.49300000000001</v>
      </c>
      <c r="Z658" s="15" t="e">
        <f t="shared" si="361"/>
        <v>#DIV/0!</v>
      </c>
      <c r="AA658" s="22" t="s">
        <v>3335</v>
      </c>
      <c r="AG658" s="94" t="s">
        <v>1169</v>
      </c>
      <c r="AH658" s="89" t="str">
        <f>VLOOKUP(AG658,Sheet1!$B$3:$D$36,2,FALSE)</f>
        <v>Decors</v>
      </c>
      <c r="AI658" s="89" t="s">
        <v>3331</v>
      </c>
      <c r="AJ658" s="1" t="str">
        <f t="shared" si="344"/>
        <v>Weenie towel rack</v>
      </c>
      <c r="AK658" s="1" t="str">
        <f t="shared" si="345"/>
        <v>w70 x d40 x h100</v>
      </c>
      <c r="AL658" s="1" t="str">
        <f t="shared" si="346"/>
        <v>teak branches semi</v>
      </c>
      <c r="AM658" s="1" t="str">
        <f t="shared" si="347"/>
        <v>teak branches semi</v>
      </c>
      <c r="AN658" s="1" t="str">
        <f t="shared" si="353"/>
        <v>teak branches semi</v>
      </c>
      <c r="AQ658" s="1" t="str">
        <f t="shared" si="348"/>
        <v>B</v>
      </c>
      <c r="AR658" s="1" t="str">
        <f>VLOOKUP(TRIM(AI658),Sheet1!$D$3:$E$36,2,FALSE)</f>
        <v>04</v>
      </c>
      <c r="AS658" s="90" t="str">
        <f t="shared" si="349"/>
        <v>02</v>
      </c>
      <c r="AT658" s="1" t="str">
        <f t="shared" si="350"/>
        <v>01</v>
      </c>
      <c r="AU658" s="90" t="s">
        <v>664</v>
      </c>
      <c r="AV658" s="90"/>
      <c r="AW658" s="90"/>
      <c r="AX658" s="95" t="str">
        <f>AQ658&amp;AR658&amp;AS658&amp;"-"&amp;AT658&amp;AU658&amp;BA658</f>
        <v>B0402-0127</v>
      </c>
      <c r="AY658" s="99" t="str">
        <f>AQ658&amp;AR658&amp;AS658&amp;"-"&amp;AT658&amp;BA658</f>
        <v>B0402-01</v>
      </c>
      <c r="AZ658" s="90"/>
      <c r="BA658" s="1" t="str">
        <f t="shared" si="351"/>
        <v/>
      </c>
      <c r="BC658" s="1" t="str">
        <f t="shared" si="326"/>
        <v/>
      </c>
      <c r="BD658" s="90">
        <f t="shared" si="327"/>
        <v>2</v>
      </c>
      <c r="BE658" s="1">
        <f t="shared" si="354"/>
        <v>1</v>
      </c>
      <c r="BF658" s="1">
        <f t="shared" si="355"/>
        <v>1</v>
      </c>
    </row>
    <row r="659" spans="1:58" ht="11.25" customHeight="1">
      <c r="A659" s="26" t="s">
        <v>3336</v>
      </c>
      <c r="B659" s="27" t="s">
        <v>3326</v>
      </c>
      <c r="C659" s="28">
        <v>184.99</v>
      </c>
      <c r="D659" s="28">
        <f t="shared" si="342"/>
        <v>92.495000000000005</v>
      </c>
      <c r="E659" s="22" t="s">
        <v>3327</v>
      </c>
      <c r="F659" s="22" t="s">
        <v>3337</v>
      </c>
      <c r="G659" s="22" t="s">
        <v>900</v>
      </c>
      <c r="H659" s="22" t="s">
        <v>3338</v>
      </c>
      <c r="I659" s="23" t="s">
        <v>2950</v>
      </c>
      <c r="J659" s="22" t="s">
        <v>646</v>
      </c>
      <c r="K659" s="23">
        <v>100</v>
      </c>
      <c r="L659" s="23">
        <v>40</v>
      </c>
      <c r="M659" s="23">
        <v>100</v>
      </c>
      <c r="N659" s="3">
        <f t="shared" si="356"/>
        <v>0.4</v>
      </c>
      <c r="O659" s="4" t="e">
        <f>(C659-(C659*#REF!))-((C659-(C659*#REF!))*#REF!)</f>
        <v>#REF!</v>
      </c>
      <c r="P659" s="7">
        <f>388002.032960199-Q659</f>
        <v>142002.03296019899</v>
      </c>
      <c r="Q659" s="7">
        <v>246000</v>
      </c>
      <c r="R659" s="5">
        <f t="shared" si="357"/>
        <v>388002.03296019899</v>
      </c>
      <c r="S659" s="4">
        <f t="shared" si="358"/>
        <v>25.866802197346601</v>
      </c>
      <c r="T659" s="13">
        <f t="shared" si="343"/>
        <v>129.49299999999999</v>
      </c>
      <c r="U659" s="13">
        <f t="shared" si="352"/>
        <v>64.746499999999997</v>
      </c>
      <c r="V659" s="14">
        <f>U659/C659</f>
        <v>0.35</v>
      </c>
      <c r="W659" s="14"/>
      <c r="X659" s="19">
        <f t="shared" si="359"/>
        <v>64.746499999999997</v>
      </c>
      <c r="Y659" s="19">
        <f t="shared" si="360"/>
        <v>129.49299999999999</v>
      </c>
      <c r="Z659" s="15">
        <f t="shared" si="361"/>
        <v>2.5030732251333969</v>
      </c>
      <c r="AA659" s="22" t="s">
        <v>3339</v>
      </c>
      <c r="AG659" s="94" t="s">
        <v>1169</v>
      </c>
      <c r="AH659" s="89" t="str">
        <f>VLOOKUP(AG659,Sheet1!$B$3:$D$36,2,FALSE)</f>
        <v>Decors</v>
      </c>
      <c r="AI659" s="89" t="s">
        <v>3331</v>
      </c>
      <c r="AJ659" s="1" t="str">
        <f t="shared" si="344"/>
        <v>Weenie towel rack</v>
      </c>
      <c r="AK659" s="1" t="str">
        <f t="shared" si="345"/>
        <v>W100 x D40 x H100</v>
      </c>
      <c r="AL659" s="1" t="str">
        <f t="shared" si="346"/>
        <v>teak branches semi</v>
      </c>
      <c r="AM659" s="1" t="str">
        <f t="shared" si="347"/>
        <v>teak branches semi</v>
      </c>
      <c r="AN659" s="1" t="str">
        <f t="shared" si="353"/>
        <v>teak branches semi</v>
      </c>
      <c r="AQ659" s="1" t="str">
        <f t="shared" si="348"/>
        <v>B</v>
      </c>
      <c r="AR659" s="1" t="str">
        <f>VLOOKUP(TRIM(AI659),Sheet1!$D$3:$E$36,2,FALSE)</f>
        <v>04</v>
      </c>
      <c r="AS659" s="90" t="str">
        <f t="shared" si="349"/>
        <v>03</v>
      </c>
      <c r="AT659" s="1" t="str">
        <f t="shared" si="350"/>
        <v>01</v>
      </c>
      <c r="AU659" s="90" t="s">
        <v>664</v>
      </c>
      <c r="AV659" s="90"/>
      <c r="AW659" s="90"/>
      <c r="AX659" s="95" t="str">
        <f>AQ659&amp;AR659&amp;AS659&amp;"-"&amp;AT659&amp;AU659&amp;BA659</f>
        <v>B0403-0127</v>
      </c>
      <c r="AY659" s="99" t="str">
        <f>AQ659&amp;AR659&amp;AS659&amp;"-"&amp;AT659&amp;BA659</f>
        <v>B0403-01</v>
      </c>
      <c r="AZ659" s="90"/>
      <c r="BA659" s="1" t="str">
        <f t="shared" si="351"/>
        <v/>
      </c>
      <c r="BC659" s="1" t="str">
        <f t="shared" si="326"/>
        <v/>
      </c>
      <c r="BD659" s="90">
        <f t="shared" si="327"/>
        <v>3</v>
      </c>
      <c r="BE659" s="1">
        <f t="shared" si="354"/>
        <v>1</v>
      </c>
      <c r="BF659" s="1">
        <f t="shared" si="355"/>
        <v>1</v>
      </c>
    </row>
    <row r="660" spans="1:58" ht="11.25" customHeight="1">
      <c r="A660" s="26" t="s">
        <v>3340</v>
      </c>
      <c r="B660" s="27" t="s">
        <v>3341</v>
      </c>
      <c r="C660" s="28">
        <v>259.99</v>
      </c>
      <c r="D660" s="28">
        <f t="shared" si="342"/>
        <v>129.995</v>
      </c>
      <c r="E660" s="22" t="s">
        <v>3327</v>
      </c>
      <c r="F660" s="22" t="s">
        <v>3337</v>
      </c>
      <c r="G660" s="22" t="s">
        <v>3342</v>
      </c>
      <c r="H660" s="22" t="s">
        <v>3343</v>
      </c>
      <c r="I660" s="23" t="s">
        <v>2950</v>
      </c>
      <c r="J660" s="22" t="s">
        <v>646</v>
      </c>
      <c r="K660" s="23">
        <v>100</v>
      </c>
      <c r="L660" s="23">
        <v>40</v>
      </c>
      <c r="M660" s="23">
        <v>100</v>
      </c>
      <c r="N660" s="3">
        <f t="shared" si="356"/>
        <v>0.4</v>
      </c>
      <c r="O660" s="4" t="e">
        <f>(C660-(C660*#REF!))-((C660-(C660*#REF!))*#REF!)</f>
        <v>#REF!</v>
      </c>
      <c r="P660" s="7"/>
      <c r="Q660" s="7"/>
      <c r="R660" s="5">
        <f t="shared" si="357"/>
        <v>0</v>
      </c>
      <c r="S660" s="4">
        <f t="shared" si="358"/>
        <v>0</v>
      </c>
      <c r="T660" s="13">
        <f t="shared" si="343"/>
        <v>181.99299999999999</v>
      </c>
      <c r="U660" s="13">
        <f t="shared" si="352"/>
        <v>90.996499999999997</v>
      </c>
      <c r="V660" s="14">
        <f>U660/C660</f>
        <v>0.35</v>
      </c>
      <c r="W660" s="14"/>
      <c r="X660" s="19">
        <f t="shared" si="359"/>
        <v>90.996499999999997</v>
      </c>
      <c r="Y660" s="19">
        <f t="shared" si="360"/>
        <v>181.99299999999999</v>
      </c>
      <c r="Z660" s="15" t="e">
        <f t="shared" si="361"/>
        <v>#DIV/0!</v>
      </c>
      <c r="AA660" s="22" t="s">
        <v>3344</v>
      </c>
      <c r="AG660" s="94" t="s">
        <v>1169</v>
      </c>
      <c r="AH660" s="89" t="str">
        <f>VLOOKUP(AG660,Sheet1!$B$3:$D$36,2,FALSE)</f>
        <v>Decors</v>
      </c>
      <c r="AI660" s="89" t="s">
        <v>3331</v>
      </c>
      <c r="AJ660" s="1" t="str">
        <f t="shared" si="344"/>
        <v>Weenie towel rack straight</v>
      </c>
      <c r="AK660" s="1" t="str">
        <f t="shared" si="345"/>
        <v>w100 x d40 x h100</v>
      </c>
      <c r="AL660" s="1" t="str">
        <f t="shared" si="346"/>
        <v>teak branches semi</v>
      </c>
      <c r="AM660" s="1" t="str">
        <f t="shared" si="347"/>
        <v>teak branches semi</v>
      </c>
      <c r="AN660" s="1" t="str">
        <f t="shared" si="353"/>
        <v>teak branches semi</v>
      </c>
      <c r="AQ660" s="1" t="str">
        <f t="shared" si="348"/>
        <v>B</v>
      </c>
      <c r="AR660" s="1" t="str">
        <f>VLOOKUP(TRIM(AI660),Sheet1!$D$3:$E$36,2,FALSE)</f>
        <v>04</v>
      </c>
      <c r="AS660" s="90" t="str">
        <f t="shared" si="349"/>
        <v>01</v>
      </c>
      <c r="AT660" s="1" t="str">
        <f t="shared" si="350"/>
        <v>02</v>
      </c>
      <c r="AU660" s="90" t="s">
        <v>664</v>
      </c>
      <c r="AV660" s="90"/>
      <c r="AW660" s="90"/>
      <c r="AX660" s="95" t="str">
        <f>AQ660&amp;AR660&amp;AS660&amp;"-"&amp;AT660&amp;AU660&amp;BA660</f>
        <v>B0401-0227</v>
      </c>
      <c r="AY660" s="99" t="str">
        <f>AQ660&amp;AR660&amp;AS660&amp;"-"&amp;AT660&amp;BA660</f>
        <v>B0401-02</v>
      </c>
      <c r="AZ660" s="90"/>
      <c r="BA660" s="1" t="str">
        <f t="shared" si="351"/>
        <v/>
      </c>
      <c r="BC660" s="1">
        <f t="shared" si="326"/>
        <v>1</v>
      </c>
      <c r="BD660" s="90">
        <f t="shared" si="327"/>
        <v>1</v>
      </c>
      <c r="BE660" s="1" t="str">
        <f t="shared" si="354"/>
        <v/>
      </c>
      <c r="BF660" s="1">
        <f t="shared" si="355"/>
        <v>2</v>
      </c>
    </row>
    <row r="661" spans="1:58" ht="11.25" customHeight="1">
      <c r="A661" s="26" t="s">
        <v>3345</v>
      </c>
      <c r="B661" s="27" t="s">
        <v>3346</v>
      </c>
      <c r="C661" s="28">
        <v>269.99</v>
      </c>
      <c r="D661" s="28">
        <f t="shared" si="342"/>
        <v>134.995</v>
      </c>
      <c r="E661" s="22" t="s">
        <v>3327</v>
      </c>
      <c r="F661" s="22" t="s">
        <v>3347</v>
      </c>
      <c r="G661" s="22" t="s">
        <v>3348</v>
      </c>
      <c r="H661" s="22" t="s">
        <v>3349</v>
      </c>
      <c r="I661" s="23" t="s">
        <v>2950</v>
      </c>
      <c r="J661" s="22" t="s">
        <v>646</v>
      </c>
      <c r="K661" s="23">
        <v>104</v>
      </c>
      <c r="L661" s="23">
        <v>20</v>
      </c>
      <c r="M661" s="23">
        <v>120</v>
      </c>
      <c r="N661" s="3">
        <f t="shared" si="356"/>
        <v>0.24959999999999999</v>
      </c>
      <c r="O661" s="4" t="e">
        <f>(C661-(C661*#REF!))-((C661-(C661*#REF!))*#REF!)</f>
        <v>#REF!</v>
      </c>
      <c r="P661" s="7"/>
      <c r="Q661" s="7"/>
      <c r="R661" s="5">
        <f t="shared" si="357"/>
        <v>0</v>
      </c>
      <c r="S661" s="4">
        <f t="shared" si="358"/>
        <v>0</v>
      </c>
      <c r="T661" s="13">
        <f t="shared" si="343"/>
        <v>188.99299999999999</v>
      </c>
      <c r="U661" s="13">
        <f t="shared" si="352"/>
        <v>94.496499999999997</v>
      </c>
      <c r="V661" s="14">
        <f>U661/C661</f>
        <v>0.35</v>
      </c>
      <c r="W661" s="14"/>
      <c r="X661" s="19">
        <f t="shared" si="359"/>
        <v>94.496499999999997</v>
      </c>
      <c r="Y661" s="19">
        <f t="shared" si="360"/>
        <v>188.99299999999999</v>
      </c>
      <c r="Z661" s="15" t="e">
        <f t="shared" si="361"/>
        <v>#DIV/0!</v>
      </c>
      <c r="AA661" s="22" t="s">
        <v>3350</v>
      </c>
      <c r="AG661" s="94" t="s">
        <v>1169</v>
      </c>
      <c r="AH661" s="89" t="str">
        <f>VLOOKUP(AG661,Sheet1!$B$3:$D$36,2,FALSE)</f>
        <v>Decors</v>
      </c>
      <c r="AI661" s="89" t="s">
        <v>3331</v>
      </c>
      <c r="AJ661" s="1" t="str">
        <f t="shared" si="344"/>
        <v>Marriot towel rack</v>
      </c>
      <c r="AK661" s="1" t="str">
        <f t="shared" si="345"/>
        <v>w104 x d20 x h120</v>
      </c>
      <c r="AL661" s="1" t="str">
        <f t="shared" si="346"/>
        <v>teak branches semi</v>
      </c>
      <c r="AM661" s="1" t="str">
        <f t="shared" si="347"/>
        <v>teak branches semi</v>
      </c>
      <c r="AN661" s="1" t="str">
        <f t="shared" si="353"/>
        <v>teak branches semi</v>
      </c>
      <c r="AQ661" s="1" t="str">
        <f t="shared" si="348"/>
        <v>B</v>
      </c>
      <c r="AR661" s="1" t="str">
        <f>VLOOKUP(TRIM(AI661),Sheet1!$D$3:$E$36,2,FALSE)</f>
        <v>04</v>
      </c>
      <c r="AS661" s="90" t="str">
        <f t="shared" si="349"/>
        <v>01</v>
      </c>
      <c r="AT661" s="1" t="str">
        <f t="shared" si="350"/>
        <v>01</v>
      </c>
      <c r="AU661" s="90" t="s">
        <v>664</v>
      </c>
      <c r="AV661" s="90"/>
      <c r="AW661" s="90"/>
      <c r="AX661" s="95" t="str">
        <f>AQ661&amp;AR661&amp;AS661&amp;"-"&amp;AT661&amp;AU661&amp;BA661</f>
        <v>B0401-0127</v>
      </c>
      <c r="AY661" s="99" t="str">
        <f>AQ661&amp;AR661&amp;AS661&amp;"-"&amp;AT661&amp;BA661</f>
        <v>B0401-01</v>
      </c>
      <c r="AZ661" s="90"/>
      <c r="BA661" s="1" t="str">
        <f t="shared" si="351"/>
        <v/>
      </c>
      <c r="BC661" s="1">
        <f t="shared" si="326"/>
        <v>1</v>
      </c>
      <c r="BD661" s="90">
        <f t="shared" si="327"/>
        <v>1</v>
      </c>
      <c r="BE661" s="1">
        <f t="shared" si="354"/>
        <v>1</v>
      </c>
      <c r="BF661" s="1">
        <f t="shared" si="355"/>
        <v>1</v>
      </c>
    </row>
    <row r="662" spans="1:58" ht="11.25" customHeight="1">
      <c r="A662" s="26" t="s">
        <v>3351</v>
      </c>
      <c r="B662" s="27" t="s">
        <v>3352</v>
      </c>
      <c r="C662" s="28">
        <v>189.99</v>
      </c>
      <c r="D662" s="28">
        <f t="shared" si="342"/>
        <v>94.995000000000005</v>
      </c>
      <c r="E662" s="22" t="s">
        <v>3327</v>
      </c>
      <c r="F662" s="22" t="s">
        <v>3353</v>
      </c>
      <c r="G662" s="22" t="s">
        <v>3354</v>
      </c>
      <c r="H662" s="22" t="s">
        <v>3355</v>
      </c>
      <c r="I662" s="23" t="s">
        <v>2950</v>
      </c>
      <c r="J662" s="22" t="s">
        <v>646</v>
      </c>
      <c r="K662" s="23">
        <v>104</v>
      </c>
      <c r="L662" s="23">
        <v>6</v>
      </c>
      <c r="M662" s="23">
        <v>120</v>
      </c>
      <c r="N662" s="3">
        <f t="shared" si="356"/>
        <v>7.4880000000000002E-2</v>
      </c>
      <c r="O662" s="4" t="e">
        <f>(C662-(C662*#REF!))-((C662-(C662*#REF!))*#REF!)</f>
        <v>#REF!</v>
      </c>
      <c r="P662" s="7"/>
      <c r="Q662" s="7"/>
      <c r="R662" s="5">
        <f t="shared" si="357"/>
        <v>0</v>
      </c>
      <c r="S662" s="4">
        <f t="shared" si="358"/>
        <v>0</v>
      </c>
      <c r="T662" s="13">
        <f t="shared" si="343"/>
        <v>132.99299999999999</v>
      </c>
      <c r="U662" s="13">
        <f t="shared" si="352"/>
        <v>66.496499999999997</v>
      </c>
      <c r="V662" s="14">
        <f>U662/C662</f>
        <v>0.35</v>
      </c>
      <c r="W662" s="14"/>
      <c r="X662" s="19">
        <f t="shared" si="359"/>
        <v>66.496499999999997</v>
      </c>
      <c r="Y662" s="19">
        <f t="shared" si="360"/>
        <v>132.99299999999999</v>
      </c>
      <c r="Z662" s="15" t="e">
        <f t="shared" si="361"/>
        <v>#DIV/0!</v>
      </c>
      <c r="AA662" s="22" t="s">
        <v>3356</v>
      </c>
      <c r="AG662" s="94" t="s">
        <v>1169</v>
      </c>
      <c r="AH662" s="89" t="str">
        <f>VLOOKUP(AG662,Sheet1!$B$3:$D$36,2,FALSE)</f>
        <v>Decors</v>
      </c>
      <c r="AI662" s="89" t="s">
        <v>3331</v>
      </c>
      <c r="AJ662" s="1" t="str">
        <f t="shared" si="344"/>
        <v>Wally towel rack</v>
      </c>
      <c r="AK662" s="1" t="str">
        <f t="shared" si="345"/>
        <v>w104 x d6 x h120</v>
      </c>
      <c r="AL662" s="1" t="str">
        <f t="shared" si="346"/>
        <v>teak branches semi</v>
      </c>
      <c r="AM662" s="1" t="str">
        <f t="shared" si="347"/>
        <v>teak branches semi</v>
      </c>
      <c r="AN662" s="1" t="str">
        <f t="shared" si="353"/>
        <v>teak branches semi</v>
      </c>
      <c r="AQ662" s="1" t="str">
        <f t="shared" si="348"/>
        <v>B</v>
      </c>
      <c r="AR662" s="1" t="str">
        <f>VLOOKUP(TRIM(AI662),Sheet1!$D$3:$E$36,2,FALSE)</f>
        <v>04</v>
      </c>
      <c r="AS662" s="90" t="str">
        <f t="shared" si="349"/>
        <v>01</v>
      </c>
      <c r="AT662" s="1" t="str">
        <f t="shared" si="350"/>
        <v>01</v>
      </c>
      <c r="AU662" s="90" t="s">
        <v>664</v>
      </c>
      <c r="AV662" s="90"/>
      <c r="AW662" s="90"/>
      <c r="AX662" s="95" t="str">
        <f>AQ662&amp;AR662&amp;AS662&amp;"-"&amp;AT662&amp;AU662&amp;BA662</f>
        <v>B0401-0127</v>
      </c>
      <c r="AY662" s="99" t="str">
        <f>AQ662&amp;AR662&amp;AS662&amp;"-"&amp;AT662&amp;BA662</f>
        <v>B0401-01</v>
      </c>
      <c r="AZ662" s="90"/>
      <c r="BA662" s="1" t="str">
        <f t="shared" si="351"/>
        <v/>
      </c>
      <c r="BC662" s="1">
        <f t="shared" si="326"/>
        <v>1</v>
      </c>
      <c r="BD662" s="90">
        <f t="shared" si="327"/>
        <v>1</v>
      </c>
      <c r="BE662" s="1">
        <f t="shared" si="354"/>
        <v>1</v>
      </c>
      <c r="BF662" s="1">
        <f t="shared" si="355"/>
        <v>1</v>
      </c>
    </row>
    <row r="663" spans="1:58" ht="11.25" customHeight="1">
      <c r="A663" s="26" t="s">
        <v>3024</v>
      </c>
      <c r="B663" s="27" t="s">
        <v>3025</v>
      </c>
      <c r="C663" s="28">
        <v>139.99</v>
      </c>
      <c r="D663" s="28">
        <f t="shared" si="342"/>
        <v>69.995000000000005</v>
      </c>
      <c r="E663" s="22" t="s">
        <v>3327</v>
      </c>
      <c r="F663" s="22" t="s">
        <v>3357</v>
      </c>
      <c r="G663" s="22" t="s">
        <v>3025</v>
      </c>
      <c r="H663" s="22" t="s">
        <v>3358</v>
      </c>
      <c r="I663" s="23" t="s">
        <v>2950</v>
      </c>
      <c r="J663" s="22" t="s">
        <v>646</v>
      </c>
      <c r="K663" s="23">
        <v>150</v>
      </c>
      <c r="L663" s="23">
        <v>7</v>
      </c>
      <c r="M663" s="23">
        <v>7</v>
      </c>
      <c r="N663" s="3">
        <f t="shared" si="356"/>
        <v>7.3499999999999998E-3</v>
      </c>
      <c r="O663" s="4" t="e">
        <f>(C663-(C663*#REF!))-((C663-(C663*#REF!))*#REF!)</f>
        <v>#REF!</v>
      </c>
      <c r="P663" s="7"/>
      <c r="Q663" s="7"/>
      <c r="R663" s="5">
        <f t="shared" si="357"/>
        <v>0</v>
      </c>
      <c r="S663" s="4">
        <f t="shared" si="358"/>
        <v>0</v>
      </c>
      <c r="T663" s="13">
        <f t="shared" si="343"/>
        <v>97.993000000000009</v>
      </c>
      <c r="U663" s="13">
        <f t="shared" si="352"/>
        <v>48.996500000000005</v>
      </c>
      <c r="V663" s="14">
        <f>U663/C663</f>
        <v>0.35000000000000003</v>
      </c>
      <c r="W663" s="14"/>
      <c r="X663" s="19">
        <f t="shared" si="359"/>
        <v>48.996500000000005</v>
      </c>
      <c r="Y663" s="19">
        <f t="shared" si="360"/>
        <v>97.993000000000009</v>
      </c>
      <c r="Z663" s="15" t="e">
        <f t="shared" si="361"/>
        <v>#DIV/0!</v>
      </c>
      <c r="AA663" s="22" t="s">
        <v>3359</v>
      </c>
      <c r="AG663" s="94" t="s">
        <v>1169</v>
      </c>
      <c r="AH663" s="89" t="str">
        <f>VLOOKUP(AG663,Sheet1!$B$3:$D$36,2,FALSE)</f>
        <v>Decors</v>
      </c>
      <c r="AI663" s="89" t="s">
        <v>3331</v>
      </c>
      <c r="AJ663" s="1" t="str">
        <f t="shared" si="344"/>
        <v>Hanging hat holder</v>
      </c>
      <c r="AK663" s="1" t="str">
        <f t="shared" si="345"/>
        <v>w150 x d7 x h7</v>
      </c>
      <c r="AL663" s="1" t="str">
        <f t="shared" si="346"/>
        <v>teak branches semi</v>
      </c>
      <c r="AM663" s="1" t="str">
        <f t="shared" si="347"/>
        <v>teak branches semi</v>
      </c>
      <c r="AN663" s="1" t="str">
        <f t="shared" si="353"/>
        <v>teak branches semi</v>
      </c>
      <c r="AQ663" s="1" t="str">
        <f t="shared" si="348"/>
        <v>B</v>
      </c>
      <c r="AR663" s="1" t="str">
        <f>VLOOKUP(TRIM(AI663),Sheet1!$D$3:$E$36,2,FALSE)</f>
        <v>04</v>
      </c>
      <c r="AS663" s="90" t="str">
        <f t="shared" si="349"/>
        <v>01</v>
      </c>
      <c r="AT663" s="1" t="str">
        <f t="shared" si="350"/>
        <v>01</v>
      </c>
      <c r="AU663" s="90" t="s">
        <v>664</v>
      </c>
      <c r="AV663" s="90"/>
      <c r="AW663" s="90"/>
      <c r="AX663" s="95" t="str">
        <f>AQ663&amp;AR663&amp;AS663&amp;"-"&amp;AT663&amp;AU663&amp;BA663</f>
        <v>B0401-0127</v>
      </c>
      <c r="AY663" s="99" t="str">
        <f>AQ663&amp;AR663&amp;AS663&amp;"-"&amp;AT663&amp;BA663</f>
        <v>B0401-01</v>
      </c>
      <c r="AZ663" s="90"/>
      <c r="BA663" s="1" t="str">
        <f t="shared" si="351"/>
        <v/>
      </c>
      <c r="BC663" s="1">
        <f t="shared" si="326"/>
        <v>1</v>
      </c>
      <c r="BD663" s="90">
        <f t="shared" si="327"/>
        <v>1</v>
      </c>
      <c r="BE663" s="1">
        <f t="shared" si="354"/>
        <v>1</v>
      </c>
      <c r="BF663" s="1">
        <f t="shared" si="355"/>
        <v>1</v>
      </c>
    </row>
    <row r="664" spans="1:58" ht="11.25" customHeight="1">
      <c r="A664" s="26">
        <v>42471</v>
      </c>
      <c r="B664" s="27" t="s">
        <v>3360</v>
      </c>
      <c r="C664" s="28">
        <v>32.99</v>
      </c>
      <c r="D664" s="28">
        <f t="shared" si="342"/>
        <v>16.495000000000001</v>
      </c>
      <c r="E664" s="22" t="s">
        <v>3327</v>
      </c>
      <c r="F664" s="22" t="s">
        <v>3361</v>
      </c>
      <c r="G664" s="22" t="s">
        <v>3362</v>
      </c>
      <c r="H664" s="22" t="s">
        <v>3363</v>
      </c>
      <c r="I664" s="23" t="s">
        <v>3244</v>
      </c>
      <c r="J664" s="22" t="s">
        <v>670</v>
      </c>
      <c r="L664" s="23">
        <v>22</v>
      </c>
      <c r="M664" s="23">
        <v>50</v>
      </c>
      <c r="N664" s="3">
        <f t="shared" si="356"/>
        <v>2.4199999999999999E-2</v>
      </c>
      <c r="O664" s="4" t="e">
        <f>(C664-(C664*#REF!))-((C664-(C664*#REF!))*#REF!)</f>
        <v>#REF!</v>
      </c>
      <c r="P664" s="7"/>
      <c r="Q664" s="7"/>
      <c r="R664" s="5">
        <f t="shared" si="357"/>
        <v>0</v>
      </c>
      <c r="S664" s="4">
        <f t="shared" si="358"/>
        <v>0</v>
      </c>
      <c r="T664" s="13">
        <f t="shared" si="343"/>
        <v>23.093000000000004</v>
      </c>
      <c r="U664" s="13">
        <f t="shared" si="352"/>
        <v>11.546500000000002</v>
      </c>
      <c r="V664" s="14">
        <f>U664/C664</f>
        <v>0.35000000000000003</v>
      </c>
      <c r="W664" s="14"/>
      <c r="X664" s="19">
        <f t="shared" si="359"/>
        <v>11.546500000000002</v>
      </c>
      <c r="Y664" s="19">
        <f t="shared" si="360"/>
        <v>23.093000000000004</v>
      </c>
      <c r="Z664" s="15" t="e">
        <f t="shared" si="361"/>
        <v>#DIV/0!</v>
      </c>
      <c r="AA664" s="22" t="s">
        <v>3364</v>
      </c>
      <c r="AG664" s="94" t="s">
        <v>1169</v>
      </c>
      <c r="AH664" s="89" t="str">
        <f>VLOOKUP(AG664,Sheet1!$B$3:$D$36,2,FALSE)</f>
        <v>Decors</v>
      </c>
      <c r="AI664" s="89" t="s">
        <v>3331</v>
      </c>
      <c r="AJ664" s="1" t="str">
        <f t="shared" si="344"/>
        <v>Washco toiletpaper holder</v>
      </c>
      <c r="AK664" s="1" t="str">
        <f t="shared" si="345"/>
        <v>ø22 x h50</v>
      </c>
      <c r="AL664" s="1" t="str">
        <f t="shared" si="346"/>
        <v>kubu grey semi</v>
      </c>
      <c r="AM664" s="1" t="str">
        <f t="shared" si="347"/>
        <v>kubu grey semi</v>
      </c>
      <c r="AN664" s="1" t="str">
        <f t="shared" si="353"/>
        <v>kubu grey semi</v>
      </c>
      <c r="AQ664" s="1" t="str">
        <f t="shared" si="348"/>
        <v>B</v>
      </c>
      <c r="AR664" s="1" t="str">
        <f>VLOOKUP(TRIM(AI664),Sheet1!$D$3:$E$36,2,FALSE)</f>
        <v>04</v>
      </c>
      <c r="AS664" s="90" t="str">
        <f t="shared" si="349"/>
        <v>01</v>
      </c>
      <c r="AT664" s="1" t="str">
        <f t="shared" si="350"/>
        <v>01</v>
      </c>
      <c r="AU664" s="90" t="s">
        <v>1198</v>
      </c>
      <c r="AV664" s="90"/>
      <c r="AW664" s="90"/>
      <c r="AX664" s="95" t="str">
        <f>AQ664&amp;AR664&amp;AS664&amp;"-"&amp;AT664&amp;AU664&amp;BA664</f>
        <v>B0401-0107</v>
      </c>
      <c r="AY664" s="99" t="str">
        <f>AQ664&amp;AR664&amp;AS664&amp;"-"&amp;AT664&amp;BA664</f>
        <v>B0401-01</v>
      </c>
      <c r="AZ664" s="90"/>
      <c r="BA664" s="1" t="str">
        <f t="shared" si="351"/>
        <v/>
      </c>
      <c r="BC664" s="1">
        <f t="shared" si="326"/>
        <v>1</v>
      </c>
      <c r="BD664" s="90">
        <f t="shared" si="327"/>
        <v>1</v>
      </c>
      <c r="BE664" s="1">
        <f t="shared" si="354"/>
        <v>1</v>
      </c>
      <c r="BF664" s="1">
        <f t="shared" si="355"/>
        <v>1</v>
      </c>
    </row>
    <row r="665" spans="1:58" ht="11.25" customHeight="1">
      <c r="A665" s="26" t="s">
        <v>3365</v>
      </c>
      <c r="B665" s="27" t="s">
        <v>3366</v>
      </c>
      <c r="C665" s="28">
        <v>24.99</v>
      </c>
      <c r="D665" s="28">
        <f t="shared" si="342"/>
        <v>12.494999999999999</v>
      </c>
      <c r="E665" s="22" t="s">
        <v>3327</v>
      </c>
      <c r="F665" s="22" t="s">
        <v>3367</v>
      </c>
      <c r="G665" s="22" t="s">
        <v>3368</v>
      </c>
      <c r="H665" s="22" t="s">
        <v>3369</v>
      </c>
      <c r="I665" s="23" t="s">
        <v>2950</v>
      </c>
      <c r="J665" s="22" t="s">
        <v>646</v>
      </c>
      <c r="K665" s="23">
        <v>30</v>
      </c>
      <c r="L665" s="23">
        <v>8</v>
      </c>
      <c r="M665" s="23">
        <v>20</v>
      </c>
      <c r="N665" s="3">
        <f t="shared" si="356"/>
        <v>4.7999999999999996E-3</v>
      </c>
      <c r="O665" s="4" t="e">
        <f>(C665-(C665*#REF!))-((C665-(C665*#REF!))*#REF!)</f>
        <v>#REF!</v>
      </c>
      <c r="P665" s="7"/>
      <c r="Q665" s="7"/>
      <c r="R665" s="5">
        <f t="shared" si="357"/>
        <v>0</v>
      </c>
      <c r="S665" s="4">
        <f t="shared" si="358"/>
        <v>0</v>
      </c>
      <c r="T665" s="13">
        <f t="shared" si="343"/>
        <v>17.492999999999999</v>
      </c>
      <c r="U665" s="13">
        <f t="shared" si="352"/>
        <v>8.7464999999999993</v>
      </c>
      <c r="V665" s="14">
        <f>U665/C665</f>
        <v>0.35</v>
      </c>
      <c r="W665" s="14"/>
      <c r="X665" s="19">
        <f t="shared" si="359"/>
        <v>8.7464999999999993</v>
      </c>
      <c r="Y665" s="19">
        <f t="shared" si="360"/>
        <v>17.492999999999999</v>
      </c>
      <c r="Z665" s="15" t="e">
        <f t="shared" si="361"/>
        <v>#DIV/0!</v>
      </c>
      <c r="AA665" s="22" t="s">
        <v>3370</v>
      </c>
      <c r="AG665" s="94" t="s">
        <v>1169</v>
      </c>
      <c r="AH665" s="89" t="str">
        <f>VLOOKUP(AG665,Sheet1!$B$3:$D$36,2,FALSE)</f>
        <v>Decors</v>
      </c>
      <c r="AI665" s="89" t="s">
        <v>3331</v>
      </c>
      <c r="AJ665" s="1" t="str">
        <f t="shared" si="344"/>
        <v>Washco hanging toiletpapaer holder</v>
      </c>
      <c r="AK665" s="1" t="str">
        <f t="shared" si="345"/>
        <v>w30 x d8 x h20</v>
      </c>
      <c r="AL665" s="1" t="str">
        <f t="shared" si="346"/>
        <v>teak branches semi</v>
      </c>
      <c r="AM665" s="1" t="str">
        <f t="shared" si="347"/>
        <v>teak branches semi</v>
      </c>
      <c r="AN665" s="1" t="str">
        <f t="shared" si="353"/>
        <v>teak branches semi</v>
      </c>
      <c r="AQ665" s="1" t="str">
        <f t="shared" si="348"/>
        <v>B</v>
      </c>
      <c r="AR665" s="1" t="str">
        <f>VLOOKUP(TRIM(AI665),Sheet1!$D$3:$E$36,2,FALSE)</f>
        <v>04</v>
      </c>
      <c r="AS665" s="90" t="str">
        <f t="shared" si="349"/>
        <v>01</v>
      </c>
      <c r="AT665" s="1" t="str">
        <f t="shared" si="350"/>
        <v>01</v>
      </c>
      <c r="AU665" s="90" t="s">
        <v>664</v>
      </c>
      <c r="AV665" s="90"/>
      <c r="AW665" s="90"/>
      <c r="AX665" s="95" t="str">
        <f>AQ665&amp;AR665&amp;AS665&amp;"-"&amp;AT665&amp;AU665&amp;BA665</f>
        <v>B0401-0127</v>
      </c>
      <c r="AY665" s="99" t="str">
        <f>AQ665&amp;AR665&amp;AS665&amp;"-"&amp;AT665&amp;BA665</f>
        <v>B0401-01</v>
      </c>
      <c r="AZ665" s="90"/>
      <c r="BA665" s="1" t="str">
        <f t="shared" si="351"/>
        <v/>
      </c>
      <c r="BC665" s="1">
        <f t="shared" si="326"/>
        <v>1</v>
      </c>
      <c r="BD665" s="90">
        <f t="shared" si="327"/>
        <v>1</v>
      </c>
      <c r="BE665" s="1">
        <f t="shared" si="354"/>
        <v>1</v>
      </c>
      <c r="BF665" s="1">
        <f t="shared" si="355"/>
        <v>1</v>
      </c>
    </row>
    <row r="666" spans="1:58" ht="11.25" customHeight="1">
      <c r="A666" s="26" t="s">
        <v>3371</v>
      </c>
      <c r="B666" s="27" t="s">
        <v>3372</v>
      </c>
      <c r="C666" s="28">
        <v>44.99</v>
      </c>
      <c r="D666" s="28">
        <f t="shared" si="342"/>
        <v>22.495000000000001</v>
      </c>
      <c r="E666" s="22" t="s">
        <v>3327</v>
      </c>
      <c r="F666" s="22" t="s">
        <v>3373</v>
      </c>
      <c r="G666" s="22" t="s">
        <v>3374</v>
      </c>
      <c r="H666" s="22" t="s">
        <v>3375</v>
      </c>
      <c r="I666" s="23" t="s">
        <v>2950</v>
      </c>
      <c r="J666" s="22" t="s">
        <v>646</v>
      </c>
      <c r="K666" s="23">
        <v>45</v>
      </c>
      <c r="L666" s="23">
        <v>20</v>
      </c>
      <c r="M666" s="23">
        <v>60</v>
      </c>
      <c r="N666" s="3">
        <f t="shared" si="356"/>
        <v>5.3999999999999999E-2</v>
      </c>
      <c r="O666" s="4" t="e">
        <f>(C666-(C666*#REF!))-((C666-(C666*#REF!))*#REF!)</f>
        <v>#REF!</v>
      </c>
      <c r="P666" s="7"/>
      <c r="Q666" s="7"/>
      <c r="R666" s="5">
        <f t="shared" si="357"/>
        <v>0</v>
      </c>
      <c r="S666" s="4">
        <f t="shared" si="358"/>
        <v>0</v>
      </c>
      <c r="T666" s="13">
        <f t="shared" si="343"/>
        <v>31.493000000000002</v>
      </c>
      <c r="U666" s="13">
        <f t="shared" si="352"/>
        <v>15.746500000000001</v>
      </c>
      <c r="V666" s="14">
        <f>U666/C666</f>
        <v>0.35000000000000003</v>
      </c>
      <c r="W666" s="14"/>
      <c r="X666" s="19">
        <f t="shared" si="359"/>
        <v>15.746500000000001</v>
      </c>
      <c r="Y666" s="19">
        <f t="shared" si="360"/>
        <v>31.493000000000002</v>
      </c>
      <c r="Z666" s="15" t="e">
        <f t="shared" si="361"/>
        <v>#DIV/0!</v>
      </c>
      <c r="AA666" s="22" t="s">
        <v>3376</v>
      </c>
      <c r="AG666" s="94" t="s">
        <v>1169</v>
      </c>
      <c r="AH666" s="89" t="str">
        <f>VLOOKUP(AG666,Sheet1!$B$3:$D$36,2,FALSE)</f>
        <v>Decors</v>
      </c>
      <c r="AI666" s="89" t="s">
        <v>3331</v>
      </c>
      <c r="AJ666" s="1" t="str">
        <f t="shared" si="344"/>
        <v>Washco standing toiletpaper holder</v>
      </c>
      <c r="AK666" s="1" t="str">
        <f t="shared" si="345"/>
        <v>w45 x d20 x h60</v>
      </c>
      <c r="AL666" s="1" t="str">
        <f t="shared" si="346"/>
        <v>teak branches semi</v>
      </c>
      <c r="AM666" s="1" t="str">
        <f t="shared" si="347"/>
        <v>teak branches semi</v>
      </c>
      <c r="AN666" s="1" t="str">
        <f t="shared" si="353"/>
        <v>teak branches semi</v>
      </c>
      <c r="AQ666" s="1" t="str">
        <f t="shared" si="348"/>
        <v>B</v>
      </c>
      <c r="AR666" s="1" t="str">
        <f>VLOOKUP(TRIM(AI666),Sheet1!$D$3:$E$36,2,FALSE)</f>
        <v>04</v>
      </c>
      <c r="AS666" s="90" t="str">
        <f t="shared" si="349"/>
        <v>01</v>
      </c>
      <c r="AT666" s="1" t="str">
        <f t="shared" si="350"/>
        <v>01</v>
      </c>
      <c r="AU666" s="90" t="s">
        <v>664</v>
      </c>
      <c r="AV666" s="90"/>
      <c r="AW666" s="90"/>
      <c r="AX666" s="95" t="str">
        <f>AQ666&amp;AR666&amp;AS666&amp;"-"&amp;AT666&amp;AU666&amp;BA666</f>
        <v>B0401-0127</v>
      </c>
      <c r="AY666" s="99" t="str">
        <f>AQ666&amp;AR666&amp;AS666&amp;"-"&amp;AT666&amp;BA666</f>
        <v>B0401-01</v>
      </c>
      <c r="AZ666" s="90"/>
      <c r="BA666" s="1" t="str">
        <f t="shared" si="351"/>
        <v/>
      </c>
      <c r="BC666" s="1">
        <f t="shared" si="326"/>
        <v>1</v>
      </c>
      <c r="BD666" s="90">
        <f t="shared" si="327"/>
        <v>1</v>
      </c>
      <c r="BE666" s="1">
        <f t="shared" si="354"/>
        <v>1</v>
      </c>
      <c r="BF666" s="1">
        <f t="shared" si="355"/>
        <v>1</v>
      </c>
    </row>
    <row r="667" spans="1:58" ht="11.25" customHeight="1">
      <c r="A667" s="26" t="s">
        <v>3377</v>
      </c>
      <c r="B667" s="27" t="s">
        <v>2946</v>
      </c>
      <c r="C667" s="28">
        <v>124.99</v>
      </c>
      <c r="D667" s="28">
        <f t="shared" si="342"/>
        <v>62.494999999999997</v>
      </c>
      <c r="E667" s="22" t="s">
        <v>3327</v>
      </c>
      <c r="F667" s="22" t="s">
        <v>3378</v>
      </c>
      <c r="G667" s="22" t="s">
        <v>3379</v>
      </c>
      <c r="H667" s="22" t="s">
        <v>3380</v>
      </c>
      <c r="I667" s="23" t="s">
        <v>2950</v>
      </c>
      <c r="J667" s="22" t="s">
        <v>646</v>
      </c>
      <c r="K667" s="23">
        <v>65</v>
      </c>
      <c r="L667" s="23">
        <v>80</v>
      </c>
      <c r="M667" s="23">
        <v>157</v>
      </c>
      <c r="N667" s="3">
        <f t="shared" si="356"/>
        <v>0.81640000000000001</v>
      </c>
      <c r="O667" s="4" t="e">
        <f>(C667-(C667*#REF!))-((C667-(C667*#REF!))*#REF!)</f>
        <v>#REF!</v>
      </c>
      <c r="P667" s="7"/>
      <c r="Q667" s="7"/>
      <c r="R667" s="5">
        <f t="shared" si="357"/>
        <v>0</v>
      </c>
      <c r="S667" s="4">
        <f t="shared" si="358"/>
        <v>0</v>
      </c>
      <c r="T667" s="13">
        <f t="shared" si="343"/>
        <v>87.492999999999995</v>
      </c>
      <c r="U667" s="13">
        <f t="shared" si="352"/>
        <v>43.746499999999997</v>
      </c>
      <c r="V667" s="14">
        <f>U667/C667</f>
        <v>0.35</v>
      </c>
      <c r="W667" s="14"/>
      <c r="X667" s="19">
        <f t="shared" si="359"/>
        <v>43.746499999999997</v>
      </c>
      <c r="Y667" s="19">
        <f t="shared" si="360"/>
        <v>87.492999999999995</v>
      </c>
      <c r="Z667" s="15" t="e">
        <f t="shared" si="361"/>
        <v>#DIV/0!</v>
      </c>
      <c r="AA667" s="22" t="s">
        <v>3381</v>
      </c>
      <c r="AG667" s="94" t="s">
        <v>1169</v>
      </c>
      <c r="AH667" s="89" t="str">
        <f>VLOOKUP(AG667,Sheet1!$B$3:$D$36,2,FALSE)</f>
        <v>Decors</v>
      </c>
      <c r="AI667" s="89" t="s">
        <v>3331</v>
      </c>
      <c r="AJ667" s="1" t="str">
        <f t="shared" si="344"/>
        <v>Jagra towel hanger Hanging</v>
      </c>
      <c r="AK667" s="1" t="str">
        <f t="shared" si="345"/>
        <v>w65 x d80 x h157</v>
      </c>
      <c r="AL667" s="1" t="str">
        <f t="shared" si="346"/>
        <v>teak branches semi</v>
      </c>
      <c r="AM667" s="1" t="str">
        <f t="shared" si="347"/>
        <v>teak branches semi</v>
      </c>
      <c r="AN667" s="1" t="str">
        <f t="shared" si="353"/>
        <v>teak branches semi</v>
      </c>
      <c r="AQ667" s="1" t="str">
        <f t="shared" si="348"/>
        <v>B</v>
      </c>
      <c r="AR667" s="1" t="str">
        <f>VLOOKUP(TRIM(AI667),Sheet1!$D$3:$E$36,2,FALSE)</f>
        <v>04</v>
      </c>
      <c r="AS667" s="90" t="str">
        <f t="shared" si="349"/>
        <v>01</v>
      </c>
      <c r="AT667" s="1" t="str">
        <f t="shared" si="350"/>
        <v>01</v>
      </c>
      <c r="AU667" s="90" t="s">
        <v>664</v>
      </c>
      <c r="AV667" s="90"/>
      <c r="AW667" s="90"/>
      <c r="AX667" s="95" t="str">
        <f>AQ667&amp;AR667&amp;AS667&amp;"-"&amp;AT667&amp;AU667&amp;BA667</f>
        <v>B0401-0127</v>
      </c>
      <c r="AY667" s="99" t="str">
        <f>AQ667&amp;AR667&amp;AS667&amp;"-"&amp;AT667&amp;BA667</f>
        <v>B0401-01</v>
      </c>
      <c r="AZ667" s="90"/>
      <c r="BA667" s="1" t="str">
        <f t="shared" si="351"/>
        <v/>
      </c>
      <c r="BC667" s="1">
        <f t="shared" si="326"/>
        <v>1</v>
      </c>
      <c r="BD667" s="90">
        <f t="shared" si="327"/>
        <v>1</v>
      </c>
      <c r="BE667" s="1">
        <f t="shared" si="354"/>
        <v>1</v>
      </c>
      <c r="BF667" s="1">
        <f t="shared" si="355"/>
        <v>1</v>
      </c>
    </row>
    <row r="668" spans="1:58" ht="11.25" customHeight="1">
      <c r="A668" s="26" t="s">
        <v>3382</v>
      </c>
      <c r="B668" s="27" t="s">
        <v>2953</v>
      </c>
      <c r="C668" s="28">
        <v>124.99</v>
      </c>
      <c r="D668" s="28">
        <f t="shared" si="342"/>
        <v>62.494999999999997</v>
      </c>
      <c r="E668" s="22" t="s">
        <v>3327</v>
      </c>
      <c r="F668" s="22" t="s">
        <v>3383</v>
      </c>
      <c r="G668" s="22" t="s">
        <v>3384</v>
      </c>
      <c r="H668" s="22" t="s">
        <v>2949</v>
      </c>
      <c r="I668" s="23" t="s">
        <v>2950</v>
      </c>
      <c r="J668" s="22" t="s">
        <v>646</v>
      </c>
      <c r="K668" s="23">
        <v>65</v>
      </c>
      <c r="L668" s="23">
        <v>80</v>
      </c>
      <c r="M668" s="23">
        <v>157</v>
      </c>
      <c r="N668" s="3">
        <f t="shared" si="356"/>
        <v>0.81640000000000001</v>
      </c>
      <c r="O668" s="4" t="e">
        <f>(C668-(C668*#REF!))-((C668-(C668*#REF!))*#REF!)</f>
        <v>#REF!</v>
      </c>
      <c r="P668" s="7">
        <f>273029.412748667-Q668</f>
        <v>73029.412748667004</v>
      </c>
      <c r="Q668" s="7">
        <v>200000</v>
      </c>
      <c r="R668" s="5">
        <f t="shared" si="357"/>
        <v>273029.412748667</v>
      </c>
      <c r="S668" s="4">
        <f t="shared" si="358"/>
        <v>18.201960849911135</v>
      </c>
      <c r="T668" s="13">
        <f t="shared" si="343"/>
        <v>87.492999999999995</v>
      </c>
      <c r="U668" s="13">
        <f t="shared" si="352"/>
        <v>43.746499999999997</v>
      </c>
      <c r="V668" s="14">
        <f>U668/C668</f>
        <v>0.35</v>
      </c>
      <c r="W668" s="14"/>
      <c r="X668" s="19">
        <f t="shared" si="359"/>
        <v>43.746499999999997</v>
      </c>
      <c r="Y668" s="19">
        <f t="shared" si="360"/>
        <v>87.492999999999995</v>
      </c>
      <c r="Z668" s="15">
        <f t="shared" si="361"/>
        <v>2.4033949067753091</v>
      </c>
      <c r="AA668" s="22" t="s">
        <v>3385</v>
      </c>
      <c r="AG668" s="94" t="s">
        <v>1169</v>
      </c>
      <c r="AH668" s="89" t="str">
        <f>VLOOKUP(AG668,Sheet1!$B$3:$D$36,2,FALSE)</f>
        <v>Decors</v>
      </c>
      <c r="AI668" s="89" t="s">
        <v>3331</v>
      </c>
      <c r="AJ668" s="1" t="str">
        <f t="shared" si="344"/>
        <v>Jagra towel hanger Standing</v>
      </c>
      <c r="AK668" s="1" t="str">
        <f t="shared" si="345"/>
        <v>w65 x d80 x h157</v>
      </c>
      <c r="AL668" s="1" t="str">
        <f t="shared" si="346"/>
        <v>teak branches semi</v>
      </c>
      <c r="AM668" s="1" t="str">
        <f t="shared" si="347"/>
        <v>teak branches semi</v>
      </c>
      <c r="AN668" s="1" t="str">
        <f t="shared" si="353"/>
        <v>teak branches semi</v>
      </c>
      <c r="AQ668" s="1" t="str">
        <f t="shared" si="348"/>
        <v>B</v>
      </c>
      <c r="AR668" s="1" t="str">
        <f>VLOOKUP(TRIM(AI668),Sheet1!$D$3:$E$36,2,FALSE)</f>
        <v>04</v>
      </c>
      <c r="AS668" s="90" t="str">
        <f t="shared" si="349"/>
        <v>01</v>
      </c>
      <c r="AT668" s="1" t="str">
        <f t="shared" si="350"/>
        <v>02</v>
      </c>
      <c r="AU668" s="90" t="s">
        <v>664</v>
      </c>
      <c r="AV668" s="90"/>
      <c r="AW668" s="90"/>
      <c r="AX668" s="95" t="str">
        <f>AQ668&amp;AR668&amp;AS668&amp;"-"&amp;AT668&amp;AU668&amp;BA668</f>
        <v>B0401-0227</v>
      </c>
      <c r="AY668" s="99" t="str">
        <f>AQ668&amp;AR668&amp;AS668&amp;"-"&amp;AT668&amp;BA668</f>
        <v>B0401-02</v>
      </c>
      <c r="AZ668" s="90"/>
      <c r="BA668" s="1" t="str">
        <f t="shared" si="351"/>
        <v/>
      </c>
      <c r="BC668" s="1">
        <f t="shared" si="326"/>
        <v>1</v>
      </c>
      <c r="BD668" s="90">
        <f t="shared" si="327"/>
        <v>1</v>
      </c>
      <c r="BE668" s="1" t="str">
        <f t="shared" si="354"/>
        <v/>
      </c>
      <c r="BF668" s="1">
        <f t="shared" si="355"/>
        <v>2</v>
      </c>
    </row>
    <row r="669" spans="1:58" ht="11.25" customHeight="1">
      <c r="A669" s="26" t="s">
        <v>3012</v>
      </c>
      <c r="B669" s="27" t="s">
        <v>3013</v>
      </c>
      <c r="C669" s="28">
        <v>24.99</v>
      </c>
      <c r="D669" s="28">
        <f t="shared" si="342"/>
        <v>12.494999999999999</v>
      </c>
      <c r="E669" s="22" t="s">
        <v>3327</v>
      </c>
      <c r="F669" s="22" t="s">
        <v>3386</v>
      </c>
      <c r="G669" s="22" t="s">
        <v>3387</v>
      </c>
      <c r="H669" s="22" t="s">
        <v>3016</v>
      </c>
      <c r="I669" s="23" t="s">
        <v>2955</v>
      </c>
      <c r="J669" s="22" t="s">
        <v>646</v>
      </c>
      <c r="K669" s="23">
        <v>40</v>
      </c>
      <c r="L669" s="23">
        <v>2.4</v>
      </c>
      <c r="N669" s="3">
        <f t="shared" si="356"/>
        <v>0</v>
      </c>
      <c r="O669" s="4" t="e">
        <f>(C669-(C669*#REF!))-((C669-(C669*#REF!))*#REF!)</f>
        <v>#REF!</v>
      </c>
      <c r="P669" s="7"/>
      <c r="Q669" s="7"/>
      <c r="R669" s="5">
        <f t="shared" si="357"/>
        <v>0</v>
      </c>
      <c r="S669" s="4">
        <f t="shared" si="358"/>
        <v>0</v>
      </c>
      <c r="T669" s="13">
        <f t="shared" si="343"/>
        <v>17.492999999999999</v>
      </c>
      <c r="U669" s="13">
        <f t="shared" si="352"/>
        <v>8.7464999999999993</v>
      </c>
      <c r="V669" s="14">
        <f>U669/C669</f>
        <v>0.35</v>
      </c>
      <c r="W669" s="14"/>
      <c r="X669" s="19">
        <f t="shared" si="359"/>
        <v>8.7464999999999993</v>
      </c>
      <c r="Y669" s="19">
        <f t="shared" si="360"/>
        <v>17.492999999999999</v>
      </c>
      <c r="Z669" s="15" t="e">
        <f t="shared" si="361"/>
        <v>#DIV/0!</v>
      </c>
      <c r="AA669" s="22" t="s">
        <v>3388</v>
      </c>
      <c r="AG669" s="94" t="s">
        <v>1169</v>
      </c>
      <c r="AH669" s="89" t="str">
        <f>VLOOKUP(AG669,Sheet1!$B$3:$D$36,2,FALSE)</f>
        <v>Decors</v>
      </c>
      <c r="AI669" s="89" t="s">
        <v>3331</v>
      </c>
      <c r="AJ669" s="1" t="str">
        <f t="shared" si="344"/>
        <v>Ivan coat hanger rustic</v>
      </c>
      <c r="AK669" s="1" t="str">
        <f t="shared" si="345"/>
        <v>w40 x d2,4</v>
      </c>
      <c r="AL669" s="1" t="str">
        <f t="shared" si="346"/>
        <v>teak branches
semi</v>
      </c>
      <c r="AM669" s="1" t="str">
        <f t="shared" si="347"/>
        <v>teak branches
semi</v>
      </c>
      <c r="AN669" s="1" t="str">
        <f t="shared" si="353"/>
        <v>teak branches
semi</v>
      </c>
      <c r="AQ669" s="1" t="str">
        <f t="shared" si="348"/>
        <v>B</v>
      </c>
      <c r="AR669" s="1" t="str">
        <f>VLOOKUP(TRIM(AI669),Sheet1!$D$3:$E$36,2,FALSE)</f>
        <v>04</v>
      </c>
      <c r="AS669" s="90" t="str">
        <f t="shared" si="349"/>
        <v>01</v>
      </c>
      <c r="AT669" s="1" t="str">
        <f t="shared" si="350"/>
        <v>01</v>
      </c>
      <c r="AU669" s="90" t="s">
        <v>664</v>
      </c>
      <c r="AV669" s="90"/>
      <c r="AW669" s="90"/>
      <c r="AX669" s="95" t="str">
        <f>AQ669&amp;AR669&amp;AS669&amp;"-"&amp;AT669&amp;AU669&amp;BA669</f>
        <v>B0401-0127</v>
      </c>
      <c r="AY669" s="99" t="str">
        <f>AQ669&amp;AR669&amp;AS669&amp;"-"&amp;AT669&amp;BA669</f>
        <v>B0401-01</v>
      </c>
      <c r="AZ669" s="90"/>
      <c r="BA669" s="1" t="str">
        <f t="shared" si="351"/>
        <v/>
      </c>
      <c r="BC669" s="1">
        <f t="shared" si="326"/>
        <v>1</v>
      </c>
      <c r="BD669" s="90">
        <f t="shared" si="327"/>
        <v>1</v>
      </c>
      <c r="BE669" s="1">
        <f t="shared" si="354"/>
        <v>1</v>
      </c>
      <c r="BF669" s="1">
        <f t="shared" si="355"/>
        <v>1</v>
      </c>
    </row>
    <row r="670" spans="1:58" ht="11.25" customHeight="1">
      <c r="A670" s="26" t="s">
        <v>3018</v>
      </c>
      <c r="B670" s="27" t="s">
        <v>3019</v>
      </c>
      <c r="C670" s="28">
        <v>44.99</v>
      </c>
      <c r="D670" s="28">
        <f t="shared" si="342"/>
        <v>22.495000000000001</v>
      </c>
      <c r="E670" s="22" t="s">
        <v>3327</v>
      </c>
      <c r="F670" s="22" t="s">
        <v>3389</v>
      </c>
      <c r="G670" s="22" t="s">
        <v>3390</v>
      </c>
      <c r="H670" s="22" t="s">
        <v>3022</v>
      </c>
      <c r="I670" s="23" t="s">
        <v>2950</v>
      </c>
      <c r="J670" s="22" t="s">
        <v>646</v>
      </c>
      <c r="K670" s="23">
        <v>47</v>
      </c>
      <c r="L670" s="23">
        <v>2.4</v>
      </c>
      <c r="M670" s="23">
        <v>23</v>
      </c>
      <c r="N670" s="3">
        <f t="shared" si="356"/>
        <v>2.5944000000000002E-3</v>
      </c>
      <c r="O670" s="4" t="e">
        <f>(C670-(C670*#REF!))-((C670-(C670*#REF!))*#REF!)</f>
        <v>#REF!</v>
      </c>
      <c r="P670" s="7"/>
      <c r="Q670" s="7"/>
      <c r="R670" s="5">
        <f t="shared" si="357"/>
        <v>0</v>
      </c>
      <c r="S670" s="4">
        <f t="shared" si="358"/>
        <v>0</v>
      </c>
      <c r="T670" s="13">
        <f t="shared" si="343"/>
        <v>31.493000000000002</v>
      </c>
      <c r="U670" s="13">
        <f t="shared" si="352"/>
        <v>15.746500000000001</v>
      </c>
      <c r="V670" s="14">
        <f>U670/C670</f>
        <v>0.35000000000000003</v>
      </c>
      <c r="W670" s="14"/>
      <c r="X670" s="19">
        <f t="shared" si="359"/>
        <v>15.746500000000001</v>
      </c>
      <c r="Y670" s="19">
        <f t="shared" si="360"/>
        <v>31.493000000000002</v>
      </c>
      <c r="Z670" s="15" t="e">
        <f t="shared" si="361"/>
        <v>#DIV/0!</v>
      </c>
      <c r="AA670" s="22" t="s">
        <v>3391</v>
      </c>
      <c r="AG670" s="94" t="s">
        <v>1169</v>
      </c>
      <c r="AH670" s="89" t="str">
        <f>VLOOKUP(AG670,Sheet1!$B$3:$D$36,2,FALSE)</f>
        <v>Decors</v>
      </c>
      <c r="AI670" s="89" t="s">
        <v>3331</v>
      </c>
      <c r="AJ670" s="1" t="str">
        <f t="shared" si="344"/>
        <v>Ivan coat hanger root</v>
      </c>
      <c r="AK670" s="1" t="str">
        <f t="shared" si="345"/>
        <v>w47 x d2,4 x h23</v>
      </c>
      <c r="AL670" s="1" t="str">
        <f t="shared" si="346"/>
        <v>teak branches semi</v>
      </c>
      <c r="AM670" s="1" t="str">
        <f t="shared" si="347"/>
        <v>teak branches semi</v>
      </c>
      <c r="AN670" s="1" t="str">
        <f t="shared" si="353"/>
        <v>teak branches semi</v>
      </c>
      <c r="AQ670" s="1" t="str">
        <f t="shared" si="348"/>
        <v>B</v>
      </c>
      <c r="AR670" s="1" t="str">
        <f>VLOOKUP(TRIM(AI670),Sheet1!$D$3:$E$36,2,FALSE)</f>
        <v>04</v>
      </c>
      <c r="AS670" s="90" t="str">
        <f t="shared" si="349"/>
        <v>01</v>
      </c>
      <c r="AT670" s="1" t="str">
        <f t="shared" si="350"/>
        <v>01</v>
      </c>
      <c r="AU670" s="90" t="s">
        <v>664</v>
      </c>
      <c r="AV670" s="90"/>
      <c r="AW670" s="90"/>
      <c r="AX670" s="95" t="str">
        <f>AQ670&amp;AR670&amp;AS670&amp;"-"&amp;AT670&amp;AU670&amp;BA670</f>
        <v>B0401-0127</v>
      </c>
      <c r="AY670" s="99" t="str">
        <f>AQ670&amp;AR670&amp;AS670&amp;"-"&amp;AT670&amp;BA670</f>
        <v>B0401-01</v>
      </c>
      <c r="AZ670" s="90"/>
      <c r="BA670" s="1" t="str">
        <f t="shared" si="351"/>
        <v/>
      </c>
      <c r="BC670" s="1">
        <f t="shared" si="326"/>
        <v>1</v>
      </c>
      <c r="BD670" s="90">
        <f t="shared" si="327"/>
        <v>1</v>
      </c>
      <c r="BE670" s="1">
        <f t="shared" si="354"/>
        <v>1</v>
      </c>
      <c r="BF670" s="1">
        <f t="shared" si="355"/>
        <v>1</v>
      </c>
    </row>
    <row r="671" spans="1:58" ht="11.25" customHeight="1">
      <c r="A671" s="26">
        <v>33019</v>
      </c>
      <c r="B671" s="27" t="s">
        <v>3392</v>
      </c>
      <c r="C671" s="28">
        <v>5.99</v>
      </c>
      <c r="D671" s="28">
        <f t="shared" si="342"/>
        <v>2.9950000000000001</v>
      </c>
      <c r="E671" s="22" t="s">
        <v>3327</v>
      </c>
      <c r="F671" s="22" t="s">
        <v>3393</v>
      </c>
      <c r="G671" s="22" t="s">
        <v>3394</v>
      </c>
      <c r="H671" s="22" t="s">
        <v>3395</v>
      </c>
      <c r="I671" s="23" t="s">
        <v>3396</v>
      </c>
      <c r="J671" s="22" t="s">
        <v>646</v>
      </c>
      <c r="K671" s="23">
        <v>44</v>
      </c>
      <c r="L671" s="23">
        <v>2</v>
      </c>
      <c r="M671" s="23">
        <v>23</v>
      </c>
      <c r="N671" s="3">
        <f t="shared" si="356"/>
        <v>2.0240000000000002E-3</v>
      </c>
      <c r="O671" s="4" t="e">
        <f>(C671-(C671*#REF!))-((C671-(C671*#REF!))*#REF!)</f>
        <v>#REF!</v>
      </c>
      <c r="P671" s="7"/>
      <c r="Q671" s="7"/>
      <c r="R671" s="5">
        <f t="shared" si="357"/>
        <v>0</v>
      </c>
      <c r="S671" s="4">
        <f t="shared" si="358"/>
        <v>0</v>
      </c>
      <c r="T671" s="13">
        <f t="shared" si="343"/>
        <v>4.1930000000000005</v>
      </c>
      <c r="U671" s="13">
        <f t="shared" si="352"/>
        <v>2.0965000000000003</v>
      </c>
      <c r="V671" s="14">
        <f>U671/C671</f>
        <v>0.35000000000000003</v>
      </c>
      <c r="W671" s="14"/>
      <c r="X671" s="19">
        <f t="shared" si="359"/>
        <v>2.0965000000000003</v>
      </c>
      <c r="Y671" s="19">
        <f t="shared" si="360"/>
        <v>4.1930000000000005</v>
      </c>
      <c r="Z671" s="15" t="e">
        <f t="shared" si="361"/>
        <v>#DIV/0!</v>
      </c>
      <c r="AA671" s="22" t="s">
        <v>3397</v>
      </c>
      <c r="AG671" s="94" t="s">
        <v>1169</v>
      </c>
      <c r="AH671" s="89" t="str">
        <f>VLOOKUP(AG671,Sheet1!$B$3:$D$36,2,FALSE)</f>
        <v>Decors</v>
      </c>
      <c r="AI671" s="89" t="s">
        <v>3331</v>
      </c>
      <c r="AJ671" s="1" t="str">
        <f t="shared" si="344"/>
        <v>Ivan cloth hanger</v>
      </c>
      <c r="AK671" s="1" t="str">
        <f t="shared" si="345"/>
        <v>w44 x d2 x h23</v>
      </c>
      <c r="AL671" s="1" t="str">
        <f t="shared" si="346"/>
        <v>cl &amp; rope semi</v>
      </c>
      <c r="AM671" s="1" t="str">
        <f t="shared" si="347"/>
        <v>cl &amp; rope semi</v>
      </c>
      <c r="AN671" s="1" t="str">
        <f t="shared" si="353"/>
        <v>cl &amp; rope semi</v>
      </c>
      <c r="AQ671" s="1" t="str">
        <f t="shared" si="348"/>
        <v>B</v>
      </c>
      <c r="AR671" s="1" t="str">
        <f>VLOOKUP(TRIM(AI671),Sheet1!$D$3:$E$36,2,FALSE)</f>
        <v>04</v>
      </c>
      <c r="AS671" s="90" t="str">
        <f t="shared" si="349"/>
        <v>01</v>
      </c>
      <c r="AT671" s="1" t="str">
        <f t="shared" si="350"/>
        <v>01</v>
      </c>
      <c r="AU671" s="90" t="s">
        <v>3398</v>
      </c>
      <c r="AV671" s="90"/>
      <c r="AW671" s="90"/>
      <c r="AX671" s="95" t="str">
        <f>AQ671&amp;AR671&amp;AS671&amp;"-"&amp;AT671&amp;AU671&amp;BA671</f>
        <v>B0401-0136</v>
      </c>
      <c r="AY671" s="99" t="str">
        <f>AQ671&amp;AR671&amp;AS671&amp;"-"&amp;AT671&amp;BA671</f>
        <v>B0401-01</v>
      </c>
      <c r="AZ671" s="90"/>
      <c r="BA671" s="1" t="str">
        <f t="shared" si="351"/>
        <v/>
      </c>
      <c r="BC671" s="1">
        <f t="shared" si="326"/>
        <v>1</v>
      </c>
      <c r="BD671" s="90">
        <f t="shared" si="327"/>
        <v>1</v>
      </c>
      <c r="BE671" s="1">
        <f t="shared" si="354"/>
        <v>1</v>
      </c>
      <c r="BF671" s="1">
        <f t="shared" si="355"/>
        <v>1</v>
      </c>
    </row>
    <row r="672" spans="1:58" ht="11.25" customHeight="1">
      <c r="A672" s="26" t="s">
        <v>2957</v>
      </c>
      <c r="B672" s="27" t="s">
        <v>2958</v>
      </c>
      <c r="C672" s="28">
        <v>179.99</v>
      </c>
      <c r="D672" s="28">
        <f t="shared" si="342"/>
        <v>89.995000000000005</v>
      </c>
      <c r="E672" s="22" t="s">
        <v>3327</v>
      </c>
      <c r="F672" s="22" t="s">
        <v>3399</v>
      </c>
      <c r="G672" s="22" t="s">
        <v>3400</v>
      </c>
      <c r="H672" s="22" t="s">
        <v>3401</v>
      </c>
      <c r="I672" s="23" t="s">
        <v>2950</v>
      </c>
      <c r="J672" s="22" t="s">
        <v>646</v>
      </c>
      <c r="K672" s="23">
        <v>40</v>
      </c>
      <c r="L672" s="23">
        <v>40</v>
      </c>
      <c r="M672" s="23">
        <v>176</v>
      </c>
      <c r="N672" s="3">
        <f t="shared" si="356"/>
        <v>0.28160000000000002</v>
      </c>
      <c r="O672" s="4" t="e">
        <f>(C672-(C672*#REF!))-((C672-(C672*#REF!))*#REF!)</f>
        <v>#REF!</v>
      </c>
      <c r="P672" s="7"/>
      <c r="Q672" s="7"/>
      <c r="R672" s="5">
        <f t="shared" si="357"/>
        <v>0</v>
      </c>
      <c r="S672" s="4">
        <f t="shared" si="358"/>
        <v>0</v>
      </c>
      <c r="T672" s="13">
        <f t="shared" si="343"/>
        <v>125.99300000000001</v>
      </c>
      <c r="U672" s="13">
        <f t="shared" si="352"/>
        <v>62.996500000000005</v>
      </c>
      <c r="V672" s="14">
        <f>U672/C672</f>
        <v>0.35000000000000003</v>
      </c>
      <c r="W672" s="14"/>
      <c r="X672" s="19">
        <f t="shared" si="359"/>
        <v>62.996500000000005</v>
      </c>
      <c r="Y672" s="19">
        <f t="shared" si="360"/>
        <v>125.99300000000001</v>
      </c>
      <c r="Z672" s="15" t="e">
        <f t="shared" si="361"/>
        <v>#DIV/0!</v>
      </c>
      <c r="AA672" s="22" t="s">
        <v>3402</v>
      </c>
      <c r="AG672" s="94" t="s">
        <v>1169</v>
      </c>
      <c r="AH672" s="89" t="str">
        <f>VLOOKUP(AG672,Sheet1!$B$3:$D$36,2,FALSE)</f>
        <v>Decors</v>
      </c>
      <c r="AI672" s="89" t="s">
        <v>3331</v>
      </c>
      <c r="AJ672" s="1" t="str">
        <f t="shared" si="344"/>
        <v>Ivan hat holder</v>
      </c>
      <c r="AK672" s="1" t="str">
        <f t="shared" si="345"/>
        <v>w40 x d40 x h176</v>
      </c>
      <c r="AL672" s="1" t="str">
        <f t="shared" si="346"/>
        <v>teak branches semi</v>
      </c>
      <c r="AM672" s="1" t="str">
        <f t="shared" si="347"/>
        <v>teak branches semi</v>
      </c>
      <c r="AN672" s="1" t="str">
        <f t="shared" si="353"/>
        <v>teak branches semi</v>
      </c>
      <c r="AQ672" s="1" t="str">
        <f t="shared" si="348"/>
        <v>B</v>
      </c>
      <c r="AR672" s="1" t="str">
        <f>VLOOKUP(TRIM(AI672),Sheet1!$D$3:$E$36,2,FALSE)</f>
        <v>04</v>
      </c>
      <c r="AS672" s="90" t="str">
        <f t="shared" si="349"/>
        <v>01</v>
      </c>
      <c r="AT672" s="1" t="str">
        <f t="shared" si="350"/>
        <v>01</v>
      </c>
      <c r="AU672" s="90" t="s">
        <v>664</v>
      </c>
      <c r="AV672" s="90"/>
      <c r="AW672" s="90"/>
      <c r="AX672" s="95" t="str">
        <f>AQ672&amp;AR672&amp;AS672&amp;"-"&amp;AT672&amp;AU672&amp;BA672</f>
        <v>B0401-0127</v>
      </c>
      <c r="AY672" s="99" t="str">
        <f>AQ672&amp;AR672&amp;AS672&amp;"-"&amp;AT672&amp;BA672</f>
        <v>B0401-01</v>
      </c>
      <c r="AZ672" s="90"/>
      <c r="BA672" s="1" t="str">
        <f t="shared" si="351"/>
        <v/>
      </c>
      <c r="BC672" s="1">
        <f t="shared" si="326"/>
        <v>1</v>
      </c>
      <c r="BD672" s="90">
        <f t="shared" si="327"/>
        <v>1</v>
      </c>
      <c r="BE672" s="1">
        <f t="shared" si="354"/>
        <v>1</v>
      </c>
      <c r="BF672" s="1">
        <f t="shared" si="355"/>
        <v>1</v>
      </c>
    </row>
    <row r="673" spans="1:58" ht="11.25" customHeight="1">
      <c r="A673" s="26" t="s">
        <v>2963</v>
      </c>
      <c r="B673" s="27" t="s">
        <v>2964</v>
      </c>
      <c r="C673" s="28">
        <v>206.99</v>
      </c>
      <c r="D673" s="28">
        <f t="shared" si="342"/>
        <v>103.495</v>
      </c>
      <c r="E673" s="22" t="s">
        <v>3327</v>
      </c>
      <c r="F673" s="22" t="s">
        <v>3403</v>
      </c>
      <c r="G673" s="22" t="s">
        <v>3404</v>
      </c>
      <c r="H673" s="22" t="s">
        <v>2967</v>
      </c>
      <c r="I673" s="23" t="s">
        <v>2407</v>
      </c>
      <c r="J673" s="22" t="s">
        <v>646</v>
      </c>
      <c r="L673" s="23">
        <v>30</v>
      </c>
      <c r="M673" s="23">
        <v>200</v>
      </c>
      <c r="N673" s="3">
        <f t="shared" si="356"/>
        <v>0.18</v>
      </c>
      <c r="O673" s="4" t="e">
        <f>(C673-(C673*#REF!))-((C673-(C673*#REF!))*#REF!)</f>
        <v>#REF!</v>
      </c>
      <c r="P673" s="7"/>
      <c r="Q673" s="7"/>
      <c r="R673" s="5">
        <f t="shared" si="357"/>
        <v>0</v>
      </c>
      <c r="S673" s="4">
        <f t="shared" si="358"/>
        <v>0</v>
      </c>
      <c r="T673" s="13">
        <f t="shared" si="343"/>
        <v>144.893</v>
      </c>
      <c r="U673" s="13">
        <f t="shared" si="352"/>
        <v>72.4465</v>
      </c>
      <c r="V673" s="14">
        <f>U673/C673</f>
        <v>0.35</v>
      </c>
      <c r="W673" s="14"/>
      <c r="X673" s="19">
        <f t="shared" si="359"/>
        <v>72.4465</v>
      </c>
      <c r="Y673" s="19">
        <f t="shared" si="360"/>
        <v>144.893</v>
      </c>
      <c r="Z673" s="15" t="e">
        <f t="shared" si="361"/>
        <v>#DIV/0!</v>
      </c>
      <c r="AA673" s="22" t="s">
        <v>3405</v>
      </c>
      <c r="AG673" s="94" t="s">
        <v>1169</v>
      </c>
      <c r="AH673" s="89" t="str">
        <f>VLOOKUP(AG673,Sheet1!$B$3:$D$36,2,FALSE)</f>
        <v>Decors</v>
      </c>
      <c r="AI673" s="89" t="s">
        <v>3331</v>
      </c>
      <c r="AJ673" s="1" t="str">
        <f t="shared" si="344"/>
        <v>Ivan coat holder</v>
      </c>
      <c r="AK673" s="1" t="str">
        <f t="shared" si="345"/>
        <v>ø30 x h200</v>
      </c>
      <c r="AL673" s="1" t="str">
        <f t="shared" si="346"/>
        <v>teak root indoor</v>
      </c>
      <c r="AM673" s="1" t="str">
        <f t="shared" si="347"/>
        <v>teak root indoor</v>
      </c>
      <c r="AN673" s="1" t="str">
        <f>SUBSTITUTE(AL673,"indoor","")</f>
        <v xml:space="preserve">teak root </v>
      </c>
      <c r="AO673" s="1" t="s">
        <v>54</v>
      </c>
      <c r="AQ673" s="1" t="str">
        <f t="shared" si="348"/>
        <v>B</v>
      </c>
      <c r="AR673" s="1" t="str">
        <f>VLOOKUP(TRIM(AI673),Sheet1!$D$3:$E$36,2,FALSE)</f>
        <v>04</v>
      </c>
      <c r="AS673" s="90" t="str">
        <f t="shared" si="349"/>
        <v>01</v>
      </c>
      <c r="AT673" s="1" t="str">
        <f t="shared" si="350"/>
        <v>01</v>
      </c>
      <c r="AU673" s="90" t="s">
        <v>648</v>
      </c>
      <c r="AV673" s="90"/>
      <c r="AW673" s="90"/>
      <c r="AX673" s="95" t="str">
        <f>AQ673&amp;AR673&amp;AS673&amp;"-"&amp;AT673&amp;AU673&amp;BA673</f>
        <v>B0401-0132IND</v>
      </c>
      <c r="AY673" s="99" t="str">
        <f>AQ673&amp;AR673&amp;AS673&amp;"-"&amp;AT673&amp;BA673</f>
        <v>B0401-01IND</v>
      </c>
      <c r="AZ673" s="90"/>
      <c r="BA673" s="1" t="str">
        <f t="shared" si="351"/>
        <v>IND</v>
      </c>
      <c r="BC673" s="1">
        <f t="shared" si="326"/>
        <v>1</v>
      </c>
      <c r="BD673" s="90">
        <f t="shared" si="327"/>
        <v>1</v>
      </c>
      <c r="BE673" s="1">
        <f t="shared" si="354"/>
        <v>1</v>
      </c>
      <c r="BF673" s="1">
        <f t="shared" si="355"/>
        <v>1</v>
      </c>
    </row>
    <row r="674" spans="1:58" ht="11.25" customHeight="1">
      <c r="A674" s="26" t="s">
        <v>2989</v>
      </c>
      <c r="B674" s="27" t="s">
        <v>2990</v>
      </c>
      <c r="C674" s="28">
        <v>319.99</v>
      </c>
      <c r="D674" s="28">
        <f t="shared" si="342"/>
        <v>159.995</v>
      </c>
      <c r="E674" s="22" t="s">
        <v>3327</v>
      </c>
      <c r="F674" s="22" t="s">
        <v>3406</v>
      </c>
      <c r="G674" s="22" t="s">
        <v>3407</v>
      </c>
      <c r="H674" s="22" t="s">
        <v>2993</v>
      </c>
      <c r="I674" s="23" t="s">
        <v>2994</v>
      </c>
      <c r="J674" s="22" t="s">
        <v>3408</v>
      </c>
      <c r="K674" s="23">
        <v>40</v>
      </c>
      <c r="L674" s="23">
        <v>30</v>
      </c>
      <c r="M674" s="23">
        <v>195</v>
      </c>
      <c r="N674" s="3">
        <f t="shared" si="356"/>
        <v>0.23400000000000001</v>
      </c>
      <c r="O674" s="4" t="e">
        <f>(C674-(C674*#REF!))-((C674-(C674*#REF!))*#REF!)</f>
        <v>#REF!</v>
      </c>
      <c r="P674" s="7"/>
      <c r="Q674" s="7"/>
      <c r="R674" s="5">
        <f t="shared" si="357"/>
        <v>0</v>
      </c>
      <c r="S674" s="4">
        <f t="shared" si="358"/>
        <v>0</v>
      </c>
      <c r="T674" s="13">
        <f t="shared" si="343"/>
        <v>223.99299999999999</v>
      </c>
      <c r="U674" s="13">
        <f t="shared" si="352"/>
        <v>111.9965</v>
      </c>
      <c r="V674" s="14">
        <f>U674/C674</f>
        <v>0.35</v>
      </c>
      <c r="W674" s="14"/>
      <c r="X674" s="19">
        <f t="shared" si="359"/>
        <v>111.9965</v>
      </c>
      <c r="Y674" s="19">
        <f t="shared" si="360"/>
        <v>223.99299999999999</v>
      </c>
      <c r="Z674" s="15" t="e">
        <f t="shared" si="361"/>
        <v>#DIV/0!</v>
      </c>
      <c r="AA674" s="22" t="s">
        <v>3409</v>
      </c>
      <c r="AG674" s="94" t="s">
        <v>1169</v>
      </c>
      <c r="AH674" s="89" t="str">
        <f>VLOOKUP(AG674,Sheet1!$B$3:$D$36,2,FALSE)</f>
        <v>Decors</v>
      </c>
      <c r="AI674" s="89" t="s">
        <v>3331</v>
      </c>
      <c r="AJ674" s="1" t="str">
        <f t="shared" si="344"/>
        <v>Ivan coat hanger</v>
      </c>
      <c r="AK674" s="1" t="str">
        <f t="shared" si="345"/>
        <v>w40 x d30 x h195</v>
      </c>
      <c r="AL674" s="1" t="str">
        <f t="shared" si="346"/>
        <v>teak original semi</v>
      </c>
      <c r="AM674" s="1" t="str">
        <f t="shared" si="347"/>
        <v>teak original semi</v>
      </c>
      <c r="AN674" s="1" t="str">
        <f t="shared" ref="AN674" si="362">SUBSTITUTE(AL674,"indoor","")</f>
        <v>teak original semi</v>
      </c>
      <c r="AQ674" s="1" t="str">
        <f t="shared" si="348"/>
        <v>B</v>
      </c>
      <c r="AR674" s="1" t="str">
        <f>VLOOKUP(TRIM(AI674),Sheet1!$D$3:$E$36,2,FALSE)</f>
        <v>04</v>
      </c>
      <c r="AS674" s="90" t="str">
        <f t="shared" si="349"/>
        <v>01</v>
      </c>
      <c r="AT674" s="1" t="str">
        <f t="shared" si="350"/>
        <v>01</v>
      </c>
      <c r="AU674" s="90" t="s">
        <v>119</v>
      </c>
      <c r="AV674" s="90"/>
      <c r="AW674" s="90"/>
      <c r="AX674" s="95" t="str">
        <f>AQ674&amp;AR674&amp;AS674&amp;"-"&amp;AT674&amp;AU674&amp;BA674</f>
        <v>B0401-0130</v>
      </c>
      <c r="AY674" s="99" t="str">
        <f>AQ674&amp;AR674&amp;AS674&amp;"-"&amp;AT674&amp;BA674</f>
        <v>B0401-01</v>
      </c>
      <c r="AZ674" s="90"/>
      <c r="BA674" s="1" t="str">
        <f t="shared" si="351"/>
        <v/>
      </c>
      <c r="BC674" s="1">
        <f t="shared" si="326"/>
        <v>1</v>
      </c>
      <c r="BD674" s="90">
        <f t="shared" si="327"/>
        <v>1</v>
      </c>
      <c r="BE674" s="1">
        <f t="shared" si="354"/>
        <v>1</v>
      </c>
      <c r="BF674" s="1">
        <f t="shared" si="355"/>
        <v>1</v>
      </c>
    </row>
    <row r="675" spans="1:58" ht="11.25" customHeight="1">
      <c r="A675" s="26" t="s">
        <v>969</v>
      </c>
      <c r="B675" s="27" t="s">
        <v>3410</v>
      </c>
      <c r="C675" s="28">
        <v>328.99</v>
      </c>
      <c r="D675" s="28">
        <f t="shared" si="342"/>
        <v>164.495</v>
      </c>
      <c r="E675" s="22" t="s">
        <v>3327</v>
      </c>
      <c r="F675" s="22" t="s">
        <v>3411</v>
      </c>
      <c r="G675" s="22" t="s">
        <v>3412</v>
      </c>
      <c r="H675" s="22" t="s">
        <v>972</v>
      </c>
      <c r="I675" s="23" t="s">
        <v>3413</v>
      </c>
      <c r="J675" s="22" t="s">
        <v>670</v>
      </c>
      <c r="K675" s="23">
        <v>45</v>
      </c>
      <c r="L675" s="23">
        <v>36</v>
      </c>
      <c r="M675" s="23">
        <v>15</v>
      </c>
      <c r="N675" s="3">
        <f t="shared" si="356"/>
        <v>2.4299999999999999E-2</v>
      </c>
      <c r="O675" s="4" t="e">
        <f>(C675-(C675*#REF!))-((C675-(C675*#REF!))*#REF!)</f>
        <v>#REF!</v>
      </c>
      <c r="P675" s="7">
        <f>1105866.25538358-Q675</f>
        <v>5866.2553835799918</v>
      </c>
      <c r="Q675" s="7">
        <v>1100000</v>
      </c>
      <c r="R675" s="5">
        <f t="shared" si="357"/>
        <v>1105866.25538358</v>
      </c>
      <c r="S675" s="4">
        <f t="shared" si="358"/>
        <v>73.724417025571995</v>
      </c>
      <c r="T675" s="13">
        <f t="shared" si="343"/>
        <v>230.29300000000001</v>
      </c>
      <c r="U675" s="13">
        <f t="shared" si="352"/>
        <v>115.1465</v>
      </c>
      <c r="V675" s="14">
        <f>U675/C675</f>
        <v>0.35</v>
      </c>
      <c r="W675" s="18">
        <f>S675*$W$1</f>
        <v>147.44883405114399</v>
      </c>
      <c r="X675" s="19">
        <f t="shared" si="359"/>
        <v>147.44883405114399</v>
      </c>
      <c r="Y675" s="19">
        <f t="shared" si="360"/>
        <v>294.89766810228798</v>
      </c>
      <c r="Z675" s="15">
        <v>2</v>
      </c>
      <c r="AA675" s="22" t="s">
        <v>3414</v>
      </c>
      <c r="AG675" s="94" t="s">
        <v>1169</v>
      </c>
      <c r="AH675" s="89" t="str">
        <f>VLOOKUP(AG675,Sheet1!$B$3:$D$36,2,FALSE)</f>
        <v>Decors</v>
      </c>
      <c r="AI675" s="89" t="s">
        <v>3331</v>
      </c>
      <c r="AJ675" s="1" t="str">
        <f t="shared" si="344"/>
        <v>Sink Ferguson</v>
      </c>
      <c r="AK675" s="1" t="str">
        <f t="shared" si="345"/>
        <v>w45 x d36 x h15</v>
      </c>
      <c r="AL675" s="1" t="str">
        <f t="shared" si="346"/>
        <v>riverstone outdoor</v>
      </c>
      <c r="AM675" s="1" t="str">
        <f t="shared" si="347"/>
        <v>riverstone outdoor</v>
      </c>
      <c r="AN675" s="1" t="str">
        <f t="shared" ref="AN675:AN677" si="363">SUBSTITUTE(AL675,"outdoor","")</f>
        <v xml:space="preserve">riverstone </v>
      </c>
      <c r="AO675" s="1" t="s">
        <v>59</v>
      </c>
      <c r="AQ675" s="1" t="str">
        <f t="shared" si="348"/>
        <v>B</v>
      </c>
      <c r="AR675" s="1" t="str">
        <f>VLOOKUP(TRIM(AI675),Sheet1!$D$3:$E$36,2,FALSE)</f>
        <v>04</v>
      </c>
      <c r="AS675" s="90" t="str">
        <f t="shared" si="349"/>
        <v>01</v>
      </c>
      <c r="AT675" s="1" t="str">
        <f t="shared" si="350"/>
        <v>01</v>
      </c>
      <c r="AU675" s="90" t="s">
        <v>975</v>
      </c>
      <c r="AV675" s="90"/>
      <c r="AW675" s="90"/>
      <c r="AX675" s="95" t="str">
        <f>AQ675&amp;AR675&amp;AS675&amp;"-"&amp;AT675&amp;AU675&amp;BA675</f>
        <v>B0401-0118OUT</v>
      </c>
      <c r="AY675" s="99" t="str">
        <f>AQ675&amp;AR675&amp;AS675&amp;"-"&amp;AT675&amp;BA675</f>
        <v>B0401-01OUT</v>
      </c>
      <c r="AZ675" s="90"/>
      <c r="BA675" s="1" t="str">
        <f t="shared" si="351"/>
        <v>OUT</v>
      </c>
      <c r="BC675" s="1">
        <f t="shared" si="326"/>
        <v>1</v>
      </c>
      <c r="BD675" s="90">
        <f t="shared" si="327"/>
        <v>1</v>
      </c>
      <c r="BE675" s="1">
        <f t="shared" si="354"/>
        <v>1</v>
      </c>
      <c r="BF675" s="1">
        <f t="shared" si="355"/>
        <v>1</v>
      </c>
    </row>
    <row r="676" spans="1:58" ht="11.25" customHeight="1">
      <c r="A676" s="26" t="s">
        <v>3415</v>
      </c>
      <c r="B676" s="27" t="s">
        <v>3416</v>
      </c>
      <c r="C676" s="28">
        <v>481.99</v>
      </c>
      <c r="D676" s="28">
        <f t="shared" si="342"/>
        <v>240.995</v>
      </c>
      <c r="E676" s="22" t="s">
        <v>3327</v>
      </c>
      <c r="F676" s="22" t="s">
        <v>3417</v>
      </c>
      <c r="G676" s="22" t="s">
        <v>3418</v>
      </c>
      <c r="H676" s="22" t="s">
        <v>3419</v>
      </c>
      <c r="I676" s="23" t="s">
        <v>3413</v>
      </c>
      <c r="J676" s="22" t="s">
        <v>670</v>
      </c>
      <c r="K676" s="23">
        <v>70</v>
      </c>
      <c r="L676" s="23">
        <v>55</v>
      </c>
      <c r="M676" s="23">
        <v>20</v>
      </c>
      <c r="N676" s="3">
        <f t="shared" si="356"/>
        <v>7.6999999999999999E-2</v>
      </c>
      <c r="O676" s="4" t="e">
        <f>(C676-(C676*#REF!))-((C676-(C676*#REF!))*#REF!)</f>
        <v>#REF!</v>
      </c>
      <c r="P676" s="7">
        <f>1228588.54586567-Q676</f>
        <v>18588.545865670079</v>
      </c>
      <c r="Q676" s="7">
        <v>1210000</v>
      </c>
      <c r="R676" s="5">
        <f t="shared" si="357"/>
        <v>1228588.5458656701</v>
      </c>
      <c r="S676" s="4">
        <f t="shared" si="358"/>
        <v>81.905903057711342</v>
      </c>
      <c r="T676" s="13">
        <f t="shared" si="343"/>
        <v>337.39300000000003</v>
      </c>
      <c r="U676" s="13">
        <f t="shared" si="352"/>
        <v>168.69650000000001</v>
      </c>
      <c r="V676" s="14">
        <f>U676/C676</f>
        <v>0.35000000000000003</v>
      </c>
      <c r="W676" s="14"/>
      <c r="X676" s="19">
        <f t="shared" si="359"/>
        <v>168.69650000000001</v>
      </c>
      <c r="Y676" s="19">
        <f t="shared" si="360"/>
        <v>337.39300000000003</v>
      </c>
      <c r="Z676" s="15">
        <f>U676/S676</f>
        <v>2.0596378734892351</v>
      </c>
      <c r="AA676" s="22" t="s">
        <v>3420</v>
      </c>
      <c r="AG676" s="94" t="s">
        <v>1169</v>
      </c>
      <c r="AH676" s="89" t="str">
        <f>VLOOKUP(AG676,Sheet1!$B$3:$D$36,2,FALSE)</f>
        <v>Decors</v>
      </c>
      <c r="AI676" s="89" t="s">
        <v>3331</v>
      </c>
      <c r="AJ676" s="1" t="str">
        <f t="shared" si="344"/>
        <v>Sink Kennedy</v>
      </c>
      <c r="AK676" s="1" t="str">
        <f t="shared" si="345"/>
        <v>w70 x d55 x h20</v>
      </c>
      <c r="AL676" s="1" t="str">
        <f t="shared" si="346"/>
        <v>riverstone outdoor</v>
      </c>
      <c r="AM676" s="1" t="str">
        <f t="shared" si="347"/>
        <v>riverstone outdoor</v>
      </c>
      <c r="AN676" s="1" t="str">
        <f t="shared" si="363"/>
        <v xml:space="preserve">riverstone </v>
      </c>
      <c r="AO676" s="1" t="s">
        <v>59</v>
      </c>
      <c r="AQ676" s="1" t="str">
        <f t="shared" si="348"/>
        <v>B</v>
      </c>
      <c r="AR676" s="1" t="str">
        <f>VLOOKUP(TRIM(AI676),Sheet1!$D$3:$E$36,2,FALSE)</f>
        <v>04</v>
      </c>
      <c r="AS676" s="90" t="str">
        <f t="shared" si="349"/>
        <v>01</v>
      </c>
      <c r="AT676" s="1" t="str">
        <f t="shared" si="350"/>
        <v>01</v>
      </c>
      <c r="AU676" s="90" t="s">
        <v>975</v>
      </c>
      <c r="AV676" s="90"/>
      <c r="AW676" s="90"/>
      <c r="AX676" s="95" t="str">
        <f>AQ676&amp;AR676&amp;AS676&amp;"-"&amp;AT676&amp;AU676&amp;BA676</f>
        <v>B0401-0118OUT</v>
      </c>
      <c r="AY676" s="99" t="str">
        <f>AQ676&amp;AR676&amp;AS676&amp;"-"&amp;AT676&amp;BA676</f>
        <v>B0401-01OUT</v>
      </c>
      <c r="AZ676" s="90"/>
      <c r="BA676" s="1" t="str">
        <f t="shared" si="351"/>
        <v>OUT</v>
      </c>
      <c r="BC676" s="1">
        <f t="shared" si="326"/>
        <v>1</v>
      </c>
      <c r="BD676" s="90">
        <f t="shared" si="327"/>
        <v>1</v>
      </c>
      <c r="BE676" s="1">
        <f t="shared" si="354"/>
        <v>1</v>
      </c>
      <c r="BF676" s="1">
        <f t="shared" si="355"/>
        <v>1</v>
      </c>
    </row>
    <row r="677" spans="1:58" ht="11.25" customHeight="1">
      <c r="A677" s="26" t="s">
        <v>3421</v>
      </c>
      <c r="B677" s="27" t="s">
        <v>3422</v>
      </c>
      <c r="C677" s="28">
        <v>4789.99</v>
      </c>
      <c r="D677" s="28">
        <f t="shared" si="342"/>
        <v>2394.9949999999999</v>
      </c>
      <c r="E677" s="22" t="s">
        <v>3327</v>
      </c>
      <c r="F677" s="22" t="s">
        <v>3423</v>
      </c>
      <c r="G677" s="22" t="s">
        <v>3424</v>
      </c>
      <c r="H677" s="22" t="s">
        <v>3425</v>
      </c>
      <c r="I677" s="23" t="s">
        <v>3426</v>
      </c>
      <c r="J677" s="22" t="s">
        <v>670</v>
      </c>
      <c r="K677" s="23">
        <v>70</v>
      </c>
      <c r="L677" s="23">
        <v>40</v>
      </c>
      <c r="M677" s="23">
        <v>15</v>
      </c>
      <c r="N677" s="3">
        <f t="shared" si="356"/>
        <v>4.2000000000000003E-2</v>
      </c>
      <c r="O677" s="4" t="e">
        <f>(C677-(C677*#REF!))-((C677-(C677*#REF!))*#REF!)</f>
        <v>#REF!</v>
      </c>
      <c r="P677" s="7">
        <f>1635139.20683582-Q677</f>
        <v>260139.20683582011</v>
      </c>
      <c r="Q677" s="7">
        <v>1375000</v>
      </c>
      <c r="R677" s="5">
        <f t="shared" si="357"/>
        <v>1635139.2068358201</v>
      </c>
      <c r="S677" s="4">
        <f t="shared" si="358"/>
        <v>109.00928045572134</v>
      </c>
      <c r="T677" s="13">
        <f t="shared" si="343"/>
        <v>3352.9929999999999</v>
      </c>
      <c r="U677" s="13">
        <f t="shared" si="352"/>
        <v>1676.4965</v>
      </c>
      <c r="V677" s="14">
        <f>U677/C677</f>
        <v>0.35000000000000003</v>
      </c>
      <c r="W677" s="14"/>
      <c r="X677" s="19">
        <f t="shared" si="359"/>
        <v>1676.4965</v>
      </c>
      <c r="Y677" s="19">
        <f t="shared" si="360"/>
        <v>3352.9929999999999</v>
      </c>
      <c r="Z677" s="15">
        <f>U677/S677</f>
        <v>15.379392405777589</v>
      </c>
      <c r="AA677" s="22" t="s">
        <v>3427</v>
      </c>
      <c r="AG677" s="94" t="s">
        <v>1169</v>
      </c>
      <c r="AH677" s="89" t="str">
        <f>VLOOKUP(AG677,Sheet1!$B$3:$D$36,2,FALSE)</f>
        <v>Decors</v>
      </c>
      <c r="AI677" s="89" t="s">
        <v>3331</v>
      </c>
      <c r="AJ677" s="1" t="str">
        <f t="shared" si="344"/>
        <v>Sink Hercules</v>
      </c>
      <c r="AK677" s="1" t="str">
        <f t="shared" si="345"/>
        <v>w70 x d40 x h15</v>
      </c>
      <c r="AL677" s="1" t="str">
        <f t="shared" si="346"/>
        <v>bluestone outdoor</v>
      </c>
      <c r="AM677" s="1" t="str">
        <f t="shared" si="347"/>
        <v>bluestone outdoor</v>
      </c>
      <c r="AN677" s="1" t="str">
        <f t="shared" si="363"/>
        <v xml:space="preserve">bluestone </v>
      </c>
      <c r="AO677" s="1" t="s">
        <v>59</v>
      </c>
      <c r="AQ677" s="1" t="str">
        <f t="shared" si="348"/>
        <v>B</v>
      </c>
      <c r="AR677" s="1" t="str">
        <f>VLOOKUP(TRIM(AI677),Sheet1!$D$3:$E$36,2,FALSE)</f>
        <v>04</v>
      </c>
      <c r="AS677" s="90" t="str">
        <f t="shared" si="349"/>
        <v>01</v>
      </c>
      <c r="AT677" s="1" t="str">
        <f t="shared" si="350"/>
        <v>01</v>
      </c>
      <c r="AU677" s="90" t="s">
        <v>1871</v>
      </c>
      <c r="AV677" s="90"/>
      <c r="AW677" s="90"/>
      <c r="AX677" s="95" t="str">
        <f>AQ677&amp;AR677&amp;AS677&amp;"-"&amp;AT677&amp;AU677&amp;BA677</f>
        <v>B0401-0104OUT</v>
      </c>
      <c r="AY677" s="99" t="str">
        <f>AQ677&amp;AR677&amp;AS677&amp;"-"&amp;AT677&amp;BA677</f>
        <v>B0401-01OUT</v>
      </c>
      <c r="AZ677" s="90"/>
      <c r="BA677" s="1" t="str">
        <f t="shared" si="351"/>
        <v>OUT</v>
      </c>
      <c r="BC677" s="1">
        <f t="shared" si="326"/>
        <v>1</v>
      </c>
      <c r="BD677" s="90">
        <f t="shared" si="327"/>
        <v>1</v>
      </c>
      <c r="BE677" s="1">
        <f t="shared" si="354"/>
        <v>1</v>
      </c>
      <c r="BF677" s="1">
        <f t="shared" si="355"/>
        <v>1</v>
      </c>
    </row>
    <row r="678" spans="1:58" ht="11.25" customHeight="1">
      <c r="A678" s="26">
        <v>33011</v>
      </c>
      <c r="B678" s="27" t="s">
        <v>3428</v>
      </c>
      <c r="C678" s="28">
        <v>19.989999999999998</v>
      </c>
      <c r="D678" s="28">
        <f t="shared" si="342"/>
        <v>9.9949999999999992</v>
      </c>
      <c r="E678" s="22" t="s">
        <v>3327</v>
      </c>
      <c r="F678" s="22" t="s">
        <v>3429</v>
      </c>
      <c r="G678" s="22" t="s">
        <v>190</v>
      </c>
      <c r="H678" s="22" t="s">
        <v>3430</v>
      </c>
      <c r="I678" s="23" t="s">
        <v>3431</v>
      </c>
      <c r="J678" s="22" t="s">
        <v>670</v>
      </c>
      <c r="K678" s="23">
        <v>15</v>
      </c>
      <c r="L678" s="23">
        <v>15</v>
      </c>
      <c r="M678" s="23">
        <v>15</v>
      </c>
      <c r="N678" s="3">
        <f t="shared" si="356"/>
        <v>3.375E-3</v>
      </c>
      <c r="O678" s="4" t="e">
        <f>(C678-(C678*#REF!))-((C678-(C678*#REF!))*#REF!)</f>
        <v>#REF!</v>
      </c>
      <c r="P678" s="7">
        <f>70814.7576921642-Q678</f>
        <v>814.75769216420304</v>
      </c>
      <c r="Q678" s="7">
        <v>70000</v>
      </c>
      <c r="R678" s="5">
        <f t="shared" si="357"/>
        <v>70814.757692164203</v>
      </c>
      <c r="S678" s="4">
        <f t="shared" si="358"/>
        <v>4.7209838461442803</v>
      </c>
      <c r="T678" s="13">
        <f t="shared" si="343"/>
        <v>13.992999999999999</v>
      </c>
      <c r="U678" s="13">
        <f t="shared" si="352"/>
        <v>6.9964999999999993</v>
      </c>
      <c r="V678" s="14">
        <f>U678/C678</f>
        <v>0.35</v>
      </c>
      <c r="W678" s="18">
        <f>S678*$W$1</f>
        <v>9.4419676922885607</v>
      </c>
      <c r="X678" s="19">
        <f t="shared" si="359"/>
        <v>9.4419676922885607</v>
      </c>
      <c r="Y678" s="19">
        <f t="shared" si="360"/>
        <v>18.883935384577121</v>
      </c>
      <c r="Z678" s="15">
        <v>2</v>
      </c>
      <c r="AA678" s="22" t="s">
        <v>3432</v>
      </c>
      <c r="AG678" s="94" t="s">
        <v>1169</v>
      </c>
      <c r="AH678" s="89" t="str">
        <f>VLOOKUP(AG678,Sheet1!$B$3:$D$36,2,FALSE)</f>
        <v>Decors</v>
      </c>
      <c r="AI678" s="89" t="s">
        <v>3331</v>
      </c>
      <c r="AJ678" s="1" t="str">
        <f t="shared" si="344"/>
        <v>Charlie tissue box abaca</v>
      </c>
      <c r="AK678" s="1" t="str">
        <f t="shared" si="345"/>
        <v>w15 x d15 x h15</v>
      </c>
      <c r="AL678" s="1" t="str">
        <f t="shared" si="346"/>
        <v>abaca square indoor</v>
      </c>
      <c r="AM678" s="1" t="str">
        <f t="shared" si="347"/>
        <v>abaca square indoor</v>
      </c>
      <c r="AN678" s="1" t="str">
        <f t="shared" ref="AN678:AN697" si="364">SUBSTITUTE(AL678,"indoor","")</f>
        <v xml:space="preserve">abaca square </v>
      </c>
      <c r="AO678" s="1" t="s">
        <v>54</v>
      </c>
      <c r="AQ678" s="1" t="str">
        <f t="shared" si="348"/>
        <v>B</v>
      </c>
      <c r="AR678" s="1" t="str">
        <f>VLOOKUP(TRIM(AI678),Sheet1!$D$3:$E$36,2,FALSE)</f>
        <v>04</v>
      </c>
      <c r="AS678" s="90" t="str">
        <f t="shared" si="349"/>
        <v>01</v>
      </c>
      <c r="AT678" s="1" t="str">
        <f t="shared" si="350"/>
        <v>01</v>
      </c>
      <c r="AU678" s="90" t="s">
        <v>52</v>
      </c>
      <c r="AV678" s="90"/>
      <c r="AW678" s="90"/>
      <c r="AX678" s="95" t="str">
        <f>AQ678&amp;AR678&amp;AS678&amp;"-"&amp;AT678&amp;AU678&amp;BA678</f>
        <v>B0401-0101IND</v>
      </c>
      <c r="AY678" s="99" t="str">
        <f>AQ678&amp;AR678&amp;AS678&amp;"-"&amp;AT678&amp;BA678</f>
        <v>B0401-01IND</v>
      </c>
      <c r="AZ678" s="90"/>
      <c r="BA678" s="1" t="str">
        <f t="shared" si="351"/>
        <v>IND</v>
      </c>
      <c r="BC678" s="1">
        <f t="shared" si="326"/>
        <v>1</v>
      </c>
      <c r="BD678" s="90">
        <f t="shared" si="327"/>
        <v>1</v>
      </c>
      <c r="BE678" s="1">
        <f t="shared" si="354"/>
        <v>1</v>
      </c>
      <c r="BF678" s="1">
        <f t="shared" si="355"/>
        <v>1</v>
      </c>
    </row>
    <row r="679" spans="1:58" ht="11.25" customHeight="1">
      <c r="A679" s="26">
        <v>33010</v>
      </c>
      <c r="B679" s="27" t="s">
        <v>3428</v>
      </c>
      <c r="C679" s="28">
        <v>20.99</v>
      </c>
      <c r="D679" s="28">
        <f t="shared" si="342"/>
        <v>10.494999999999999</v>
      </c>
      <c r="E679" s="22" t="s">
        <v>3327</v>
      </c>
      <c r="F679" s="22" t="s">
        <v>3433</v>
      </c>
      <c r="G679" s="22" t="s">
        <v>190</v>
      </c>
      <c r="H679" s="22" t="s">
        <v>3434</v>
      </c>
      <c r="I679" s="23" t="s">
        <v>3075</v>
      </c>
      <c r="J679" s="22" t="s">
        <v>670</v>
      </c>
      <c r="K679" s="23">
        <v>15</v>
      </c>
      <c r="L679" s="23">
        <v>25</v>
      </c>
      <c r="M679" s="23">
        <v>8</v>
      </c>
      <c r="N679" s="3">
        <f t="shared" si="356"/>
        <v>3.0000000000000001E-3</v>
      </c>
      <c r="O679" s="4" t="e">
        <f>(C679-(C679*#REF!))-((C679-(C679*#REF!))*#REF!)</f>
        <v>#REF!</v>
      </c>
      <c r="P679" s="7"/>
      <c r="Q679" s="7"/>
      <c r="R679" s="5">
        <f t="shared" si="357"/>
        <v>0</v>
      </c>
      <c r="S679" s="4">
        <f t="shared" si="358"/>
        <v>0</v>
      </c>
      <c r="T679" s="13">
        <f t="shared" si="343"/>
        <v>14.692999999999998</v>
      </c>
      <c r="U679" s="13">
        <f t="shared" si="352"/>
        <v>7.3464999999999989</v>
      </c>
      <c r="V679" s="14">
        <f>U679/C679</f>
        <v>0.35</v>
      </c>
      <c r="W679" s="14"/>
      <c r="X679" s="19">
        <f t="shared" si="359"/>
        <v>7.3464999999999989</v>
      </c>
      <c r="Y679" s="19">
        <f t="shared" si="360"/>
        <v>14.692999999999998</v>
      </c>
      <c r="Z679" s="15" t="e">
        <f t="shared" ref="Z679:Z731" si="365">U679/S679</f>
        <v>#DIV/0!</v>
      </c>
      <c r="AA679" s="22" t="s">
        <v>3435</v>
      </c>
      <c r="AG679" s="94" t="s">
        <v>1169</v>
      </c>
      <c r="AH679" s="89" t="str">
        <f>VLOOKUP(AG679,Sheet1!$B$3:$D$36,2,FALSE)</f>
        <v>Decors</v>
      </c>
      <c r="AI679" s="89" t="s">
        <v>3331</v>
      </c>
      <c r="AJ679" s="1" t="str">
        <f t="shared" si="344"/>
        <v>Charlie tissue box abaca</v>
      </c>
      <c r="AK679" s="1" t="str">
        <f t="shared" si="345"/>
        <v>w15 x d25 x h8</v>
      </c>
      <c r="AL679" s="1" t="str">
        <f t="shared" si="346"/>
        <v>abaca indoor</v>
      </c>
      <c r="AM679" s="1" t="str">
        <f t="shared" si="347"/>
        <v>abaca indoor</v>
      </c>
      <c r="AN679" s="1" t="str">
        <f t="shared" si="364"/>
        <v xml:space="preserve">abaca </v>
      </c>
      <c r="AO679" s="1" t="s">
        <v>54</v>
      </c>
      <c r="AQ679" s="1" t="str">
        <f t="shared" si="348"/>
        <v>B</v>
      </c>
      <c r="AR679" s="1" t="str">
        <f>VLOOKUP(TRIM(AI679),Sheet1!$D$3:$E$36,2,FALSE)</f>
        <v>04</v>
      </c>
      <c r="AS679" s="90" t="str">
        <f t="shared" si="349"/>
        <v>02</v>
      </c>
      <c r="AT679" s="1" t="str">
        <f t="shared" si="350"/>
        <v>01</v>
      </c>
      <c r="AU679" s="90" t="s">
        <v>52</v>
      </c>
      <c r="AV679" s="90"/>
      <c r="AW679" s="90"/>
      <c r="AX679" s="95" t="str">
        <f>AQ679&amp;AR679&amp;AS679&amp;"-"&amp;AT679&amp;AU679&amp;BA679</f>
        <v>B0402-0101IND</v>
      </c>
      <c r="AY679" s="99" t="str">
        <f>AQ679&amp;AR679&amp;AS679&amp;"-"&amp;AT679&amp;BA679</f>
        <v>B0402-01IND</v>
      </c>
      <c r="AZ679" s="90"/>
      <c r="BA679" s="1" t="str">
        <f t="shared" si="351"/>
        <v>IND</v>
      </c>
      <c r="BC679" s="1" t="str">
        <f t="shared" si="326"/>
        <v/>
      </c>
      <c r="BD679" s="90">
        <f t="shared" si="327"/>
        <v>2</v>
      </c>
      <c r="BE679" s="1">
        <f t="shared" si="354"/>
        <v>1</v>
      </c>
      <c r="BF679" s="1">
        <f t="shared" si="355"/>
        <v>1</v>
      </c>
    </row>
    <row r="680" spans="1:58" ht="11.25" customHeight="1">
      <c r="A680" s="26">
        <v>33018</v>
      </c>
      <c r="B680" s="27" t="s">
        <v>3436</v>
      </c>
      <c r="C680" s="28">
        <v>140.99</v>
      </c>
      <c r="D680" s="28">
        <f t="shared" si="342"/>
        <v>70.495000000000005</v>
      </c>
      <c r="E680" s="22" t="s">
        <v>3327</v>
      </c>
      <c r="F680" s="22" t="s">
        <v>3437</v>
      </c>
      <c r="G680" s="22" t="s">
        <v>3438</v>
      </c>
      <c r="H680" s="22" t="s">
        <v>3439</v>
      </c>
      <c r="I680" s="23" t="s">
        <v>3440</v>
      </c>
      <c r="J680" s="22" t="s">
        <v>670</v>
      </c>
      <c r="K680" s="23">
        <v>100</v>
      </c>
      <c r="L680" s="23">
        <v>5</v>
      </c>
      <c r="M680" s="23">
        <v>180</v>
      </c>
      <c r="N680" s="3">
        <f t="shared" si="356"/>
        <v>0.09</v>
      </c>
      <c r="O680" s="4" t="e">
        <f>(C680-(C680*#REF!))-((C680-(C680*#REF!))*#REF!)</f>
        <v>#REF!</v>
      </c>
      <c r="P680" s="7"/>
      <c r="Q680" s="7"/>
      <c r="R680" s="5">
        <f t="shared" si="357"/>
        <v>0</v>
      </c>
      <c r="S680" s="4">
        <f t="shared" si="358"/>
        <v>0</v>
      </c>
      <c r="T680" s="13">
        <f t="shared" si="343"/>
        <v>98.693000000000012</v>
      </c>
      <c r="U680" s="13">
        <f t="shared" si="352"/>
        <v>49.346500000000006</v>
      </c>
      <c r="V680" s="14">
        <f>U680/C680</f>
        <v>0.35000000000000003</v>
      </c>
      <c r="W680" s="14"/>
      <c r="X680" s="19">
        <f t="shared" si="359"/>
        <v>49.346500000000006</v>
      </c>
      <c r="Y680" s="19">
        <f t="shared" si="360"/>
        <v>98.693000000000012</v>
      </c>
      <c r="Z680" s="15" t="e">
        <f t="shared" si="365"/>
        <v>#DIV/0!</v>
      </c>
      <c r="AA680" s="22" t="s">
        <v>3441</v>
      </c>
      <c r="AG680" s="94" t="s">
        <v>1169</v>
      </c>
      <c r="AH680" s="89" t="str">
        <f>VLOOKUP(AG680,Sheet1!$B$3:$D$36,2,FALSE)</f>
        <v>Decors</v>
      </c>
      <c r="AI680" s="89" t="s">
        <v>3331</v>
      </c>
      <c r="AJ680" s="1" t="str">
        <f t="shared" si="344"/>
        <v>Diana mirror with hanger</v>
      </c>
      <c r="AK680" s="1" t="str">
        <f t="shared" si="345"/>
        <v>w100 x d5 x h180</v>
      </c>
      <c r="AL680" s="1" t="str">
        <f t="shared" si="346"/>
        <v>rattan &amp; mirror semi</v>
      </c>
      <c r="AM680" s="1" t="str">
        <f t="shared" si="347"/>
        <v>rattan &amp; mirror semi</v>
      </c>
      <c r="AN680" s="1" t="str">
        <f t="shared" si="364"/>
        <v>rattan &amp; mirror semi</v>
      </c>
      <c r="AQ680" s="1" t="str">
        <f t="shared" si="348"/>
        <v>B</v>
      </c>
      <c r="AR680" s="1" t="str">
        <f>VLOOKUP(TRIM(AI680),Sheet1!$D$3:$E$36,2,FALSE)</f>
        <v>04</v>
      </c>
      <c r="AS680" s="90" t="str">
        <f t="shared" si="349"/>
        <v>01</v>
      </c>
      <c r="AT680" s="1" t="str">
        <f t="shared" si="350"/>
        <v>01</v>
      </c>
      <c r="AU680" s="90" t="s">
        <v>1878</v>
      </c>
      <c r="AV680" s="90"/>
      <c r="AW680" s="90"/>
      <c r="AX680" s="95" t="str">
        <f>AQ680&amp;AR680&amp;AS680&amp;"-"&amp;AT680&amp;AU680&amp;BA680</f>
        <v>B0401-0116</v>
      </c>
      <c r="AY680" s="99" t="str">
        <f>AQ680&amp;AR680&amp;AS680&amp;"-"&amp;AT680&amp;BA680</f>
        <v>B0401-01</v>
      </c>
      <c r="AZ680" s="90"/>
      <c r="BA680" s="1" t="str">
        <f t="shared" si="351"/>
        <v/>
      </c>
      <c r="BC680" s="1">
        <f t="shared" si="326"/>
        <v>1</v>
      </c>
      <c r="BD680" s="90">
        <f t="shared" si="327"/>
        <v>1</v>
      </c>
      <c r="BE680" s="1">
        <f t="shared" si="354"/>
        <v>1</v>
      </c>
      <c r="BF680" s="1">
        <f t="shared" si="355"/>
        <v>1</v>
      </c>
    </row>
    <row r="681" spans="1:58" ht="11.25" customHeight="1">
      <c r="A681" s="26" t="s">
        <v>3442</v>
      </c>
      <c r="B681" s="27" t="s">
        <v>3443</v>
      </c>
      <c r="C681" s="28">
        <v>34.99</v>
      </c>
      <c r="D681" s="28">
        <f t="shared" si="342"/>
        <v>17.495000000000001</v>
      </c>
      <c r="E681" s="22" t="s">
        <v>3327</v>
      </c>
      <c r="F681" s="22" t="s">
        <v>3444</v>
      </c>
      <c r="G681" s="22" t="s">
        <v>3445</v>
      </c>
      <c r="H681" s="22" t="s">
        <v>3446</v>
      </c>
      <c r="I681" s="23" t="s">
        <v>3447</v>
      </c>
      <c r="J681" s="22" t="s">
        <v>670</v>
      </c>
      <c r="L681" s="23">
        <v>24</v>
      </c>
      <c r="M681" s="23">
        <v>28</v>
      </c>
      <c r="N681" s="3">
        <f t="shared" si="356"/>
        <v>1.6128E-2</v>
      </c>
      <c r="O681" s="4" t="e">
        <f>(C681-(C681*#REF!))-((C681-(C681*#REF!))*#REF!)</f>
        <v>#REF!</v>
      </c>
      <c r="P681" s="7"/>
      <c r="Q681" s="7"/>
      <c r="R681" s="5">
        <f t="shared" si="357"/>
        <v>0</v>
      </c>
      <c r="S681" s="4">
        <f t="shared" si="358"/>
        <v>0</v>
      </c>
      <c r="T681" s="13">
        <f t="shared" si="343"/>
        <v>24.493000000000002</v>
      </c>
      <c r="U681" s="13">
        <f t="shared" si="352"/>
        <v>12.246500000000001</v>
      </c>
      <c r="V681" s="14">
        <f>U681/C681</f>
        <v>0.35000000000000003</v>
      </c>
      <c r="W681" s="14"/>
      <c r="X681" s="19">
        <f t="shared" si="359"/>
        <v>12.246500000000001</v>
      </c>
      <c r="Y681" s="19">
        <f t="shared" si="360"/>
        <v>24.493000000000002</v>
      </c>
      <c r="Z681" s="15" t="e">
        <f t="shared" si="365"/>
        <v>#DIV/0!</v>
      </c>
      <c r="AA681" s="22" t="s">
        <v>3448</v>
      </c>
      <c r="AG681" s="94" t="s">
        <v>1169</v>
      </c>
      <c r="AH681" s="89" t="str">
        <f>VLOOKUP(AG681,Sheet1!$B$3:$D$36,2,FALSE)</f>
        <v>Decors</v>
      </c>
      <c r="AI681" s="89" t="s">
        <v>3331</v>
      </c>
      <c r="AJ681" s="1" t="str">
        <f t="shared" si="344"/>
        <v>Rudolfo paper bin ratan</v>
      </c>
      <c r="AK681" s="1" t="str">
        <f t="shared" si="345"/>
        <v>ø24 x h28</v>
      </c>
      <c r="AL681" s="1" t="str">
        <f t="shared" si="346"/>
        <v>rattan peel semi</v>
      </c>
      <c r="AM681" s="1" t="str">
        <f t="shared" si="347"/>
        <v>rattan peel semi</v>
      </c>
      <c r="AN681" s="1" t="str">
        <f t="shared" si="364"/>
        <v>rattan peel semi</v>
      </c>
      <c r="AQ681" s="1" t="str">
        <f t="shared" si="348"/>
        <v>B</v>
      </c>
      <c r="AR681" s="1" t="str">
        <f>VLOOKUP(TRIM(AI681),Sheet1!$D$3:$E$36,2,FALSE)</f>
        <v>04</v>
      </c>
      <c r="AS681" s="90" t="str">
        <f t="shared" si="349"/>
        <v>01</v>
      </c>
      <c r="AT681" s="1" t="str">
        <f t="shared" si="350"/>
        <v>01</v>
      </c>
      <c r="AU681" s="90" t="s">
        <v>1878</v>
      </c>
      <c r="AV681" s="90"/>
      <c r="AW681" s="90"/>
      <c r="AX681" s="95" t="str">
        <f>AQ681&amp;AR681&amp;AS681&amp;"-"&amp;AT681&amp;AU681&amp;BA681</f>
        <v>B0401-0116</v>
      </c>
      <c r="AY681" s="99" t="str">
        <f>AQ681&amp;AR681&amp;AS681&amp;"-"&amp;AT681&amp;BA681</f>
        <v>B0401-01</v>
      </c>
      <c r="AZ681" s="90"/>
      <c r="BA681" s="1" t="str">
        <f t="shared" si="351"/>
        <v/>
      </c>
      <c r="BC681" s="1">
        <f t="shared" ref="BC681:BC744" si="366">IF(AJ680&lt;&gt;AJ681,1,"")</f>
        <v>1</v>
      </c>
      <c r="BD681" s="90">
        <f t="shared" ref="BD681:BD744" si="367">IF(BC681=1,1,BD680+1)</f>
        <v>1</v>
      </c>
      <c r="BE681" s="1">
        <f t="shared" si="354"/>
        <v>1</v>
      </c>
      <c r="BF681" s="1">
        <f t="shared" si="355"/>
        <v>1</v>
      </c>
    </row>
    <row r="682" spans="1:58" ht="11.25" customHeight="1">
      <c r="A682" s="26" t="s">
        <v>3449</v>
      </c>
      <c r="B682" s="27" t="s">
        <v>3450</v>
      </c>
      <c r="C682" s="28">
        <v>19.989999999999998</v>
      </c>
      <c r="D682" s="28">
        <f t="shared" si="342"/>
        <v>9.9949999999999992</v>
      </c>
      <c r="E682" s="22" t="s">
        <v>3327</v>
      </c>
      <c r="F682" s="22" t="s">
        <v>3451</v>
      </c>
      <c r="G682" s="22" t="s">
        <v>3452</v>
      </c>
      <c r="H682" s="22" t="s">
        <v>3446</v>
      </c>
      <c r="I682" s="23" t="s">
        <v>3318</v>
      </c>
      <c r="J682" s="22" t="s">
        <v>670</v>
      </c>
      <c r="L682" s="23">
        <v>24</v>
      </c>
      <c r="M682" s="23">
        <v>28</v>
      </c>
      <c r="N682" s="3">
        <f t="shared" si="356"/>
        <v>1.6128E-2</v>
      </c>
      <c r="O682" s="4" t="e">
        <f>(C682-(C682*#REF!))-((C682-(C682*#REF!))*#REF!)</f>
        <v>#REF!</v>
      </c>
      <c r="P682" s="7"/>
      <c r="Q682" s="7"/>
      <c r="R682" s="5">
        <f t="shared" si="357"/>
        <v>0</v>
      </c>
      <c r="S682" s="4">
        <f t="shared" si="358"/>
        <v>0</v>
      </c>
      <c r="T682" s="13">
        <f t="shared" si="343"/>
        <v>13.992999999999999</v>
      </c>
      <c r="U682" s="13">
        <f t="shared" si="352"/>
        <v>6.9964999999999993</v>
      </c>
      <c r="V682" s="14">
        <f>U682/C682</f>
        <v>0.35</v>
      </c>
      <c r="W682" s="14"/>
      <c r="X682" s="19">
        <f t="shared" si="359"/>
        <v>6.9964999999999993</v>
      </c>
      <c r="Y682" s="19">
        <f t="shared" si="360"/>
        <v>13.992999999999999</v>
      </c>
      <c r="Z682" s="15" t="e">
        <f t="shared" si="365"/>
        <v>#DIV/0!</v>
      </c>
      <c r="AA682" s="22" t="s">
        <v>3453</v>
      </c>
      <c r="AG682" s="94" t="s">
        <v>1169</v>
      </c>
      <c r="AH682" s="89" t="str">
        <f>VLOOKUP(AG682,Sheet1!$B$3:$D$36,2,FALSE)</f>
        <v>Decors</v>
      </c>
      <c r="AI682" s="89" t="s">
        <v>3331</v>
      </c>
      <c r="AJ682" s="1" t="str">
        <f t="shared" si="344"/>
        <v>Martin paper bin abaca</v>
      </c>
      <c r="AK682" s="1" t="str">
        <f t="shared" si="345"/>
        <v>ø24 x h28</v>
      </c>
      <c r="AL682" s="1" t="str">
        <f t="shared" si="346"/>
        <v>abaca semi</v>
      </c>
      <c r="AM682" s="1" t="str">
        <f t="shared" si="347"/>
        <v>abaca semi</v>
      </c>
      <c r="AN682" s="1" t="str">
        <f t="shared" si="364"/>
        <v>abaca semi</v>
      </c>
      <c r="AQ682" s="1" t="str">
        <f t="shared" si="348"/>
        <v>B</v>
      </c>
      <c r="AR682" s="1" t="str">
        <f>VLOOKUP(TRIM(AI682),Sheet1!$D$3:$E$36,2,FALSE)</f>
        <v>04</v>
      </c>
      <c r="AS682" s="90" t="str">
        <f t="shared" si="349"/>
        <v>01</v>
      </c>
      <c r="AT682" s="1" t="str">
        <f t="shared" si="350"/>
        <v>02</v>
      </c>
      <c r="AU682" s="90" t="s">
        <v>52</v>
      </c>
      <c r="AV682" s="90"/>
      <c r="AW682" s="90"/>
      <c r="AX682" s="95" t="str">
        <f>AQ682&amp;AR682&amp;AS682&amp;"-"&amp;AT682&amp;AU682&amp;BA682</f>
        <v>B0401-0201</v>
      </c>
      <c r="AY682" s="99" t="str">
        <f>AQ682&amp;AR682&amp;AS682&amp;"-"&amp;AT682&amp;BA682</f>
        <v>B0401-02</v>
      </c>
      <c r="AZ682" s="90"/>
      <c r="BA682" s="1" t="str">
        <f t="shared" si="351"/>
        <v/>
      </c>
      <c r="BC682" s="1">
        <f t="shared" si="366"/>
        <v>1</v>
      </c>
      <c r="BD682" s="90">
        <f t="shared" si="367"/>
        <v>1</v>
      </c>
      <c r="BE682" s="1" t="str">
        <f t="shared" si="354"/>
        <v/>
      </c>
      <c r="BF682" s="1">
        <f t="shared" si="355"/>
        <v>2</v>
      </c>
    </row>
    <row r="683" spans="1:58" s="63" customFormat="1" ht="15.75">
      <c r="A683" s="33" t="s">
        <v>3454</v>
      </c>
      <c r="B683" s="34"/>
      <c r="C683" s="35"/>
      <c r="D683" s="36"/>
      <c r="E683" s="39"/>
      <c r="F683" s="40"/>
      <c r="G683" s="39"/>
      <c r="H683" s="39"/>
      <c r="I683" s="41"/>
      <c r="J683" s="39"/>
      <c r="K683" s="41"/>
      <c r="L683" s="41"/>
      <c r="M683" s="41"/>
      <c r="N683" s="48"/>
      <c r="O683" s="48"/>
      <c r="P683" s="49"/>
      <c r="Q683" s="49"/>
      <c r="R683" s="50"/>
      <c r="S683" s="48"/>
      <c r="T683" s="13"/>
      <c r="U683" s="13"/>
      <c r="V683" s="14"/>
      <c r="W683" s="14"/>
      <c r="X683" s="60"/>
      <c r="Y683" s="60"/>
      <c r="Z683" s="15"/>
      <c r="AA683" s="39"/>
      <c r="AG683" s="93"/>
      <c r="AH683" s="89"/>
      <c r="AI683" s="89"/>
      <c r="AJ683" s="1"/>
      <c r="AK683" s="1"/>
      <c r="AL683" s="1"/>
      <c r="AM683" s="1"/>
      <c r="AN683" s="1"/>
      <c r="AQ683" s="1"/>
      <c r="AR683" s="1"/>
      <c r="AS683" s="90"/>
      <c r="AT683" s="1"/>
      <c r="AU683" s="90"/>
      <c r="AV683" s="90"/>
      <c r="AW683" s="90"/>
      <c r="AX683" s="95"/>
      <c r="AY683" s="99" t="str">
        <f>AQ683&amp;AR683&amp;AS683&amp;"-"&amp;AT683&amp;BA683</f>
        <v>-</v>
      </c>
      <c r="AZ683" s="90"/>
      <c r="BA683" s="1"/>
      <c r="BC683" s="1"/>
      <c r="BD683" s="90"/>
      <c r="BE683" s="1"/>
      <c r="BF683" s="1"/>
    </row>
    <row r="684" spans="1:58" ht="11.25" customHeight="1">
      <c r="A684" s="26" t="s">
        <v>3455</v>
      </c>
      <c r="B684" s="27" t="s">
        <v>3456</v>
      </c>
      <c r="C684" s="28">
        <v>629.99</v>
      </c>
      <c r="D684" s="28">
        <f t="shared" si="342"/>
        <v>314.995</v>
      </c>
      <c r="E684" s="22" t="s">
        <v>3457</v>
      </c>
      <c r="F684" s="22" t="s">
        <v>3458</v>
      </c>
      <c r="G684" s="22" t="s">
        <v>3459</v>
      </c>
      <c r="H684" s="22" t="s">
        <v>3460</v>
      </c>
      <c r="I684" s="23" t="s">
        <v>3461</v>
      </c>
      <c r="J684" s="22" t="s">
        <v>670</v>
      </c>
      <c r="L684" s="23">
        <v>68</v>
      </c>
      <c r="M684" s="23">
        <v>60</v>
      </c>
      <c r="N684" s="3">
        <f t="shared" ref="N684:N730" si="368">(IF(ISBLANK(K684),(L684*L684*M684),(K684*L684*M684)))/1000000</f>
        <v>0.27744000000000002</v>
      </c>
      <c r="O684" s="4" t="e">
        <f>(C684-(C684*#REF!))-((C684-(C684*#REF!))*#REF!)</f>
        <v>#REF!</v>
      </c>
      <c r="P684" s="7"/>
      <c r="Q684" s="7"/>
      <c r="R684" s="5">
        <f t="shared" ref="R684:R730" si="369">P684+Q684</f>
        <v>0</v>
      </c>
      <c r="S684" s="4">
        <f t="shared" ref="S684:S730" si="370">R684/15000</f>
        <v>0</v>
      </c>
      <c r="T684" s="13">
        <f t="shared" si="343"/>
        <v>440.99300000000005</v>
      </c>
      <c r="U684" s="13">
        <f t="shared" si="352"/>
        <v>220.49650000000003</v>
      </c>
      <c r="V684" s="14">
        <f>U684/C684</f>
        <v>0.35000000000000003</v>
      </c>
      <c r="W684" s="14"/>
      <c r="X684" s="19">
        <f t="shared" ref="X684:X730" si="371">IF(ISBLANK(W684),U684, W684)</f>
        <v>220.49650000000003</v>
      </c>
      <c r="Y684" s="19">
        <f t="shared" ref="Y684:Y730" si="372">X684*2</f>
        <v>440.99300000000005</v>
      </c>
      <c r="Z684" s="15" t="e">
        <f t="shared" si="365"/>
        <v>#DIV/0!</v>
      </c>
      <c r="AA684" s="22" t="s">
        <v>3462</v>
      </c>
      <c r="AG684" s="94" t="s">
        <v>1169</v>
      </c>
      <c r="AH684" s="89" t="str">
        <f>VLOOKUP(AG684,Sheet1!$B$3:$D$36,2,FALSE)</f>
        <v>Decors</v>
      </c>
      <c r="AI684" s="89" t="s">
        <v>3463</v>
      </c>
      <c r="AJ684" s="1" t="str">
        <f t="shared" si="344"/>
        <v>Antony palm pot wax 60</v>
      </c>
      <c r="AK684" s="1" t="str">
        <f t="shared" si="345"/>
        <v>ø68 x h60</v>
      </c>
      <c r="AL684" s="1" t="str">
        <f t="shared" si="346"/>
        <v>palm semi</v>
      </c>
      <c r="AM684" s="1" t="str">
        <f t="shared" si="347"/>
        <v>palm semi</v>
      </c>
      <c r="AN684" s="1" t="str">
        <f t="shared" si="364"/>
        <v>palm semi</v>
      </c>
      <c r="AQ684" s="1" t="str">
        <f t="shared" si="348"/>
        <v>B</v>
      </c>
      <c r="AR684" s="1" t="str">
        <f>VLOOKUP(TRIM(AI684),Sheet1!$D$3:$E$36,2,FALSE)</f>
        <v>05</v>
      </c>
      <c r="AS684" s="90" t="str">
        <f t="shared" si="349"/>
        <v>01</v>
      </c>
      <c r="AT684" s="1" t="str">
        <f t="shared" si="350"/>
        <v>01</v>
      </c>
      <c r="AU684" s="90" t="s">
        <v>2014</v>
      </c>
      <c r="AV684" s="90"/>
      <c r="AW684" s="90"/>
      <c r="AX684" s="95" t="str">
        <f>AQ684&amp;AR684&amp;AS684&amp;"-"&amp;AT684&amp;AU684&amp;BA684</f>
        <v>B0501-0113</v>
      </c>
      <c r="AY684" s="99" t="str">
        <f>AQ684&amp;AR684&amp;AS684&amp;"-"&amp;AT684&amp;BA684</f>
        <v>B0501-01</v>
      </c>
      <c r="AZ684" s="90"/>
      <c r="BA684" s="1" t="str">
        <f t="shared" si="351"/>
        <v/>
      </c>
      <c r="BC684" s="1">
        <f t="shared" si="366"/>
        <v>1</v>
      </c>
      <c r="BD684" s="90">
        <f t="shared" si="367"/>
        <v>1</v>
      </c>
      <c r="BE684" s="1">
        <f t="shared" si="354"/>
        <v>1</v>
      </c>
      <c r="BF684" s="1">
        <f t="shared" si="355"/>
        <v>1</v>
      </c>
    </row>
    <row r="685" spans="1:58" ht="11.25" customHeight="1">
      <c r="A685" s="26" t="s">
        <v>3464</v>
      </c>
      <c r="B685" s="27" t="s">
        <v>3456</v>
      </c>
      <c r="C685" s="28">
        <v>729.99</v>
      </c>
      <c r="D685" s="28">
        <f t="shared" si="342"/>
        <v>364.995</v>
      </c>
      <c r="E685" s="22" t="s">
        <v>3457</v>
      </c>
      <c r="F685" s="22" t="s">
        <v>3465</v>
      </c>
      <c r="G685" s="22" t="s">
        <v>3466</v>
      </c>
      <c r="H685" s="22" t="s">
        <v>3467</v>
      </c>
      <c r="I685" s="23" t="s">
        <v>3461</v>
      </c>
      <c r="J685" s="22" t="s">
        <v>670</v>
      </c>
      <c r="L685" s="23">
        <v>60</v>
      </c>
      <c r="M685" s="23">
        <v>100</v>
      </c>
      <c r="N685" s="3">
        <f t="shared" si="368"/>
        <v>0.36</v>
      </c>
      <c r="O685" s="4" t="e">
        <f>(C685-(C685*#REF!))-((C685-(C685*#REF!))*#REF!)</f>
        <v>#REF!</v>
      </c>
      <c r="P685" s="7"/>
      <c r="Q685" s="7"/>
      <c r="R685" s="5">
        <f t="shared" si="369"/>
        <v>0</v>
      </c>
      <c r="S685" s="4">
        <f t="shared" si="370"/>
        <v>0</v>
      </c>
      <c r="T685" s="13">
        <f t="shared" si="343"/>
        <v>510.99300000000005</v>
      </c>
      <c r="U685" s="13">
        <f t="shared" si="352"/>
        <v>255.49650000000003</v>
      </c>
      <c r="V685" s="14">
        <f>U685/C685</f>
        <v>0.35000000000000003</v>
      </c>
      <c r="W685" s="14"/>
      <c r="X685" s="19">
        <f t="shared" si="371"/>
        <v>255.49650000000003</v>
      </c>
      <c r="Y685" s="19">
        <f t="shared" si="372"/>
        <v>510.99300000000005</v>
      </c>
      <c r="Z685" s="15" t="e">
        <f t="shared" si="365"/>
        <v>#DIV/0!</v>
      </c>
      <c r="AA685" s="22" t="s">
        <v>3468</v>
      </c>
      <c r="AG685" s="94" t="s">
        <v>1169</v>
      </c>
      <c r="AH685" s="89" t="str">
        <f>VLOOKUP(AG685,Sheet1!$B$3:$D$36,2,FALSE)</f>
        <v>Decors</v>
      </c>
      <c r="AI685" s="89" t="s">
        <v>3463</v>
      </c>
      <c r="AJ685" s="1" t="str">
        <f t="shared" si="344"/>
        <v>Antony palm pot wax 100</v>
      </c>
      <c r="AK685" s="1" t="str">
        <f t="shared" si="345"/>
        <v>ø60 x h100</v>
      </c>
      <c r="AL685" s="1" t="str">
        <f t="shared" si="346"/>
        <v>palm semi</v>
      </c>
      <c r="AM685" s="1" t="str">
        <f t="shared" si="347"/>
        <v>palm semi</v>
      </c>
      <c r="AN685" s="1" t="str">
        <f t="shared" si="364"/>
        <v>palm semi</v>
      </c>
      <c r="AQ685" s="1" t="str">
        <f t="shared" si="348"/>
        <v>B</v>
      </c>
      <c r="AR685" s="1" t="str">
        <f>VLOOKUP(TRIM(AI685),Sheet1!$D$3:$E$36,2,FALSE)</f>
        <v>05</v>
      </c>
      <c r="AS685" s="90" t="str">
        <f t="shared" si="349"/>
        <v>01</v>
      </c>
      <c r="AT685" s="1" t="str">
        <f t="shared" si="350"/>
        <v>01</v>
      </c>
      <c r="AU685" s="90" t="s">
        <v>2014</v>
      </c>
      <c r="AV685" s="90"/>
      <c r="AW685" s="90"/>
      <c r="AX685" s="95" t="str">
        <f>AQ685&amp;AR685&amp;AS685&amp;"-"&amp;AT685&amp;AU685&amp;BA685</f>
        <v>B0501-0113</v>
      </c>
      <c r="AY685" s="99" t="str">
        <f>AQ685&amp;AR685&amp;AS685&amp;"-"&amp;AT685&amp;BA685</f>
        <v>B0501-01</v>
      </c>
      <c r="AZ685" s="90"/>
      <c r="BA685" s="1" t="str">
        <f t="shared" si="351"/>
        <v/>
      </c>
      <c r="BC685" s="1">
        <f t="shared" si="366"/>
        <v>1</v>
      </c>
      <c r="BD685" s="90">
        <f t="shared" si="367"/>
        <v>1</v>
      </c>
      <c r="BE685" s="1">
        <f t="shared" si="354"/>
        <v>1</v>
      </c>
      <c r="BF685" s="1">
        <f t="shared" si="355"/>
        <v>1</v>
      </c>
    </row>
    <row r="686" spans="1:58" ht="11.25" customHeight="1">
      <c r="A686" s="26" t="s">
        <v>3469</v>
      </c>
      <c r="B686" s="27" t="s">
        <v>3456</v>
      </c>
      <c r="C686" s="28">
        <v>0</v>
      </c>
      <c r="D686" s="28">
        <f t="shared" si="342"/>
        <v>0</v>
      </c>
      <c r="E686" s="22" t="s">
        <v>3457</v>
      </c>
      <c r="F686" s="22" t="s">
        <v>3470</v>
      </c>
      <c r="G686" s="22" t="s">
        <v>3471</v>
      </c>
      <c r="H686" s="22" t="s">
        <v>3472</v>
      </c>
      <c r="I686" s="23" t="s">
        <v>3473</v>
      </c>
      <c r="J686" s="22" t="s">
        <v>670</v>
      </c>
      <c r="L686" s="23">
        <v>40</v>
      </c>
      <c r="M686" s="23">
        <v>120</v>
      </c>
      <c r="N686" s="3">
        <f t="shared" si="368"/>
        <v>0.192</v>
      </c>
      <c r="O686" s="4" t="e">
        <f>(C686-(C686*#REF!))-((C686-(C686*#REF!))*#REF!)</f>
        <v>#REF!</v>
      </c>
      <c r="P686" s="7"/>
      <c r="Q686" s="7"/>
      <c r="R686" s="5">
        <f t="shared" si="369"/>
        <v>0</v>
      </c>
      <c r="S686" s="4">
        <f t="shared" si="370"/>
        <v>0</v>
      </c>
      <c r="T686" s="13">
        <f t="shared" si="343"/>
        <v>0</v>
      </c>
      <c r="U686" s="13">
        <f t="shared" si="352"/>
        <v>0</v>
      </c>
      <c r="V686" s="14" t="e">
        <f>U686/C686</f>
        <v>#DIV/0!</v>
      </c>
      <c r="W686" s="14"/>
      <c r="X686" s="19">
        <f t="shared" si="371"/>
        <v>0</v>
      </c>
      <c r="Y686" s="19">
        <f t="shared" si="372"/>
        <v>0</v>
      </c>
      <c r="Z686" s="15" t="e">
        <f t="shared" si="365"/>
        <v>#DIV/0!</v>
      </c>
      <c r="AA686" s="22" t="s">
        <v>3474</v>
      </c>
      <c r="AG686" s="94" t="s">
        <v>1169</v>
      </c>
      <c r="AH686" s="89" t="str">
        <f>VLOOKUP(AG686,Sheet1!$B$3:$D$36,2,FALSE)</f>
        <v>Decors</v>
      </c>
      <c r="AI686" s="89" t="s">
        <v>3463</v>
      </c>
      <c r="AJ686" s="1" t="str">
        <f t="shared" si="344"/>
        <v>Antony palm pot wax 120</v>
      </c>
      <c r="AK686" s="1" t="str">
        <f t="shared" si="345"/>
        <v>ø40 x h120</v>
      </c>
      <c r="AL686" s="1" t="str">
        <f t="shared" si="346"/>
        <v>palm
semi</v>
      </c>
      <c r="AM686" s="1" t="str">
        <f t="shared" si="347"/>
        <v>palm
semi</v>
      </c>
      <c r="AN686" s="1" t="str">
        <f t="shared" si="364"/>
        <v>palm
semi</v>
      </c>
      <c r="AQ686" s="1" t="str">
        <f t="shared" si="348"/>
        <v>B</v>
      </c>
      <c r="AR686" s="1" t="str">
        <f>VLOOKUP(TRIM(AI686),Sheet1!$D$3:$E$36,2,FALSE)</f>
        <v>05</v>
      </c>
      <c r="AS686" s="90" t="str">
        <f t="shared" si="349"/>
        <v>01</v>
      </c>
      <c r="AT686" s="1" t="str">
        <f t="shared" si="350"/>
        <v>01</v>
      </c>
      <c r="AU686" s="90" t="s">
        <v>2014</v>
      </c>
      <c r="AV686" s="90"/>
      <c r="AW686" s="90"/>
      <c r="AX686" s="95" t="str">
        <f>AQ686&amp;AR686&amp;AS686&amp;"-"&amp;AT686&amp;AU686&amp;BA686</f>
        <v>B0501-0113</v>
      </c>
      <c r="AY686" s="99" t="str">
        <f>AQ686&amp;AR686&amp;AS686&amp;"-"&amp;AT686&amp;BA686</f>
        <v>B0501-01</v>
      </c>
      <c r="AZ686" s="90"/>
      <c r="BA686" s="1" t="str">
        <f t="shared" si="351"/>
        <v/>
      </c>
      <c r="BC686" s="1">
        <f t="shared" si="366"/>
        <v>1</v>
      </c>
      <c r="BD686" s="90">
        <f t="shared" si="367"/>
        <v>1</v>
      </c>
      <c r="BE686" s="1">
        <f t="shared" si="354"/>
        <v>1</v>
      </c>
      <c r="BF686" s="1">
        <f t="shared" si="355"/>
        <v>1</v>
      </c>
    </row>
    <row r="687" spans="1:58" ht="11.25" customHeight="1">
      <c r="A687" s="26" t="s">
        <v>3475</v>
      </c>
      <c r="B687" s="27" t="s">
        <v>3476</v>
      </c>
      <c r="C687" s="28">
        <v>939.99</v>
      </c>
      <c r="D687" s="28">
        <f t="shared" si="342"/>
        <v>469.995</v>
      </c>
      <c r="E687" s="22" t="s">
        <v>3457</v>
      </c>
      <c r="F687" s="22" t="s">
        <v>3477</v>
      </c>
      <c r="G687" s="22" t="s">
        <v>3478</v>
      </c>
      <c r="H687" s="22" t="s">
        <v>3479</v>
      </c>
      <c r="I687" s="23" t="s">
        <v>3461</v>
      </c>
      <c r="J687" s="22" t="s">
        <v>670</v>
      </c>
      <c r="L687" s="23">
        <v>50</v>
      </c>
      <c r="M687" s="23">
        <v>180</v>
      </c>
      <c r="N687" s="3">
        <f t="shared" si="368"/>
        <v>0.45</v>
      </c>
      <c r="O687" s="4" t="e">
        <f>(C687-(C687*#REF!))-((C687-(C687*#REF!))*#REF!)</f>
        <v>#REF!</v>
      </c>
      <c r="P687" s="7"/>
      <c r="Q687" s="7"/>
      <c r="R687" s="5">
        <f t="shared" si="369"/>
        <v>0</v>
      </c>
      <c r="S687" s="4">
        <f t="shared" si="370"/>
        <v>0</v>
      </c>
      <c r="T687" s="13">
        <f t="shared" si="343"/>
        <v>657.99299999999994</v>
      </c>
      <c r="U687" s="13">
        <f t="shared" si="352"/>
        <v>328.99649999999997</v>
      </c>
      <c r="V687" s="14">
        <f>U687/C687</f>
        <v>0.35</v>
      </c>
      <c r="W687" s="14"/>
      <c r="X687" s="19">
        <f t="shared" si="371"/>
        <v>328.99649999999997</v>
      </c>
      <c r="Y687" s="19">
        <f t="shared" si="372"/>
        <v>657.99299999999994</v>
      </c>
      <c r="Z687" s="15" t="e">
        <f t="shared" si="365"/>
        <v>#DIV/0!</v>
      </c>
      <c r="AA687" s="22" t="s">
        <v>3462</v>
      </c>
      <c r="AG687" s="94" t="s">
        <v>1169</v>
      </c>
      <c r="AH687" s="89" t="str">
        <f>VLOOKUP(AG687,Sheet1!$B$3:$D$36,2,FALSE)</f>
        <v>Decors</v>
      </c>
      <c r="AI687" s="89" t="s">
        <v>3463</v>
      </c>
      <c r="AJ687" s="1" t="str">
        <f t="shared" si="344"/>
        <v>Antony palm pot wax 180</v>
      </c>
      <c r="AK687" s="1" t="str">
        <f t="shared" si="345"/>
        <v>ø50 x h180</v>
      </c>
      <c r="AL687" s="1" t="str">
        <f t="shared" si="346"/>
        <v>palm semi</v>
      </c>
      <c r="AM687" s="1" t="str">
        <f t="shared" si="347"/>
        <v>palm semi</v>
      </c>
      <c r="AN687" s="1" t="str">
        <f t="shared" si="364"/>
        <v>palm semi</v>
      </c>
      <c r="AQ687" s="1" t="str">
        <f t="shared" si="348"/>
        <v>B</v>
      </c>
      <c r="AR687" s="1" t="str">
        <f>VLOOKUP(TRIM(AI687),Sheet1!$D$3:$E$36,2,FALSE)</f>
        <v>05</v>
      </c>
      <c r="AS687" s="90" t="str">
        <f t="shared" si="349"/>
        <v>01</v>
      </c>
      <c r="AT687" s="1" t="str">
        <f t="shared" si="350"/>
        <v>01</v>
      </c>
      <c r="AU687" s="90" t="s">
        <v>2014</v>
      </c>
      <c r="AV687" s="90"/>
      <c r="AW687" s="90"/>
      <c r="AX687" s="95" t="str">
        <f>AQ687&amp;AR687&amp;AS687&amp;"-"&amp;AT687&amp;AU687&amp;BA687</f>
        <v>B0501-0113</v>
      </c>
      <c r="AY687" s="99" t="str">
        <f>AQ687&amp;AR687&amp;AS687&amp;"-"&amp;AT687&amp;BA687</f>
        <v>B0501-01</v>
      </c>
      <c r="AZ687" s="90"/>
      <c r="BA687" s="1" t="str">
        <f t="shared" si="351"/>
        <v/>
      </c>
      <c r="BC687" s="1">
        <f t="shared" si="366"/>
        <v>1</v>
      </c>
      <c r="BD687" s="90">
        <f t="shared" si="367"/>
        <v>1</v>
      </c>
      <c r="BE687" s="1">
        <f t="shared" si="354"/>
        <v>1</v>
      </c>
      <c r="BF687" s="1">
        <f t="shared" si="355"/>
        <v>1</v>
      </c>
    </row>
    <row r="688" spans="1:58" ht="11.25" customHeight="1">
      <c r="A688" s="26" t="s">
        <v>3480</v>
      </c>
      <c r="B688" s="27" t="s">
        <v>3481</v>
      </c>
      <c r="C688" s="28">
        <v>589.99</v>
      </c>
      <c r="D688" s="28">
        <f t="shared" si="342"/>
        <v>294.995</v>
      </c>
      <c r="E688" s="22" t="s">
        <v>3457</v>
      </c>
      <c r="F688" s="22" t="s">
        <v>3482</v>
      </c>
      <c r="G688" s="22" t="s">
        <v>3483</v>
      </c>
      <c r="H688" s="22" t="s">
        <v>3460</v>
      </c>
      <c r="I688" s="23" t="s">
        <v>3461</v>
      </c>
      <c r="J688" s="22" t="s">
        <v>670</v>
      </c>
      <c r="L688" s="23">
        <v>68</v>
      </c>
      <c r="M688" s="23">
        <v>60</v>
      </c>
      <c r="N688" s="3">
        <f t="shared" si="368"/>
        <v>0.27744000000000002</v>
      </c>
      <c r="O688" s="4" t="e">
        <f>(C688-(C688*#REF!))-((C688-(C688*#REF!))*#REF!)</f>
        <v>#REF!</v>
      </c>
      <c r="P688" s="7"/>
      <c r="Q688" s="7"/>
      <c r="R688" s="5">
        <f t="shared" si="369"/>
        <v>0</v>
      </c>
      <c r="S688" s="4">
        <f t="shared" si="370"/>
        <v>0</v>
      </c>
      <c r="T688" s="13">
        <f t="shared" si="343"/>
        <v>412.99300000000005</v>
      </c>
      <c r="U688" s="13">
        <f t="shared" si="352"/>
        <v>206.49650000000003</v>
      </c>
      <c r="V688" s="14">
        <f>U688/C688</f>
        <v>0.35000000000000003</v>
      </c>
      <c r="W688" s="14"/>
      <c r="X688" s="19">
        <f t="shared" si="371"/>
        <v>206.49650000000003</v>
      </c>
      <c r="Y688" s="19">
        <f t="shared" si="372"/>
        <v>412.99300000000005</v>
      </c>
      <c r="Z688" s="15" t="e">
        <f t="shared" si="365"/>
        <v>#DIV/0!</v>
      </c>
      <c r="AA688" s="22" t="s">
        <v>3484</v>
      </c>
      <c r="AG688" s="94" t="s">
        <v>1169</v>
      </c>
      <c r="AH688" s="89" t="str">
        <f>VLOOKUP(AG688,Sheet1!$B$3:$D$36,2,FALSE)</f>
        <v>Decors</v>
      </c>
      <c r="AI688" s="89" t="s">
        <v>3463</v>
      </c>
      <c r="AJ688" s="1" t="str">
        <f t="shared" si="344"/>
        <v>Antony palm pot 60</v>
      </c>
      <c r="AK688" s="1" t="str">
        <f t="shared" si="345"/>
        <v>ø68 x h60</v>
      </c>
      <c r="AL688" s="1" t="str">
        <f t="shared" si="346"/>
        <v>palm semi</v>
      </c>
      <c r="AM688" s="1" t="str">
        <f t="shared" si="347"/>
        <v>palm semi</v>
      </c>
      <c r="AN688" s="1" t="str">
        <f t="shared" si="364"/>
        <v>palm semi</v>
      </c>
      <c r="AQ688" s="1" t="str">
        <f t="shared" si="348"/>
        <v>B</v>
      </c>
      <c r="AR688" s="1" t="str">
        <f>VLOOKUP(TRIM(AI688),Sheet1!$D$3:$E$36,2,FALSE)</f>
        <v>05</v>
      </c>
      <c r="AS688" s="90" t="str">
        <f t="shared" si="349"/>
        <v>01</v>
      </c>
      <c r="AT688" s="1" t="str">
        <f t="shared" si="350"/>
        <v>01</v>
      </c>
      <c r="AU688" s="90" t="s">
        <v>2014</v>
      </c>
      <c r="AV688" s="90"/>
      <c r="AW688" s="90"/>
      <c r="AX688" s="95" t="str">
        <f>AQ688&amp;AR688&amp;AS688&amp;"-"&amp;AT688&amp;AU688&amp;BA688</f>
        <v>B0501-0113</v>
      </c>
      <c r="AY688" s="99" t="str">
        <f>AQ688&amp;AR688&amp;AS688&amp;"-"&amp;AT688&amp;BA688</f>
        <v>B0501-01</v>
      </c>
      <c r="AZ688" s="90"/>
      <c r="BA688" s="1" t="str">
        <f t="shared" si="351"/>
        <v/>
      </c>
      <c r="BC688" s="1">
        <f t="shared" si="366"/>
        <v>1</v>
      </c>
      <c r="BD688" s="90">
        <f t="shared" si="367"/>
        <v>1</v>
      </c>
      <c r="BE688" s="1">
        <f t="shared" si="354"/>
        <v>1</v>
      </c>
      <c r="BF688" s="1">
        <f t="shared" si="355"/>
        <v>1</v>
      </c>
    </row>
    <row r="689" spans="1:58" ht="11.25" customHeight="1">
      <c r="A689" s="26" t="s">
        <v>3485</v>
      </c>
      <c r="B689" s="27" t="s">
        <v>3486</v>
      </c>
      <c r="C689" s="28">
        <v>729.99</v>
      </c>
      <c r="D689" s="28">
        <f t="shared" si="342"/>
        <v>364.995</v>
      </c>
      <c r="E689" s="22" t="s">
        <v>3457</v>
      </c>
      <c r="F689" s="22" t="s">
        <v>3487</v>
      </c>
      <c r="G689" s="22" t="s">
        <v>3488</v>
      </c>
      <c r="H689" s="22" t="s">
        <v>3467</v>
      </c>
      <c r="I689" s="23" t="s">
        <v>3461</v>
      </c>
      <c r="J689" s="22" t="s">
        <v>670</v>
      </c>
      <c r="L689" s="23">
        <v>60</v>
      </c>
      <c r="M689" s="23">
        <v>100</v>
      </c>
      <c r="N689" s="3">
        <f t="shared" si="368"/>
        <v>0.36</v>
      </c>
      <c r="O689" s="4" t="e">
        <f>(C689-(C689*#REF!))-((C689-(C689*#REF!))*#REF!)</f>
        <v>#REF!</v>
      </c>
      <c r="P689" s="7"/>
      <c r="Q689" s="7"/>
      <c r="R689" s="5">
        <f t="shared" si="369"/>
        <v>0</v>
      </c>
      <c r="S689" s="4">
        <f t="shared" si="370"/>
        <v>0</v>
      </c>
      <c r="T689" s="13">
        <f t="shared" si="343"/>
        <v>510.99300000000005</v>
      </c>
      <c r="U689" s="13">
        <f t="shared" si="352"/>
        <v>255.49650000000003</v>
      </c>
      <c r="V689" s="14">
        <f>U689/C689</f>
        <v>0.35000000000000003</v>
      </c>
      <c r="W689" s="14"/>
      <c r="X689" s="19">
        <f t="shared" si="371"/>
        <v>255.49650000000003</v>
      </c>
      <c r="Y689" s="19">
        <f t="shared" si="372"/>
        <v>510.99300000000005</v>
      </c>
      <c r="Z689" s="15" t="e">
        <f t="shared" si="365"/>
        <v>#DIV/0!</v>
      </c>
      <c r="AA689" s="22" t="s">
        <v>3489</v>
      </c>
      <c r="AG689" s="94" t="s">
        <v>1169</v>
      </c>
      <c r="AH689" s="89" t="str">
        <f>VLOOKUP(AG689,Sheet1!$B$3:$D$36,2,FALSE)</f>
        <v>Decors</v>
      </c>
      <c r="AI689" s="89" t="s">
        <v>3463</v>
      </c>
      <c r="AJ689" s="1" t="str">
        <f t="shared" si="344"/>
        <v>Antony palm pot 100</v>
      </c>
      <c r="AK689" s="1" t="str">
        <f t="shared" si="345"/>
        <v>ø60 x h100</v>
      </c>
      <c r="AL689" s="1" t="str">
        <f t="shared" si="346"/>
        <v>palm semi</v>
      </c>
      <c r="AM689" s="1" t="str">
        <f t="shared" si="347"/>
        <v>palm semi</v>
      </c>
      <c r="AN689" s="1" t="str">
        <f t="shared" si="364"/>
        <v>palm semi</v>
      </c>
      <c r="AQ689" s="1" t="str">
        <f t="shared" si="348"/>
        <v>B</v>
      </c>
      <c r="AR689" s="1" t="str">
        <f>VLOOKUP(TRIM(AI689),Sheet1!$D$3:$E$36,2,FALSE)</f>
        <v>05</v>
      </c>
      <c r="AS689" s="90" t="str">
        <f t="shared" si="349"/>
        <v>01</v>
      </c>
      <c r="AT689" s="1" t="str">
        <f t="shared" si="350"/>
        <v>01</v>
      </c>
      <c r="AU689" s="90" t="s">
        <v>2014</v>
      </c>
      <c r="AV689" s="90"/>
      <c r="AW689" s="90"/>
      <c r="AX689" s="95" t="str">
        <f>AQ689&amp;AR689&amp;AS689&amp;"-"&amp;AT689&amp;AU689&amp;BA689</f>
        <v>B0501-0113</v>
      </c>
      <c r="AY689" s="99" t="str">
        <f>AQ689&amp;AR689&amp;AS689&amp;"-"&amp;AT689&amp;BA689</f>
        <v>B0501-01</v>
      </c>
      <c r="AZ689" s="90"/>
      <c r="BA689" s="1" t="str">
        <f t="shared" si="351"/>
        <v/>
      </c>
      <c r="BC689" s="1">
        <f t="shared" si="366"/>
        <v>1</v>
      </c>
      <c r="BD689" s="90">
        <f t="shared" si="367"/>
        <v>1</v>
      </c>
      <c r="BE689" s="1">
        <f t="shared" si="354"/>
        <v>1</v>
      </c>
      <c r="BF689" s="1">
        <f t="shared" si="355"/>
        <v>1</v>
      </c>
    </row>
    <row r="690" spans="1:58" ht="11.25" customHeight="1">
      <c r="A690" s="26">
        <v>9120</v>
      </c>
      <c r="B690" s="27" t="s">
        <v>3490</v>
      </c>
      <c r="C690" s="28">
        <v>409.99</v>
      </c>
      <c r="D690" s="28">
        <f t="shared" si="342"/>
        <v>204.995</v>
      </c>
      <c r="E690" s="22" t="s">
        <v>3457</v>
      </c>
      <c r="F690" s="22" t="s">
        <v>3491</v>
      </c>
      <c r="G690" s="22" t="s">
        <v>3492</v>
      </c>
      <c r="H690" s="22" t="s">
        <v>3472</v>
      </c>
      <c r="I690" s="23" t="s">
        <v>3461</v>
      </c>
      <c r="J690" s="22" t="s">
        <v>670</v>
      </c>
      <c r="L690" s="23">
        <v>40</v>
      </c>
      <c r="M690" s="23">
        <v>120</v>
      </c>
      <c r="N690" s="3">
        <f t="shared" si="368"/>
        <v>0.192</v>
      </c>
      <c r="O690" s="4" t="e">
        <f>(C690-(C690*#REF!))-((C690-(C690*#REF!))*#REF!)</f>
        <v>#REF!</v>
      </c>
      <c r="P690" s="7"/>
      <c r="Q690" s="7"/>
      <c r="R690" s="5">
        <f t="shared" si="369"/>
        <v>0</v>
      </c>
      <c r="S690" s="4">
        <f t="shared" si="370"/>
        <v>0</v>
      </c>
      <c r="T690" s="13">
        <f t="shared" si="343"/>
        <v>286.99299999999999</v>
      </c>
      <c r="U690" s="13">
        <f t="shared" si="352"/>
        <v>143.4965</v>
      </c>
      <c r="V690" s="14">
        <f>U690/C690</f>
        <v>0.35</v>
      </c>
      <c r="W690" s="14"/>
      <c r="X690" s="19">
        <f t="shared" si="371"/>
        <v>143.4965</v>
      </c>
      <c r="Y690" s="19">
        <f t="shared" si="372"/>
        <v>286.99299999999999</v>
      </c>
      <c r="Z690" s="15" t="e">
        <f t="shared" si="365"/>
        <v>#DIV/0!</v>
      </c>
      <c r="AA690" s="22" t="s">
        <v>3493</v>
      </c>
      <c r="AG690" s="94" t="s">
        <v>1169</v>
      </c>
      <c r="AH690" s="89" t="str">
        <f>VLOOKUP(AG690,Sheet1!$B$3:$D$36,2,FALSE)</f>
        <v>Decors</v>
      </c>
      <c r="AI690" s="89" t="s">
        <v>3463</v>
      </c>
      <c r="AJ690" s="1" t="str">
        <f t="shared" si="344"/>
        <v>Antony Palm pot 120</v>
      </c>
      <c r="AK690" s="1" t="str">
        <f t="shared" si="345"/>
        <v>ø40 x h120</v>
      </c>
      <c r="AL690" s="1" t="str">
        <f t="shared" si="346"/>
        <v>palm semi</v>
      </c>
      <c r="AM690" s="1" t="str">
        <f t="shared" si="347"/>
        <v>palm semi</v>
      </c>
      <c r="AN690" s="1" t="str">
        <f t="shared" si="364"/>
        <v>palm semi</v>
      </c>
      <c r="AQ690" s="1" t="str">
        <f t="shared" si="348"/>
        <v>B</v>
      </c>
      <c r="AR690" s="1" t="str">
        <f>VLOOKUP(TRIM(AI690),Sheet1!$D$3:$E$36,2,FALSE)</f>
        <v>05</v>
      </c>
      <c r="AS690" s="90" t="str">
        <f t="shared" si="349"/>
        <v>01</v>
      </c>
      <c r="AT690" s="1" t="str">
        <f t="shared" si="350"/>
        <v>01</v>
      </c>
      <c r="AU690" s="90" t="s">
        <v>2014</v>
      </c>
      <c r="AV690" s="90"/>
      <c r="AW690" s="90"/>
      <c r="AX690" s="95" t="str">
        <f>AQ690&amp;AR690&amp;AS690&amp;"-"&amp;AT690&amp;AU690&amp;BA690</f>
        <v>B0501-0113</v>
      </c>
      <c r="AY690" s="99" t="str">
        <f>AQ690&amp;AR690&amp;AS690&amp;"-"&amp;AT690&amp;BA690</f>
        <v>B0501-01</v>
      </c>
      <c r="AZ690" s="90"/>
      <c r="BA690" s="1" t="str">
        <f t="shared" si="351"/>
        <v/>
      </c>
      <c r="BC690" s="1">
        <f t="shared" si="366"/>
        <v>1</v>
      </c>
      <c r="BD690" s="90">
        <f t="shared" si="367"/>
        <v>1</v>
      </c>
      <c r="BE690" s="1">
        <f t="shared" si="354"/>
        <v>1</v>
      </c>
      <c r="BF690" s="1">
        <f t="shared" si="355"/>
        <v>1</v>
      </c>
    </row>
    <row r="691" spans="1:58" ht="11.25" customHeight="1">
      <c r="A691" s="26" t="s">
        <v>3494</v>
      </c>
      <c r="B691" s="27" t="s">
        <v>3495</v>
      </c>
      <c r="C691" s="28">
        <v>869.99</v>
      </c>
      <c r="D691" s="28">
        <f t="shared" si="342"/>
        <v>434.995</v>
      </c>
      <c r="E691" s="22" t="s">
        <v>3457</v>
      </c>
      <c r="F691" s="22" t="s">
        <v>3496</v>
      </c>
      <c r="G691" s="22" t="s">
        <v>3497</v>
      </c>
      <c r="H691" s="22" t="s">
        <v>3472</v>
      </c>
      <c r="I691" s="23" t="s">
        <v>3461</v>
      </c>
      <c r="J691" s="22" t="s">
        <v>670</v>
      </c>
      <c r="L691" s="23">
        <v>40</v>
      </c>
      <c r="M691" s="23">
        <v>120</v>
      </c>
      <c r="N691" s="3">
        <f t="shared" si="368"/>
        <v>0.192</v>
      </c>
      <c r="O691" s="4" t="e">
        <f>(C691-(C691*#REF!))-((C691-(C691*#REF!))*#REF!)</f>
        <v>#REF!</v>
      </c>
      <c r="P691" s="7"/>
      <c r="Q691" s="7"/>
      <c r="R691" s="5">
        <f t="shared" si="369"/>
        <v>0</v>
      </c>
      <c r="S691" s="4">
        <f t="shared" si="370"/>
        <v>0</v>
      </c>
      <c r="T691" s="13">
        <f t="shared" si="343"/>
        <v>608.99299999999994</v>
      </c>
      <c r="U691" s="13">
        <f t="shared" si="352"/>
        <v>304.49649999999997</v>
      </c>
      <c r="V691" s="14">
        <f>U691/C691</f>
        <v>0.35</v>
      </c>
      <c r="W691" s="14"/>
      <c r="X691" s="19">
        <f t="shared" si="371"/>
        <v>304.49649999999997</v>
      </c>
      <c r="Y691" s="19">
        <f t="shared" si="372"/>
        <v>608.99299999999994</v>
      </c>
      <c r="Z691" s="15" t="e">
        <f t="shared" si="365"/>
        <v>#DIV/0!</v>
      </c>
      <c r="AA691" s="22" t="s">
        <v>3498</v>
      </c>
      <c r="AG691" s="94" t="s">
        <v>1169</v>
      </c>
      <c r="AH691" s="89" t="str">
        <f>VLOOKUP(AG691,Sheet1!$B$3:$D$36,2,FALSE)</f>
        <v>Decors</v>
      </c>
      <c r="AI691" s="89" t="s">
        <v>3463</v>
      </c>
      <c r="AJ691" s="1" t="str">
        <f t="shared" si="344"/>
        <v>Antony palm pot 120 curved</v>
      </c>
      <c r="AK691" s="1" t="str">
        <f t="shared" si="345"/>
        <v>ø40 x h120</v>
      </c>
      <c r="AL691" s="1" t="str">
        <f t="shared" si="346"/>
        <v>palm semi</v>
      </c>
      <c r="AM691" s="1" t="str">
        <f t="shared" si="347"/>
        <v>palm semi</v>
      </c>
      <c r="AN691" s="1" t="str">
        <f t="shared" si="364"/>
        <v>palm semi</v>
      </c>
      <c r="AQ691" s="1" t="str">
        <f t="shared" si="348"/>
        <v>B</v>
      </c>
      <c r="AR691" s="1" t="str">
        <f>VLOOKUP(TRIM(AI691),Sheet1!$D$3:$E$36,2,FALSE)</f>
        <v>05</v>
      </c>
      <c r="AS691" s="90" t="str">
        <f t="shared" si="349"/>
        <v>01</v>
      </c>
      <c r="AT691" s="1" t="str">
        <f t="shared" si="350"/>
        <v>02</v>
      </c>
      <c r="AU691" s="90" t="s">
        <v>2014</v>
      </c>
      <c r="AV691" s="90"/>
      <c r="AW691" s="90"/>
      <c r="AX691" s="95" t="str">
        <f>AQ691&amp;AR691&amp;AS691&amp;"-"&amp;AT691&amp;AU691&amp;BA691</f>
        <v>B0501-0213</v>
      </c>
      <c r="AY691" s="99" t="str">
        <f>AQ691&amp;AR691&amp;AS691&amp;"-"&amp;AT691&amp;BA691</f>
        <v>B0501-02</v>
      </c>
      <c r="AZ691" s="90"/>
      <c r="BA691" s="1" t="str">
        <f t="shared" si="351"/>
        <v/>
      </c>
      <c r="BC691" s="1">
        <f t="shared" si="366"/>
        <v>1</v>
      </c>
      <c r="BD691" s="90">
        <f t="shared" si="367"/>
        <v>1</v>
      </c>
      <c r="BE691" s="1" t="str">
        <f t="shared" si="354"/>
        <v/>
      </c>
      <c r="BF691" s="1">
        <f t="shared" si="355"/>
        <v>2</v>
      </c>
    </row>
    <row r="692" spans="1:58" ht="11.25" customHeight="1">
      <c r="A692" s="26" t="s">
        <v>3499</v>
      </c>
      <c r="B692" s="27" t="s">
        <v>3500</v>
      </c>
      <c r="C692" s="28">
        <v>589.99</v>
      </c>
      <c r="D692" s="28">
        <f t="shared" si="342"/>
        <v>294.995</v>
      </c>
      <c r="E692" s="22" t="s">
        <v>3457</v>
      </c>
      <c r="F692" s="22" t="s">
        <v>3501</v>
      </c>
      <c r="G692" s="22" t="s">
        <v>3502</v>
      </c>
      <c r="H692" s="22" t="s">
        <v>3472</v>
      </c>
      <c r="I692" s="23" t="s">
        <v>3461</v>
      </c>
      <c r="J692" s="22" t="s">
        <v>670</v>
      </c>
      <c r="L692" s="23">
        <v>40</v>
      </c>
      <c r="M692" s="23">
        <v>120</v>
      </c>
      <c r="N692" s="3">
        <f t="shared" si="368"/>
        <v>0.192</v>
      </c>
      <c r="O692" s="4" t="e">
        <f>(C692-(C692*#REF!))-((C692-(C692*#REF!))*#REF!)</f>
        <v>#REF!</v>
      </c>
      <c r="P692" s="7"/>
      <c r="Q692" s="7"/>
      <c r="R692" s="5">
        <f t="shared" si="369"/>
        <v>0</v>
      </c>
      <c r="S692" s="4">
        <f t="shared" si="370"/>
        <v>0</v>
      </c>
      <c r="T692" s="13">
        <f t="shared" si="343"/>
        <v>412.99300000000005</v>
      </c>
      <c r="U692" s="13">
        <f t="shared" si="352"/>
        <v>206.49650000000003</v>
      </c>
      <c r="V692" s="14">
        <f>U692/C692</f>
        <v>0.35000000000000003</v>
      </c>
      <c r="W692" s="14"/>
      <c r="X692" s="19">
        <f t="shared" si="371"/>
        <v>206.49650000000003</v>
      </c>
      <c r="Y692" s="19">
        <f t="shared" si="372"/>
        <v>412.99300000000005</v>
      </c>
      <c r="Z692" s="15" t="e">
        <f t="shared" si="365"/>
        <v>#DIV/0!</v>
      </c>
      <c r="AA692" s="22" t="s">
        <v>3503</v>
      </c>
      <c r="AG692" s="94" t="s">
        <v>1169</v>
      </c>
      <c r="AH692" s="89" t="str">
        <f>VLOOKUP(AG692,Sheet1!$B$3:$D$36,2,FALSE)</f>
        <v>Decors</v>
      </c>
      <c r="AI692" s="89" t="s">
        <v>3463</v>
      </c>
      <c r="AJ692" s="1" t="str">
        <f t="shared" si="344"/>
        <v>Antony palm pot 120 cadre</v>
      </c>
      <c r="AK692" s="1" t="str">
        <f t="shared" si="345"/>
        <v>ø40 x h120</v>
      </c>
      <c r="AL692" s="1" t="str">
        <f t="shared" si="346"/>
        <v>palm semi</v>
      </c>
      <c r="AM692" s="1" t="str">
        <f t="shared" si="347"/>
        <v>palm semi</v>
      </c>
      <c r="AN692" s="1" t="str">
        <f t="shared" si="364"/>
        <v>palm semi</v>
      </c>
      <c r="AQ692" s="1" t="str">
        <f t="shared" si="348"/>
        <v>B</v>
      </c>
      <c r="AR692" s="1" t="str">
        <f>VLOOKUP(TRIM(AI692),Sheet1!$D$3:$E$36,2,FALSE)</f>
        <v>05</v>
      </c>
      <c r="AS692" s="90" t="str">
        <f t="shared" si="349"/>
        <v>01</v>
      </c>
      <c r="AT692" s="1" t="str">
        <f t="shared" si="350"/>
        <v>03</v>
      </c>
      <c r="AU692" s="90" t="s">
        <v>2014</v>
      </c>
      <c r="AV692" s="90"/>
      <c r="AW692" s="90"/>
      <c r="AX692" s="95" t="str">
        <f>AQ692&amp;AR692&amp;AS692&amp;"-"&amp;AT692&amp;AU692&amp;BA692</f>
        <v>B0501-0313</v>
      </c>
      <c r="AY692" s="99" t="str">
        <f>AQ692&amp;AR692&amp;AS692&amp;"-"&amp;AT692&amp;BA692</f>
        <v>B0501-03</v>
      </c>
      <c r="AZ692" s="90"/>
      <c r="BA692" s="1" t="str">
        <f t="shared" si="351"/>
        <v/>
      </c>
      <c r="BC692" s="1">
        <f t="shared" si="366"/>
        <v>1</v>
      </c>
      <c r="BD692" s="90">
        <f t="shared" si="367"/>
        <v>1</v>
      </c>
      <c r="BE692" s="1" t="str">
        <f t="shared" si="354"/>
        <v/>
      </c>
      <c r="BF692" s="1">
        <f t="shared" si="355"/>
        <v>3</v>
      </c>
    </row>
    <row r="693" spans="1:58" ht="11.25" customHeight="1">
      <c r="A693" s="26" t="s">
        <v>3504</v>
      </c>
      <c r="B693" s="27" t="s">
        <v>3505</v>
      </c>
      <c r="C693" s="28">
        <v>589.99</v>
      </c>
      <c r="D693" s="28">
        <f t="shared" si="342"/>
        <v>294.995</v>
      </c>
      <c r="E693" s="22" t="s">
        <v>3457</v>
      </c>
      <c r="F693" s="22" t="s">
        <v>3506</v>
      </c>
      <c r="G693" s="22" t="s">
        <v>3507</v>
      </c>
      <c r="H693" s="22" t="s">
        <v>3472</v>
      </c>
      <c r="I693" s="23" t="s">
        <v>3461</v>
      </c>
      <c r="J693" s="22" t="s">
        <v>670</v>
      </c>
      <c r="L693" s="23">
        <v>40</v>
      </c>
      <c r="M693" s="23">
        <v>120</v>
      </c>
      <c r="N693" s="3">
        <f t="shared" si="368"/>
        <v>0.192</v>
      </c>
      <c r="O693" s="4" t="e">
        <f>(C693-(C693*#REF!))-((C693-(C693*#REF!))*#REF!)</f>
        <v>#REF!</v>
      </c>
      <c r="P693" s="7"/>
      <c r="Q693" s="7"/>
      <c r="R693" s="5">
        <f t="shared" si="369"/>
        <v>0</v>
      </c>
      <c r="S693" s="4">
        <f t="shared" si="370"/>
        <v>0</v>
      </c>
      <c r="T693" s="13">
        <f t="shared" si="343"/>
        <v>412.99300000000005</v>
      </c>
      <c r="U693" s="13">
        <f t="shared" si="352"/>
        <v>206.49650000000003</v>
      </c>
      <c r="V693" s="14">
        <f>U693/C693</f>
        <v>0.35000000000000003</v>
      </c>
      <c r="W693" s="14"/>
      <c r="X693" s="19">
        <f t="shared" si="371"/>
        <v>206.49650000000003</v>
      </c>
      <c r="Y693" s="19">
        <f t="shared" si="372"/>
        <v>412.99300000000005</v>
      </c>
      <c r="Z693" s="15" t="e">
        <f t="shared" si="365"/>
        <v>#DIV/0!</v>
      </c>
      <c r="AA693" s="22" t="s">
        <v>3508</v>
      </c>
      <c r="AG693" s="94" t="s">
        <v>1169</v>
      </c>
      <c r="AH693" s="89" t="str">
        <f>VLOOKUP(AG693,Sheet1!$B$3:$D$36,2,FALSE)</f>
        <v>Decors</v>
      </c>
      <c r="AI693" s="89" t="s">
        <v>3463</v>
      </c>
      <c r="AJ693" s="1" t="str">
        <f t="shared" si="344"/>
        <v>Antony palm pot 120 linie</v>
      </c>
      <c r="AK693" s="1" t="str">
        <f t="shared" si="345"/>
        <v>ø40 x h120</v>
      </c>
      <c r="AL693" s="1" t="str">
        <f t="shared" si="346"/>
        <v>palm semi</v>
      </c>
      <c r="AM693" s="1" t="str">
        <f t="shared" si="347"/>
        <v>palm semi</v>
      </c>
      <c r="AN693" s="1" t="str">
        <f t="shared" si="364"/>
        <v>palm semi</v>
      </c>
      <c r="AQ693" s="1" t="str">
        <f t="shared" si="348"/>
        <v>B</v>
      </c>
      <c r="AR693" s="1" t="str">
        <f>VLOOKUP(TRIM(AI693),Sheet1!$D$3:$E$36,2,FALSE)</f>
        <v>05</v>
      </c>
      <c r="AS693" s="90" t="str">
        <f t="shared" si="349"/>
        <v>01</v>
      </c>
      <c r="AT693" s="1" t="str">
        <f t="shared" si="350"/>
        <v>04</v>
      </c>
      <c r="AU693" s="90" t="s">
        <v>2014</v>
      </c>
      <c r="AV693" s="90"/>
      <c r="AW693" s="90"/>
      <c r="AX693" s="95" t="str">
        <f>AQ693&amp;AR693&amp;AS693&amp;"-"&amp;AT693&amp;AU693&amp;BA693</f>
        <v>B0501-0413</v>
      </c>
      <c r="AY693" s="99" t="str">
        <f>AQ693&amp;AR693&amp;AS693&amp;"-"&amp;AT693&amp;BA693</f>
        <v>B0501-04</v>
      </c>
      <c r="AZ693" s="90"/>
      <c r="BA693" s="1" t="str">
        <f t="shared" si="351"/>
        <v/>
      </c>
      <c r="BC693" s="1">
        <f t="shared" si="366"/>
        <v>1</v>
      </c>
      <c r="BD693" s="90">
        <f t="shared" si="367"/>
        <v>1</v>
      </c>
      <c r="BE693" s="1" t="str">
        <f t="shared" si="354"/>
        <v/>
      </c>
      <c r="BF693" s="1">
        <f t="shared" si="355"/>
        <v>4</v>
      </c>
    </row>
    <row r="694" spans="1:58" ht="11.25" customHeight="1">
      <c r="A694" s="26">
        <v>9180</v>
      </c>
      <c r="B694" s="27" t="s">
        <v>3509</v>
      </c>
      <c r="C694" s="28">
        <v>989.99</v>
      </c>
      <c r="D694" s="28">
        <f t="shared" si="342"/>
        <v>494.995</v>
      </c>
      <c r="E694" s="22" t="s">
        <v>3457</v>
      </c>
      <c r="F694" s="22" t="s">
        <v>3510</v>
      </c>
      <c r="G694" s="22" t="s">
        <v>3511</v>
      </c>
      <c r="H694" s="22" t="s">
        <v>3479</v>
      </c>
      <c r="I694" s="23" t="s">
        <v>3461</v>
      </c>
      <c r="J694" s="22" t="s">
        <v>670</v>
      </c>
      <c r="L694" s="23">
        <v>50</v>
      </c>
      <c r="M694" s="23">
        <v>180</v>
      </c>
      <c r="N694" s="3">
        <f t="shared" si="368"/>
        <v>0.45</v>
      </c>
      <c r="O694" s="4" t="e">
        <f>(C694-(C694*#REF!))-((C694-(C694*#REF!))*#REF!)</f>
        <v>#REF!</v>
      </c>
      <c r="P694" s="7"/>
      <c r="Q694" s="7"/>
      <c r="R694" s="5">
        <f t="shared" si="369"/>
        <v>0</v>
      </c>
      <c r="S694" s="4">
        <f t="shared" si="370"/>
        <v>0</v>
      </c>
      <c r="T694" s="13">
        <f t="shared" si="343"/>
        <v>692.99299999999994</v>
      </c>
      <c r="U694" s="13">
        <f t="shared" si="352"/>
        <v>346.49649999999997</v>
      </c>
      <c r="V694" s="14">
        <f>U694/C694</f>
        <v>0.35</v>
      </c>
      <c r="W694" s="14"/>
      <c r="X694" s="19">
        <f t="shared" si="371"/>
        <v>346.49649999999997</v>
      </c>
      <c r="Y694" s="19">
        <f t="shared" si="372"/>
        <v>692.99299999999994</v>
      </c>
      <c r="Z694" s="15" t="e">
        <f t="shared" si="365"/>
        <v>#DIV/0!</v>
      </c>
      <c r="AA694" s="22" t="s">
        <v>3512</v>
      </c>
      <c r="AG694" s="94" t="s">
        <v>1169</v>
      </c>
      <c r="AH694" s="89" t="str">
        <f>VLOOKUP(AG694,Sheet1!$B$3:$D$36,2,FALSE)</f>
        <v>Decors</v>
      </c>
      <c r="AI694" s="89" t="s">
        <v>3463</v>
      </c>
      <c r="AJ694" s="1" t="str">
        <f t="shared" si="344"/>
        <v>Antony palm pot 180</v>
      </c>
      <c r="AK694" s="1" t="str">
        <f t="shared" si="345"/>
        <v>ø50 x h180</v>
      </c>
      <c r="AL694" s="1" t="str">
        <f t="shared" si="346"/>
        <v>palm semi</v>
      </c>
      <c r="AM694" s="1" t="str">
        <f t="shared" si="347"/>
        <v>palm semi</v>
      </c>
      <c r="AN694" s="1" t="str">
        <f t="shared" si="364"/>
        <v>palm semi</v>
      </c>
      <c r="AQ694" s="1" t="str">
        <f t="shared" si="348"/>
        <v>B</v>
      </c>
      <c r="AR694" s="1" t="str">
        <f>VLOOKUP(TRIM(AI694),Sheet1!$D$3:$E$36,2,FALSE)</f>
        <v>05</v>
      </c>
      <c r="AS694" s="90" t="str">
        <f t="shared" si="349"/>
        <v>01</v>
      </c>
      <c r="AT694" s="1" t="str">
        <f t="shared" si="350"/>
        <v>01</v>
      </c>
      <c r="AU694" s="90" t="s">
        <v>2014</v>
      </c>
      <c r="AV694" s="90"/>
      <c r="AW694" s="90"/>
      <c r="AX694" s="95" t="str">
        <f>AQ694&amp;AR694&amp;AS694&amp;"-"&amp;AT694&amp;AU694&amp;BA694</f>
        <v>B0501-0113</v>
      </c>
      <c r="AY694" s="99" t="str">
        <f>AQ694&amp;AR694&amp;AS694&amp;"-"&amp;AT694&amp;BA694</f>
        <v>B0501-01</v>
      </c>
      <c r="AZ694" s="90"/>
      <c r="BA694" s="1" t="str">
        <f t="shared" si="351"/>
        <v/>
      </c>
      <c r="BC694" s="1">
        <f t="shared" si="366"/>
        <v>1</v>
      </c>
      <c r="BD694" s="90">
        <f t="shared" si="367"/>
        <v>1</v>
      </c>
      <c r="BE694" s="1">
        <f t="shared" si="354"/>
        <v>1</v>
      </c>
      <c r="BF694" s="1">
        <f t="shared" si="355"/>
        <v>1</v>
      </c>
    </row>
    <row r="695" spans="1:58" ht="11.25" customHeight="1">
      <c r="A695" s="26" t="s">
        <v>3513</v>
      </c>
      <c r="B695" s="27" t="s">
        <v>3514</v>
      </c>
      <c r="C695" s="28">
        <v>1459.99</v>
      </c>
      <c r="D695" s="28">
        <f t="shared" si="342"/>
        <v>729.995</v>
      </c>
      <c r="E695" s="22" t="s">
        <v>3457</v>
      </c>
      <c r="F695" s="22" t="s">
        <v>3515</v>
      </c>
      <c r="G695" s="22" t="s">
        <v>3516</v>
      </c>
      <c r="H695" s="22" t="s">
        <v>3479</v>
      </c>
      <c r="I695" s="23" t="s">
        <v>3461</v>
      </c>
      <c r="J695" s="22" t="s">
        <v>670</v>
      </c>
      <c r="L695" s="23">
        <v>50</v>
      </c>
      <c r="M695" s="23">
        <v>180</v>
      </c>
      <c r="N695" s="3">
        <f t="shared" si="368"/>
        <v>0.45</v>
      </c>
      <c r="O695" s="4" t="e">
        <f>(C695-(C695*#REF!))-((C695-(C695*#REF!))*#REF!)</f>
        <v>#REF!</v>
      </c>
      <c r="P695" s="7"/>
      <c r="Q695" s="7"/>
      <c r="R695" s="5">
        <f t="shared" si="369"/>
        <v>0</v>
      </c>
      <c r="S695" s="4">
        <f t="shared" si="370"/>
        <v>0</v>
      </c>
      <c r="T695" s="13">
        <f t="shared" si="343"/>
        <v>1021.9929999999999</v>
      </c>
      <c r="U695" s="13">
        <f t="shared" si="352"/>
        <v>510.99649999999997</v>
      </c>
      <c r="V695" s="14">
        <f>U695/C695</f>
        <v>0.35</v>
      </c>
      <c r="W695" s="14"/>
      <c r="X695" s="19">
        <f t="shared" si="371"/>
        <v>510.99649999999997</v>
      </c>
      <c r="Y695" s="19">
        <f t="shared" si="372"/>
        <v>1021.9929999999999</v>
      </c>
      <c r="Z695" s="15" t="e">
        <f t="shared" si="365"/>
        <v>#DIV/0!</v>
      </c>
      <c r="AA695" s="22" t="s">
        <v>3517</v>
      </c>
      <c r="AG695" s="94" t="s">
        <v>1169</v>
      </c>
      <c r="AH695" s="89" t="str">
        <f>VLOOKUP(AG695,Sheet1!$B$3:$D$36,2,FALSE)</f>
        <v>Decors</v>
      </c>
      <c r="AI695" s="89" t="s">
        <v>3463</v>
      </c>
      <c r="AJ695" s="1" t="str">
        <f t="shared" si="344"/>
        <v>Antony palm pot 180 curved</v>
      </c>
      <c r="AK695" s="1" t="str">
        <f t="shared" si="345"/>
        <v>ø50 x h180</v>
      </c>
      <c r="AL695" s="1" t="str">
        <f t="shared" si="346"/>
        <v>palm semi</v>
      </c>
      <c r="AM695" s="1" t="str">
        <f t="shared" si="347"/>
        <v>palm semi</v>
      </c>
      <c r="AN695" s="1" t="str">
        <f t="shared" si="364"/>
        <v>palm semi</v>
      </c>
      <c r="AQ695" s="1" t="str">
        <f t="shared" si="348"/>
        <v>B</v>
      </c>
      <c r="AR695" s="1" t="str">
        <f>VLOOKUP(TRIM(AI695),Sheet1!$D$3:$E$36,2,FALSE)</f>
        <v>05</v>
      </c>
      <c r="AS695" s="90" t="str">
        <f t="shared" si="349"/>
        <v>01</v>
      </c>
      <c r="AT695" s="1" t="str">
        <f t="shared" si="350"/>
        <v>02</v>
      </c>
      <c r="AU695" s="90" t="s">
        <v>2014</v>
      </c>
      <c r="AV695" s="90"/>
      <c r="AW695" s="90"/>
      <c r="AX695" s="95" t="str">
        <f>AQ695&amp;AR695&amp;AS695&amp;"-"&amp;AT695&amp;AU695&amp;BA695</f>
        <v>B0501-0213</v>
      </c>
      <c r="AY695" s="99" t="str">
        <f>AQ695&amp;AR695&amp;AS695&amp;"-"&amp;AT695&amp;BA695</f>
        <v>B0501-02</v>
      </c>
      <c r="AZ695" s="90"/>
      <c r="BA695" s="1" t="str">
        <f t="shared" si="351"/>
        <v/>
      </c>
      <c r="BC695" s="1">
        <f t="shared" si="366"/>
        <v>1</v>
      </c>
      <c r="BD695" s="90">
        <f t="shared" si="367"/>
        <v>1</v>
      </c>
      <c r="BE695" s="1" t="str">
        <f t="shared" si="354"/>
        <v/>
      </c>
      <c r="BF695" s="1">
        <f t="shared" si="355"/>
        <v>2</v>
      </c>
    </row>
    <row r="696" spans="1:58" ht="11.25" customHeight="1">
      <c r="A696" s="26" t="s">
        <v>3518</v>
      </c>
      <c r="B696" s="27" t="s">
        <v>3519</v>
      </c>
      <c r="C696" s="28">
        <v>1109.99</v>
      </c>
      <c r="D696" s="28">
        <f t="shared" si="342"/>
        <v>554.995</v>
      </c>
      <c r="E696" s="22" t="s">
        <v>3457</v>
      </c>
      <c r="F696" s="22" t="s">
        <v>3520</v>
      </c>
      <c r="G696" s="22" t="s">
        <v>3521</v>
      </c>
      <c r="H696" s="22" t="s">
        <v>3479</v>
      </c>
      <c r="I696" s="23" t="s">
        <v>3461</v>
      </c>
      <c r="J696" s="22" t="s">
        <v>670</v>
      </c>
      <c r="L696" s="23">
        <v>50</v>
      </c>
      <c r="M696" s="23">
        <v>180</v>
      </c>
      <c r="N696" s="3">
        <f t="shared" si="368"/>
        <v>0.45</v>
      </c>
      <c r="O696" s="4" t="e">
        <f>(C696-(C696*#REF!))-((C696-(C696*#REF!))*#REF!)</f>
        <v>#REF!</v>
      </c>
      <c r="P696" s="7"/>
      <c r="Q696" s="7"/>
      <c r="R696" s="5">
        <f t="shared" si="369"/>
        <v>0</v>
      </c>
      <c r="S696" s="4">
        <f t="shared" si="370"/>
        <v>0</v>
      </c>
      <c r="T696" s="13">
        <f t="shared" si="343"/>
        <v>776.99299999999994</v>
      </c>
      <c r="U696" s="13">
        <f t="shared" si="352"/>
        <v>388.49649999999997</v>
      </c>
      <c r="V696" s="14">
        <f>U696/C696</f>
        <v>0.35</v>
      </c>
      <c r="W696" s="14"/>
      <c r="X696" s="19">
        <f t="shared" si="371"/>
        <v>388.49649999999997</v>
      </c>
      <c r="Y696" s="19">
        <f t="shared" si="372"/>
        <v>776.99299999999994</v>
      </c>
      <c r="Z696" s="15" t="e">
        <f t="shared" si="365"/>
        <v>#DIV/0!</v>
      </c>
      <c r="AA696" s="22" t="s">
        <v>3522</v>
      </c>
      <c r="AG696" s="94" t="s">
        <v>1169</v>
      </c>
      <c r="AH696" s="89" t="str">
        <f>VLOOKUP(AG696,Sheet1!$B$3:$D$36,2,FALSE)</f>
        <v>Decors</v>
      </c>
      <c r="AI696" s="89" t="s">
        <v>3463</v>
      </c>
      <c r="AJ696" s="1" t="str">
        <f t="shared" si="344"/>
        <v>Antony palm pot 180 cadre</v>
      </c>
      <c r="AK696" s="1" t="str">
        <f t="shared" si="345"/>
        <v>ø50 x h180</v>
      </c>
      <c r="AL696" s="1" t="str">
        <f t="shared" si="346"/>
        <v>palm semi</v>
      </c>
      <c r="AM696" s="1" t="str">
        <f t="shared" si="347"/>
        <v>palm semi</v>
      </c>
      <c r="AN696" s="1" t="str">
        <f t="shared" si="364"/>
        <v>palm semi</v>
      </c>
      <c r="AQ696" s="1" t="str">
        <f t="shared" si="348"/>
        <v>B</v>
      </c>
      <c r="AR696" s="1" t="str">
        <f>VLOOKUP(TRIM(AI696),Sheet1!$D$3:$E$36,2,FALSE)</f>
        <v>05</v>
      </c>
      <c r="AS696" s="90" t="str">
        <f t="shared" si="349"/>
        <v>01</v>
      </c>
      <c r="AT696" s="1" t="str">
        <f t="shared" si="350"/>
        <v>03</v>
      </c>
      <c r="AU696" s="90" t="s">
        <v>2014</v>
      </c>
      <c r="AV696" s="90"/>
      <c r="AW696" s="90"/>
      <c r="AX696" s="95" t="str">
        <f>AQ696&amp;AR696&amp;AS696&amp;"-"&amp;AT696&amp;AU696&amp;BA696</f>
        <v>B0501-0313</v>
      </c>
      <c r="AY696" s="99" t="str">
        <f>AQ696&amp;AR696&amp;AS696&amp;"-"&amp;AT696&amp;BA696</f>
        <v>B0501-03</v>
      </c>
      <c r="AZ696" s="90"/>
      <c r="BA696" s="1" t="str">
        <f t="shared" si="351"/>
        <v/>
      </c>
      <c r="BC696" s="1">
        <f t="shared" si="366"/>
        <v>1</v>
      </c>
      <c r="BD696" s="90">
        <f t="shared" si="367"/>
        <v>1</v>
      </c>
      <c r="BE696" s="1" t="str">
        <f t="shared" si="354"/>
        <v/>
      </c>
      <c r="BF696" s="1">
        <f t="shared" si="355"/>
        <v>3</v>
      </c>
    </row>
    <row r="697" spans="1:58" ht="11.25" customHeight="1">
      <c r="A697" s="26" t="s">
        <v>3523</v>
      </c>
      <c r="B697" s="27" t="s">
        <v>3524</v>
      </c>
      <c r="C697" s="28">
        <v>1109.99</v>
      </c>
      <c r="D697" s="28">
        <f t="shared" si="342"/>
        <v>554.995</v>
      </c>
      <c r="E697" s="22" t="s">
        <v>3457</v>
      </c>
      <c r="F697" s="22" t="s">
        <v>3525</v>
      </c>
      <c r="G697" s="22" t="s">
        <v>3526</v>
      </c>
      <c r="H697" s="22" t="s">
        <v>3479</v>
      </c>
      <c r="I697" s="23" t="s">
        <v>3461</v>
      </c>
      <c r="J697" s="22" t="s">
        <v>670</v>
      </c>
      <c r="L697" s="23">
        <v>50</v>
      </c>
      <c r="M697" s="23">
        <v>180</v>
      </c>
      <c r="N697" s="3">
        <f t="shared" si="368"/>
        <v>0.45</v>
      </c>
      <c r="O697" s="4" t="e">
        <f>(C697-(C697*#REF!))-((C697-(C697*#REF!))*#REF!)</f>
        <v>#REF!</v>
      </c>
      <c r="P697" s="7"/>
      <c r="Q697" s="7"/>
      <c r="R697" s="5">
        <f t="shared" si="369"/>
        <v>0</v>
      </c>
      <c r="S697" s="4">
        <f t="shared" si="370"/>
        <v>0</v>
      </c>
      <c r="T697" s="13">
        <f t="shared" si="343"/>
        <v>776.99299999999994</v>
      </c>
      <c r="U697" s="13">
        <f t="shared" si="352"/>
        <v>388.49649999999997</v>
      </c>
      <c r="V697" s="14">
        <f>U697/C697</f>
        <v>0.35</v>
      </c>
      <c r="W697" s="14"/>
      <c r="X697" s="19">
        <f t="shared" si="371"/>
        <v>388.49649999999997</v>
      </c>
      <c r="Y697" s="19">
        <f t="shared" si="372"/>
        <v>776.99299999999994</v>
      </c>
      <c r="Z697" s="15" t="e">
        <f t="shared" si="365"/>
        <v>#DIV/0!</v>
      </c>
      <c r="AA697" s="22" t="s">
        <v>3527</v>
      </c>
      <c r="AG697" s="94" t="s">
        <v>1169</v>
      </c>
      <c r="AH697" s="89" t="str">
        <f>VLOOKUP(AG697,Sheet1!$B$3:$D$36,2,FALSE)</f>
        <v>Decors</v>
      </c>
      <c r="AI697" s="89" t="s">
        <v>3463</v>
      </c>
      <c r="AJ697" s="1" t="str">
        <f t="shared" si="344"/>
        <v>Antony palm pot 180 linie</v>
      </c>
      <c r="AK697" s="1" t="str">
        <f t="shared" si="345"/>
        <v>ø50 x h180</v>
      </c>
      <c r="AL697" s="1" t="str">
        <f t="shared" si="346"/>
        <v>palm semi</v>
      </c>
      <c r="AM697" s="1" t="str">
        <f t="shared" si="347"/>
        <v>palm semi</v>
      </c>
      <c r="AN697" s="1" t="str">
        <f t="shared" si="364"/>
        <v>palm semi</v>
      </c>
      <c r="AQ697" s="1" t="str">
        <f t="shared" si="348"/>
        <v>B</v>
      </c>
      <c r="AR697" s="1" t="str">
        <f>VLOOKUP(TRIM(AI697),Sheet1!$D$3:$E$36,2,FALSE)</f>
        <v>05</v>
      </c>
      <c r="AS697" s="90" t="str">
        <f t="shared" si="349"/>
        <v>01</v>
      </c>
      <c r="AT697" s="1" t="str">
        <f t="shared" si="350"/>
        <v>04</v>
      </c>
      <c r="AU697" s="90" t="s">
        <v>2014</v>
      </c>
      <c r="AV697" s="90"/>
      <c r="AW697" s="90"/>
      <c r="AX697" s="95" t="str">
        <f>AQ697&amp;AR697&amp;AS697&amp;"-"&amp;AT697&amp;AU697&amp;BA697</f>
        <v>B0501-0413</v>
      </c>
      <c r="AY697" s="99" t="str">
        <f>AQ697&amp;AR697&amp;AS697&amp;"-"&amp;AT697&amp;BA697</f>
        <v>B0501-04</v>
      </c>
      <c r="AZ697" s="90"/>
      <c r="BA697" s="1" t="str">
        <f t="shared" si="351"/>
        <v/>
      </c>
      <c r="BC697" s="1">
        <f t="shared" si="366"/>
        <v>1</v>
      </c>
      <c r="BD697" s="90">
        <f t="shared" si="367"/>
        <v>1</v>
      </c>
      <c r="BE697" s="1" t="str">
        <f t="shared" si="354"/>
        <v/>
      </c>
      <c r="BF697" s="1">
        <f t="shared" si="355"/>
        <v>4</v>
      </c>
    </row>
    <row r="698" spans="1:58" ht="11.25" customHeight="1">
      <c r="A698" s="26" t="s">
        <v>3528</v>
      </c>
      <c r="B698" s="27" t="s">
        <v>3529</v>
      </c>
      <c r="C698" s="28">
        <v>859.99</v>
      </c>
      <c r="D698" s="28">
        <f t="shared" si="342"/>
        <v>429.995</v>
      </c>
      <c r="E698" s="22" t="s">
        <v>3457</v>
      </c>
      <c r="F698" s="22" t="s">
        <v>3530</v>
      </c>
      <c r="G698" s="22" t="s">
        <v>428</v>
      </c>
      <c r="H698" s="22" t="s">
        <v>3531</v>
      </c>
      <c r="I698" s="23" t="s">
        <v>3532</v>
      </c>
      <c r="J698" s="22" t="s">
        <v>646</v>
      </c>
      <c r="L698" s="23">
        <v>40</v>
      </c>
      <c r="M698" s="23">
        <v>34</v>
      </c>
      <c r="N698" s="3">
        <f t="shared" si="368"/>
        <v>5.4399999999999997E-2</v>
      </c>
      <c r="O698" s="4" t="e">
        <f>(C698-(C698*#REF!))-((C698-(C698*#REF!))*#REF!)</f>
        <v>#REF!</v>
      </c>
      <c r="P698" s="7"/>
      <c r="Q698" s="7"/>
      <c r="R698" s="5">
        <f t="shared" si="369"/>
        <v>0</v>
      </c>
      <c r="S698" s="4">
        <f t="shared" si="370"/>
        <v>0</v>
      </c>
      <c r="T698" s="13">
        <f t="shared" si="343"/>
        <v>601.99299999999994</v>
      </c>
      <c r="U698" s="13">
        <f t="shared" si="352"/>
        <v>300.99649999999997</v>
      </c>
      <c r="V698" s="14">
        <f>U698/C698</f>
        <v>0.35</v>
      </c>
      <c r="W698" s="14"/>
      <c r="X698" s="19">
        <f t="shared" si="371"/>
        <v>300.99649999999997</v>
      </c>
      <c r="Y698" s="19">
        <f t="shared" si="372"/>
        <v>601.99299999999994</v>
      </c>
      <c r="Z698" s="15" t="e">
        <f t="shared" si="365"/>
        <v>#DIV/0!</v>
      </c>
      <c r="AA698" s="22" t="s">
        <v>3533</v>
      </c>
      <c r="AG698" s="94" t="s">
        <v>1169</v>
      </c>
      <c r="AH698" s="89" t="str">
        <f>VLOOKUP(AG698,Sheet1!$B$3:$D$36,2,FALSE)</f>
        <v>Decors</v>
      </c>
      <c r="AI698" s="89" t="s">
        <v>3463</v>
      </c>
      <c r="AJ698" s="1" t="str">
        <f t="shared" si="344"/>
        <v>Kevin copper</v>
      </c>
      <c r="AK698" s="1" t="str">
        <f t="shared" si="345"/>
        <v>ø40 x h34</v>
      </c>
      <c r="AL698" s="1" t="str">
        <f t="shared" si="346"/>
        <v>bare with copper outdoor</v>
      </c>
      <c r="AM698" s="1" t="str">
        <f t="shared" si="347"/>
        <v>bare with copper outdoor</v>
      </c>
      <c r="AN698" s="1" t="str">
        <f t="shared" ref="AN698:AN700" si="373">SUBSTITUTE(AL698,"outdoor","")</f>
        <v xml:space="preserve">bare with copper </v>
      </c>
      <c r="AO698" s="1" t="s">
        <v>59</v>
      </c>
      <c r="AQ698" s="1" t="str">
        <f t="shared" si="348"/>
        <v>B</v>
      </c>
      <c r="AR698" s="1" t="str">
        <f>VLOOKUP(TRIM(AI698),Sheet1!$D$3:$E$36,2,FALSE)</f>
        <v>05</v>
      </c>
      <c r="AS698" s="90" t="str">
        <f t="shared" si="349"/>
        <v>01</v>
      </c>
      <c r="AT698" s="1" t="str">
        <f t="shared" si="350"/>
        <v>01</v>
      </c>
      <c r="AU698" s="90" t="s">
        <v>817</v>
      </c>
      <c r="AV698" s="90"/>
      <c r="AW698" s="90"/>
      <c r="AX698" s="95" t="str">
        <f>AQ698&amp;AR698&amp;AS698&amp;"-"&amp;AT698&amp;AU698&amp;BA698</f>
        <v>B0501-0103OUT</v>
      </c>
      <c r="AY698" s="99" t="str">
        <f>AQ698&amp;AR698&amp;AS698&amp;"-"&amp;AT698&amp;BA698</f>
        <v>B0501-01OUT</v>
      </c>
      <c r="AZ698" s="90"/>
      <c r="BA698" s="1" t="str">
        <f t="shared" si="351"/>
        <v>OUT</v>
      </c>
      <c r="BC698" s="1">
        <f t="shared" si="366"/>
        <v>1</v>
      </c>
      <c r="BD698" s="90">
        <f t="shared" si="367"/>
        <v>1</v>
      </c>
      <c r="BE698" s="1">
        <f t="shared" si="354"/>
        <v>1</v>
      </c>
      <c r="BF698" s="1">
        <f t="shared" si="355"/>
        <v>1</v>
      </c>
    </row>
    <row r="699" spans="1:58" ht="11.25" customHeight="1">
      <c r="A699" s="26" t="s">
        <v>3534</v>
      </c>
      <c r="B699" s="27" t="s">
        <v>3529</v>
      </c>
      <c r="C699" s="28">
        <v>2279.9899999999998</v>
      </c>
      <c r="D699" s="28">
        <f t="shared" si="342"/>
        <v>1139.9949999999999</v>
      </c>
      <c r="E699" s="22" t="s">
        <v>3457</v>
      </c>
      <c r="F699" s="22" t="s">
        <v>3535</v>
      </c>
      <c r="G699" s="22" t="s">
        <v>428</v>
      </c>
      <c r="H699" s="22" t="s">
        <v>3536</v>
      </c>
      <c r="I699" s="23" t="s">
        <v>3532</v>
      </c>
      <c r="J699" s="22" t="s">
        <v>646</v>
      </c>
      <c r="L699" s="23">
        <v>80</v>
      </c>
      <c r="M699" s="23">
        <v>69</v>
      </c>
      <c r="N699" s="3">
        <f t="shared" si="368"/>
        <v>0.44159999999999999</v>
      </c>
      <c r="O699" s="4" t="e">
        <f>(C699-(C699*#REF!))-((C699-(C699*#REF!))*#REF!)</f>
        <v>#REF!</v>
      </c>
      <c r="P699" s="7"/>
      <c r="Q699" s="7"/>
      <c r="R699" s="5">
        <f t="shared" si="369"/>
        <v>0</v>
      </c>
      <c r="S699" s="4">
        <f t="shared" si="370"/>
        <v>0</v>
      </c>
      <c r="T699" s="13">
        <f t="shared" si="343"/>
        <v>1595.9929999999999</v>
      </c>
      <c r="U699" s="13">
        <f t="shared" si="352"/>
        <v>797.99649999999997</v>
      </c>
      <c r="V699" s="14">
        <f>U699/C699</f>
        <v>0.35000000000000003</v>
      </c>
      <c r="W699" s="14"/>
      <c r="X699" s="19">
        <f t="shared" si="371"/>
        <v>797.99649999999997</v>
      </c>
      <c r="Y699" s="19">
        <f t="shared" si="372"/>
        <v>1595.9929999999999</v>
      </c>
      <c r="Z699" s="15" t="e">
        <f t="shared" si="365"/>
        <v>#DIV/0!</v>
      </c>
      <c r="AA699" s="22" t="s">
        <v>3537</v>
      </c>
      <c r="AG699" s="94" t="s">
        <v>1169</v>
      </c>
      <c r="AH699" s="89" t="str">
        <f>VLOOKUP(AG699,Sheet1!$B$3:$D$36,2,FALSE)</f>
        <v>Decors</v>
      </c>
      <c r="AI699" s="89" t="s">
        <v>3463</v>
      </c>
      <c r="AJ699" s="1" t="str">
        <f t="shared" si="344"/>
        <v>Kevin copper</v>
      </c>
      <c r="AK699" s="1" t="str">
        <f t="shared" si="345"/>
        <v>ø80 x h69</v>
      </c>
      <c r="AL699" s="1" t="str">
        <f t="shared" si="346"/>
        <v>bare with copper outdoor</v>
      </c>
      <c r="AM699" s="1" t="str">
        <f t="shared" si="347"/>
        <v>bare with copper outdoor</v>
      </c>
      <c r="AN699" s="1" t="str">
        <f t="shared" si="373"/>
        <v xml:space="preserve">bare with copper </v>
      </c>
      <c r="AO699" s="1" t="s">
        <v>59</v>
      </c>
      <c r="AQ699" s="1" t="str">
        <f t="shared" si="348"/>
        <v>B</v>
      </c>
      <c r="AR699" s="1" t="str">
        <f>VLOOKUP(TRIM(AI699),Sheet1!$D$3:$E$36,2,FALSE)</f>
        <v>05</v>
      </c>
      <c r="AS699" s="90" t="str">
        <f t="shared" si="349"/>
        <v>02</v>
      </c>
      <c r="AT699" s="1" t="str">
        <f t="shared" si="350"/>
        <v>01</v>
      </c>
      <c r="AU699" s="90" t="s">
        <v>817</v>
      </c>
      <c r="AV699" s="90"/>
      <c r="AW699" s="90"/>
      <c r="AX699" s="95" t="str">
        <f>AQ699&amp;AR699&amp;AS699&amp;"-"&amp;AT699&amp;AU699&amp;BA699</f>
        <v>B0502-0103OUT</v>
      </c>
      <c r="AY699" s="99" t="str">
        <f>AQ699&amp;AR699&amp;AS699&amp;"-"&amp;AT699&amp;BA699</f>
        <v>B0502-01OUT</v>
      </c>
      <c r="AZ699" s="90"/>
      <c r="BA699" s="1" t="str">
        <f t="shared" si="351"/>
        <v>OUT</v>
      </c>
      <c r="BC699" s="1" t="str">
        <f t="shared" si="366"/>
        <v/>
      </c>
      <c r="BD699" s="90">
        <f t="shared" si="367"/>
        <v>2</v>
      </c>
      <c r="BE699" s="1">
        <f t="shared" si="354"/>
        <v>1</v>
      </c>
      <c r="BF699" s="1">
        <f t="shared" si="355"/>
        <v>1</v>
      </c>
    </row>
    <row r="700" spans="1:58" ht="11.25" customHeight="1">
      <c r="A700" s="26" t="s">
        <v>3538</v>
      </c>
      <c r="B700" s="27" t="s">
        <v>3529</v>
      </c>
      <c r="C700" s="28">
        <v>4769.99</v>
      </c>
      <c r="D700" s="28">
        <f t="shared" si="342"/>
        <v>2384.9949999999999</v>
      </c>
      <c r="E700" s="22" t="s">
        <v>3457</v>
      </c>
      <c r="F700" s="22" t="s">
        <v>3539</v>
      </c>
      <c r="G700" s="22" t="s">
        <v>428</v>
      </c>
      <c r="H700" s="22" t="s">
        <v>3540</v>
      </c>
      <c r="I700" s="23" t="s">
        <v>3532</v>
      </c>
      <c r="J700" s="22" t="s">
        <v>646</v>
      </c>
      <c r="L700" s="23">
        <v>120</v>
      </c>
      <c r="M700" s="23">
        <v>104</v>
      </c>
      <c r="N700" s="3">
        <f t="shared" si="368"/>
        <v>1.4976</v>
      </c>
      <c r="O700" s="4" t="e">
        <f>(C700-(C700*#REF!))-((C700-(C700*#REF!))*#REF!)</f>
        <v>#REF!</v>
      </c>
      <c r="P700" s="7"/>
      <c r="Q700" s="7"/>
      <c r="R700" s="5">
        <f t="shared" si="369"/>
        <v>0</v>
      </c>
      <c r="S700" s="4">
        <f t="shared" si="370"/>
        <v>0</v>
      </c>
      <c r="T700" s="13">
        <f t="shared" si="343"/>
        <v>3338.9929999999999</v>
      </c>
      <c r="U700" s="13">
        <f t="shared" si="352"/>
        <v>1669.4965</v>
      </c>
      <c r="V700" s="14">
        <f>U700/C700</f>
        <v>0.35000000000000003</v>
      </c>
      <c r="W700" s="14"/>
      <c r="X700" s="19">
        <f t="shared" si="371"/>
        <v>1669.4965</v>
      </c>
      <c r="Y700" s="19">
        <f t="shared" si="372"/>
        <v>3338.9929999999999</v>
      </c>
      <c r="Z700" s="15" t="e">
        <f t="shared" si="365"/>
        <v>#DIV/0!</v>
      </c>
      <c r="AA700" s="22" t="s">
        <v>3537</v>
      </c>
      <c r="AG700" s="94" t="s">
        <v>1169</v>
      </c>
      <c r="AH700" s="89" t="str">
        <f>VLOOKUP(AG700,Sheet1!$B$3:$D$36,2,FALSE)</f>
        <v>Decors</v>
      </c>
      <c r="AI700" s="89" t="s">
        <v>3463</v>
      </c>
      <c r="AJ700" s="1" t="str">
        <f t="shared" si="344"/>
        <v>Kevin copper</v>
      </c>
      <c r="AK700" s="1" t="str">
        <f t="shared" si="345"/>
        <v>ø120 x h104</v>
      </c>
      <c r="AL700" s="1" t="str">
        <f t="shared" si="346"/>
        <v>bare with copper outdoor</v>
      </c>
      <c r="AM700" s="1" t="str">
        <f t="shared" si="347"/>
        <v>bare with copper outdoor</v>
      </c>
      <c r="AN700" s="1" t="str">
        <f t="shared" si="373"/>
        <v xml:space="preserve">bare with copper </v>
      </c>
      <c r="AO700" s="1" t="s">
        <v>59</v>
      </c>
      <c r="AQ700" s="1" t="str">
        <f t="shared" si="348"/>
        <v>B</v>
      </c>
      <c r="AR700" s="1" t="str">
        <f>VLOOKUP(TRIM(AI700),Sheet1!$D$3:$E$36,2,FALSE)</f>
        <v>05</v>
      </c>
      <c r="AS700" s="90" t="str">
        <f t="shared" si="349"/>
        <v>03</v>
      </c>
      <c r="AT700" s="1" t="str">
        <f t="shared" si="350"/>
        <v>01</v>
      </c>
      <c r="AU700" s="90" t="s">
        <v>817</v>
      </c>
      <c r="AV700" s="90"/>
      <c r="AW700" s="90"/>
      <c r="AX700" s="95" t="str">
        <f>AQ700&amp;AR700&amp;AS700&amp;"-"&amp;AT700&amp;AU700&amp;BA700</f>
        <v>B0503-0103OUT</v>
      </c>
      <c r="AY700" s="99" t="str">
        <f>AQ700&amp;AR700&amp;AS700&amp;"-"&amp;AT700&amp;BA700</f>
        <v>B0503-01OUT</v>
      </c>
      <c r="AZ700" s="90"/>
      <c r="BA700" s="1" t="str">
        <f t="shared" si="351"/>
        <v>OUT</v>
      </c>
      <c r="BC700" s="1" t="str">
        <f t="shared" si="366"/>
        <v/>
      </c>
      <c r="BD700" s="90">
        <f t="shared" si="367"/>
        <v>3</v>
      </c>
      <c r="BE700" s="1">
        <f t="shared" si="354"/>
        <v>1</v>
      </c>
      <c r="BF700" s="1">
        <f t="shared" si="355"/>
        <v>1</v>
      </c>
    </row>
    <row r="701" spans="1:58" ht="11.25" customHeight="1">
      <c r="A701" s="26" t="s">
        <v>3541</v>
      </c>
      <c r="B701" s="27" t="s">
        <v>3542</v>
      </c>
      <c r="C701" s="28">
        <v>8.99</v>
      </c>
      <c r="D701" s="28">
        <f t="shared" si="342"/>
        <v>4.4950000000000001</v>
      </c>
      <c r="E701" s="22" t="s">
        <v>3457</v>
      </c>
      <c r="F701" s="22" t="s">
        <v>3543</v>
      </c>
      <c r="G701" s="22" t="s">
        <v>539</v>
      </c>
      <c r="H701" s="22" t="s">
        <v>3544</v>
      </c>
      <c r="I701" s="23" t="s">
        <v>2943</v>
      </c>
      <c r="J701" s="22" t="s">
        <v>646</v>
      </c>
      <c r="K701" s="23">
        <v>15</v>
      </c>
      <c r="L701" s="23">
        <v>15</v>
      </c>
      <c r="M701" s="23">
        <v>6</v>
      </c>
      <c r="N701" s="3">
        <f t="shared" si="368"/>
        <v>1.3500000000000001E-3</v>
      </c>
      <c r="O701" s="4" t="e">
        <f>(C701-(C701*#REF!))-((C701-(C701*#REF!))*#REF!)</f>
        <v>#REF!</v>
      </c>
      <c r="P701" s="7"/>
      <c r="Q701" s="7"/>
      <c r="R701" s="5">
        <f t="shared" si="369"/>
        <v>0</v>
      </c>
      <c r="S701" s="4">
        <f t="shared" si="370"/>
        <v>0</v>
      </c>
      <c r="T701" s="13">
        <f t="shared" si="343"/>
        <v>6.2930000000000001</v>
      </c>
      <c r="U701" s="13">
        <f t="shared" si="352"/>
        <v>3.1465000000000001</v>
      </c>
      <c r="V701" s="14">
        <f>U701/C701</f>
        <v>0.35</v>
      </c>
      <c r="W701" s="14"/>
      <c r="X701" s="19">
        <f t="shared" si="371"/>
        <v>3.1465000000000001</v>
      </c>
      <c r="Y701" s="19">
        <f t="shared" si="372"/>
        <v>6.2930000000000001</v>
      </c>
      <c r="Z701" s="15" t="e">
        <f t="shared" si="365"/>
        <v>#DIV/0!</v>
      </c>
      <c r="AA701" s="22" t="s">
        <v>3545</v>
      </c>
      <c r="AG701" s="94" t="s">
        <v>1169</v>
      </c>
      <c r="AH701" s="89" t="str">
        <f>VLOOKUP(AG701,Sheet1!$B$3:$D$36,2,FALSE)</f>
        <v>Decors</v>
      </c>
      <c r="AI701" s="89" t="s">
        <v>3463</v>
      </c>
      <c r="AJ701" s="1" t="str">
        <f t="shared" si="344"/>
        <v>Mufazza</v>
      </c>
      <c r="AK701" s="1" t="str">
        <f t="shared" si="345"/>
        <v>w15 x d15 x h6</v>
      </c>
      <c r="AL701" s="1" t="str">
        <f t="shared" si="346"/>
        <v>teak root semi</v>
      </c>
      <c r="AM701" s="1" t="str">
        <f t="shared" si="347"/>
        <v>teak root semi</v>
      </c>
      <c r="AN701" s="1" t="str">
        <f t="shared" ref="AN701:AN726" si="374">SUBSTITUTE(AL701,"indoor","")</f>
        <v>teak root semi</v>
      </c>
      <c r="AQ701" s="1" t="str">
        <f t="shared" si="348"/>
        <v>B</v>
      </c>
      <c r="AR701" s="1" t="str">
        <f>VLOOKUP(TRIM(AI701),Sheet1!$D$3:$E$36,2,FALSE)</f>
        <v>05</v>
      </c>
      <c r="AS701" s="90" t="str">
        <f t="shared" si="349"/>
        <v>01</v>
      </c>
      <c r="AT701" s="1" t="str">
        <f t="shared" si="350"/>
        <v>01</v>
      </c>
      <c r="AU701" s="90" t="s">
        <v>648</v>
      </c>
      <c r="AV701" s="90"/>
      <c r="AW701" s="90"/>
      <c r="AX701" s="95" t="str">
        <f>AQ701&amp;AR701&amp;AS701&amp;"-"&amp;AT701&amp;AU701&amp;BA701</f>
        <v>B0501-0132</v>
      </c>
      <c r="AY701" s="99" t="str">
        <f>AQ701&amp;AR701&amp;AS701&amp;"-"&amp;AT701&amp;BA701</f>
        <v>B0501-01</v>
      </c>
      <c r="AZ701" s="90"/>
      <c r="BA701" s="1" t="str">
        <f t="shared" si="351"/>
        <v/>
      </c>
      <c r="BC701" s="1">
        <f t="shared" si="366"/>
        <v>1</v>
      </c>
      <c r="BD701" s="90">
        <f t="shared" si="367"/>
        <v>1</v>
      </c>
      <c r="BE701" s="1">
        <f t="shared" si="354"/>
        <v>1</v>
      </c>
      <c r="BF701" s="1">
        <f t="shared" si="355"/>
        <v>1</v>
      </c>
    </row>
    <row r="702" spans="1:58" ht="11.25" customHeight="1">
      <c r="A702" s="26" t="s">
        <v>3546</v>
      </c>
      <c r="B702" s="27" t="s">
        <v>3542</v>
      </c>
      <c r="C702" s="28">
        <v>11.99</v>
      </c>
      <c r="D702" s="28">
        <f t="shared" si="342"/>
        <v>5.9950000000000001</v>
      </c>
      <c r="E702" s="22" t="s">
        <v>3457</v>
      </c>
      <c r="F702" s="22" t="s">
        <v>3547</v>
      </c>
      <c r="G702" s="22" t="s">
        <v>539</v>
      </c>
      <c r="H702" s="22" t="s">
        <v>3548</v>
      </c>
      <c r="I702" s="23" t="s">
        <v>2943</v>
      </c>
      <c r="J702" s="22" t="s">
        <v>646</v>
      </c>
      <c r="K702" s="23">
        <v>15</v>
      </c>
      <c r="L702" s="23">
        <v>15</v>
      </c>
      <c r="M702" s="23">
        <v>11</v>
      </c>
      <c r="N702" s="3">
        <f t="shared" si="368"/>
        <v>2.4750000000000002E-3</v>
      </c>
      <c r="O702" s="4" t="e">
        <f>(C702-(C702*#REF!))-((C702-(C702*#REF!))*#REF!)</f>
        <v>#REF!</v>
      </c>
      <c r="P702" s="7"/>
      <c r="Q702" s="7"/>
      <c r="R702" s="5">
        <f t="shared" si="369"/>
        <v>0</v>
      </c>
      <c r="S702" s="4">
        <f t="shared" si="370"/>
        <v>0</v>
      </c>
      <c r="T702" s="13">
        <f t="shared" si="343"/>
        <v>8.3930000000000007</v>
      </c>
      <c r="U702" s="13">
        <f t="shared" si="352"/>
        <v>4.1965000000000003</v>
      </c>
      <c r="V702" s="14">
        <f>U702/C702</f>
        <v>0.35000000000000003</v>
      </c>
      <c r="W702" s="14"/>
      <c r="X702" s="19">
        <f t="shared" si="371"/>
        <v>4.1965000000000003</v>
      </c>
      <c r="Y702" s="19">
        <f t="shared" si="372"/>
        <v>8.3930000000000007</v>
      </c>
      <c r="Z702" s="15" t="e">
        <f t="shared" si="365"/>
        <v>#DIV/0!</v>
      </c>
      <c r="AA702" s="22" t="s">
        <v>3549</v>
      </c>
      <c r="AG702" s="94" t="s">
        <v>1169</v>
      </c>
      <c r="AH702" s="89" t="str">
        <f>VLOOKUP(AG702,Sheet1!$B$3:$D$36,2,FALSE)</f>
        <v>Decors</v>
      </c>
      <c r="AI702" s="89" t="s">
        <v>3463</v>
      </c>
      <c r="AJ702" s="1" t="str">
        <f t="shared" si="344"/>
        <v>Mufazza</v>
      </c>
      <c r="AK702" s="1" t="str">
        <f t="shared" si="345"/>
        <v>w15 x d15 x h11</v>
      </c>
      <c r="AL702" s="1" t="str">
        <f t="shared" si="346"/>
        <v>teak root semi</v>
      </c>
      <c r="AM702" s="1" t="str">
        <f t="shared" si="347"/>
        <v>teak root semi</v>
      </c>
      <c r="AN702" s="1" t="str">
        <f t="shared" si="374"/>
        <v>teak root semi</v>
      </c>
      <c r="AQ702" s="1" t="str">
        <f t="shared" si="348"/>
        <v>B</v>
      </c>
      <c r="AR702" s="1" t="str">
        <f>VLOOKUP(TRIM(AI702),Sheet1!$D$3:$E$36,2,FALSE)</f>
        <v>05</v>
      </c>
      <c r="AS702" s="90" t="str">
        <f t="shared" si="349"/>
        <v>02</v>
      </c>
      <c r="AT702" s="1" t="str">
        <f t="shared" si="350"/>
        <v>01</v>
      </c>
      <c r="AU702" s="90" t="s">
        <v>648</v>
      </c>
      <c r="AV702" s="90"/>
      <c r="AW702" s="90"/>
      <c r="AX702" s="95" t="str">
        <f>AQ702&amp;AR702&amp;AS702&amp;"-"&amp;AT702&amp;AU702&amp;BA702</f>
        <v>B0502-0132</v>
      </c>
      <c r="AY702" s="99" t="str">
        <f>AQ702&amp;AR702&amp;AS702&amp;"-"&amp;AT702&amp;BA702</f>
        <v>B0502-01</v>
      </c>
      <c r="AZ702" s="90"/>
      <c r="BA702" s="1" t="str">
        <f t="shared" si="351"/>
        <v/>
      </c>
      <c r="BC702" s="1" t="str">
        <f t="shared" si="366"/>
        <v/>
      </c>
      <c r="BD702" s="90">
        <f t="shared" si="367"/>
        <v>2</v>
      </c>
      <c r="BE702" s="1">
        <f t="shared" si="354"/>
        <v>1</v>
      </c>
      <c r="BF702" s="1">
        <f t="shared" si="355"/>
        <v>1</v>
      </c>
    </row>
    <row r="703" spans="1:58" ht="11.25" customHeight="1">
      <c r="A703" s="26" t="s">
        <v>3550</v>
      </c>
      <c r="B703" s="27" t="s">
        <v>3542</v>
      </c>
      <c r="C703" s="28">
        <v>21.99</v>
      </c>
      <c r="D703" s="28">
        <f t="shared" si="342"/>
        <v>10.994999999999999</v>
      </c>
      <c r="E703" s="22" t="s">
        <v>3457</v>
      </c>
      <c r="F703" s="22" t="s">
        <v>3551</v>
      </c>
      <c r="G703" s="22" t="s">
        <v>539</v>
      </c>
      <c r="H703" s="22" t="s">
        <v>3552</v>
      </c>
      <c r="I703" s="23" t="s">
        <v>2943</v>
      </c>
      <c r="J703" s="22" t="s">
        <v>646</v>
      </c>
      <c r="K703" s="23">
        <v>40</v>
      </c>
      <c r="L703" s="23">
        <v>15</v>
      </c>
      <c r="M703" s="23">
        <v>11</v>
      </c>
      <c r="N703" s="3">
        <f t="shared" si="368"/>
        <v>6.6E-3</v>
      </c>
      <c r="O703" s="4" t="e">
        <f>(C703-(C703*#REF!))-((C703-(C703*#REF!))*#REF!)</f>
        <v>#REF!</v>
      </c>
      <c r="P703" s="7"/>
      <c r="Q703" s="7"/>
      <c r="R703" s="5">
        <f t="shared" si="369"/>
        <v>0</v>
      </c>
      <c r="S703" s="4">
        <f t="shared" si="370"/>
        <v>0</v>
      </c>
      <c r="T703" s="13">
        <f t="shared" si="343"/>
        <v>15.392999999999999</v>
      </c>
      <c r="U703" s="13">
        <f t="shared" si="352"/>
        <v>7.6964999999999995</v>
      </c>
      <c r="V703" s="14">
        <f>U703/C703</f>
        <v>0.35</v>
      </c>
      <c r="W703" s="14"/>
      <c r="X703" s="19">
        <f t="shared" si="371"/>
        <v>7.6964999999999995</v>
      </c>
      <c r="Y703" s="19">
        <f t="shared" si="372"/>
        <v>15.392999999999999</v>
      </c>
      <c r="Z703" s="15" t="e">
        <f t="shared" si="365"/>
        <v>#DIV/0!</v>
      </c>
      <c r="AA703" s="22" t="s">
        <v>3553</v>
      </c>
      <c r="AG703" s="94" t="s">
        <v>1169</v>
      </c>
      <c r="AH703" s="89" t="str">
        <f>VLOOKUP(AG703,Sheet1!$B$3:$D$36,2,FALSE)</f>
        <v>Decors</v>
      </c>
      <c r="AI703" s="89" t="s">
        <v>3463</v>
      </c>
      <c r="AJ703" s="1" t="str">
        <f t="shared" si="344"/>
        <v>Mufazza</v>
      </c>
      <c r="AK703" s="1" t="str">
        <f t="shared" si="345"/>
        <v>w40 x d15 x h11</v>
      </c>
      <c r="AL703" s="1" t="str">
        <f t="shared" si="346"/>
        <v>teak root semi</v>
      </c>
      <c r="AM703" s="1" t="str">
        <f t="shared" si="347"/>
        <v>teak root semi</v>
      </c>
      <c r="AN703" s="1" t="str">
        <f t="shared" si="374"/>
        <v>teak root semi</v>
      </c>
      <c r="AQ703" s="1" t="str">
        <f t="shared" si="348"/>
        <v>B</v>
      </c>
      <c r="AR703" s="1" t="str">
        <f>VLOOKUP(TRIM(AI703),Sheet1!$D$3:$E$36,2,FALSE)</f>
        <v>05</v>
      </c>
      <c r="AS703" s="90" t="str">
        <f t="shared" si="349"/>
        <v>03</v>
      </c>
      <c r="AT703" s="1" t="str">
        <f t="shared" si="350"/>
        <v>01</v>
      </c>
      <c r="AU703" s="90" t="s">
        <v>648</v>
      </c>
      <c r="AV703" s="90"/>
      <c r="AW703" s="90"/>
      <c r="AX703" s="95" t="str">
        <f>AQ703&amp;AR703&amp;AS703&amp;"-"&amp;AT703&amp;AU703&amp;BA703</f>
        <v>B0503-0132</v>
      </c>
      <c r="AY703" s="99" t="str">
        <f>AQ703&amp;AR703&amp;AS703&amp;"-"&amp;AT703&amp;BA703</f>
        <v>B0503-01</v>
      </c>
      <c r="AZ703" s="90"/>
      <c r="BA703" s="1" t="str">
        <f t="shared" si="351"/>
        <v/>
      </c>
      <c r="BC703" s="1" t="str">
        <f t="shared" si="366"/>
        <v/>
      </c>
      <c r="BD703" s="90">
        <f t="shared" si="367"/>
        <v>3</v>
      </c>
      <c r="BE703" s="1">
        <f t="shared" si="354"/>
        <v>1</v>
      </c>
      <c r="BF703" s="1">
        <f t="shared" si="355"/>
        <v>1</v>
      </c>
    </row>
    <row r="704" spans="1:58" ht="11.25" customHeight="1">
      <c r="A704" s="26" t="s">
        <v>3554</v>
      </c>
      <c r="B704" s="27" t="s">
        <v>3542</v>
      </c>
      <c r="C704" s="28">
        <v>20.99</v>
      </c>
      <c r="D704" s="28">
        <f t="shared" si="342"/>
        <v>10.494999999999999</v>
      </c>
      <c r="E704" s="22" t="s">
        <v>3457</v>
      </c>
      <c r="F704" s="22" t="s">
        <v>3555</v>
      </c>
      <c r="G704" s="22" t="s">
        <v>539</v>
      </c>
      <c r="H704" s="22" t="s">
        <v>3556</v>
      </c>
      <c r="I704" s="23" t="s">
        <v>2943</v>
      </c>
      <c r="J704" s="22" t="s">
        <v>646</v>
      </c>
      <c r="K704" s="23">
        <v>50</v>
      </c>
      <c r="L704" s="23">
        <v>15</v>
      </c>
      <c r="M704" s="23">
        <v>6</v>
      </c>
      <c r="N704" s="3">
        <f t="shared" si="368"/>
        <v>4.4999999999999997E-3</v>
      </c>
      <c r="O704" s="4" t="e">
        <f>(C704-(C704*#REF!))-((C704-(C704*#REF!))*#REF!)</f>
        <v>#REF!</v>
      </c>
      <c r="P704" s="7"/>
      <c r="Q704" s="7"/>
      <c r="R704" s="5">
        <f t="shared" si="369"/>
        <v>0</v>
      </c>
      <c r="S704" s="4">
        <f t="shared" si="370"/>
        <v>0</v>
      </c>
      <c r="T704" s="13">
        <f t="shared" si="343"/>
        <v>14.692999999999998</v>
      </c>
      <c r="U704" s="13">
        <f t="shared" si="352"/>
        <v>7.3464999999999989</v>
      </c>
      <c r="V704" s="14">
        <f>U704/C704</f>
        <v>0.35</v>
      </c>
      <c r="W704" s="14"/>
      <c r="X704" s="19">
        <f t="shared" si="371"/>
        <v>7.3464999999999989</v>
      </c>
      <c r="Y704" s="19">
        <f t="shared" si="372"/>
        <v>14.692999999999998</v>
      </c>
      <c r="Z704" s="15" t="e">
        <f t="shared" si="365"/>
        <v>#DIV/0!</v>
      </c>
      <c r="AA704" s="22" t="s">
        <v>3553</v>
      </c>
      <c r="AG704" s="94" t="s">
        <v>1169</v>
      </c>
      <c r="AH704" s="89" t="str">
        <f>VLOOKUP(AG704,Sheet1!$B$3:$D$36,2,FALSE)</f>
        <v>Decors</v>
      </c>
      <c r="AI704" s="89" t="s">
        <v>3463</v>
      </c>
      <c r="AJ704" s="1" t="str">
        <f t="shared" si="344"/>
        <v>Mufazza</v>
      </c>
      <c r="AK704" s="1" t="str">
        <f t="shared" si="345"/>
        <v>w50 x d15 x h6</v>
      </c>
      <c r="AL704" s="1" t="str">
        <f t="shared" si="346"/>
        <v>teak root semi</v>
      </c>
      <c r="AM704" s="1" t="str">
        <f t="shared" si="347"/>
        <v>teak root semi</v>
      </c>
      <c r="AN704" s="1" t="str">
        <f t="shared" si="374"/>
        <v>teak root semi</v>
      </c>
      <c r="AQ704" s="1" t="str">
        <f t="shared" si="348"/>
        <v>B</v>
      </c>
      <c r="AR704" s="1" t="str">
        <f>VLOOKUP(TRIM(AI704),Sheet1!$D$3:$E$36,2,FALSE)</f>
        <v>05</v>
      </c>
      <c r="AS704" s="90" t="str">
        <f t="shared" si="349"/>
        <v>04</v>
      </c>
      <c r="AT704" s="1" t="str">
        <f t="shared" si="350"/>
        <v>01</v>
      </c>
      <c r="AU704" s="90" t="s">
        <v>648</v>
      </c>
      <c r="AV704" s="90"/>
      <c r="AW704" s="90"/>
      <c r="AX704" s="95" t="str">
        <f>AQ704&amp;AR704&amp;AS704&amp;"-"&amp;AT704&amp;AU704&amp;BA704</f>
        <v>B0504-0132</v>
      </c>
      <c r="AY704" s="99" t="str">
        <f>AQ704&amp;AR704&amp;AS704&amp;"-"&amp;AT704&amp;BA704</f>
        <v>B0504-01</v>
      </c>
      <c r="AZ704" s="90"/>
      <c r="BA704" s="1" t="str">
        <f t="shared" si="351"/>
        <v/>
      </c>
      <c r="BC704" s="1" t="str">
        <f t="shared" si="366"/>
        <v/>
      </c>
      <c r="BD704" s="90">
        <f t="shared" si="367"/>
        <v>4</v>
      </c>
      <c r="BE704" s="1">
        <f t="shared" si="354"/>
        <v>1</v>
      </c>
      <c r="BF704" s="1">
        <f t="shared" si="355"/>
        <v>1</v>
      </c>
    </row>
    <row r="705" spans="1:58" ht="11.25" customHeight="1">
      <c r="A705" s="26" t="s">
        <v>3557</v>
      </c>
      <c r="B705" s="27" t="s">
        <v>3542</v>
      </c>
      <c r="C705" s="28">
        <v>28.99</v>
      </c>
      <c r="D705" s="28">
        <f t="shared" si="342"/>
        <v>14.494999999999999</v>
      </c>
      <c r="E705" s="22" t="s">
        <v>3457</v>
      </c>
      <c r="F705" s="22" t="s">
        <v>3558</v>
      </c>
      <c r="G705" s="22" t="s">
        <v>539</v>
      </c>
      <c r="H705" s="22" t="s">
        <v>3559</v>
      </c>
      <c r="I705" s="23" t="s">
        <v>2943</v>
      </c>
      <c r="J705" s="22" t="s">
        <v>646</v>
      </c>
      <c r="K705" s="23">
        <v>50</v>
      </c>
      <c r="L705" s="23">
        <v>20</v>
      </c>
      <c r="M705" s="23">
        <v>11</v>
      </c>
      <c r="N705" s="3">
        <f t="shared" si="368"/>
        <v>1.0999999999999999E-2</v>
      </c>
      <c r="O705" s="4" t="e">
        <f>(C705-(C705*#REF!))-((C705-(C705*#REF!))*#REF!)</f>
        <v>#REF!</v>
      </c>
      <c r="P705" s="7"/>
      <c r="Q705" s="7"/>
      <c r="R705" s="5">
        <f t="shared" si="369"/>
        <v>0</v>
      </c>
      <c r="S705" s="4">
        <f t="shared" si="370"/>
        <v>0</v>
      </c>
      <c r="T705" s="13">
        <f t="shared" si="343"/>
        <v>20.292999999999999</v>
      </c>
      <c r="U705" s="13">
        <f t="shared" si="352"/>
        <v>10.1465</v>
      </c>
      <c r="V705" s="14">
        <f>U705/C705</f>
        <v>0.35000000000000003</v>
      </c>
      <c r="W705" s="14"/>
      <c r="X705" s="19">
        <f t="shared" si="371"/>
        <v>10.1465</v>
      </c>
      <c r="Y705" s="19">
        <f t="shared" si="372"/>
        <v>20.292999999999999</v>
      </c>
      <c r="Z705" s="15" t="e">
        <f t="shared" si="365"/>
        <v>#DIV/0!</v>
      </c>
      <c r="AA705" s="22" t="s">
        <v>3560</v>
      </c>
      <c r="AG705" s="94" t="s">
        <v>1169</v>
      </c>
      <c r="AH705" s="89" t="str">
        <f>VLOOKUP(AG705,Sheet1!$B$3:$D$36,2,FALSE)</f>
        <v>Decors</v>
      </c>
      <c r="AI705" s="89" t="s">
        <v>3463</v>
      </c>
      <c r="AJ705" s="1" t="str">
        <f t="shared" si="344"/>
        <v>Mufazza</v>
      </c>
      <c r="AK705" s="1" t="str">
        <f t="shared" si="345"/>
        <v>w50 x d20 x h11</v>
      </c>
      <c r="AL705" s="1" t="str">
        <f t="shared" si="346"/>
        <v>teak root semi</v>
      </c>
      <c r="AM705" s="1" t="str">
        <f t="shared" si="347"/>
        <v>teak root semi</v>
      </c>
      <c r="AN705" s="1" t="str">
        <f t="shared" si="374"/>
        <v>teak root semi</v>
      </c>
      <c r="AQ705" s="1" t="str">
        <f t="shared" si="348"/>
        <v>B</v>
      </c>
      <c r="AR705" s="1" t="str">
        <f>VLOOKUP(TRIM(AI705),Sheet1!$D$3:$E$36,2,FALSE)</f>
        <v>05</v>
      </c>
      <c r="AS705" s="90" t="str">
        <f t="shared" si="349"/>
        <v>05</v>
      </c>
      <c r="AT705" s="1" t="str">
        <f t="shared" si="350"/>
        <v>01</v>
      </c>
      <c r="AU705" s="90" t="s">
        <v>648</v>
      </c>
      <c r="AV705" s="90"/>
      <c r="AW705" s="90"/>
      <c r="AX705" s="95" t="str">
        <f>AQ705&amp;AR705&amp;AS705&amp;"-"&amp;AT705&amp;AU705&amp;BA705</f>
        <v>B0505-0132</v>
      </c>
      <c r="AY705" s="99" t="str">
        <f>AQ705&amp;AR705&amp;AS705&amp;"-"&amp;AT705&amp;BA705</f>
        <v>B0505-01</v>
      </c>
      <c r="AZ705" s="90"/>
      <c r="BA705" s="1" t="str">
        <f t="shared" si="351"/>
        <v/>
      </c>
      <c r="BC705" s="1" t="str">
        <f t="shared" si="366"/>
        <v/>
      </c>
      <c r="BD705" s="90">
        <f t="shared" si="367"/>
        <v>5</v>
      </c>
      <c r="BE705" s="1">
        <f t="shared" si="354"/>
        <v>1</v>
      </c>
      <c r="BF705" s="1">
        <f t="shared" si="355"/>
        <v>1</v>
      </c>
    </row>
    <row r="706" spans="1:58" ht="11.25" customHeight="1">
      <c r="A706" s="26" t="s">
        <v>3561</v>
      </c>
      <c r="B706" s="27" t="s">
        <v>3542</v>
      </c>
      <c r="C706" s="28">
        <v>24.99</v>
      </c>
      <c r="D706" s="28">
        <f t="shared" si="342"/>
        <v>12.494999999999999</v>
      </c>
      <c r="E706" s="22" t="s">
        <v>3457</v>
      </c>
      <c r="F706" s="22" t="s">
        <v>3562</v>
      </c>
      <c r="G706" s="22" t="s">
        <v>539</v>
      </c>
      <c r="H706" s="22" t="s">
        <v>3563</v>
      </c>
      <c r="I706" s="23" t="s">
        <v>2943</v>
      </c>
      <c r="J706" s="22" t="s">
        <v>646</v>
      </c>
      <c r="K706" s="23">
        <v>50</v>
      </c>
      <c r="L706" s="23">
        <v>22</v>
      </c>
      <c r="M706" s="23">
        <v>6</v>
      </c>
      <c r="N706" s="3">
        <f t="shared" si="368"/>
        <v>6.6E-3</v>
      </c>
      <c r="O706" s="4" t="e">
        <f>(C706-(C706*#REF!))-((C706-(C706*#REF!))*#REF!)</f>
        <v>#REF!</v>
      </c>
      <c r="P706" s="7"/>
      <c r="Q706" s="7"/>
      <c r="R706" s="5">
        <f t="shared" si="369"/>
        <v>0</v>
      </c>
      <c r="S706" s="4">
        <f t="shared" si="370"/>
        <v>0</v>
      </c>
      <c r="T706" s="13">
        <f t="shared" si="343"/>
        <v>17.492999999999999</v>
      </c>
      <c r="U706" s="13">
        <f t="shared" si="352"/>
        <v>8.7464999999999993</v>
      </c>
      <c r="V706" s="14">
        <f>U706/C706</f>
        <v>0.35</v>
      </c>
      <c r="W706" s="14"/>
      <c r="X706" s="19">
        <f t="shared" si="371"/>
        <v>8.7464999999999993</v>
      </c>
      <c r="Y706" s="19">
        <f t="shared" si="372"/>
        <v>17.492999999999999</v>
      </c>
      <c r="Z706" s="15" t="e">
        <f t="shared" si="365"/>
        <v>#DIV/0!</v>
      </c>
      <c r="AA706" s="22" t="s">
        <v>3553</v>
      </c>
      <c r="AG706" s="94" t="s">
        <v>1169</v>
      </c>
      <c r="AH706" s="89" t="str">
        <f>VLOOKUP(AG706,Sheet1!$B$3:$D$36,2,FALSE)</f>
        <v>Decors</v>
      </c>
      <c r="AI706" s="89" t="s">
        <v>3463</v>
      </c>
      <c r="AJ706" s="1" t="str">
        <f t="shared" si="344"/>
        <v>Mufazza</v>
      </c>
      <c r="AK706" s="1" t="str">
        <f t="shared" si="345"/>
        <v>w50 x d22 x h6</v>
      </c>
      <c r="AL706" s="1" t="str">
        <f t="shared" si="346"/>
        <v>teak root semi</v>
      </c>
      <c r="AM706" s="1" t="str">
        <f t="shared" si="347"/>
        <v>teak root semi</v>
      </c>
      <c r="AN706" s="1" t="str">
        <f t="shared" si="374"/>
        <v>teak root semi</v>
      </c>
      <c r="AQ706" s="1" t="str">
        <f t="shared" si="348"/>
        <v>B</v>
      </c>
      <c r="AR706" s="1" t="str">
        <f>VLOOKUP(TRIM(AI706),Sheet1!$D$3:$E$36,2,FALSE)</f>
        <v>05</v>
      </c>
      <c r="AS706" s="90" t="str">
        <f t="shared" si="349"/>
        <v>06</v>
      </c>
      <c r="AT706" s="1" t="str">
        <f t="shared" si="350"/>
        <v>01</v>
      </c>
      <c r="AU706" s="90" t="s">
        <v>648</v>
      </c>
      <c r="AV706" s="90"/>
      <c r="AW706" s="90"/>
      <c r="AX706" s="95" t="str">
        <f>AQ706&amp;AR706&amp;AS706&amp;"-"&amp;AT706&amp;AU706&amp;BA706</f>
        <v>B0506-0132</v>
      </c>
      <c r="AY706" s="99" t="str">
        <f>AQ706&amp;AR706&amp;AS706&amp;"-"&amp;AT706&amp;BA706</f>
        <v>B0506-01</v>
      </c>
      <c r="AZ706" s="90"/>
      <c r="BA706" s="1" t="str">
        <f t="shared" si="351"/>
        <v/>
      </c>
      <c r="BC706" s="1" t="str">
        <f t="shared" si="366"/>
        <v/>
      </c>
      <c r="BD706" s="90">
        <f t="shared" si="367"/>
        <v>6</v>
      </c>
      <c r="BE706" s="1">
        <f t="shared" si="354"/>
        <v>1</v>
      </c>
      <c r="BF706" s="1">
        <f t="shared" si="355"/>
        <v>1</v>
      </c>
    </row>
    <row r="707" spans="1:58" ht="11.25" customHeight="1">
      <c r="A707" s="26" t="s">
        <v>3564</v>
      </c>
      <c r="B707" s="27" t="s">
        <v>3542</v>
      </c>
      <c r="C707" s="28">
        <v>24.99</v>
      </c>
      <c r="D707" s="28">
        <f t="shared" si="342"/>
        <v>12.494999999999999</v>
      </c>
      <c r="E707" s="22" t="s">
        <v>3457</v>
      </c>
      <c r="F707" s="22" t="s">
        <v>3565</v>
      </c>
      <c r="G707" s="22" t="s">
        <v>539</v>
      </c>
      <c r="H707" s="22" t="s">
        <v>3566</v>
      </c>
      <c r="I707" s="23" t="s">
        <v>2943</v>
      </c>
      <c r="J707" s="22" t="s">
        <v>646</v>
      </c>
      <c r="K707" s="23">
        <v>50</v>
      </c>
      <c r="L707" s="23">
        <v>22</v>
      </c>
      <c r="M707" s="23">
        <v>11</v>
      </c>
      <c r="N707" s="3">
        <f t="shared" si="368"/>
        <v>1.21E-2</v>
      </c>
      <c r="O707" s="4" t="e">
        <f>(C707-(C707*#REF!))-((C707-(C707*#REF!))*#REF!)</f>
        <v>#REF!</v>
      </c>
      <c r="P707" s="7"/>
      <c r="Q707" s="7"/>
      <c r="R707" s="5">
        <f t="shared" si="369"/>
        <v>0</v>
      </c>
      <c r="S707" s="4">
        <f t="shared" si="370"/>
        <v>0</v>
      </c>
      <c r="T707" s="13">
        <f t="shared" si="343"/>
        <v>17.492999999999999</v>
      </c>
      <c r="U707" s="13">
        <f t="shared" si="352"/>
        <v>8.7464999999999993</v>
      </c>
      <c r="V707" s="14">
        <f>U707/C707</f>
        <v>0.35</v>
      </c>
      <c r="W707" s="14"/>
      <c r="X707" s="19">
        <f t="shared" si="371"/>
        <v>8.7464999999999993</v>
      </c>
      <c r="Y707" s="19">
        <f t="shared" si="372"/>
        <v>17.492999999999999</v>
      </c>
      <c r="Z707" s="15" t="e">
        <f t="shared" si="365"/>
        <v>#DIV/0!</v>
      </c>
      <c r="AA707" s="22" t="s">
        <v>3545</v>
      </c>
      <c r="AG707" s="94" t="s">
        <v>1169</v>
      </c>
      <c r="AH707" s="89" t="str">
        <f>VLOOKUP(AG707,Sheet1!$B$3:$D$36,2,FALSE)</f>
        <v>Decors</v>
      </c>
      <c r="AI707" s="89" t="s">
        <v>3463</v>
      </c>
      <c r="AJ707" s="1" t="str">
        <f t="shared" si="344"/>
        <v>Mufazza</v>
      </c>
      <c r="AK707" s="1" t="str">
        <f t="shared" si="345"/>
        <v>w50 x d22 x h11</v>
      </c>
      <c r="AL707" s="1" t="str">
        <f t="shared" si="346"/>
        <v>teak root semi</v>
      </c>
      <c r="AM707" s="1" t="str">
        <f t="shared" si="347"/>
        <v>teak root semi</v>
      </c>
      <c r="AN707" s="1" t="str">
        <f t="shared" si="374"/>
        <v>teak root semi</v>
      </c>
      <c r="AQ707" s="1" t="str">
        <f t="shared" si="348"/>
        <v>B</v>
      </c>
      <c r="AR707" s="1" t="str">
        <f>VLOOKUP(TRIM(AI707),Sheet1!$D$3:$E$36,2,FALSE)</f>
        <v>05</v>
      </c>
      <c r="AS707" s="90" t="str">
        <f t="shared" si="349"/>
        <v>07</v>
      </c>
      <c r="AT707" s="1" t="str">
        <f t="shared" si="350"/>
        <v>01</v>
      </c>
      <c r="AU707" s="90" t="s">
        <v>648</v>
      </c>
      <c r="AV707" s="90"/>
      <c r="AW707" s="90"/>
      <c r="AX707" s="95" t="str">
        <f>AQ707&amp;AR707&amp;AS707&amp;"-"&amp;AT707&amp;AU707&amp;BA707</f>
        <v>B0507-0132</v>
      </c>
      <c r="AY707" s="99" t="str">
        <f>AQ707&amp;AR707&amp;AS707&amp;"-"&amp;AT707&amp;BA707</f>
        <v>B0507-01</v>
      </c>
      <c r="AZ707" s="90"/>
      <c r="BA707" s="1" t="str">
        <f t="shared" si="351"/>
        <v/>
      </c>
      <c r="BC707" s="1" t="str">
        <f t="shared" si="366"/>
        <v/>
      </c>
      <c r="BD707" s="90">
        <f t="shared" si="367"/>
        <v>7</v>
      </c>
      <c r="BE707" s="1">
        <f t="shared" si="354"/>
        <v>1</v>
      </c>
      <c r="BF707" s="1">
        <f t="shared" si="355"/>
        <v>1</v>
      </c>
    </row>
    <row r="708" spans="1:58" ht="11.25" customHeight="1">
      <c r="A708" s="26" t="s">
        <v>3567</v>
      </c>
      <c r="B708" s="27" t="s">
        <v>3542</v>
      </c>
      <c r="C708" s="28">
        <v>42.99</v>
      </c>
      <c r="D708" s="28">
        <f t="shared" si="342"/>
        <v>21.495000000000001</v>
      </c>
      <c r="E708" s="22" t="s">
        <v>3457</v>
      </c>
      <c r="F708" s="22" t="s">
        <v>3568</v>
      </c>
      <c r="G708" s="22" t="s">
        <v>539</v>
      </c>
      <c r="H708" s="22" t="s">
        <v>3569</v>
      </c>
      <c r="I708" s="23" t="s">
        <v>2943</v>
      </c>
      <c r="J708" s="22" t="s">
        <v>646</v>
      </c>
      <c r="K708" s="23">
        <v>50</v>
      </c>
      <c r="L708" s="23">
        <v>47</v>
      </c>
      <c r="M708" s="23">
        <v>11</v>
      </c>
      <c r="N708" s="3">
        <f t="shared" si="368"/>
        <v>2.5850000000000001E-2</v>
      </c>
      <c r="O708" s="4" t="e">
        <f>(C708-(C708*#REF!))-((C708-(C708*#REF!))*#REF!)</f>
        <v>#REF!</v>
      </c>
      <c r="P708" s="7"/>
      <c r="Q708" s="7"/>
      <c r="R708" s="5">
        <f t="shared" si="369"/>
        <v>0</v>
      </c>
      <c r="S708" s="4">
        <f t="shared" si="370"/>
        <v>0</v>
      </c>
      <c r="T708" s="13">
        <f t="shared" si="343"/>
        <v>30.093000000000004</v>
      </c>
      <c r="U708" s="13">
        <f t="shared" si="352"/>
        <v>15.046500000000002</v>
      </c>
      <c r="V708" s="14">
        <f>U708/C708</f>
        <v>0.35000000000000003</v>
      </c>
      <c r="W708" s="14"/>
      <c r="X708" s="19">
        <f t="shared" si="371"/>
        <v>15.046500000000002</v>
      </c>
      <c r="Y708" s="19">
        <f t="shared" si="372"/>
        <v>30.093000000000004</v>
      </c>
      <c r="Z708" s="15" t="e">
        <f t="shared" si="365"/>
        <v>#DIV/0!</v>
      </c>
      <c r="AA708" s="22" t="s">
        <v>3553</v>
      </c>
      <c r="AG708" s="94" t="s">
        <v>1169</v>
      </c>
      <c r="AH708" s="89" t="str">
        <f>VLOOKUP(AG708,Sheet1!$B$3:$D$36,2,FALSE)</f>
        <v>Decors</v>
      </c>
      <c r="AI708" s="89" t="s">
        <v>3463</v>
      </c>
      <c r="AJ708" s="1" t="str">
        <f t="shared" si="344"/>
        <v>Mufazza</v>
      </c>
      <c r="AK708" s="1" t="str">
        <f t="shared" si="345"/>
        <v>w50 x d47 x h11</v>
      </c>
      <c r="AL708" s="1" t="str">
        <f t="shared" si="346"/>
        <v>teak root semi</v>
      </c>
      <c r="AM708" s="1" t="str">
        <f t="shared" si="347"/>
        <v>teak root semi</v>
      </c>
      <c r="AN708" s="1" t="str">
        <f t="shared" si="374"/>
        <v>teak root semi</v>
      </c>
      <c r="AQ708" s="1" t="str">
        <f t="shared" si="348"/>
        <v>B</v>
      </c>
      <c r="AR708" s="1" t="str">
        <f>VLOOKUP(TRIM(AI708),Sheet1!$D$3:$E$36,2,FALSE)</f>
        <v>05</v>
      </c>
      <c r="AS708" s="90" t="str">
        <f t="shared" si="349"/>
        <v>08</v>
      </c>
      <c r="AT708" s="1" t="str">
        <f t="shared" si="350"/>
        <v>01</v>
      </c>
      <c r="AU708" s="90" t="s">
        <v>648</v>
      </c>
      <c r="AV708" s="90"/>
      <c r="AW708" s="90"/>
      <c r="AX708" s="95" t="str">
        <f>AQ708&amp;AR708&amp;AS708&amp;"-"&amp;AT708&amp;AU708&amp;BA708</f>
        <v>B0508-0132</v>
      </c>
      <c r="AY708" s="99" t="str">
        <f>AQ708&amp;AR708&amp;AS708&amp;"-"&amp;AT708&amp;BA708</f>
        <v>B0508-01</v>
      </c>
      <c r="AZ708" s="90"/>
      <c r="BA708" s="1" t="str">
        <f t="shared" si="351"/>
        <v/>
      </c>
      <c r="BC708" s="1" t="str">
        <f t="shared" si="366"/>
        <v/>
      </c>
      <c r="BD708" s="90">
        <f t="shared" si="367"/>
        <v>8</v>
      </c>
      <c r="BE708" s="1">
        <f t="shared" si="354"/>
        <v>1</v>
      </c>
      <c r="BF708" s="1">
        <f t="shared" si="355"/>
        <v>1</v>
      </c>
    </row>
    <row r="709" spans="1:58" ht="11.25" customHeight="1">
      <c r="A709" s="26">
        <v>21917</v>
      </c>
      <c r="B709" s="27" t="s">
        <v>3570</v>
      </c>
      <c r="C709" s="28">
        <v>168.99</v>
      </c>
      <c r="D709" s="28">
        <f t="shared" ref="D709:D771" si="375">C709*$D$1</f>
        <v>84.495000000000005</v>
      </c>
      <c r="E709" s="22" t="s">
        <v>3457</v>
      </c>
      <c r="F709" s="22" t="s">
        <v>3571</v>
      </c>
      <c r="G709" s="22" t="s">
        <v>3572</v>
      </c>
      <c r="H709" s="22" t="s">
        <v>3288</v>
      </c>
      <c r="I709" s="23" t="s">
        <v>3573</v>
      </c>
      <c r="J709" s="22" t="s">
        <v>670</v>
      </c>
      <c r="L709" s="23">
        <v>60</v>
      </c>
      <c r="M709" s="23">
        <v>60</v>
      </c>
      <c r="N709" s="3">
        <f t="shared" si="368"/>
        <v>0.216</v>
      </c>
      <c r="O709" s="4" t="e">
        <f>(C709-(C709*#REF!))-((C709-(C709*#REF!))*#REF!)</f>
        <v>#REF!</v>
      </c>
      <c r="P709" s="7"/>
      <c r="Q709" s="7"/>
      <c r="R709" s="5">
        <f t="shared" si="369"/>
        <v>0</v>
      </c>
      <c r="S709" s="4">
        <f t="shared" si="370"/>
        <v>0</v>
      </c>
      <c r="T709" s="13">
        <f t="shared" ref="T709:T772" si="376">C709-(C709*$T$1)</f>
        <v>118.29300000000001</v>
      </c>
      <c r="U709" s="13">
        <f t="shared" si="352"/>
        <v>59.146500000000003</v>
      </c>
      <c r="V709" s="14">
        <f>U709/C709</f>
        <v>0.35</v>
      </c>
      <c r="W709" s="14"/>
      <c r="X709" s="19">
        <f t="shared" si="371"/>
        <v>59.146500000000003</v>
      </c>
      <c r="Y709" s="19">
        <f t="shared" si="372"/>
        <v>118.29300000000001</v>
      </c>
      <c r="Z709" s="15" t="e">
        <f t="shared" si="365"/>
        <v>#DIV/0!</v>
      </c>
      <c r="AA709" s="22" t="s">
        <v>3574</v>
      </c>
      <c r="AG709" s="94" t="s">
        <v>1169</v>
      </c>
      <c r="AH709" s="89" t="str">
        <f>VLOOKUP(AG709,Sheet1!$B$3:$D$36,2,FALSE)</f>
        <v>Decors</v>
      </c>
      <c r="AI709" s="89" t="s">
        <v>3463</v>
      </c>
      <c r="AJ709" s="1" t="str">
        <f t="shared" ref="AJ709:AJ772" si="377">G709</f>
        <v>Joe round basket multi color</v>
      </c>
      <c r="AK709" s="1" t="str">
        <f t="shared" ref="AK709:AK772" si="378">TRIM(H709)</f>
        <v>ø60 x h60</v>
      </c>
      <c r="AL709" s="1" t="str">
        <f t="shared" ref="AL709:AL772" si="379">I709</f>
        <v>CL Multi Color Semi</v>
      </c>
      <c r="AM709" s="1" t="str">
        <f t="shared" ref="AM709:AM772" si="380">I709</f>
        <v>CL Multi Color Semi</v>
      </c>
      <c r="AN709" s="1" t="str">
        <f t="shared" si="374"/>
        <v>CL Multi Color Semi</v>
      </c>
      <c r="AQ709" s="1" t="str">
        <f t="shared" ref="AQ709:AQ772" si="381">IF(TRIM(AG709)="01","A",IF(TRIM(AG709)="02","B",IF(TRIM(AG709)="03","C",IF(TRIM(AG709)="04","D",IF(TRIM(AG709)="05","E","F")))))</f>
        <v>B</v>
      </c>
      <c r="AR709" s="1" t="str">
        <f>VLOOKUP(TRIM(AI709),Sheet1!$D$3:$E$36,2,FALSE)</f>
        <v>05</v>
      </c>
      <c r="AS709" s="90" t="str">
        <f t="shared" ref="AS709:AS772" si="382">IF(LEN(BD709)=1,"0"&amp;BD709,BD709)</f>
        <v>01</v>
      </c>
      <c r="AT709" s="1" t="str">
        <f t="shared" ref="AT709:AT772" si="383">IF(LEN(BF709)=1,"0"&amp;BF709,BF709)</f>
        <v>01</v>
      </c>
      <c r="AU709" s="90" t="s">
        <v>3398</v>
      </c>
      <c r="AV709" s="90"/>
      <c r="AW709" s="90"/>
      <c r="AX709" s="95" t="str">
        <f>AQ709&amp;AR709&amp;AS709&amp;"-"&amp;AT709&amp;AU709&amp;BA709</f>
        <v>B0501-0136</v>
      </c>
      <c r="AY709" s="99" t="str">
        <f>AQ709&amp;AR709&amp;AS709&amp;"-"&amp;AT709&amp;BA709</f>
        <v>B0501-01</v>
      </c>
      <c r="AZ709" s="90"/>
      <c r="BA709" s="1" t="str">
        <f t="shared" ref="BA709:BA772" si="384">IF(AO709="","",UPPER(LEFT(AO709,3)))</f>
        <v/>
      </c>
      <c r="BC709" s="1">
        <f t="shared" si="366"/>
        <v>1</v>
      </c>
      <c r="BD709" s="90">
        <f t="shared" si="367"/>
        <v>1</v>
      </c>
      <c r="BE709" s="1">
        <f t="shared" si="354"/>
        <v>1</v>
      </c>
      <c r="BF709" s="1">
        <f t="shared" si="355"/>
        <v>1</v>
      </c>
    </row>
    <row r="710" spans="1:58" ht="11.25" customHeight="1">
      <c r="A710" s="26">
        <v>21959</v>
      </c>
      <c r="B710" s="27" t="s">
        <v>3575</v>
      </c>
      <c r="C710" s="28">
        <v>47.99</v>
      </c>
      <c r="D710" s="28">
        <f t="shared" si="375"/>
        <v>23.995000000000001</v>
      </c>
      <c r="E710" s="22" t="s">
        <v>3457</v>
      </c>
      <c r="F710" s="22" t="s">
        <v>3576</v>
      </c>
      <c r="G710" s="22" t="s">
        <v>245</v>
      </c>
      <c r="H710" s="22" t="s">
        <v>3577</v>
      </c>
      <c r="I710" s="23" t="s">
        <v>3578</v>
      </c>
      <c r="J710" s="22" t="s">
        <v>670</v>
      </c>
      <c r="L710" s="23">
        <v>20</v>
      </c>
      <c r="M710" s="23">
        <v>18</v>
      </c>
      <c r="N710" s="3">
        <f t="shared" si="368"/>
        <v>7.1999999999999998E-3</v>
      </c>
      <c r="O710" s="4" t="e">
        <f>(C710-(C710*#REF!))-((C710-(C710*#REF!))*#REF!)</f>
        <v>#REF!</v>
      </c>
      <c r="P710" s="7"/>
      <c r="Q710" s="7"/>
      <c r="R710" s="5">
        <f t="shared" si="369"/>
        <v>0</v>
      </c>
      <c r="S710" s="4">
        <f t="shared" si="370"/>
        <v>0</v>
      </c>
      <c r="T710" s="13">
        <f t="shared" si="376"/>
        <v>33.593000000000004</v>
      </c>
      <c r="U710" s="13">
        <f t="shared" ref="U710:U773" si="385">T710-(T710*$U$1)</f>
        <v>16.796500000000002</v>
      </c>
      <c r="V710" s="14">
        <f>U710/C710</f>
        <v>0.35000000000000003</v>
      </c>
      <c r="W710" s="14"/>
      <c r="X710" s="19">
        <f t="shared" si="371"/>
        <v>16.796500000000002</v>
      </c>
      <c r="Y710" s="19">
        <f t="shared" si="372"/>
        <v>33.593000000000004</v>
      </c>
      <c r="Z710" s="15" t="e">
        <f t="shared" si="365"/>
        <v>#DIV/0!</v>
      </c>
      <c r="AA710" s="22" t="s">
        <v>3579</v>
      </c>
      <c r="AG710" s="94" t="s">
        <v>1169</v>
      </c>
      <c r="AH710" s="89" t="str">
        <f>VLOOKUP(AG710,Sheet1!$B$3:$D$36,2,FALSE)</f>
        <v>Decors</v>
      </c>
      <c r="AI710" s="89" t="s">
        <v>3463</v>
      </c>
      <c r="AJ710" s="1" t="str">
        <f t="shared" si="377"/>
        <v>Felix rattan</v>
      </c>
      <c r="AK710" s="1" t="str">
        <f t="shared" si="378"/>
        <v>ø20 x h18</v>
      </c>
      <c r="AL710" s="1" t="str">
        <f t="shared" si="379"/>
        <v>pulut grey semi</v>
      </c>
      <c r="AM710" s="1" t="str">
        <f t="shared" si="380"/>
        <v>pulut grey semi</v>
      </c>
      <c r="AN710" s="1" t="str">
        <f t="shared" si="374"/>
        <v>pulut grey semi</v>
      </c>
      <c r="AQ710" s="1" t="str">
        <f t="shared" si="381"/>
        <v>B</v>
      </c>
      <c r="AR710" s="1" t="str">
        <f>VLOOKUP(TRIM(AI710),Sheet1!$D$3:$E$36,2,FALSE)</f>
        <v>05</v>
      </c>
      <c r="AS710" s="90" t="str">
        <f t="shared" si="382"/>
        <v>01</v>
      </c>
      <c r="AT710" s="1" t="str">
        <f t="shared" si="383"/>
        <v>01</v>
      </c>
      <c r="AU710" s="90" t="s">
        <v>1185</v>
      </c>
      <c r="AV710" s="90"/>
      <c r="AW710" s="90"/>
      <c r="AX710" s="95" t="str">
        <f>AQ710&amp;AR710&amp;AS710&amp;"-"&amp;AT710&amp;AU710&amp;BA710</f>
        <v>B0501-0114</v>
      </c>
      <c r="AY710" s="99" t="str">
        <f>AQ710&amp;AR710&amp;AS710&amp;"-"&amp;AT710&amp;BA710</f>
        <v>B0501-01</v>
      </c>
      <c r="AZ710" s="90"/>
      <c r="BA710" s="1" t="str">
        <f t="shared" si="384"/>
        <v/>
      </c>
      <c r="BC710" s="1">
        <f t="shared" si="366"/>
        <v>1</v>
      </c>
      <c r="BD710" s="90">
        <f t="shared" si="367"/>
        <v>1</v>
      </c>
      <c r="BE710" s="1">
        <f t="shared" si="354"/>
        <v>1</v>
      </c>
      <c r="BF710" s="1">
        <f t="shared" si="355"/>
        <v>1</v>
      </c>
    </row>
    <row r="711" spans="1:58" ht="11.25" customHeight="1">
      <c r="A711" s="26">
        <v>21958</v>
      </c>
      <c r="B711" s="27" t="s">
        <v>3575</v>
      </c>
      <c r="C711" s="28">
        <v>94.99</v>
      </c>
      <c r="D711" s="28">
        <f t="shared" si="375"/>
        <v>47.494999999999997</v>
      </c>
      <c r="E711" s="22" t="s">
        <v>3457</v>
      </c>
      <c r="F711" s="22" t="s">
        <v>3580</v>
      </c>
      <c r="G711" s="22" t="s">
        <v>245</v>
      </c>
      <c r="H711" s="22" t="s">
        <v>3581</v>
      </c>
      <c r="I711" s="23" t="s">
        <v>3578</v>
      </c>
      <c r="J711" s="22" t="s">
        <v>670</v>
      </c>
      <c r="L711" s="23">
        <v>32</v>
      </c>
      <c r="M711" s="23">
        <v>28</v>
      </c>
      <c r="N711" s="3">
        <f t="shared" si="368"/>
        <v>2.8672E-2</v>
      </c>
      <c r="O711" s="4" t="e">
        <f>(C711-(C711*#REF!))-((C711-(C711*#REF!))*#REF!)</f>
        <v>#REF!</v>
      </c>
      <c r="P711" s="7"/>
      <c r="Q711" s="7"/>
      <c r="R711" s="5">
        <f t="shared" si="369"/>
        <v>0</v>
      </c>
      <c r="S711" s="4">
        <f t="shared" si="370"/>
        <v>0</v>
      </c>
      <c r="T711" s="13">
        <f t="shared" si="376"/>
        <v>66.492999999999995</v>
      </c>
      <c r="U711" s="13">
        <f t="shared" si="385"/>
        <v>33.246499999999997</v>
      </c>
      <c r="V711" s="14">
        <f>U711/C711</f>
        <v>0.35</v>
      </c>
      <c r="W711" s="14"/>
      <c r="X711" s="19">
        <f t="shared" si="371"/>
        <v>33.246499999999997</v>
      </c>
      <c r="Y711" s="19">
        <f t="shared" si="372"/>
        <v>66.492999999999995</v>
      </c>
      <c r="Z711" s="15" t="e">
        <f t="shared" si="365"/>
        <v>#DIV/0!</v>
      </c>
      <c r="AA711" s="22" t="s">
        <v>3582</v>
      </c>
      <c r="AG711" s="94" t="s">
        <v>1169</v>
      </c>
      <c r="AH711" s="89" t="str">
        <f>VLOOKUP(AG711,Sheet1!$B$3:$D$36,2,FALSE)</f>
        <v>Decors</v>
      </c>
      <c r="AI711" s="89" t="s">
        <v>3463</v>
      </c>
      <c r="AJ711" s="1" t="str">
        <f t="shared" si="377"/>
        <v>Felix rattan</v>
      </c>
      <c r="AK711" s="1" t="str">
        <f t="shared" si="378"/>
        <v>ø32 x h28</v>
      </c>
      <c r="AL711" s="1" t="str">
        <f t="shared" si="379"/>
        <v>pulut grey semi</v>
      </c>
      <c r="AM711" s="1" t="str">
        <f t="shared" si="380"/>
        <v>pulut grey semi</v>
      </c>
      <c r="AN711" s="1" t="str">
        <f t="shared" si="374"/>
        <v>pulut grey semi</v>
      </c>
      <c r="AQ711" s="1" t="str">
        <f t="shared" si="381"/>
        <v>B</v>
      </c>
      <c r="AR711" s="1" t="str">
        <f>VLOOKUP(TRIM(AI711),Sheet1!$D$3:$E$36,2,FALSE)</f>
        <v>05</v>
      </c>
      <c r="AS711" s="90" t="str">
        <f t="shared" si="382"/>
        <v>02</v>
      </c>
      <c r="AT711" s="1" t="str">
        <f t="shared" si="383"/>
        <v>01</v>
      </c>
      <c r="AU711" s="90" t="s">
        <v>1185</v>
      </c>
      <c r="AV711" s="90"/>
      <c r="AW711" s="90"/>
      <c r="AX711" s="95" t="str">
        <f>AQ711&amp;AR711&amp;AS711&amp;"-"&amp;AT711&amp;AU711&amp;BA711</f>
        <v>B0502-0114</v>
      </c>
      <c r="AY711" s="99" t="str">
        <f>AQ711&amp;AR711&amp;AS711&amp;"-"&amp;AT711&amp;BA711</f>
        <v>B0502-01</v>
      </c>
      <c r="AZ711" s="90"/>
      <c r="BA711" s="1" t="str">
        <f t="shared" si="384"/>
        <v/>
      </c>
      <c r="BC711" s="1" t="str">
        <f t="shared" si="366"/>
        <v/>
      </c>
      <c r="BD711" s="90">
        <f t="shared" si="367"/>
        <v>2</v>
      </c>
      <c r="BE711" s="1">
        <f t="shared" si="354"/>
        <v>1</v>
      </c>
      <c r="BF711" s="1">
        <f t="shared" si="355"/>
        <v>1</v>
      </c>
    </row>
    <row r="712" spans="1:58" ht="11.25" customHeight="1">
      <c r="A712" s="26">
        <v>21957</v>
      </c>
      <c r="B712" s="27" t="s">
        <v>3575</v>
      </c>
      <c r="C712" s="28">
        <v>176.99</v>
      </c>
      <c r="D712" s="28">
        <f t="shared" si="375"/>
        <v>88.495000000000005</v>
      </c>
      <c r="E712" s="22" t="s">
        <v>3457</v>
      </c>
      <c r="F712" s="22" t="s">
        <v>3583</v>
      </c>
      <c r="G712" s="22" t="s">
        <v>245</v>
      </c>
      <c r="H712" s="22" t="s">
        <v>3584</v>
      </c>
      <c r="I712" s="23" t="s">
        <v>3578</v>
      </c>
      <c r="J712" s="22" t="s">
        <v>670</v>
      </c>
      <c r="L712" s="23">
        <v>45</v>
      </c>
      <c r="M712" s="23">
        <v>39</v>
      </c>
      <c r="N712" s="3">
        <f t="shared" si="368"/>
        <v>7.8975000000000004E-2</v>
      </c>
      <c r="O712" s="4" t="e">
        <f>(C712-(C712*#REF!))-((C712-(C712*#REF!))*#REF!)</f>
        <v>#REF!</v>
      </c>
      <c r="P712" s="7"/>
      <c r="Q712" s="7"/>
      <c r="R712" s="5">
        <f t="shared" si="369"/>
        <v>0</v>
      </c>
      <c r="S712" s="4">
        <f t="shared" si="370"/>
        <v>0</v>
      </c>
      <c r="T712" s="13">
        <f t="shared" si="376"/>
        <v>123.893</v>
      </c>
      <c r="U712" s="13">
        <f t="shared" si="385"/>
        <v>61.9465</v>
      </c>
      <c r="V712" s="14">
        <f>U712/C712</f>
        <v>0.35</v>
      </c>
      <c r="W712" s="14"/>
      <c r="X712" s="19">
        <f t="shared" si="371"/>
        <v>61.9465</v>
      </c>
      <c r="Y712" s="19">
        <f t="shared" si="372"/>
        <v>123.893</v>
      </c>
      <c r="Z712" s="15" t="e">
        <f t="shared" si="365"/>
        <v>#DIV/0!</v>
      </c>
      <c r="AA712" s="22" t="s">
        <v>3585</v>
      </c>
      <c r="AG712" s="94" t="s">
        <v>1169</v>
      </c>
      <c r="AH712" s="89" t="str">
        <f>VLOOKUP(AG712,Sheet1!$B$3:$D$36,2,FALSE)</f>
        <v>Decors</v>
      </c>
      <c r="AI712" s="89" t="s">
        <v>3463</v>
      </c>
      <c r="AJ712" s="1" t="str">
        <f t="shared" si="377"/>
        <v>Felix rattan</v>
      </c>
      <c r="AK712" s="1" t="str">
        <f t="shared" si="378"/>
        <v>ø45 x h39</v>
      </c>
      <c r="AL712" s="1" t="str">
        <f t="shared" si="379"/>
        <v>pulut grey semi</v>
      </c>
      <c r="AM712" s="1" t="str">
        <f t="shared" si="380"/>
        <v>pulut grey semi</v>
      </c>
      <c r="AN712" s="1" t="str">
        <f t="shared" si="374"/>
        <v>pulut grey semi</v>
      </c>
      <c r="AQ712" s="1" t="str">
        <f t="shared" si="381"/>
        <v>B</v>
      </c>
      <c r="AR712" s="1" t="str">
        <f>VLOOKUP(TRIM(AI712),Sheet1!$D$3:$E$36,2,FALSE)</f>
        <v>05</v>
      </c>
      <c r="AS712" s="90" t="str">
        <f t="shared" si="382"/>
        <v>03</v>
      </c>
      <c r="AT712" s="1" t="str">
        <f t="shared" si="383"/>
        <v>01</v>
      </c>
      <c r="AU712" s="90" t="s">
        <v>1185</v>
      </c>
      <c r="AV712" s="90"/>
      <c r="AW712" s="90"/>
      <c r="AX712" s="95" t="str">
        <f>AQ712&amp;AR712&amp;AS712&amp;"-"&amp;AT712&amp;AU712&amp;BA712</f>
        <v>B0503-0114</v>
      </c>
      <c r="AY712" s="99" t="str">
        <f>AQ712&amp;AR712&amp;AS712&amp;"-"&amp;AT712&amp;BA712</f>
        <v>B0503-01</v>
      </c>
      <c r="AZ712" s="90"/>
      <c r="BA712" s="1" t="str">
        <f t="shared" si="384"/>
        <v/>
      </c>
      <c r="BC712" s="1" t="str">
        <f t="shared" si="366"/>
        <v/>
      </c>
      <c r="BD712" s="90">
        <f t="shared" si="367"/>
        <v>3</v>
      </c>
      <c r="BE712" s="1">
        <f t="shared" si="354"/>
        <v>1</v>
      </c>
      <c r="BF712" s="1">
        <f t="shared" si="355"/>
        <v>1</v>
      </c>
    </row>
    <row r="713" spans="1:58" ht="11.25" customHeight="1">
      <c r="A713" s="26">
        <v>21953</v>
      </c>
      <c r="B713" s="27" t="s">
        <v>3575</v>
      </c>
      <c r="C713" s="28">
        <v>201.99</v>
      </c>
      <c r="D713" s="28">
        <f t="shared" si="375"/>
        <v>100.995</v>
      </c>
      <c r="E713" s="22" t="s">
        <v>3457</v>
      </c>
      <c r="F713" s="22" t="s">
        <v>3586</v>
      </c>
      <c r="G713" s="22" t="s">
        <v>245</v>
      </c>
      <c r="H713" s="22" t="s">
        <v>3587</v>
      </c>
      <c r="I713" s="23" t="s">
        <v>3578</v>
      </c>
      <c r="J713" s="22" t="s">
        <v>670</v>
      </c>
      <c r="L713" s="23">
        <v>50</v>
      </c>
      <c r="M713" s="23">
        <v>43</v>
      </c>
      <c r="N713" s="3">
        <f t="shared" si="368"/>
        <v>0.1075</v>
      </c>
      <c r="O713" s="4" t="e">
        <f>(C713-(C713*#REF!))-((C713-(C713*#REF!))*#REF!)</f>
        <v>#REF!</v>
      </c>
      <c r="P713" s="7"/>
      <c r="Q713" s="7"/>
      <c r="R713" s="5">
        <f t="shared" si="369"/>
        <v>0</v>
      </c>
      <c r="S713" s="4">
        <f t="shared" si="370"/>
        <v>0</v>
      </c>
      <c r="T713" s="13">
        <f t="shared" si="376"/>
        <v>141.393</v>
      </c>
      <c r="U713" s="13">
        <f t="shared" si="385"/>
        <v>70.6965</v>
      </c>
      <c r="V713" s="14">
        <f>U713/C713</f>
        <v>0.35</v>
      </c>
      <c r="W713" s="14"/>
      <c r="X713" s="19">
        <f t="shared" si="371"/>
        <v>70.6965</v>
      </c>
      <c r="Y713" s="19">
        <f t="shared" si="372"/>
        <v>141.393</v>
      </c>
      <c r="Z713" s="15" t="e">
        <f t="shared" si="365"/>
        <v>#DIV/0!</v>
      </c>
      <c r="AA713" s="22" t="s">
        <v>3588</v>
      </c>
      <c r="AG713" s="94" t="s">
        <v>1169</v>
      </c>
      <c r="AH713" s="89" t="str">
        <f>VLOOKUP(AG713,Sheet1!$B$3:$D$36,2,FALSE)</f>
        <v>Decors</v>
      </c>
      <c r="AI713" s="89" t="s">
        <v>3463</v>
      </c>
      <c r="AJ713" s="1" t="str">
        <f t="shared" si="377"/>
        <v>Felix rattan</v>
      </c>
      <c r="AK713" s="1" t="str">
        <f t="shared" si="378"/>
        <v>ø50 x h43</v>
      </c>
      <c r="AL713" s="1" t="str">
        <f t="shared" si="379"/>
        <v>pulut grey semi</v>
      </c>
      <c r="AM713" s="1" t="str">
        <f t="shared" si="380"/>
        <v>pulut grey semi</v>
      </c>
      <c r="AN713" s="1" t="str">
        <f t="shared" si="374"/>
        <v>pulut grey semi</v>
      </c>
      <c r="AQ713" s="1" t="str">
        <f t="shared" si="381"/>
        <v>B</v>
      </c>
      <c r="AR713" s="1" t="str">
        <f>VLOOKUP(TRIM(AI713),Sheet1!$D$3:$E$36,2,FALSE)</f>
        <v>05</v>
      </c>
      <c r="AS713" s="90" t="str">
        <f t="shared" si="382"/>
        <v>04</v>
      </c>
      <c r="AT713" s="1" t="str">
        <f t="shared" si="383"/>
        <v>01</v>
      </c>
      <c r="AU713" s="90" t="s">
        <v>1185</v>
      </c>
      <c r="AV713" s="90"/>
      <c r="AW713" s="90"/>
      <c r="AX713" s="95" t="str">
        <f>AQ713&amp;AR713&amp;AS713&amp;"-"&amp;AT713&amp;AU713&amp;BA713</f>
        <v>B0504-0114</v>
      </c>
      <c r="AY713" s="99" t="str">
        <f>AQ713&amp;AR713&amp;AS713&amp;"-"&amp;AT713&amp;BA713</f>
        <v>B0504-01</v>
      </c>
      <c r="AZ713" s="90"/>
      <c r="BA713" s="1" t="str">
        <f t="shared" si="384"/>
        <v/>
      </c>
      <c r="BC713" s="1" t="str">
        <f t="shared" si="366"/>
        <v/>
      </c>
      <c r="BD713" s="90">
        <f t="shared" si="367"/>
        <v>4</v>
      </c>
      <c r="BE713" s="1">
        <f t="shared" si="354"/>
        <v>1</v>
      </c>
      <c r="BF713" s="1">
        <f t="shared" si="355"/>
        <v>1</v>
      </c>
    </row>
    <row r="714" spans="1:58" ht="11.25" customHeight="1">
      <c r="A714" s="26">
        <v>21956</v>
      </c>
      <c r="B714" s="27" t="s">
        <v>3575</v>
      </c>
      <c r="C714" s="28">
        <v>318.99</v>
      </c>
      <c r="D714" s="28">
        <f t="shared" si="375"/>
        <v>159.495</v>
      </c>
      <c r="E714" s="22" t="s">
        <v>3457</v>
      </c>
      <c r="F714" s="22" t="s">
        <v>3589</v>
      </c>
      <c r="G714" s="22" t="s">
        <v>245</v>
      </c>
      <c r="H714" s="22" t="s">
        <v>3590</v>
      </c>
      <c r="I714" s="23" t="s">
        <v>3578</v>
      </c>
      <c r="J714" s="22" t="s">
        <v>670</v>
      </c>
      <c r="L714" s="23">
        <v>60</v>
      </c>
      <c r="M714" s="23">
        <v>52</v>
      </c>
      <c r="N714" s="3">
        <f t="shared" si="368"/>
        <v>0.18720000000000001</v>
      </c>
      <c r="O714" s="4" t="e">
        <f>(C714-(C714*#REF!))-((C714-(C714*#REF!))*#REF!)</f>
        <v>#REF!</v>
      </c>
      <c r="P714" s="7"/>
      <c r="Q714" s="7"/>
      <c r="R714" s="5">
        <f t="shared" si="369"/>
        <v>0</v>
      </c>
      <c r="S714" s="4">
        <f t="shared" si="370"/>
        <v>0</v>
      </c>
      <c r="T714" s="13">
        <f t="shared" si="376"/>
        <v>223.29300000000001</v>
      </c>
      <c r="U714" s="13">
        <f t="shared" si="385"/>
        <v>111.6465</v>
      </c>
      <c r="V714" s="14">
        <f>U714/C714</f>
        <v>0.35</v>
      </c>
      <c r="W714" s="14"/>
      <c r="X714" s="19">
        <f t="shared" si="371"/>
        <v>111.6465</v>
      </c>
      <c r="Y714" s="19">
        <f t="shared" si="372"/>
        <v>223.29300000000001</v>
      </c>
      <c r="Z714" s="15" t="e">
        <f t="shared" si="365"/>
        <v>#DIV/0!</v>
      </c>
      <c r="AA714" s="22" t="s">
        <v>3582</v>
      </c>
      <c r="AG714" s="94" t="s">
        <v>1169</v>
      </c>
      <c r="AH714" s="89" t="str">
        <f>VLOOKUP(AG714,Sheet1!$B$3:$D$36,2,FALSE)</f>
        <v>Decors</v>
      </c>
      <c r="AI714" s="89" t="s">
        <v>3463</v>
      </c>
      <c r="AJ714" s="1" t="str">
        <f t="shared" si="377"/>
        <v>Felix rattan</v>
      </c>
      <c r="AK714" s="1" t="str">
        <f t="shared" si="378"/>
        <v>ø60 x h52</v>
      </c>
      <c r="AL714" s="1" t="str">
        <f t="shared" si="379"/>
        <v>pulut grey semi</v>
      </c>
      <c r="AM714" s="1" t="str">
        <f t="shared" si="380"/>
        <v>pulut grey semi</v>
      </c>
      <c r="AN714" s="1" t="str">
        <f t="shared" si="374"/>
        <v>pulut grey semi</v>
      </c>
      <c r="AQ714" s="1" t="str">
        <f t="shared" si="381"/>
        <v>B</v>
      </c>
      <c r="AR714" s="1" t="str">
        <f>VLOOKUP(TRIM(AI714),Sheet1!$D$3:$E$36,2,FALSE)</f>
        <v>05</v>
      </c>
      <c r="AS714" s="90" t="str">
        <f t="shared" si="382"/>
        <v>05</v>
      </c>
      <c r="AT714" s="1" t="str">
        <f t="shared" si="383"/>
        <v>01</v>
      </c>
      <c r="AU714" s="90" t="s">
        <v>1185</v>
      </c>
      <c r="AV714" s="90"/>
      <c r="AW714" s="90"/>
      <c r="AX714" s="95" t="str">
        <f>AQ714&amp;AR714&amp;AS714&amp;"-"&amp;AT714&amp;AU714&amp;BA714</f>
        <v>B0505-0114</v>
      </c>
      <c r="AY714" s="99" t="str">
        <f>AQ714&amp;AR714&amp;AS714&amp;"-"&amp;AT714&amp;BA714</f>
        <v>B0505-01</v>
      </c>
      <c r="AZ714" s="90"/>
      <c r="BA714" s="1" t="str">
        <f t="shared" si="384"/>
        <v/>
      </c>
      <c r="BC714" s="1" t="str">
        <f t="shared" si="366"/>
        <v/>
      </c>
      <c r="BD714" s="90">
        <f t="shared" si="367"/>
        <v>5</v>
      </c>
      <c r="BE714" s="1">
        <f t="shared" si="354"/>
        <v>1</v>
      </c>
      <c r="BF714" s="1">
        <f t="shared" si="355"/>
        <v>1</v>
      </c>
    </row>
    <row r="715" spans="1:58" ht="11.25" customHeight="1">
      <c r="A715" s="26">
        <v>21952</v>
      </c>
      <c r="B715" s="27" t="s">
        <v>3575</v>
      </c>
      <c r="C715" s="28">
        <v>468.99</v>
      </c>
      <c r="D715" s="28">
        <f t="shared" si="375"/>
        <v>234.495</v>
      </c>
      <c r="E715" s="22" t="s">
        <v>3457</v>
      </c>
      <c r="F715" s="22" t="s">
        <v>3591</v>
      </c>
      <c r="G715" s="22" t="s">
        <v>245</v>
      </c>
      <c r="H715" s="22" t="s">
        <v>3592</v>
      </c>
      <c r="I715" s="23" t="s">
        <v>3578</v>
      </c>
      <c r="J715" s="22" t="s">
        <v>670</v>
      </c>
      <c r="L715" s="23">
        <v>80</v>
      </c>
      <c r="M715" s="23">
        <v>69</v>
      </c>
      <c r="N715" s="3">
        <f t="shared" si="368"/>
        <v>0.44159999999999999</v>
      </c>
      <c r="O715" s="4" t="e">
        <f>(C715-(C715*#REF!))-((C715-(C715*#REF!))*#REF!)</f>
        <v>#REF!</v>
      </c>
      <c r="P715" s="7"/>
      <c r="Q715" s="7"/>
      <c r="R715" s="5">
        <f t="shared" si="369"/>
        <v>0</v>
      </c>
      <c r="S715" s="4">
        <f t="shared" si="370"/>
        <v>0</v>
      </c>
      <c r="T715" s="13">
        <f t="shared" si="376"/>
        <v>328.29300000000001</v>
      </c>
      <c r="U715" s="13">
        <f t="shared" si="385"/>
        <v>164.1465</v>
      </c>
      <c r="V715" s="14">
        <f>U715/C715</f>
        <v>0.35</v>
      </c>
      <c r="W715" s="14"/>
      <c r="X715" s="19">
        <f t="shared" si="371"/>
        <v>164.1465</v>
      </c>
      <c r="Y715" s="19">
        <f t="shared" si="372"/>
        <v>328.29300000000001</v>
      </c>
      <c r="Z715" s="15" t="e">
        <f t="shared" si="365"/>
        <v>#DIV/0!</v>
      </c>
      <c r="AA715" s="22" t="s">
        <v>3585</v>
      </c>
      <c r="AG715" s="94" t="s">
        <v>1169</v>
      </c>
      <c r="AH715" s="89" t="str">
        <f>VLOOKUP(AG715,Sheet1!$B$3:$D$36,2,FALSE)</f>
        <v>Decors</v>
      </c>
      <c r="AI715" s="89" t="s">
        <v>3463</v>
      </c>
      <c r="AJ715" s="1" t="str">
        <f t="shared" si="377"/>
        <v>Felix rattan</v>
      </c>
      <c r="AK715" s="1" t="str">
        <f t="shared" si="378"/>
        <v>ø80 x h69</v>
      </c>
      <c r="AL715" s="1" t="str">
        <f t="shared" si="379"/>
        <v>pulut grey semi</v>
      </c>
      <c r="AM715" s="1" t="str">
        <f t="shared" si="380"/>
        <v>pulut grey semi</v>
      </c>
      <c r="AN715" s="1" t="str">
        <f t="shared" si="374"/>
        <v>pulut grey semi</v>
      </c>
      <c r="AQ715" s="1" t="str">
        <f t="shared" si="381"/>
        <v>B</v>
      </c>
      <c r="AR715" s="1" t="str">
        <f>VLOOKUP(TRIM(AI715),Sheet1!$D$3:$E$36,2,FALSE)</f>
        <v>05</v>
      </c>
      <c r="AS715" s="90" t="str">
        <f t="shared" si="382"/>
        <v>06</v>
      </c>
      <c r="AT715" s="1" t="str">
        <f t="shared" si="383"/>
        <v>01</v>
      </c>
      <c r="AU715" s="90" t="s">
        <v>1185</v>
      </c>
      <c r="AV715" s="90"/>
      <c r="AW715" s="90"/>
      <c r="AX715" s="95" t="str">
        <f>AQ715&amp;AR715&amp;AS715&amp;"-"&amp;AT715&amp;AU715&amp;BA715</f>
        <v>B0506-0114</v>
      </c>
      <c r="AY715" s="99" t="str">
        <f>AQ715&amp;AR715&amp;AS715&amp;"-"&amp;AT715&amp;BA715</f>
        <v>B0506-01</v>
      </c>
      <c r="AZ715" s="90"/>
      <c r="BA715" s="1" t="str">
        <f t="shared" si="384"/>
        <v/>
      </c>
      <c r="BC715" s="1" t="str">
        <f t="shared" si="366"/>
        <v/>
      </c>
      <c r="BD715" s="90">
        <f t="shared" si="367"/>
        <v>6</v>
      </c>
      <c r="BE715" s="1">
        <f t="shared" si="354"/>
        <v>1</v>
      </c>
      <c r="BF715" s="1">
        <f t="shared" si="355"/>
        <v>1</v>
      </c>
    </row>
    <row r="716" spans="1:58" ht="11.25" customHeight="1">
      <c r="A716" s="26">
        <v>21954</v>
      </c>
      <c r="B716" s="27" t="s">
        <v>3575</v>
      </c>
      <c r="C716" s="28">
        <v>692.99</v>
      </c>
      <c r="D716" s="28">
        <f t="shared" si="375"/>
        <v>346.495</v>
      </c>
      <c r="E716" s="22" t="s">
        <v>3457</v>
      </c>
      <c r="F716" s="22" t="s">
        <v>3593</v>
      </c>
      <c r="G716" s="22" t="s">
        <v>245</v>
      </c>
      <c r="H716" s="22" t="s">
        <v>3594</v>
      </c>
      <c r="I716" s="23" t="s">
        <v>3578</v>
      </c>
      <c r="J716" s="22" t="s">
        <v>670</v>
      </c>
      <c r="L716" s="23">
        <v>100</v>
      </c>
      <c r="M716" s="23">
        <v>86</v>
      </c>
      <c r="N716" s="3">
        <f t="shared" si="368"/>
        <v>0.86</v>
      </c>
      <c r="O716" s="4" t="e">
        <f>(C716-(C716*#REF!))-((C716-(C716*#REF!))*#REF!)</f>
        <v>#REF!</v>
      </c>
      <c r="P716" s="7"/>
      <c r="Q716" s="7"/>
      <c r="R716" s="5">
        <f t="shared" si="369"/>
        <v>0</v>
      </c>
      <c r="S716" s="4">
        <f t="shared" si="370"/>
        <v>0</v>
      </c>
      <c r="T716" s="13">
        <f t="shared" si="376"/>
        <v>485.09300000000002</v>
      </c>
      <c r="U716" s="13">
        <f t="shared" si="385"/>
        <v>242.54650000000001</v>
      </c>
      <c r="V716" s="14">
        <f>U716/C716</f>
        <v>0.35000000000000003</v>
      </c>
      <c r="W716" s="14"/>
      <c r="X716" s="19">
        <f t="shared" si="371"/>
        <v>242.54650000000001</v>
      </c>
      <c r="Y716" s="19">
        <f t="shared" si="372"/>
        <v>485.09300000000002</v>
      </c>
      <c r="Z716" s="15" t="e">
        <f t="shared" si="365"/>
        <v>#DIV/0!</v>
      </c>
      <c r="AA716" s="22" t="s">
        <v>3588</v>
      </c>
      <c r="AG716" s="94" t="s">
        <v>1169</v>
      </c>
      <c r="AH716" s="89" t="str">
        <f>VLOOKUP(AG716,Sheet1!$B$3:$D$36,2,FALSE)</f>
        <v>Decors</v>
      </c>
      <c r="AI716" s="89" t="s">
        <v>3463</v>
      </c>
      <c r="AJ716" s="1" t="str">
        <f t="shared" si="377"/>
        <v>Felix rattan</v>
      </c>
      <c r="AK716" s="1" t="str">
        <f t="shared" si="378"/>
        <v>ø100 x h86</v>
      </c>
      <c r="AL716" s="1" t="str">
        <f t="shared" si="379"/>
        <v>pulut grey semi</v>
      </c>
      <c r="AM716" s="1" t="str">
        <f t="shared" si="380"/>
        <v>pulut grey semi</v>
      </c>
      <c r="AN716" s="1" t="str">
        <f t="shared" si="374"/>
        <v>pulut grey semi</v>
      </c>
      <c r="AQ716" s="1" t="str">
        <f t="shared" si="381"/>
        <v>B</v>
      </c>
      <c r="AR716" s="1" t="str">
        <f>VLOOKUP(TRIM(AI716),Sheet1!$D$3:$E$36,2,FALSE)</f>
        <v>05</v>
      </c>
      <c r="AS716" s="90" t="str">
        <f t="shared" si="382"/>
        <v>07</v>
      </c>
      <c r="AT716" s="1" t="str">
        <f t="shared" si="383"/>
        <v>01</v>
      </c>
      <c r="AU716" s="90" t="s">
        <v>1185</v>
      </c>
      <c r="AV716" s="90"/>
      <c r="AW716" s="90"/>
      <c r="AX716" s="95" t="str">
        <f>AQ716&amp;AR716&amp;AS716&amp;"-"&amp;AT716&amp;AU716&amp;BA716</f>
        <v>B0507-0114</v>
      </c>
      <c r="AY716" s="99" t="str">
        <f>AQ716&amp;AR716&amp;AS716&amp;"-"&amp;AT716&amp;BA716</f>
        <v>B0507-01</v>
      </c>
      <c r="AZ716" s="90"/>
      <c r="BA716" s="1" t="str">
        <f t="shared" si="384"/>
        <v/>
      </c>
      <c r="BC716" s="1" t="str">
        <f t="shared" si="366"/>
        <v/>
      </c>
      <c r="BD716" s="90">
        <f t="shared" si="367"/>
        <v>7</v>
      </c>
      <c r="BE716" s="1">
        <f t="shared" si="354"/>
        <v>1</v>
      </c>
      <c r="BF716" s="1">
        <f t="shared" si="355"/>
        <v>1</v>
      </c>
    </row>
    <row r="717" spans="1:58" ht="11.25" customHeight="1">
      <c r="A717" s="26">
        <v>21955</v>
      </c>
      <c r="B717" s="27" t="s">
        <v>3575</v>
      </c>
      <c r="C717" s="28">
        <v>1039.99</v>
      </c>
      <c r="D717" s="28">
        <f t="shared" si="375"/>
        <v>519.995</v>
      </c>
      <c r="E717" s="22" t="s">
        <v>3457</v>
      </c>
      <c r="F717" s="22" t="s">
        <v>3595</v>
      </c>
      <c r="G717" s="22" t="s">
        <v>245</v>
      </c>
      <c r="H717" s="22" t="s">
        <v>3596</v>
      </c>
      <c r="I717" s="23" t="s">
        <v>3578</v>
      </c>
      <c r="J717" s="22" t="s">
        <v>670</v>
      </c>
      <c r="L717" s="23">
        <v>120</v>
      </c>
      <c r="M717" s="23">
        <v>103</v>
      </c>
      <c r="N717" s="3">
        <f t="shared" si="368"/>
        <v>1.4832000000000001</v>
      </c>
      <c r="O717" s="4" t="e">
        <f>(C717-(C717*#REF!))-((C717-(C717*#REF!))*#REF!)</f>
        <v>#REF!</v>
      </c>
      <c r="P717" s="7"/>
      <c r="Q717" s="7"/>
      <c r="R717" s="5">
        <f t="shared" si="369"/>
        <v>0</v>
      </c>
      <c r="S717" s="4">
        <f t="shared" si="370"/>
        <v>0</v>
      </c>
      <c r="T717" s="13">
        <f t="shared" si="376"/>
        <v>727.99299999999994</v>
      </c>
      <c r="U717" s="13">
        <f t="shared" si="385"/>
        <v>363.99649999999997</v>
      </c>
      <c r="V717" s="14">
        <f>U717/C717</f>
        <v>0.35</v>
      </c>
      <c r="W717" s="14"/>
      <c r="X717" s="19">
        <f t="shared" si="371"/>
        <v>363.99649999999997</v>
      </c>
      <c r="Y717" s="19">
        <f t="shared" si="372"/>
        <v>727.99299999999994</v>
      </c>
      <c r="Z717" s="15" t="e">
        <f t="shared" si="365"/>
        <v>#DIV/0!</v>
      </c>
      <c r="AA717" s="22" t="s">
        <v>3597</v>
      </c>
      <c r="AG717" s="94" t="s">
        <v>1169</v>
      </c>
      <c r="AH717" s="89" t="str">
        <f>VLOOKUP(AG717,Sheet1!$B$3:$D$36,2,FALSE)</f>
        <v>Decors</v>
      </c>
      <c r="AI717" s="89" t="s">
        <v>3463</v>
      </c>
      <c r="AJ717" s="1" t="str">
        <f t="shared" si="377"/>
        <v>Felix rattan</v>
      </c>
      <c r="AK717" s="1" t="str">
        <f t="shared" si="378"/>
        <v>ø120 x h103</v>
      </c>
      <c r="AL717" s="1" t="str">
        <f t="shared" si="379"/>
        <v>pulut grey semi</v>
      </c>
      <c r="AM717" s="1" t="str">
        <f t="shared" si="380"/>
        <v>pulut grey semi</v>
      </c>
      <c r="AN717" s="1" t="str">
        <f t="shared" si="374"/>
        <v>pulut grey semi</v>
      </c>
      <c r="AQ717" s="1" t="str">
        <f t="shared" si="381"/>
        <v>B</v>
      </c>
      <c r="AR717" s="1" t="str">
        <f>VLOOKUP(TRIM(AI717),Sheet1!$D$3:$E$36,2,FALSE)</f>
        <v>05</v>
      </c>
      <c r="AS717" s="90" t="str">
        <f t="shared" si="382"/>
        <v>08</v>
      </c>
      <c r="AT717" s="1" t="str">
        <f t="shared" si="383"/>
        <v>01</v>
      </c>
      <c r="AU717" s="90" t="s">
        <v>1185</v>
      </c>
      <c r="AV717" s="90"/>
      <c r="AW717" s="90"/>
      <c r="AX717" s="95" t="str">
        <f>AQ717&amp;AR717&amp;AS717&amp;"-"&amp;AT717&amp;AU717&amp;BA717</f>
        <v>B0508-0114</v>
      </c>
      <c r="AY717" s="99" t="str">
        <f>AQ717&amp;AR717&amp;AS717&amp;"-"&amp;AT717&amp;BA717</f>
        <v>B0508-01</v>
      </c>
      <c r="AZ717" s="90"/>
      <c r="BA717" s="1" t="str">
        <f t="shared" si="384"/>
        <v/>
      </c>
      <c r="BC717" s="1" t="str">
        <f t="shared" si="366"/>
        <v/>
      </c>
      <c r="BD717" s="90">
        <f t="shared" si="367"/>
        <v>8</v>
      </c>
      <c r="BE717" s="1">
        <f t="shared" ref="BE717:BE780" si="386">IF(AK716&lt;&gt;AK717,1,"")</f>
        <v>1</v>
      </c>
      <c r="BF717" s="1">
        <f t="shared" ref="BF717:BF780" si="387">IF(BE717=1,1,BF716+1)</f>
        <v>1</v>
      </c>
    </row>
    <row r="718" spans="1:58" ht="11.25" customHeight="1">
      <c r="A718" s="26" t="s">
        <v>3281</v>
      </c>
      <c r="B718" s="27" t="s">
        <v>3282</v>
      </c>
      <c r="C718" s="28">
        <v>56.99</v>
      </c>
      <c r="D718" s="28">
        <f t="shared" si="375"/>
        <v>28.495000000000001</v>
      </c>
      <c r="E718" s="22" t="s">
        <v>3457</v>
      </c>
      <c r="F718" s="22" t="s">
        <v>3598</v>
      </c>
      <c r="G718" s="22" t="s">
        <v>256</v>
      </c>
      <c r="H718" s="22" t="s">
        <v>3284</v>
      </c>
      <c r="I718" s="23" t="s">
        <v>3244</v>
      </c>
      <c r="J718" s="22" t="s">
        <v>670</v>
      </c>
      <c r="L718" s="23">
        <v>38</v>
      </c>
      <c r="M718" s="23">
        <v>47</v>
      </c>
      <c r="N718" s="3">
        <f t="shared" si="368"/>
        <v>6.7867999999999998E-2</v>
      </c>
      <c r="O718" s="4" t="e">
        <f>(C718-(C718*#REF!))-((C718-(C718*#REF!))*#REF!)</f>
        <v>#REF!</v>
      </c>
      <c r="P718" s="7"/>
      <c r="Q718" s="7"/>
      <c r="R718" s="5">
        <f t="shared" si="369"/>
        <v>0</v>
      </c>
      <c r="S718" s="4">
        <f t="shared" si="370"/>
        <v>0</v>
      </c>
      <c r="T718" s="13">
        <f t="shared" si="376"/>
        <v>39.893000000000001</v>
      </c>
      <c r="U718" s="13">
        <f t="shared" si="385"/>
        <v>19.9465</v>
      </c>
      <c r="V718" s="14">
        <f>U718/C718</f>
        <v>0.35</v>
      </c>
      <c r="W718" s="14"/>
      <c r="X718" s="19">
        <f t="shared" si="371"/>
        <v>19.9465</v>
      </c>
      <c r="Y718" s="19">
        <f t="shared" si="372"/>
        <v>39.893000000000001</v>
      </c>
      <c r="Z718" s="15" t="e">
        <f t="shared" si="365"/>
        <v>#DIV/0!</v>
      </c>
      <c r="AA718" s="22" t="s">
        <v>3599</v>
      </c>
      <c r="AG718" s="94" t="s">
        <v>1169</v>
      </c>
      <c r="AH718" s="89" t="str">
        <f>VLOOKUP(AG718,Sheet1!$B$3:$D$36,2,FALSE)</f>
        <v>Decors</v>
      </c>
      <c r="AI718" s="89" t="s">
        <v>3463</v>
      </c>
      <c r="AJ718" s="1" t="str">
        <f t="shared" si="377"/>
        <v>Feroni round basket wood</v>
      </c>
      <c r="AK718" s="1" t="str">
        <f t="shared" si="378"/>
        <v>ø38 x h47</v>
      </c>
      <c r="AL718" s="1" t="str">
        <f t="shared" si="379"/>
        <v>kubu grey semi</v>
      </c>
      <c r="AM718" s="1" t="str">
        <f t="shared" si="380"/>
        <v>kubu grey semi</v>
      </c>
      <c r="AN718" s="1" t="str">
        <f t="shared" si="374"/>
        <v>kubu grey semi</v>
      </c>
      <c r="AQ718" s="1" t="str">
        <f t="shared" si="381"/>
        <v>B</v>
      </c>
      <c r="AR718" s="1" t="str">
        <f>VLOOKUP(TRIM(AI718),Sheet1!$D$3:$E$36,2,FALSE)</f>
        <v>05</v>
      </c>
      <c r="AS718" s="90" t="str">
        <f t="shared" si="382"/>
        <v>01</v>
      </c>
      <c r="AT718" s="1" t="str">
        <f t="shared" si="383"/>
        <v>01</v>
      </c>
      <c r="AU718" s="90" t="s">
        <v>1198</v>
      </c>
      <c r="AV718" s="90"/>
      <c r="AW718" s="90"/>
      <c r="AX718" s="95" t="str">
        <f>AQ718&amp;AR718&amp;AS718&amp;"-"&amp;AT718&amp;AU718&amp;BA718</f>
        <v>B0501-0107</v>
      </c>
      <c r="AY718" s="99" t="str">
        <f>AQ718&amp;AR718&amp;AS718&amp;"-"&amp;AT718&amp;BA718</f>
        <v>B0501-01</v>
      </c>
      <c r="AZ718" s="90"/>
      <c r="BA718" s="1" t="str">
        <f t="shared" si="384"/>
        <v/>
      </c>
      <c r="BC718" s="1">
        <f t="shared" si="366"/>
        <v>1</v>
      </c>
      <c r="BD718" s="90">
        <f t="shared" si="367"/>
        <v>1</v>
      </c>
      <c r="BE718" s="1">
        <f t="shared" si="386"/>
        <v>1</v>
      </c>
      <c r="BF718" s="1">
        <f t="shared" si="387"/>
        <v>1</v>
      </c>
    </row>
    <row r="719" spans="1:58" ht="11.25" customHeight="1">
      <c r="A719" s="26" t="s">
        <v>3286</v>
      </c>
      <c r="B719" s="27" t="s">
        <v>3282</v>
      </c>
      <c r="C719" s="28">
        <v>93.99</v>
      </c>
      <c r="D719" s="28">
        <f t="shared" si="375"/>
        <v>46.994999999999997</v>
      </c>
      <c r="E719" s="22" t="s">
        <v>3457</v>
      </c>
      <c r="F719" s="22" t="s">
        <v>3600</v>
      </c>
      <c r="G719" s="22" t="s">
        <v>256</v>
      </c>
      <c r="H719" s="22" t="s">
        <v>3601</v>
      </c>
      <c r="I719" s="23" t="s">
        <v>3244</v>
      </c>
      <c r="J719" s="22" t="s">
        <v>670</v>
      </c>
      <c r="L719" s="23">
        <v>47</v>
      </c>
      <c r="M719" s="23">
        <v>54</v>
      </c>
      <c r="N719" s="3">
        <f t="shared" si="368"/>
        <v>0.119286</v>
      </c>
      <c r="O719" s="4" t="e">
        <f>(C719-(C719*#REF!))-((C719-(C719*#REF!))*#REF!)</f>
        <v>#REF!</v>
      </c>
      <c r="P719" s="7"/>
      <c r="Q719" s="7"/>
      <c r="R719" s="5">
        <f t="shared" si="369"/>
        <v>0</v>
      </c>
      <c r="S719" s="4">
        <f t="shared" si="370"/>
        <v>0</v>
      </c>
      <c r="T719" s="13">
        <f t="shared" si="376"/>
        <v>65.792999999999992</v>
      </c>
      <c r="U719" s="13">
        <f t="shared" si="385"/>
        <v>32.896499999999996</v>
      </c>
      <c r="V719" s="14">
        <f>U719/C719</f>
        <v>0.35</v>
      </c>
      <c r="W719" s="14"/>
      <c r="X719" s="19">
        <f t="shared" si="371"/>
        <v>32.896499999999996</v>
      </c>
      <c r="Y719" s="19">
        <f t="shared" si="372"/>
        <v>65.792999999999992</v>
      </c>
      <c r="Z719" s="15" t="e">
        <f t="shared" si="365"/>
        <v>#DIV/0!</v>
      </c>
      <c r="AA719" s="22" t="s">
        <v>3602</v>
      </c>
      <c r="AG719" s="94" t="s">
        <v>1169</v>
      </c>
      <c r="AH719" s="89" t="str">
        <f>VLOOKUP(AG719,Sheet1!$B$3:$D$36,2,FALSE)</f>
        <v>Decors</v>
      </c>
      <c r="AI719" s="89" t="s">
        <v>3463</v>
      </c>
      <c r="AJ719" s="1" t="str">
        <f t="shared" si="377"/>
        <v>Feroni round basket wood</v>
      </c>
      <c r="AK719" s="1" t="str">
        <f t="shared" si="378"/>
        <v>ø47 x h54</v>
      </c>
      <c r="AL719" s="1" t="str">
        <f t="shared" si="379"/>
        <v>kubu grey semi</v>
      </c>
      <c r="AM719" s="1" t="str">
        <f t="shared" si="380"/>
        <v>kubu grey semi</v>
      </c>
      <c r="AN719" s="1" t="str">
        <f t="shared" si="374"/>
        <v>kubu grey semi</v>
      </c>
      <c r="AQ719" s="1" t="str">
        <f t="shared" si="381"/>
        <v>B</v>
      </c>
      <c r="AR719" s="1" t="str">
        <f>VLOOKUP(TRIM(AI719),Sheet1!$D$3:$E$36,2,FALSE)</f>
        <v>05</v>
      </c>
      <c r="AS719" s="90" t="str">
        <f t="shared" si="382"/>
        <v>02</v>
      </c>
      <c r="AT719" s="1" t="str">
        <f t="shared" si="383"/>
        <v>01</v>
      </c>
      <c r="AU719" s="90" t="s">
        <v>1198</v>
      </c>
      <c r="AV719" s="90"/>
      <c r="AW719" s="90"/>
      <c r="AX719" s="95" t="str">
        <f>AQ719&amp;AR719&amp;AS719&amp;"-"&amp;AT719&amp;AU719&amp;BA719</f>
        <v>B0502-0107</v>
      </c>
      <c r="AY719" s="99" t="str">
        <f>AQ719&amp;AR719&amp;AS719&amp;"-"&amp;AT719&amp;BA719</f>
        <v>B0502-01</v>
      </c>
      <c r="AZ719" s="90"/>
      <c r="BA719" s="1" t="str">
        <f t="shared" si="384"/>
        <v/>
      </c>
      <c r="BC719" s="1" t="str">
        <f t="shared" si="366"/>
        <v/>
      </c>
      <c r="BD719" s="90">
        <f t="shared" si="367"/>
        <v>2</v>
      </c>
      <c r="BE719" s="1">
        <f t="shared" si="386"/>
        <v>1</v>
      </c>
      <c r="BF719" s="1">
        <f t="shared" si="387"/>
        <v>1</v>
      </c>
    </row>
    <row r="720" spans="1:58" ht="11.25" customHeight="1">
      <c r="A720" s="26" t="s">
        <v>3289</v>
      </c>
      <c r="B720" s="27" t="s">
        <v>3282</v>
      </c>
      <c r="C720" s="28">
        <v>129.99</v>
      </c>
      <c r="D720" s="28">
        <f t="shared" si="375"/>
        <v>64.995000000000005</v>
      </c>
      <c r="E720" s="22" t="s">
        <v>3457</v>
      </c>
      <c r="F720" s="22" t="s">
        <v>3603</v>
      </c>
      <c r="G720" s="22" t="s">
        <v>256</v>
      </c>
      <c r="H720" s="22" t="s">
        <v>3604</v>
      </c>
      <c r="I720" s="23" t="s">
        <v>3244</v>
      </c>
      <c r="J720" s="22" t="s">
        <v>670</v>
      </c>
      <c r="L720" s="23">
        <v>60</v>
      </c>
      <c r="M720" s="23">
        <v>60</v>
      </c>
      <c r="N720" s="3">
        <f t="shared" si="368"/>
        <v>0.216</v>
      </c>
      <c r="O720" s="4" t="e">
        <f>(C720-(C720*#REF!))-((C720-(C720*#REF!))*#REF!)</f>
        <v>#REF!</v>
      </c>
      <c r="P720" s="7"/>
      <c r="Q720" s="7"/>
      <c r="R720" s="5">
        <f t="shared" si="369"/>
        <v>0</v>
      </c>
      <c r="S720" s="4">
        <f t="shared" si="370"/>
        <v>0</v>
      </c>
      <c r="T720" s="13">
        <f t="shared" si="376"/>
        <v>90.993000000000009</v>
      </c>
      <c r="U720" s="13">
        <f t="shared" si="385"/>
        <v>45.496500000000005</v>
      </c>
      <c r="V720" s="14">
        <f>U720/C720</f>
        <v>0.35000000000000003</v>
      </c>
      <c r="W720" s="14"/>
      <c r="X720" s="19">
        <f t="shared" si="371"/>
        <v>45.496500000000005</v>
      </c>
      <c r="Y720" s="19">
        <f t="shared" si="372"/>
        <v>90.993000000000009</v>
      </c>
      <c r="Z720" s="15" t="e">
        <f t="shared" si="365"/>
        <v>#DIV/0!</v>
      </c>
      <c r="AA720" s="22" t="s">
        <v>3599</v>
      </c>
      <c r="AG720" s="94" t="s">
        <v>1169</v>
      </c>
      <c r="AH720" s="89" t="str">
        <f>VLOOKUP(AG720,Sheet1!$B$3:$D$36,2,FALSE)</f>
        <v>Decors</v>
      </c>
      <c r="AI720" s="89" t="s">
        <v>3463</v>
      </c>
      <c r="AJ720" s="1" t="str">
        <f t="shared" si="377"/>
        <v>Feroni round basket wood</v>
      </c>
      <c r="AK720" s="1" t="str">
        <f t="shared" si="378"/>
        <v>ø60 x h60</v>
      </c>
      <c r="AL720" s="1" t="str">
        <f t="shared" si="379"/>
        <v>kubu grey semi</v>
      </c>
      <c r="AM720" s="1" t="str">
        <f t="shared" si="380"/>
        <v>kubu grey semi</v>
      </c>
      <c r="AN720" s="1" t="str">
        <f t="shared" si="374"/>
        <v>kubu grey semi</v>
      </c>
      <c r="AQ720" s="1" t="str">
        <f t="shared" si="381"/>
        <v>B</v>
      </c>
      <c r="AR720" s="1" t="str">
        <f>VLOOKUP(TRIM(AI720),Sheet1!$D$3:$E$36,2,FALSE)</f>
        <v>05</v>
      </c>
      <c r="AS720" s="90" t="str">
        <f t="shared" si="382"/>
        <v>03</v>
      </c>
      <c r="AT720" s="1" t="str">
        <f t="shared" si="383"/>
        <v>01</v>
      </c>
      <c r="AU720" s="90" t="s">
        <v>1198</v>
      </c>
      <c r="AV720" s="90"/>
      <c r="AW720" s="90"/>
      <c r="AX720" s="95" t="str">
        <f>AQ720&amp;AR720&amp;AS720&amp;"-"&amp;AT720&amp;AU720&amp;BA720</f>
        <v>B0503-0107</v>
      </c>
      <c r="AY720" s="99" t="str">
        <f>AQ720&amp;AR720&amp;AS720&amp;"-"&amp;AT720&amp;BA720</f>
        <v>B0503-01</v>
      </c>
      <c r="AZ720" s="90"/>
      <c r="BA720" s="1" t="str">
        <f t="shared" si="384"/>
        <v/>
      </c>
      <c r="BC720" s="1" t="str">
        <f t="shared" si="366"/>
        <v/>
      </c>
      <c r="BD720" s="90">
        <f t="shared" si="367"/>
        <v>3</v>
      </c>
      <c r="BE720" s="1">
        <f t="shared" si="386"/>
        <v>1</v>
      </c>
      <c r="BF720" s="1">
        <f t="shared" si="387"/>
        <v>1</v>
      </c>
    </row>
    <row r="721" spans="1:58" ht="11.25" customHeight="1">
      <c r="A721" s="26" t="s">
        <v>3275</v>
      </c>
      <c r="B721" s="27" t="s">
        <v>3605</v>
      </c>
      <c r="C721" s="28">
        <v>237.99</v>
      </c>
      <c r="D721" s="28">
        <f t="shared" si="375"/>
        <v>118.995</v>
      </c>
      <c r="E721" s="22" t="s">
        <v>3457</v>
      </c>
      <c r="F721" s="22" t="s">
        <v>3606</v>
      </c>
      <c r="G721" s="22" t="s">
        <v>3607</v>
      </c>
      <c r="H721" s="22" t="s">
        <v>3608</v>
      </c>
      <c r="I721" s="23" t="s">
        <v>3609</v>
      </c>
      <c r="J721" s="22" t="s">
        <v>670</v>
      </c>
      <c r="K721" s="23">
        <v>70</v>
      </c>
      <c r="L721" s="23">
        <v>40</v>
      </c>
      <c r="M721" s="23">
        <v>48</v>
      </c>
      <c r="N721" s="3">
        <f t="shared" si="368"/>
        <v>0.13439999999999999</v>
      </c>
      <c r="O721" s="4" t="e">
        <f>(C721-(C721*#REF!))-((C721-(C721*#REF!))*#REF!)</f>
        <v>#REF!</v>
      </c>
      <c r="P721" s="7">
        <f>581589.954173134-Q721</f>
        <v>84589.954173134058</v>
      </c>
      <c r="Q721" s="7">
        <v>497000</v>
      </c>
      <c r="R721" s="5">
        <f t="shared" si="369"/>
        <v>581589.95417313406</v>
      </c>
      <c r="S721" s="4">
        <f t="shared" si="370"/>
        <v>38.772663611542271</v>
      </c>
      <c r="T721" s="13">
        <f t="shared" si="376"/>
        <v>166.59300000000002</v>
      </c>
      <c r="U721" s="13">
        <f t="shared" si="385"/>
        <v>83.296500000000009</v>
      </c>
      <c r="V721" s="14">
        <f>U721/C721</f>
        <v>0.35000000000000003</v>
      </c>
      <c r="W721" s="14"/>
      <c r="X721" s="19">
        <f t="shared" si="371"/>
        <v>83.296500000000009</v>
      </c>
      <c r="Y721" s="19">
        <f t="shared" si="372"/>
        <v>166.59300000000002</v>
      </c>
      <c r="Z721" s="15">
        <f t="shared" si="365"/>
        <v>2.1483306082485236</v>
      </c>
      <c r="AA721" s="22" t="s">
        <v>3610</v>
      </c>
      <c r="AG721" s="94" t="s">
        <v>1169</v>
      </c>
      <c r="AH721" s="89" t="str">
        <f>VLOOKUP(AG721,Sheet1!$B$3:$D$36,2,FALSE)</f>
        <v>Decors</v>
      </c>
      <c r="AI721" s="89" t="s">
        <v>3463</v>
      </c>
      <c r="AJ721" s="1" t="str">
        <f t="shared" si="377"/>
        <v>Ferona rectangular wood</v>
      </c>
      <c r="AK721" s="1" t="str">
        <f t="shared" si="378"/>
        <v>w70 x d40 x h48/w80 x d50 x h54</v>
      </c>
      <c r="AL721" s="1" t="str">
        <f t="shared" si="379"/>
        <v>kubu grey - semi - set / 2</v>
      </c>
      <c r="AM721" s="1" t="str">
        <f t="shared" si="380"/>
        <v>kubu grey - semi - set / 2</v>
      </c>
      <c r="AN721" s="1" t="str">
        <f t="shared" si="374"/>
        <v>kubu grey - semi - set / 2</v>
      </c>
      <c r="AQ721" s="1" t="str">
        <f t="shared" si="381"/>
        <v>B</v>
      </c>
      <c r="AR721" s="1" t="str">
        <f>VLOOKUP(TRIM(AI721),Sheet1!$D$3:$E$36,2,FALSE)</f>
        <v>05</v>
      </c>
      <c r="AS721" s="90" t="str">
        <f t="shared" si="382"/>
        <v>01</v>
      </c>
      <c r="AT721" s="1" t="str">
        <f t="shared" si="383"/>
        <v>01</v>
      </c>
      <c r="AU721" s="90" t="s">
        <v>1198</v>
      </c>
      <c r="AV721" s="90"/>
      <c r="AW721" s="90"/>
      <c r="AX721" s="95" t="str">
        <f>AQ721&amp;AR721&amp;AS721&amp;"-"&amp;AT721&amp;AU721&amp;BA721</f>
        <v>B0501-0107</v>
      </c>
      <c r="AY721" s="99" t="str">
        <f>AQ721&amp;AR721&amp;AS721&amp;"-"&amp;AT721&amp;BA721</f>
        <v>B0501-01</v>
      </c>
      <c r="AZ721" s="90"/>
      <c r="BA721" s="1" t="str">
        <f t="shared" si="384"/>
        <v/>
      </c>
      <c r="BC721" s="1">
        <f t="shared" si="366"/>
        <v>1</v>
      </c>
      <c r="BD721" s="90">
        <f t="shared" si="367"/>
        <v>1</v>
      </c>
      <c r="BE721" s="1">
        <f t="shared" si="386"/>
        <v>1</v>
      </c>
      <c r="BF721" s="1">
        <f t="shared" si="387"/>
        <v>1</v>
      </c>
    </row>
    <row r="722" spans="1:58" ht="11.25" customHeight="1">
      <c r="A722" s="26" t="s">
        <v>3611</v>
      </c>
      <c r="B722" s="27" t="s">
        <v>3612</v>
      </c>
      <c r="C722" s="28">
        <v>139.99</v>
      </c>
      <c r="D722" s="28">
        <f t="shared" si="375"/>
        <v>69.995000000000005</v>
      </c>
      <c r="E722" s="22" t="s">
        <v>3457</v>
      </c>
      <c r="F722" s="22" t="s">
        <v>3613</v>
      </c>
      <c r="G722" s="22" t="s">
        <v>77</v>
      </c>
      <c r="H722" s="22" t="s">
        <v>3614</v>
      </c>
      <c r="I722" s="23" t="s">
        <v>3615</v>
      </c>
      <c r="J722" s="22" t="s">
        <v>50</v>
      </c>
      <c r="L722" s="23">
        <v>25</v>
      </c>
      <c r="M722" s="23">
        <v>32</v>
      </c>
      <c r="N722" s="3">
        <f t="shared" si="368"/>
        <v>0.02</v>
      </c>
      <c r="O722" s="4" t="e">
        <f>(C722-(C722*#REF!))-((C722-(C722*#REF!))*#REF!)</f>
        <v>#REF!</v>
      </c>
      <c r="P722" s="7">
        <v>137151.31873134329</v>
      </c>
      <c r="Q722" s="7">
        <v>0</v>
      </c>
      <c r="R722" s="5">
        <f t="shared" si="369"/>
        <v>137151.31873134329</v>
      </c>
      <c r="S722" s="4">
        <f t="shared" si="370"/>
        <v>9.1434212487562192</v>
      </c>
      <c r="T722" s="13">
        <f t="shared" si="376"/>
        <v>97.993000000000009</v>
      </c>
      <c r="U722" s="13">
        <f t="shared" si="385"/>
        <v>48.996500000000005</v>
      </c>
      <c r="V722" s="14">
        <f>U722/C722</f>
        <v>0.35000000000000003</v>
      </c>
      <c r="W722" s="14"/>
      <c r="X722" s="19">
        <f t="shared" si="371"/>
        <v>48.996500000000005</v>
      </c>
      <c r="Y722" s="19">
        <f t="shared" si="372"/>
        <v>97.993000000000009</v>
      </c>
      <c r="Z722" s="15">
        <f t="shared" si="365"/>
        <v>5.3586615629970025</v>
      </c>
      <c r="AA722" s="22" t="s">
        <v>3616</v>
      </c>
      <c r="AG722" s="94" t="s">
        <v>1169</v>
      </c>
      <c r="AH722" s="89" t="str">
        <f>VLOOKUP(AG722,Sheet1!$B$3:$D$36,2,FALSE)</f>
        <v>Decors</v>
      </c>
      <c r="AI722" s="89" t="s">
        <v>3463</v>
      </c>
      <c r="AJ722" s="1" t="str">
        <f t="shared" si="377"/>
        <v>Arthur with chain</v>
      </c>
      <c r="AK722" s="1" t="str">
        <f t="shared" si="378"/>
        <v>ø25 x h32</v>
      </c>
      <c r="AL722" s="1" t="str">
        <f t="shared" si="379"/>
        <v>rustic rust semi</v>
      </c>
      <c r="AM722" s="1" t="str">
        <f t="shared" si="380"/>
        <v>rustic rust semi</v>
      </c>
      <c r="AN722" s="1" t="str">
        <f t="shared" si="374"/>
        <v>rustic rust semi</v>
      </c>
      <c r="AQ722" s="1" t="str">
        <f t="shared" si="381"/>
        <v>B</v>
      </c>
      <c r="AR722" s="1" t="str">
        <f>VLOOKUP(TRIM(AI722),Sheet1!$D$3:$E$36,2,FALSE)</f>
        <v>05</v>
      </c>
      <c r="AS722" s="90" t="str">
        <f t="shared" si="382"/>
        <v>01</v>
      </c>
      <c r="AT722" s="1" t="str">
        <f t="shared" si="383"/>
        <v>01</v>
      </c>
      <c r="AU722" s="90" t="s">
        <v>1126</v>
      </c>
      <c r="AV722" s="90"/>
      <c r="AW722" s="90"/>
      <c r="AX722" s="95" t="str">
        <f>AQ722&amp;AR722&amp;AS722&amp;"-"&amp;AT722&amp;AU722&amp;BA722</f>
        <v>B0501-0119</v>
      </c>
      <c r="AY722" s="99" t="str">
        <f>AQ722&amp;AR722&amp;AS722&amp;"-"&amp;AT722&amp;BA722</f>
        <v>B0501-01</v>
      </c>
      <c r="AZ722" s="90"/>
      <c r="BA722" s="1" t="str">
        <f t="shared" si="384"/>
        <v/>
      </c>
      <c r="BC722" s="1">
        <f t="shared" si="366"/>
        <v>1</v>
      </c>
      <c r="BD722" s="90">
        <f t="shared" si="367"/>
        <v>1</v>
      </c>
      <c r="BE722" s="1">
        <f t="shared" si="386"/>
        <v>1</v>
      </c>
      <c r="BF722" s="1">
        <f t="shared" si="387"/>
        <v>1</v>
      </c>
    </row>
    <row r="723" spans="1:58" ht="11.25" customHeight="1">
      <c r="A723" s="26" t="s">
        <v>3617</v>
      </c>
      <c r="B723" s="27" t="s">
        <v>3612</v>
      </c>
      <c r="C723" s="28">
        <v>149.99</v>
      </c>
      <c r="D723" s="28">
        <f t="shared" si="375"/>
        <v>74.995000000000005</v>
      </c>
      <c r="E723" s="22" t="s">
        <v>3457</v>
      </c>
      <c r="F723" s="22" t="s">
        <v>3618</v>
      </c>
      <c r="G723" s="22" t="s">
        <v>77</v>
      </c>
      <c r="H723" s="22" t="s">
        <v>3619</v>
      </c>
      <c r="I723" s="23" t="s">
        <v>3615</v>
      </c>
      <c r="J723" s="22" t="s">
        <v>50</v>
      </c>
      <c r="L723" s="23">
        <v>35</v>
      </c>
      <c r="M723" s="23">
        <v>42</v>
      </c>
      <c r="N723" s="3">
        <f t="shared" si="368"/>
        <v>5.1450000000000003E-2</v>
      </c>
      <c r="O723" s="4" t="e">
        <f>(C723-(C723*#REF!))-((C723-(C723*#REF!))*#REF!)</f>
        <v>#REF!</v>
      </c>
      <c r="P723" s="7">
        <v>186301.5908738806</v>
      </c>
      <c r="Q723" s="7">
        <v>0</v>
      </c>
      <c r="R723" s="5">
        <f t="shared" si="369"/>
        <v>186301.5908738806</v>
      </c>
      <c r="S723" s="4">
        <f t="shared" si="370"/>
        <v>12.420106058258707</v>
      </c>
      <c r="T723" s="13">
        <f t="shared" si="376"/>
        <v>104.99300000000001</v>
      </c>
      <c r="U723" s="13">
        <f t="shared" si="385"/>
        <v>52.496500000000005</v>
      </c>
      <c r="V723" s="14">
        <f>U723/C723</f>
        <v>0.35000000000000003</v>
      </c>
      <c r="W723" s="14"/>
      <c r="X723" s="19">
        <f t="shared" si="371"/>
        <v>52.496500000000005</v>
      </c>
      <c r="Y723" s="19">
        <f t="shared" si="372"/>
        <v>104.99300000000001</v>
      </c>
      <c r="Z723" s="15">
        <f t="shared" si="365"/>
        <v>4.2267352431417153</v>
      </c>
      <c r="AA723" s="22" t="s">
        <v>3616</v>
      </c>
      <c r="AG723" s="94" t="s">
        <v>1169</v>
      </c>
      <c r="AH723" s="89" t="str">
        <f>VLOOKUP(AG723,Sheet1!$B$3:$D$36,2,FALSE)</f>
        <v>Decors</v>
      </c>
      <c r="AI723" s="89" t="s">
        <v>3463</v>
      </c>
      <c r="AJ723" s="1" t="str">
        <f t="shared" si="377"/>
        <v>Arthur with chain</v>
      </c>
      <c r="AK723" s="1" t="str">
        <f t="shared" si="378"/>
        <v>ø35 x h42</v>
      </c>
      <c r="AL723" s="1" t="str">
        <f t="shared" si="379"/>
        <v>rustic rust semi</v>
      </c>
      <c r="AM723" s="1" t="str">
        <f t="shared" si="380"/>
        <v>rustic rust semi</v>
      </c>
      <c r="AN723" s="1" t="str">
        <f t="shared" si="374"/>
        <v>rustic rust semi</v>
      </c>
      <c r="AQ723" s="1" t="str">
        <f t="shared" si="381"/>
        <v>B</v>
      </c>
      <c r="AR723" s="1" t="str">
        <f>VLOOKUP(TRIM(AI723),Sheet1!$D$3:$E$36,2,FALSE)</f>
        <v>05</v>
      </c>
      <c r="AS723" s="90" t="str">
        <f t="shared" si="382"/>
        <v>02</v>
      </c>
      <c r="AT723" s="1" t="str">
        <f t="shared" si="383"/>
        <v>01</v>
      </c>
      <c r="AU723" s="90" t="s">
        <v>1126</v>
      </c>
      <c r="AV723" s="90"/>
      <c r="AW723" s="90"/>
      <c r="AX723" s="95" t="str">
        <f>AQ723&amp;AR723&amp;AS723&amp;"-"&amp;AT723&amp;AU723&amp;BA723</f>
        <v>B0502-0119</v>
      </c>
      <c r="AY723" s="99" t="str">
        <f>AQ723&amp;AR723&amp;AS723&amp;"-"&amp;AT723&amp;BA723</f>
        <v>B0502-01</v>
      </c>
      <c r="AZ723" s="90"/>
      <c r="BA723" s="1" t="str">
        <f t="shared" si="384"/>
        <v/>
      </c>
      <c r="BC723" s="1" t="str">
        <f t="shared" si="366"/>
        <v/>
      </c>
      <c r="BD723" s="90">
        <f t="shared" si="367"/>
        <v>2</v>
      </c>
      <c r="BE723" s="1">
        <f t="shared" si="386"/>
        <v>1</v>
      </c>
      <c r="BF723" s="1">
        <f t="shared" si="387"/>
        <v>1</v>
      </c>
    </row>
    <row r="724" spans="1:58" ht="11.25" customHeight="1">
      <c r="A724" s="26" t="s">
        <v>3620</v>
      </c>
      <c r="B724" s="27" t="s">
        <v>3612</v>
      </c>
      <c r="C724" s="28">
        <v>169.99</v>
      </c>
      <c r="D724" s="28">
        <f t="shared" si="375"/>
        <v>84.995000000000005</v>
      </c>
      <c r="E724" s="22" t="s">
        <v>3457</v>
      </c>
      <c r="F724" s="22" t="s">
        <v>3621</v>
      </c>
      <c r="G724" s="22" t="s">
        <v>77</v>
      </c>
      <c r="H724" s="22" t="s">
        <v>3622</v>
      </c>
      <c r="I724" s="23" t="s">
        <v>3615</v>
      </c>
      <c r="J724" s="22" t="s">
        <v>50</v>
      </c>
      <c r="L724" s="23">
        <v>45</v>
      </c>
      <c r="M724" s="23">
        <v>52</v>
      </c>
      <c r="N724" s="3">
        <f t="shared" si="368"/>
        <v>0.1053</v>
      </c>
      <c r="O724" s="4" t="e">
        <f>(C724-(C724*#REF!))-((C724-(C724*#REF!))*#REF!)</f>
        <v>#REF!</v>
      </c>
      <c r="P724" s="7"/>
      <c r="Q724" s="7"/>
      <c r="R724" s="5">
        <f t="shared" si="369"/>
        <v>0</v>
      </c>
      <c r="S724" s="4">
        <f t="shared" si="370"/>
        <v>0</v>
      </c>
      <c r="T724" s="13">
        <f t="shared" si="376"/>
        <v>118.99300000000001</v>
      </c>
      <c r="U724" s="13">
        <f t="shared" si="385"/>
        <v>59.496500000000005</v>
      </c>
      <c r="V724" s="14">
        <f>U724/C724</f>
        <v>0.35000000000000003</v>
      </c>
      <c r="W724" s="14"/>
      <c r="X724" s="19">
        <f t="shared" si="371"/>
        <v>59.496500000000005</v>
      </c>
      <c r="Y724" s="19">
        <f t="shared" si="372"/>
        <v>118.99300000000001</v>
      </c>
      <c r="Z724" s="15" t="e">
        <f t="shared" si="365"/>
        <v>#DIV/0!</v>
      </c>
      <c r="AA724" s="22" t="s">
        <v>3623</v>
      </c>
      <c r="AG724" s="94" t="s">
        <v>1169</v>
      </c>
      <c r="AH724" s="89" t="str">
        <f>VLOOKUP(AG724,Sheet1!$B$3:$D$36,2,FALSE)</f>
        <v>Decors</v>
      </c>
      <c r="AI724" s="89" t="s">
        <v>3463</v>
      </c>
      <c r="AJ724" s="1" t="str">
        <f t="shared" si="377"/>
        <v>Arthur with chain</v>
      </c>
      <c r="AK724" s="1" t="str">
        <f t="shared" si="378"/>
        <v>ø45 x h52</v>
      </c>
      <c r="AL724" s="1" t="str">
        <f t="shared" si="379"/>
        <v>rustic rust semi</v>
      </c>
      <c r="AM724" s="1" t="str">
        <f t="shared" si="380"/>
        <v>rustic rust semi</v>
      </c>
      <c r="AN724" s="1" t="str">
        <f t="shared" si="374"/>
        <v>rustic rust semi</v>
      </c>
      <c r="AQ724" s="1" t="str">
        <f t="shared" si="381"/>
        <v>B</v>
      </c>
      <c r="AR724" s="1" t="str">
        <f>VLOOKUP(TRIM(AI724),Sheet1!$D$3:$E$36,2,FALSE)</f>
        <v>05</v>
      </c>
      <c r="AS724" s="90" t="str">
        <f t="shared" si="382"/>
        <v>03</v>
      </c>
      <c r="AT724" s="1" t="str">
        <f t="shared" si="383"/>
        <v>01</v>
      </c>
      <c r="AU724" s="90" t="s">
        <v>1126</v>
      </c>
      <c r="AV724" s="90"/>
      <c r="AW724" s="90"/>
      <c r="AX724" s="95" t="str">
        <f>AQ724&amp;AR724&amp;AS724&amp;"-"&amp;AT724&amp;AU724&amp;BA724</f>
        <v>B0503-0119</v>
      </c>
      <c r="AY724" s="99" t="str">
        <f>AQ724&amp;AR724&amp;AS724&amp;"-"&amp;AT724&amp;BA724</f>
        <v>B0503-01</v>
      </c>
      <c r="AZ724" s="90"/>
      <c r="BA724" s="1" t="str">
        <f t="shared" si="384"/>
        <v/>
      </c>
      <c r="BC724" s="1" t="str">
        <f t="shared" si="366"/>
        <v/>
      </c>
      <c r="BD724" s="90">
        <f t="shared" si="367"/>
        <v>3</v>
      </c>
      <c r="BE724" s="1">
        <f t="shared" si="386"/>
        <v>1</v>
      </c>
      <c r="BF724" s="1">
        <f t="shared" si="387"/>
        <v>1</v>
      </c>
    </row>
    <row r="725" spans="1:58" ht="11.25" customHeight="1">
      <c r="A725" s="26" t="s">
        <v>3624</v>
      </c>
      <c r="B725" s="27" t="s">
        <v>3625</v>
      </c>
      <c r="C725" s="28">
        <v>1459.99</v>
      </c>
      <c r="D725" s="28">
        <f t="shared" si="375"/>
        <v>729.995</v>
      </c>
      <c r="E725" s="22" t="s">
        <v>3457</v>
      </c>
      <c r="F725" s="22" t="s">
        <v>3626</v>
      </c>
      <c r="G725" s="22" t="s">
        <v>588</v>
      </c>
      <c r="H725" s="22" t="s">
        <v>3627</v>
      </c>
      <c r="I725" s="23" t="s">
        <v>3615</v>
      </c>
      <c r="J725" s="22" t="s">
        <v>50</v>
      </c>
      <c r="K725" s="23">
        <v>500</v>
      </c>
      <c r="L725" s="23">
        <v>60</v>
      </c>
      <c r="M725" s="23">
        <v>42</v>
      </c>
      <c r="N725" s="3">
        <f t="shared" si="368"/>
        <v>1.26</v>
      </c>
      <c r="O725" s="4" t="e">
        <f>(C725-(C725*#REF!))-((C725-(C725*#REF!))*#REF!)</f>
        <v>#REF!</v>
      </c>
      <c r="P725" s="7"/>
      <c r="Q725" s="7"/>
      <c r="R725" s="5">
        <f t="shared" si="369"/>
        <v>0</v>
      </c>
      <c r="S725" s="4">
        <f t="shared" si="370"/>
        <v>0</v>
      </c>
      <c r="T725" s="13">
        <f t="shared" si="376"/>
        <v>1021.9929999999999</v>
      </c>
      <c r="U725" s="13">
        <f t="shared" si="385"/>
        <v>510.99649999999997</v>
      </c>
      <c r="V725" s="14">
        <f>U725/C725</f>
        <v>0.35</v>
      </c>
      <c r="W725" s="14"/>
      <c r="X725" s="19">
        <f t="shared" si="371"/>
        <v>510.99649999999997</v>
      </c>
      <c r="Y725" s="19">
        <f t="shared" si="372"/>
        <v>1021.9929999999999</v>
      </c>
      <c r="Z725" s="15" t="e">
        <f t="shared" si="365"/>
        <v>#DIV/0!</v>
      </c>
      <c r="AA725" s="22" t="s">
        <v>3628</v>
      </c>
      <c r="AG725" s="94" t="s">
        <v>1169</v>
      </c>
      <c r="AH725" s="89" t="str">
        <f>VLOOKUP(AG725,Sheet1!$B$3:$D$36,2,FALSE)</f>
        <v>Decors</v>
      </c>
      <c r="AI725" s="89" t="s">
        <v>3463</v>
      </c>
      <c r="AJ725" s="1" t="str">
        <f t="shared" si="377"/>
        <v>Onana hanging trog planter</v>
      </c>
      <c r="AK725" s="1" t="str">
        <f t="shared" si="378"/>
        <v>w500 x d60 x h42</v>
      </c>
      <c r="AL725" s="1" t="str">
        <f t="shared" si="379"/>
        <v>rustic rust semi</v>
      </c>
      <c r="AM725" s="1" t="str">
        <f t="shared" si="380"/>
        <v>rustic rust semi</v>
      </c>
      <c r="AN725" s="1" t="str">
        <f t="shared" si="374"/>
        <v>rustic rust semi</v>
      </c>
      <c r="AQ725" s="1" t="str">
        <f t="shared" si="381"/>
        <v>B</v>
      </c>
      <c r="AR725" s="1" t="str">
        <f>VLOOKUP(TRIM(AI725),Sheet1!$D$3:$E$36,2,FALSE)</f>
        <v>05</v>
      </c>
      <c r="AS725" s="90" t="str">
        <f t="shared" si="382"/>
        <v>01</v>
      </c>
      <c r="AT725" s="1" t="str">
        <f t="shared" si="383"/>
        <v>01</v>
      </c>
      <c r="AU725" s="90" t="s">
        <v>1126</v>
      </c>
      <c r="AV725" s="90"/>
      <c r="AW725" s="90"/>
      <c r="AX725" s="95" t="str">
        <f>AQ725&amp;AR725&amp;AS725&amp;"-"&amp;AT725&amp;AU725&amp;BA725</f>
        <v>B0501-0119</v>
      </c>
      <c r="AY725" s="99" t="str">
        <f>AQ725&amp;AR725&amp;AS725&amp;"-"&amp;AT725&amp;BA725</f>
        <v>B0501-01</v>
      </c>
      <c r="AZ725" s="90"/>
      <c r="BA725" s="1" t="str">
        <f t="shared" si="384"/>
        <v/>
      </c>
      <c r="BC725" s="1">
        <f t="shared" si="366"/>
        <v>1</v>
      </c>
      <c r="BD725" s="90">
        <f t="shared" si="367"/>
        <v>1</v>
      </c>
      <c r="BE725" s="1">
        <f t="shared" si="386"/>
        <v>1</v>
      </c>
      <c r="BF725" s="1">
        <f t="shared" si="387"/>
        <v>1</v>
      </c>
    </row>
    <row r="726" spans="1:58" ht="11.25" customHeight="1">
      <c r="A726" s="26" t="s">
        <v>3629</v>
      </c>
      <c r="B726" s="27" t="s">
        <v>3630</v>
      </c>
      <c r="C726" s="28">
        <v>1604.99</v>
      </c>
      <c r="D726" s="28">
        <f t="shared" si="375"/>
        <v>802.495</v>
      </c>
      <c r="E726" s="22" t="s">
        <v>3457</v>
      </c>
      <c r="F726" s="22" t="s">
        <v>3631</v>
      </c>
      <c r="G726" s="22" t="s">
        <v>588</v>
      </c>
      <c r="H726" s="22" t="s">
        <v>3632</v>
      </c>
      <c r="I726" s="23" t="s">
        <v>3615</v>
      </c>
      <c r="J726" s="22" t="s">
        <v>50</v>
      </c>
      <c r="K726" s="23">
        <v>635</v>
      </c>
      <c r="L726" s="23">
        <v>60</v>
      </c>
      <c r="M726" s="23">
        <v>42</v>
      </c>
      <c r="N726" s="3">
        <f t="shared" si="368"/>
        <v>1.6002000000000001</v>
      </c>
      <c r="O726" s="4" t="e">
        <f>(C726-(C726*#REF!))-((C726-(C726*#REF!))*#REF!)</f>
        <v>#REF!</v>
      </c>
      <c r="P726" s="7"/>
      <c r="Q726" s="7"/>
      <c r="R726" s="5">
        <f t="shared" si="369"/>
        <v>0</v>
      </c>
      <c r="S726" s="4">
        <f t="shared" si="370"/>
        <v>0</v>
      </c>
      <c r="T726" s="13">
        <f t="shared" si="376"/>
        <v>1123.4929999999999</v>
      </c>
      <c r="U726" s="13">
        <f t="shared" si="385"/>
        <v>561.74649999999997</v>
      </c>
      <c r="V726" s="14">
        <f>U726/C726</f>
        <v>0.35</v>
      </c>
      <c r="W726" s="14"/>
      <c r="X726" s="19">
        <f t="shared" si="371"/>
        <v>561.74649999999997</v>
      </c>
      <c r="Y726" s="19">
        <f t="shared" si="372"/>
        <v>1123.4929999999999</v>
      </c>
      <c r="Z726" s="15" t="e">
        <f t="shared" si="365"/>
        <v>#DIV/0!</v>
      </c>
      <c r="AA726" s="22" t="s">
        <v>3633</v>
      </c>
      <c r="AG726" s="94" t="s">
        <v>1169</v>
      </c>
      <c r="AH726" s="89" t="str">
        <f>VLOOKUP(AG726,Sheet1!$B$3:$D$36,2,FALSE)</f>
        <v>Decors</v>
      </c>
      <c r="AI726" s="89" t="s">
        <v>3463</v>
      </c>
      <c r="AJ726" s="1" t="str">
        <f t="shared" si="377"/>
        <v>Onana hanging trog planter</v>
      </c>
      <c r="AK726" s="1" t="str">
        <f t="shared" si="378"/>
        <v>w635 x d60 x h42</v>
      </c>
      <c r="AL726" s="1" t="str">
        <f t="shared" si="379"/>
        <v>rustic rust semi</v>
      </c>
      <c r="AM726" s="1" t="str">
        <f t="shared" si="380"/>
        <v>rustic rust semi</v>
      </c>
      <c r="AN726" s="1" t="str">
        <f t="shared" si="374"/>
        <v>rustic rust semi</v>
      </c>
      <c r="AQ726" s="1" t="str">
        <f t="shared" si="381"/>
        <v>B</v>
      </c>
      <c r="AR726" s="1" t="str">
        <f>VLOOKUP(TRIM(AI726),Sheet1!$D$3:$E$36,2,FALSE)</f>
        <v>05</v>
      </c>
      <c r="AS726" s="90" t="str">
        <f t="shared" si="382"/>
        <v>02</v>
      </c>
      <c r="AT726" s="1" t="str">
        <f t="shared" si="383"/>
        <v>01</v>
      </c>
      <c r="AU726" s="90" t="s">
        <v>1126</v>
      </c>
      <c r="AV726" s="90"/>
      <c r="AW726" s="90"/>
      <c r="AX726" s="95" t="str">
        <f>AQ726&amp;AR726&amp;AS726&amp;"-"&amp;AT726&amp;AU726&amp;BA726</f>
        <v>B0502-0119</v>
      </c>
      <c r="AY726" s="99" t="str">
        <f>AQ726&amp;AR726&amp;AS726&amp;"-"&amp;AT726&amp;BA726</f>
        <v>B0502-01</v>
      </c>
      <c r="AZ726" s="90"/>
      <c r="BA726" s="1" t="str">
        <f t="shared" si="384"/>
        <v/>
      </c>
      <c r="BC726" s="1" t="str">
        <f t="shared" si="366"/>
        <v/>
      </c>
      <c r="BD726" s="90">
        <f t="shared" si="367"/>
        <v>2</v>
      </c>
      <c r="BE726" s="1">
        <f t="shared" si="386"/>
        <v>1</v>
      </c>
      <c r="BF726" s="1">
        <f t="shared" si="387"/>
        <v>1</v>
      </c>
    </row>
    <row r="727" spans="1:58" ht="11.25" customHeight="1">
      <c r="A727" s="26" t="s">
        <v>3634</v>
      </c>
      <c r="B727" s="27" t="s">
        <v>3635</v>
      </c>
      <c r="C727" s="28">
        <v>65.989999999999995</v>
      </c>
      <c r="D727" s="28">
        <f t="shared" si="375"/>
        <v>32.994999999999997</v>
      </c>
      <c r="E727" s="22" t="s">
        <v>3457</v>
      </c>
      <c r="F727" s="22" t="s">
        <v>3636</v>
      </c>
      <c r="G727" s="22" t="s">
        <v>252</v>
      </c>
      <c r="H727" s="22" t="s">
        <v>3637</v>
      </c>
      <c r="I727" s="23" t="s">
        <v>3413</v>
      </c>
      <c r="J727" s="22" t="s">
        <v>670</v>
      </c>
      <c r="L727" s="23">
        <v>16</v>
      </c>
      <c r="M727" s="23">
        <v>15</v>
      </c>
      <c r="N727" s="3">
        <f t="shared" si="368"/>
        <v>3.8400000000000001E-3</v>
      </c>
      <c r="O727" s="4" t="e">
        <f>(C727-(C727*#REF!))-((C727-(C727*#REF!))*#REF!)</f>
        <v>#REF!</v>
      </c>
      <c r="P727" s="7"/>
      <c r="Q727" s="7"/>
      <c r="R727" s="5">
        <f t="shared" si="369"/>
        <v>0</v>
      </c>
      <c r="S727" s="4">
        <f t="shared" si="370"/>
        <v>0</v>
      </c>
      <c r="T727" s="13">
        <f t="shared" si="376"/>
        <v>46.192999999999998</v>
      </c>
      <c r="U727" s="13">
        <f t="shared" si="385"/>
        <v>23.096499999999999</v>
      </c>
      <c r="V727" s="14">
        <f>U727/C727</f>
        <v>0.35000000000000003</v>
      </c>
      <c r="W727" s="14"/>
      <c r="X727" s="19">
        <f t="shared" si="371"/>
        <v>23.096499999999999</v>
      </c>
      <c r="Y727" s="19">
        <f t="shared" si="372"/>
        <v>46.192999999999998</v>
      </c>
      <c r="Z727" s="15" t="e">
        <f t="shared" si="365"/>
        <v>#DIV/0!</v>
      </c>
      <c r="AA727" s="22" t="s">
        <v>3638</v>
      </c>
      <c r="AG727" s="94" t="s">
        <v>1169</v>
      </c>
      <c r="AH727" s="89" t="str">
        <f>VLOOKUP(AG727,Sheet1!$B$3:$D$36,2,FALSE)</f>
        <v>Decors</v>
      </c>
      <c r="AI727" s="89" t="s">
        <v>3463</v>
      </c>
      <c r="AJ727" s="1" t="str">
        <f t="shared" si="377"/>
        <v>Felix stone</v>
      </c>
      <c r="AK727" s="1" t="str">
        <f t="shared" si="378"/>
        <v>ø16 x h15</v>
      </c>
      <c r="AL727" s="1" t="str">
        <f t="shared" si="379"/>
        <v>riverstone outdoor</v>
      </c>
      <c r="AM727" s="1" t="str">
        <f t="shared" si="380"/>
        <v>riverstone outdoor</v>
      </c>
      <c r="AN727" s="1" t="str">
        <f t="shared" ref="AN727:AN730" si="388">SUBSTITUTE(AL727,"outdoor","")</f>
        <v xml:space="preserve">riverstone </v>
      </c>
      <c r="AO727" s="1" t="s">
        <v>59</v>
      </c>
      <c r="AQ727" s="1" t="str">
        <f t="shared" si="381"/>
        <v>B</v>
      </c>
      <c r="AR727" s="1" t="str">
        <f>VLOOKUP(TRIM(AI727),Sheet1!$D$3:$E$36,2,FALSE)</f>
        <v>05</v>
      </c>
      <c r="AS727" s="90" t="str">
        <f t="shared" si="382"/>
        <v>01</v>
      </c>
      <c r="AT727" s="1" t="str">
        <f t="shared" si="383"/>
        <v>01</v>
      </c>
      <c r="AU727" s="90" t="s">
        <v>975</v>
      </c>
      <c r="AV727" s="90"/>
      <c r="AW727" s="90"/>
      <c r="AX727" s="95" t="str">
        <f>AQ727&amp;AR727&amp;AS727&amp;"-"&amp;AT727&amp;AU727&amp;BA727</f>
        <v>B0501-0118OUT</v>
      </c>
      <c r="AY727" s="99" t="str">
        <f>AQ727&amp;AR727&amp;AS727&amp;"-"&amp;AT727&amp;BA727</f>
        <v>B0501-01OUT</v>
      </c>
      <c r="AZ727" s="90"/>
      <c r="BA727" s="1" t="str">
        <f t="shared" si="384"/>
        <v>OUT</v>
      </c>
      <c r="BC727" s="1">
        <f t="shared" si="366"/>
        <v>1</v>
      </c>
      <c r="BD727" s="90">
        <f t="shared" si="367"/>
        <v>1</v>
      </c>
      <c r="BE727" s="1">
        <f t="shared" si="386"/>
        <v>1</v>
      </c>
      <c r="BF727" s="1">
        <f t="shared" si="387"/>
        <v>1</v>
      </c>
    </row>
    <row r="728" spans="1:58" ht="11.25" customHeight="1">
      <c r="A728" s="26" t="s">
        <v>3639</v>
      </c>
      <c r="B728" s="27" t="s">
        <v>3635</v>
      </c>
      <c r="C728" s="28">
        <v>172.99</v>
      </c>
      <c r="D728" s="28">
        <f t="shared" si="375"/>
        <v>86.495000000000005</v>
      </c>
      <c r="E728" s="22" t="s">
        <v>3457</v>
      </c>
      <c r="F728" s="22" t="s">
        <v>3640</v>
      </c>
      <c r="G728" s="22" t="s">
        <v>252</v>
      </c>
      <c r="H728" s="22" t="s">
        <v>3641</v>
      </c>
      <c r="I728" s="23" t="s">
        <v>3413</v>
      </c>
      <c r="J728" s="22" t="s">
        <v>670</v>
      </c>
      <c r="L728" s="23">
        <v>30</v>
      </c>
      <c r="M728" s="23">
        <v>26</v>
      </c>
      <c r="N728" s="3">
        <f t="shared" si="368"/>
        <v>2.3400000000000001E-2</v>
      </c>
      <c r="O728" s="4" t="e">
        <f>(C728-(C728*#REF!))-((C728-(C728*#REF!))*#REF!)</f>
        <v>#REF!</v>
      </c>
      <c r="P728" s="7"/>
      <c r="Q728" s="7"/>
      <c r="R728" s="5">
        <f t="shared" si="369"/>
        <v>0</v>
      </c>
      <c r="S728" s="4">
        <f t="shared" si="370"/>
        <v>0</v>
      </c>
      <c r="T728" s="13">
        <f t="shared" si="376"/>
        <v>121.09300000000002</v>
      </c>
      <c r="U728" s="13">
        <f t="shared" si="385"/>
        <v>60.546500000000009</v>
      </c>
      <c r="V728" s="14">
        <f>U728/C728</f>
        <v>0.35000000000000003</v>
      </c>
      <c r="W728" s="14"/>
      <c r="X728" s="19">
        <f t="shared" si="371"/>
        <v>60.546500000000009</v>
      </c>
      <c r="Y728" s="19">
        <f t="shared" si="372"/>
        <v>121.09300000000002</v>
      </c>
      <c r="Z728" s="15" t="e">
        <f t="shared" si="365"/>
        <v>#DIV/0!</v>
      </c>
      <c r="AA728" s="22" t="s">
        <v>3642</v>
      </c>
      <c r="AG728" s="94" t="s">
        <v>1169</v>
      </c>
      <c r="AH728" s="89" t="str">
        <f>VLOOKUP(AG728,Sheet1!$B$3:$D$36,2,FALSE)</f>
        <v>Decors</v>
      </c>
      <c r="AI728" s="89" t="s">
        <v>3463</v>
      </c>
      <c r="AJ728" s="1" t="str">
        <f t="shared" si="377"/>
        <v>Felix stone</v>
      </c>
      <c r="AK728" s="1" t="str">
        <f t="shared" si="378"/>
        <v>ø30 x h26</v>
      </c>
      <c r="AL728" s="1" t="str">
        <f t="shared" si="379"/>
        <v>riverstone outdoor</v>
      </c>
      <c r="AM728" s="1" t="str">
        <f t="shared" si="380"/>
        <v>riverstone outdoor</v>
      </c>
      <c r="AN728" s="1" t="str">
        <f t="shared" si="388"/>
        <v xml:space="preserve">riverstone </v>
      </c>
      <c r="AO728" s="1" t="s">
        <v>59</v>
      </c>
      <c r="AQ728" s="1" t="str">
        <f t="shared" si="381"/>
        <v>B</v>
      </c>
      <c r="AR728" s="1" t="str">
        <f>VLOOKUP(TRIM(AI728),Sheet1!$D$3:$E$36,2,FALSE)</f>
        <v>05</v>
      </c>
      <c r="AS728" s="90" t="str">
        <f t="shared" si="382"/>
        <v>02</v>
      </c>
      <c r="AT728" s="1" t="str">
        <f t="shared" si="383"/>
        <v>01</v>
      </c>
      <c r="AU728" s="90" t="s">
        <v>975</v>
      </c>
      <c r="AV728" s="90"/>
      <c r="AW728" s="90"/>
      <c r="AX728" s="95" t="str">
        <f>AQ728&amp;AR728&amp;AS728&amp;"-"&amp;AT728&amp;AU728&amp;BA728</f>
        <v>B0502-0118OUT</v>
      </c>
      <c r="AY728" s="99" t="str">
        <f>AQ728&amp;AR728&amp;AS728&amp;"-"&amp;AT728&amp;BA728</f>
        <v>B0502-01OUT</v>
      </c>
      <c r="AZ728" s="90"/>
      <c r="BA728" s="1" t="str">
        <f t="shared" si="384"/>
        <v>OUT</v>
      </c>
      <c r="BC728" s="1" t="str">
        <f t="shared" si="366"/>
        <v/>
      </c>
      <c r="BD728" s="90">
        <f t="shared" si="367"/>
        <v>2</v>
      </c>
      <c r="BE728" s="1">
        <f t="shared" si="386"/>
        <v>1</v>
      </c>
      <c r="BF728" s="1">
        <f t="shared" si="387"/>
        <v>1</v>
      </c>
    </row>
    <row r="729" spans="1:58" ht="11.25" customHeight="1">
      <c r="A729" s="26" t="s">
        <v>3643</v>
      </c>
      <c r="B729" s="27" t="s">
        <v>3635</v>
      </c>
      <c r="C729" s="28">
        <v>322.99</v>
      </c>
      <c r="D729" s="28">
        <f t="shared" si="375"/>
        <v>161.495</v>
      </c>
      <c r="E729" s="22" t="s">
        <v>3457</v>
      </c>
      <c r="F729" s="22" t="s">
        <v>3644</v>
      </c>
      <c r="G729" s="22" t="s">
        <v>252</v>
      </c>
      <c r="H729" s="22" t="s">
        <v>3645</v>
      </c>
      <c r="I729" s="23" t="s">
        <v>3413</v>
      </c>
      <c r="J729" s="22" t="s">
        <v>670</v>
      </c>
      <c r="L729" s="23">
        <v>40</v>
      </c>
      <c r="M729" s="23">
        <v>35</v>
      </c>
      <c r="N729" s="3">
        <f t="shared" si="368"/>
        <v>5.6000000000000001E-2</v>
      </c>
      <c r="O729" s="4" t="e">
        <f>(C729-(C729*#REF!))-((C729-(C729*#REF!))*#REF!)</f>
        <v>#REF!</v>
      </c>
      <c r="P729" s="7"/>
      <c r="Q729" s="7"/>
      <c r="R729" s="5">
        <f t="shared" si="369"/>
        <v>0</v>
      </c>
      <c r="S729" s="4">
        <f t="shared" si="370"/>
        <v>0</v>
      </c>
      <c r="T729" s="13">
        <f t="shared" si="376"/>
        <v>226.09300000000002</v>
      </c>
      <c r="U729" s="13">
        <f t="shared" si="385"/>
        <v>113.04650000000001</v>
      </c>
      <c r="V729" s="14">
        <f>U729/C729</f>
        <v>0.35000000000000003</v>
      </c>
      <c r="W729" s="14"/>
      <c r="X729" s="19">
        <f t="shared" si="371"/>
        <v>113.04650000000001</v>
      </c>
      <c r="Y729" s="19">
        <f t="shared" si="372"/>
        <v>226.09300000000002</v>
      </c>
      <c r="Z729" s="15" t="e">
        <f t="shared" si="365"/>
        <v>#DIV/0!</v>
      </c>
      <c r="AA729" s="22" t="s">
        <v>3638</v>
      </c>
      <c r="AG729" s="94" t="s">
        <v>1169</v>
      </c>
      <c r="AH729" s="89" t="str">
        <f>VLOOKUP(AG729,Sheet1!$B$3:$D$36,2,FALSE)</f>
        <v>Decors</v>
      </c>
      <c r="AI729" s="89" t="s">
        <v>3463</v>
      </c>
      <c r="AJ729" s="1" t="str">
        <f t="shared" si="377"/>
        <v>Felix stone</v>
      </c>
      <c r="AK729" s="1" t="str">
        <f t="shared" si="378"/>
        <v>ø40 x h35</v>
      </c>
      <c r="AL729" s="1" t="str">
        <f t="shared" si="379"/>
        <v>riverstone outdoor</v>
      </c>
      <c r="AM729" s="1" t="str">
        <f t="shared" si="380"/>
        <v>riverstone outdoor</v>
      </c>
      <c r="AN729" s="1" t="str">
        <f t="shared" si="388"/>
        <v xml:space="preserve">riverstone </v>
      </c>
      <c r="AO729" s="1" t="s">
        <v>59</v>
      </c>
      <c r="AQ729" s="1" t="str">
        <f t="shared" si="381"/>
        <v>B</v>
      </c>
      <c r="AR729" s="1" t="str">
        <f>VLOOKUP(TRIM(AI729),Sheet1!$D$3:$E$36,2,FALSE)</f>
        <v>05</v>
      </c>
      <c r="AS729" s="90" t="str">
        <f t="shared" si="382"/>
        <v>03</v>
      </c>
      <c r="AT729" s="1" t="str">
        <f t="shared" si="383"/>
        <v>01</v>
      </c>
      <c r="AU729" s="90" t="s">
        <v>975</v>
      </c>
      <c r="AV729" s="90"/>
      <c r="AW729" s="90"/>
      <c r="AX729" s="95" t="str">
        <f>AQ729&amp;AR729&amp;AS729&amp;"-"&amp;AT729&amp;AU729&amp;BA729</f>
        <v>B0503-0118OUT</v>
      </c>
      <c r="AY729" s="99" t="str">
        <f>AQ729&amp;AR729&amp;AS729&amp;"-"&amp;AT729&amp;BA729</f>
        <v>B0503-01OUT</v>
      </c>
      <c r="AZ729" s="90"/>
      <c r="BA729" s="1" t="str">
        <f t="shared" si="384"/>
        <v>OUT</v>
      </c>
      <c r="BC729" s="1" t="str">
        <f t="shared" si="366"/>
        <v/>
      </c>
      <c r="BD729" s="90">
        <f t="shared" si="367"/>
        <v>3</v>
      </c>
      <c r="BE729" s="1">
        <f t="shared" si="386"/>
        <v>1</v>
      </c>
      <c r="BF729" s="1">
        <f t="shared" si="387"/>
        <v>1</v>
      </c>
    </row>
    <row r="730" spans="1:58" ht="11.25" customHeight="1">
      <c r="A730" s="26" t="s">
        <v>3646</v>
      </c>
      <c r="B730" s="27" t="s">
        <v>3635</v>
      </c>
      <c r="C730" s="28">
        <v>1715.99</v>
      </c>
      <c r="D730" s="28">
        <f t="shared" si="375"/>
        <v>857.995</v>
      </c>
      <c r="E730" s="22" t="s">
        <v>3457</v>
      </c>
      <c r="F730" s="22" t="s">
        <v>3647</v>
      </c>
      <c r="G730" s="22" t="s">
        <v>252</v>
      </c>
      <c r="H730" s="22" t="s">
        <v>3648</v>
      </c>
      <c r="I730" s="23" t="s">
        <v>3413</v>
      </c>
      <c r="J730" s="22" t="s">
        <v>670</v>
      </c>
      <c r="L730" s="23">
        <v>60</v>
      </c>
      <c r="M730" s="23">
        <v>55</v>
      </c>
      <c r="N730" s="3">
        <f t="shared" si="368"/>
        <v>0.19800000000000001</v>
      </c>
      <c r="O730" s="4" t="e">
        <f>(C730-(C730*#REF!))-((C730-(C730*#REF!))*#REF!)</f>
        <v>#REF!</v>
      </c>
      <c r="P730" s="7"/>
      <c r="Q730" s="7"/>
      <c r="R730" s="5">
        <f t="shared" si="369"/>
        <v>0</v>
      </c>
      <c r="S730" s="4">
        <f t="shared" si="370"/>
        <v>0</v>
      </c>
      <c r="T730" s="13">
        <f t="shared" si="376"/>
        <v>1201.193</v>
      </c>
      <c r="U730" s="13">
        <f t="shared" si="385"/>
        <v>600.59649999999999</v>
      </c>
      <c r="V730" s="14">
        <f>U730/C730</f>
        <v>0.35</v>
      </c>
      <c r="W730" s="14"/>
      <c r="X730" s="19">
        <f t="shared" si="371"/>
        <v>600.59649999999999</v>
      </c>
      <c r="Y730" s="19">
        <f t="shared" si="372"/>
        <v>1201.193</v>
      </c>
      <c r="Z730" s="15" t="e">
        <f t="shared" si="365"/>
        <v>#DIV/0!</v>
      </c>
      <c r="AA730" s="22" t="s">
        <v>3642</v>
      </c>
      <c r="AG730" s="94" t="s">
        <v>1169</v>
      </c>
      <c r="AH730" s="89" t="str">
        <f>VLOOKUP(AG730,Sheet1!$B$3:$D$36,2,FALSE)</f>
        <v>Decors</v>
      </c>
      <c r="AI730" s="89" t="s">
        <v>3463</v>
      </c>
      <c r="AJ730" s="1" t="str">
        <f t="shared" si="377"/>
        <v>Felix stone</v>
      </c>
      <c r="AK730" s="1" t="str">
        <f t="shared" si="378"/>
        <v xml:space="preserve">ø60 x h55
</v>
      </c>
      <c r="AL730" s="1" t="str">
        <f t="shared" si="379"/>
        <v>riverstone outdoor</v>
      </c>
      <c r="AM730" s="1" t="str">
        <f t="shared" si="380"/>
        <v>riverstone outdoor</v>
      </c>
      <c r="AN730" s="1" t="str">
        <f t="shared" si="388"/>
        <v xml:space="preserve">riverstone </v>
      </c>
      <c r="AO730" s="1" t="s">
        <v>59</v>
      </c>
      <c r="AQ730" s="1" t="str">
        <f t="shared" si="381"/>
        <v>B</v>
      </c>
      <c r="AR730" s="1" t="str">
        <f>VLOOKUP(TRIM(AI730),Sheet1!$D$3:$E$36,2,FALSE)</f>
        <v>05</v>
      </c>
      <c r="AS730" s="90" t="str">
        <f t="shared" si="382"/>
        <v>04</v>
      </c>
      <c r="AT730" s="1" t="str">
        <f t="shared" si="383"/>
        <v>01</v>
      </c>
      <c r="AU730" s="90" t="s">
        <v>975</v>
      </c>
      <c r="AV730" s="90"/>
      <c r="AW730" s="90"/>
      <c r="AX730" s="95" t="str">
        <f>AQ730&amp;AR730&amp;AS730&amp;"-"&amp;AT730&amp;AU730&amp;BA730</f>
        <v>B0504-0118OUT</v>
      </c>
      <c r="AY730" s="99" t="str">
        <f>AQ730&amp;AR730&amp;AS730&amp;"-"&amp;AT730&amp;BA730</f>
        <v>B0504-01OUT</v>
      </c>
      <c r="AZ730" s="90"/>
      <c r="BA730" s="1" t="str">
        <f t="shared" si="384"/>
        <v>OUT</v>
      </c>
      <c r="BC730" s="1" t="str">
        <f t="shared" si="366"/>
        <v/>
      </c>
      <c r="BD730" s="90">
        <f t="shared" si="367"/>
        <v>4</v>
      </c>
      <c r="BE730" s="1">
        <f t="shared" si="386"/>
        <v>1</v>
      </c>
      <c r="BF730" s="1">
        <f t="shared" si="387"/>
        <v>1</v>
      </c>
    </row>
    <row r="731" spans="1:58" s="63" customFormat="1" ht="15.75">
      <c r="A731" s="33" t="s">
        <v>3649</v>
      </c>
      <c r="B731" s="34"/>
      <c r="C731" s="35"/>
      <c r="D731" s="36"/>
      <c r="E731" s="39"/>
      <c r="F731" s="40"/>
      <c r="G731" s="39"/>
      <c r="H731" s="39"/>
      <c r="I731" s="41"/>
      <c r="J731" s="39"/>
      <c r="K731" s="41"/>
      <c r="L731" s="41"/>
      <c r="M731" s="41"/>
      <c r="N731" s="48"/>
      <c r="O731" s="48"/>
      <c r="P731" s="49"/>
      <c r="Q731" s="49"/>
      <c r="R731" s="50"/>
      <c r="S731" s="48"/>
      <c r="T731" s="13"/>
      <c r="U731" s="13"/>
      <c r="V731" s="14"/>
      <c r="W731" s="14"/>
      <c r="X731" s="60"/>
      <c r="Y731" s="60"/>
      <c r="Z731" s="15"/>
      <c r="AA731" s="39"/>
      <c r="AG731" s="93"/>
      <c r="AH731" s="89"/>
      <c r="AI731" s="89"/>
      <c r="AJ731" s="1"/>
      <c r="AK731" s="1"/>
      <c r="AL731" s="1"/>
      <c r="AM731" s="1"/>
      <c r="AN731" s="1"/>
      <c r="AQ731" s="1"/>
      <c r="AR731" s="1"/>
      <c r="AS731" s="90"/>
      <c r="AT731" s="1"/>
      <c r="AU731" s="90"/>
      <c r="AV731" s="90"/>
      <c r="AW731" s="90"/>
      <c r="AX731" s="95"/>
      <c r="AY731" s="99" t="str">
        <f>AQ731&amp;AR731&amp;AS731&amp;"-"&amp;AT731&amp;BA731</f>
        <v>-</v>
      </c>
      <c r="AZ731" s="90"/>
      <c r="BA731" s="1"/>
      <c r="BC731" s="1"/>
      <c r="BD731" s="90"/>
      <c r="BE731" s="1"/>
      <c r="BF731" s="1"/>
    </row>
    <row r="732" spans="1:58" ht="11.25" customHeight="1">
      <c r="A732" s="26" t="s">
        <v>3650</v>
      </c>
      <c r="B732" s="27" t="s">
        <v>3651</v>
      </c>
      <c r="C732" s="28">
        <v>879.99</v>
      </c>
      <c r="D732" s="28">
        <f t="shared" si="375"/>
        <v>439.995</v>
      </c>
      <c r="E732" s="22" t="s">
        <v>3652</v>
      </c>
      <c r="F732" s="22" t="s">
        <v>3653</v>
      </c>
      <c r="G732" s="22" t="s">
        <v>1049</v>
      </c>
      <c r="H732" s="22" t="s">
        <v>3654</v>
      </c>
      <c r="I732" s="23" t="s">
        <v>3655</v>
      </c>
      <c r="J732" s="22" t="s">
        <v>646</v>
      </c>
      <c r="L732" s="23">
        <v>40</v>
      </c>
      <c r="M732" s="23">
        <v>50</v>
      </c>
      <c r="N732" s="3">
        <f t="shared" ref="N732:N750" si="389">(IF(ISBLANK(K732),(L732*L732*M732),(K732*L732*M732)))/1000000</f>
        <v>0.08</v>
      </c>
      <c r="O732" s="4" t="e">
        <f>(C732-(C732*#REF!))-((C732-(C732*#REF!))*#REF!)</f>
        <v>#REF!</v>
      </c>
      <c r="P732" s="7">
        <f>3581958.91822546-Q732</f>
        <v>581958.91822546022</v>
      </c>
      <c r="Q732" s="7">
        <v>3000000</v>
      </c>
      <c r="R732" s="5">
        <f t="shared" ref="R732:R750" si="390">P732+Q732</f>
        <v>3581958.9182254602</v>
      </c>
      <c r="S732" s="4">
        <f t="shared" ref="S732:S750" si="391">R732/15000</f>
        <v>238.79726121503069</v>
      </c>
      <c r="T732" s="13">
        <f t="shared" si="376"/>
        <v>615.99299999999994</v>
      </c>
      <c r="U732" s="13">
        <f t="shared" si="385"/>
        <v>307.99649999999997</v>
      </c>
      <c r="V732" s="14">
        <f>U732/C732</f>
        <v>0.35</v>
      </c>
      <c r="W732" s="18">
        <f>S732*1.8</f>
        <v>429.83507018705524</v>
      </c>
      <c r="X732" s="19">
        <f t="shared" ref="X732:X750" si="392">IF(ISBLANK(W732),U732, W732)</f>
        <v>429.83507018705524</v>
      </c>
      <c r="Y732" s="19">
        <f t="shared" ref="Y732:Y750" si="393">X732*2</f>
        <v>859.67014037411047</v>
      </c>
      <c r="Z732" s="15">
        <v>2</v>
      </c>
      <c r="AA732" s="22" t="s">
        <v>3656</v>
      </c>
      <c r="AG732" s="94" t="s">
        <v>1169</v>
      </c>
      <c r="AH732" s="89" t="str">
        <f>VLOOKUP(AG732,Sheet1!$B$3:$D$36,2,FALSE)</f>
        <v>Decors</v>
      </c>
      <c r="AI732" s="89" t="s">
        <v>3657</v>
      </c>
      <c r="AJ732" s="1" t="str">
        <f t="shared" si="377"/>
        <v>Zuko fire basket</v>
      </c>
      <c r="AK732" s="1" t="str">
        <f t="shared" si="378"/>
        <v>ø40 x h50</v>
      </c>
      <c r="AL732" s="1" t="str">
        <f t="shared" si="379"/>
        <v>rustic rust outdoor</v>
      </c>
      <c r="AM732" s="1" t="str">
        <f t="shared" si="380"/>
        <v>rustic rust outdoor</v>
      </c>
      <c r="AN732" s="1" t="str">
        <f t="shared" ref="AN732:AN750" si="394">SUBSTITUTE(AL732,"outdoor","")</f>
        <v xml:space="preserve">rustic rust </v>
      </c>
      <c r="AO732" s="1" t="s">
        <v>59</v>
      </c>
      <c r="AQ732" s="1" t="str">
        <f t="shared" si="381"/>
        <v>B</v>
      </c>
      <c r="AR732" s="1" t="str">
        <f>VLOOKUP(TRIM(AI732),Sheet1!$D$3:$E$36,2,FALSE)</f>
        <v>06</v>
      </c>
      <c r="AS732" s="90" t="str">
        <f t="shared" si="382"/>
        <v>01</v>
      </c>
      <c r="AT732" s="1" t="str">
        <f t="shared" si="383"/>
        <v>01</v>
      </c>
      <c r="AU732" s="90" t="s">
        <v>1126</v>
      </c>
      <c r="AV732" s="90"/>
      <c r="AW732" s="90"/>
      <c r="AX732" s="95" t="str">
        <f>AQ732&amp;AR732&amp;AS732&amp;"-"&amp;AT732&amp;AU732&amp;BA732</f>
        <v>B0601-0119OUT</v>
      </c>
      <c r="AY732" s="99" t="str">
        <f>AQ732&amp;AR732&amp;AS732&amp;"-"&amp;AT732&amp;BA732</f>
        <v>B0601-01OUT</v>
      </c>
      <c r="AZ732" s="90"/>
      <c r="BA732" s="1" t="str">
        <f t="shared" si="384"/>
        <v>OUT</v>
      </c>
      <c r="BC732" s="1">
        <f t="shared" si="366"/>
        <v>1</v>
      </c>
      <c r="BD732" s="90">
        <f t="shared" si="367"/>
        <v>1</v>
      </c>
      <c r="BE732" s="1">
        <f t="shared" si="386"/>
        <v>1</v>
      </c>
      <c r="BF732" s="1">
        <f t="shared" si="387"/>
        <v>1</v>
      </c>
    </row>
    <row r="733" spans="1:58" ht="11.25" customHeight="1">
      <c r="A733" s="26" t="s">
        <v>3658</v>
      </c>
      <c r="B733" s="27" t="s">
        <v>3651</v>
      </c>
      <c r="C733" s="28">
        <v>1689.99</v>
      </c>
      <c r="D733" s="28">
        <f t="shared" si="375"/>
        <v>844.995</v>
      </c>
      <c r="E733" s="22" t="s">
        <v>3652</v>
      </c>
      <c r="F733" s="22" t="s">
        <v>3659</v>
      </c>
      <c r="G733" s="22" t="s">
        <v>1049</v>
      </c>
      <c r="H733" s="22" t="s">
        <v>3660</v>
      </c>
      <c r="I733" s="23" t="s">
        <v>3655</v>
      </c>
      <c r="J733" s="22" t="s">
        <v>670</v>
      </c>
      <c r="L733" s="23">
        <v>65</v>
      </c>
      <c r="M733" s="23">
        <v>65</v>
      </c>
      <c r="N733" s="3">
        <f t="shared" si="389"/>
        <v>0.27462500000000001</v>
      </c>
      <c r="O733" s="4" t="e">
        <f>(C733-(C733*#REF!))-((C733-(C733*#REF!))*#REF!)</f>
        <v>#REF!</v>
      </c>
      <c r="P733" s="7"/>
      <c r="Q733" s="7"/>
      <c r="R733" s="5">
        <f t="shared" si="390"/>
        <v>0</v>
      </c>
      <c r="S733" s="4">
        <f t="shared" si="391"/>
        <v>0</v>
      </c>
      <c r="T733" s="13">
        <f t="shared" si="376"/>
        <v>1182.9929999999999</v>
      </c>
      <c r="U733" s="13">
        <f t="shared" si="385"/>
        <v>591.49649999999997</v>
      </c>
      <c r="V733" s="14">
        <f>U733/C733</f>
        <v>0.35</v>
      </c>
      <c r="W733" s="14"/>
      <c r="X733" s="19">
        <f t="shared" si="392"/>
        <v>591.49649999999997</v>
      </c>
      <c r="Y733" s="19">
        <f t="shared" si="393"/>
        <v>1182.9929999999999</v>
      </c>
      <c r="Z733" s="15" t="e">
        <f t="shared" ref="Z733:Z775" si="395">U733/S733</f>
        <v>#DIV/0!</v>
      </c>
      <c r="AA733" s="22" t="s">
        <v>3656</v>
      </c>
      <c r="AG733" s="94" t="s">
        <v>1169</v>
      </c>
      <c r="AH733" s="89" t="str">
        <f>VLOOKUP(AG733,Sheet1!$B$3:$D$36,2,FALSE)</f>
        <v>Decors</v>
      </c>
      <c r="AI733" s="89" t="s">
        <v>3657</v>
      </c>
      <c r="AJ733" s="1" t="str">
        <f t="shared" si="377"/>
        <v>Zuko fire basket</v>
      </c>
      <c r="AK733" s="1" t="str">
        <f t="shared" si="378"/>
        <v>ø65 x h65</v>
      </c>
      <c r="AL733" s="1" t="str">
        <f t="shared" si="379"/>
        <v>rustic rust outdoor</v>
      </c>
      <c r="AM733" s="1" t="str">
        <f t="shared" si="380"/>
        <v>rustic rust outdoor</v>
      </c>
      <c r="AN733" s="1" t="str">
        <f t="shared" si="394"/>
        <v xml:space="preserve">rustic rust </v>
      </c>
      <c r="AO733" s="1" t="s">
        <v>59</v>
      </c>
      <c r="AQ733" s="1" t="str">
        <f t="shared" si="381"/>
        <v>B</v>
      </c>
      <c r="AR733" s="1" t="str">
        <f>VLOOKUP(TRIM(AI733),Sheet1!$D$3:$E$36,2,FALSE)</f>
        <v>06</v>
      </c>
      <c r="AS733" s="90" t="str">
        <f t="shared" si="382"/>
        <v>02</v>
      </c>
      <c r="AT733" s="1" t="str">
        <f t="shared" si="383"/>
        <v>01</v>
      </c>
      <c r="AU733" s="90" t="s">
        <v>1126</v>
      </c>
      <c r="AV733" s="90"/>
      <c r="AW733" s="90"/>
      <c r="AX733" s="95" t="str">
        <f>AQ733&amp;AR733&amp;AS733&amp;"-"&amp;AT733&amp;AU733&amp;BA733</f>
        <v>B0602-0119OUT</v>
      </c>
      <c r="AY733" s="99" t="str">
        <f>AQ733&amp;AR733&amp;AS733&amp;"-"&amp;AT733&amp;BA733</f>
        <v>B0602-01OUT</v>
      </c>
      <c r="AZ733" s="90"/>
      <c r="BA733" s="1" t="str">
        <f t="shared" si="384"/>
        <v>OUT</v>
      </c>
      <c r="BC733" s="1" t="str">
        <f t="shared" si="366"/>
        <v/>
      </c>
      <c r="BD733" s="90">
        <f t="shared" si="367"/>
        <v>2</v>
      </c>
      <c r="BE733" s="1">
        <f t="shared" si="386"/>
        <v>1</v>
      </c>
      <c r="BF733" s="1">
        <f t="shared" si="387"/>
        <v>1</v>
      </c>
    </row>
    <row r="734" spans="1:58" ht="11.25" customHeight="1">
      <c r="A734" s="26" t="s">
        <v>3661</v>
      </c>
      <c r="B734" s="27" t="s">
        <v>3662</v>
      </c>
      <c r="C734" s="28">
        <v>1825.99</v>
      </c>
      <c r="D734" s="28">
        <f t="shared" si="375"/>
        <v>912.995</v>
      </c>
      <c r="E734" s="22" t="s">
        <v>3652</v>
      </c>
      <c r="F734" s="22" t="s">
        <v>3663</v>
      </c>
      <c r="G734" s="22" t="s">
        <v>215</v>
      </c>
      <c r="H734" s="22" t="s">
        <v>3664</v>
      </c>
      <c r="I734" s="23" t="s">
        <v>3655</v>
      </c>
      <c r="L734" s="23">
        <v>65</v>
      </c>
      <c r="M734" s="23">
        <v>55</v>
      </c>
      <c r="N734" s="3">
        <f t="shared" si="389"/>
        <v>0.232375</v>
      </c>
      <c r="O734" s="4" t="e">
        <f>(C734-(C734*#REF!))-((C734-(C734*#REF!))*#REF!)</f>
        <v>#REF!</v>
      </c>
      <c r="P734" s="7"/>
      <c r="Q734" s="7"/>
      <c r="R734" s="5">
        <f t="shared" si="390"/>
        <v>0</v>
      </c>
      <c r="S734" s="4">
        <f t="shared" si="391"/>
        <v>0</v>
      </c>
      <c r="T734" s="13">
        <f t="shared" si="376"/>
        <v>1278.193</v>
      </c>
      <c r="U734" s="13">
        <f t="shared" si="385"/>
        <v>639.09649999999999</v>
      </c>
      <c r="V734" s="14">
        <f>U734/C734</f>
        <v>0.35</v>
      </c>
      <c r="W734" s="14"/>
      <c r="X734" s="19">
        <f t="shared" si="392"/>
        <v>639.09649999999999</v>
      </c>
      <c r="Y734" s="19">
        <f t="shared" si="393"/>
        <v>1278.193</v>
      </c>
      <c r="Z734" s="15" t="e">
        <f t="shared" si="395"/>
        <v>#DIV/0!</v>
      </c>
      <c r="AA734" s="22" t="s">
        <v>3665</v>
      </c>
      <c r="AG734" s="94" t="s">
        <v>1169</v>
      </c>
      <c r="AH734" s="89" t="str">
        <f>VLOOKUP(AG734,Sheet1!$B$3:$D$36,2,FALSE)</f>
        <v>Decors</v>
      </c>
      <c r="AI734" s="89" t="s">
        <v>3657</v>
      </c>
      <c r="AJ734" s="1" t="str">
        <f t="shared" si="377"/>
        <v>Draco fire basket</v>
      </c>
      <c r="AK734" s="1" t="str">
        <f t="shared" si="378"/>
        <v>ø65 x H55</v>
      </c>
      <c r="AL734" s="1" t="str">
        <f t="shared" si="379"/>
        <v>rustic rust outdoor</v>
      </c>
      <c r="AM734" s="1" t="str">
        <f t="shared" si="380"/>
        <v>rustic rust outdoor</v>
      </c>
      <c r="AN734" s="1" t="str">
        <f t="shared" si="394"/>
        <v xml:space="preserve">rustic rust </v>
      </c>
      <c r="AO734" s="1" t="s">
        <v>59</v>
      </c>
      <c r="AQ734" s="1" t="str">
        <f t="shared" si="381"/>
        <v>B</v>
      </c>
      <c r="AR734" s="1" t="str">
        <f>VLOOKUP(TRIM(AI734),Sheet1!$D$3:$E$36,2,FALSE)</f>
        <v>06</v>
      </c>
      <c r="AS734" s="90" t="str">
        <f t="shared" si="382"/>
        <v>01</v>
      </c>
      <c r="AT734" s="1" t="str">
        <f t="shared" si="383"/>
        <v>01</v>
      </c>
      <c r="AU734" s="90" t="s">
        <v>1126</v>
      </c>
      <c r="AV734" s="90"/>
      <c r="AW734" s="90"/>
      <c r="AX734" s="95" t="str">
        <f>AQ734&amp;AR734&amp;AS734&amp;"-"&amp;AT734&amp;AU734&amp;BA734</f>
        <v>B0601-0119OUT</v>
      </c>
      <c r="AY734" s="99" t="str">
        <f>AQ734&amp;AR734&amp;AS734&amp;"-"&amp;AT734&amp;BA734</f>
        <v>B0601-01OUT</v>
      </c>
      <c r="AZ734" s="90"/>
      <c r="BA734" s="1" t="str">
        <f t="shared" si="384"/>
        <v>OUT</v>
      </c>
      <c r="BC734" s="1">
        <f t="shared" si="366"/>
        <v>1</v>
      </c>
      <c r="BD734" s="90">
        <f t="shared" si="367"/>
        <v>1</v>
      </c>
      <c r="BE734" s="1">
        <f t="shared" si="386"/>
        <v>1</v>
      </c>
      <c r="BF734" s="1">
        <f t="shared" si="387"/>
        <v>1</v>
      </c>
    </row>
    <row r="735" spans="1:58" ht="11.25" customHeight="1">
      <c r="A735" s="26" t="s">
        <v>3666</v>
      </c>
      <c r="B735" s="27" t="s">
        <v>3662</v>
      </c>
      <c r="C735" s="28">
        <v>1979.99</v>
      </c>
      <c r="D735" s="28">
        <f t="shared" si="375"/>
        <v>989.995</v>
      </c>
      <c r="E735" s="22" t="s">
        <v>3652</v>
      </c>
      <c r="F735" s="22" t="s">
        <v>3667</v>
      </c>
      <c r="G735" s="22" t="s">
        <v>215</v>
      </c>
      <c r="H735" s="22" t="s">
        <v>3668</v>
      </c>
      <c r="I735" s="23" t="s">
        <v>3655</v>
      </c>
      <c r="L735" s="23">
        <v>70</v>
      </c>
      <c r="M735" s="23">
        <v>95</v>
      </c>
      <c r="N735" s="3">
        <f t="shared" si="389"/>
        <v>0.46550000000000002</v>
      </c>
      <c r="O735" s="4" t="e">
        <f>(C735-(C735*#REF!))-((C735-(C735*#REF!))*#REF!)</f>
        <v>#REF!</v>
      </c>
      <c r="P735" s="7"/>
      <c r="Q735" s="7"/>
      <c r="R735" s="5">
        <f t="shared" si="390"/>
        <v>0</v>
      </c>
      <c r="S735" s="4">
        <f t="shared" si="391"/>
        <v>0</v>
      </c>
      <c r="T735" s="13">
        <f t="shared" si="376"/>
        <v>1385.9929999999999</v>
      </c>
      <c r="U735" s="13">
        <f t="shared" si="385"/>
        <v>692.99649999999997</v>
      </c>
      <c r="V735" s="14">
        <f>U735/C735</f>
        <v>0.35</v>
      </c>
      <c r="W735" s="14"/>
      <c r="X735" s="19">
        <f t="shared" si="392"/>
        <v>692.99649999999997</v>
      </c>
      <c r="Y735" s="19">
        <f t="shared" si="393"/>
        <v>1385.9929999999999</v>
      </c>
      <c r="Z735" s="15" t="e">
        <f t="shared" si="395"/>
        <v>#DIV/0!</v>
      </c>
      <c r="AA735" s="22" t="s">
        <v>3669</v>
      </c>
      <c r="AG735" s="94" t="s">
        <v>1169</v>
      </c>
      <c r="AH735" s="89" t="str">
        <f>VLOOKUP(AG735,Sheet1!$B$3:$D$36,2,FALSE)</f>
        <v>Decors</v>
      </c>
      <c r="AI735" s="89" t="s">
        <v>3657</v>
      </c>
      <c r="AJ735" s="1" t="str">
        <f t="shared" si="377"/>
        <v>Draco fire basket</v>
      </c>
      <c r="AK735" s="1" t="str">
        <f t="shared" si="378"/>
        <v>ø70 x h95</v>
      </c>
      <c r="AL735" s="1" t="str">
        <f t="shared" si="379"/>
        <v>rustic rust outdoor</v>
      </c>
      <c r="AM735" s="1" t="str">
        <f t="shared" si="380"/>
        <v>rustic rust outdoor</v>
      </c>
      <c r="AN735" s="1" t="str">
        <f t="shared" si="394"/>
        <v xml:space="preserve">rustic rust </v>
      </c>
      <c r="AO735" s="1" t="s">
        <v>59</v>
      </c>
      <c r="AQ735" s="1" t="str">
        <f t="shared" si="381"/>
        <v>B</v>
      </c>
      <c r="AR735" s="1" t="str">
        <f>VLOOKUP(TRIM(AI735),Sheet1!$D$3:$E$36,2,FALSE)</f>
        <v>06</v>
      </c>
      <c r="AS735" s="90" t="str">
        <f t="shared" si="382"/>
        <v>02</v>
      </c>
      <c r="AT735" s="1" t="str">
        <f t="shared" si="383"/>
        <v>01</v>
      </c>
      <c r="AU735" s="90" t="s">
        <v>1126</v>
      </c>
      <c r="AV735" s="90"/>
      <c r="AW735" s="90"/>
      <c r="AX735" s="95" t="str">
        <f>AQ735&amp;AR735&amp;AS735&amp;"-"&amp;AT735&amp;AU735&amp;BA735</f>
        <v>B0602-0119OUT</v>
      </c>
      <c r="AY735" s="99" t="str">
        <f>AQ735&amp;AR735&amp;AS735&amp;"-"&amp;AT735&amp;BA735</f>
        <v>B0602-01OUT</v>
      </c>
      <c r="AZ735" s="90"/>
      <c r="BA735" s="1" t="str">
        <f t="shared" si="384"/>
        <v>OUT</v>
      </c>
      <c r="BC735" s="1" t="str">
        <f t="shared" si="366"/>
        <v/>
      </c>
      <c r="BD735" s="90">
        <f t="shared" si="367"/>
        <v>2</v>
      </c>
      <c r="BE735" s="1">
        <f t="shared" si="386"/>
        <v>1</v>
      </c>
      <c r="BF735" s="1">
        <f t="shared" si="387"/>
        <v>1</v>
      </c>
    </row>
    <row r="736" spans="1:58" ht="11.25" customHeight="1">
      <c r="A736" s="26" t="s">
        <v>3670</v>
      </c>
      <c r="B736" s="27" t="s">
        <v>3662</v>
      </c>
      <c r="C736" s="28">
        <v>749.99</v>
      </c>
      <c r="D736" s="28">
        <f t="shared" si="375"/>
        <v>374.995</v>
      </c>
      <c r="E736" s="22" t="s">
        <v>3652</v>
      </c>
      <c r="F736" s="22" t="s">
        <v>3671</v>
      </c>
      <c r="G736" s="22" t="s">
        <v>215</v>
      </c>
      <c r="H736" s="22" t="s">
        <v>3672</v>
      </c>
      <c r="I736" s="23" t="s">
        <v>3673</v>
      </c>
      <c r="K736" s="23">
        <v>70</v>
      </c>
      <c r="L736" s="23">
        <v>70</v>
      </c>
      <c r="M736" s="23">
        <v>10</v>
      </c>
      <c r="N736" s="3">
        <f t="shared" si="389"/>
        <v>4.9000000000000002E-2</v>
      </c>
      <c r="O736" s="4" t="e">
        <f>(C736-(C736*#REF!))-((C736-(C736*#REF!))*#REF!)</f>
        <v>#REF!</v>
      </c>
      <c r="P736" s="7"/>
      <c r="Q736" s="7"/>
      <c r="R736" s="5">
        <f t="shared" si="390"/>
        <v>0</v>
      </c>
      <c r="S736" s="4">
        <f t="shared" si="391"/>
        <v>0</v>
      </c>
      <c r="T736" s="13">
        <f t="shared" si="376"/>
        <v>524.99300000000005</v>
      </c>
      <c r="U736" s="13">
        <f t="shared" si="385"/>
        <v>262.49650000000003</v>
      </c>
      <c r="V736" s="14">
        <f>U736/C736</f>
        <v>0.35000000000000003</v>
      </c>
      <c r="W736" s="14"/>
      <c r="X736" s="19">
        <f t="shared" si="392"/>
        <v>262.49650000000003</v>
      </c>
      <c r="Y736" s="19">
        <f t="shared" si="393"/>
        <v>524.99300000000005</v>
      </c>
      <c r="Z736" s="15" t="e">
        <f t="shared" si="395"/>
        <v>#DIV/0!</v>
      </c>
      <c r="AA736" s="22" t="s">
        <v>3669</v>
      </c>
      <c r="AG736" s="94" t="s">
        <v>1169</v>
      </c>
      <c r="AH736" s="89" t="str">
        <f>VLOOKUP(AG736,Sheet1!$B$3:$D$36,2,FALSE)</f>
        <v>Decors</v>
      </c>
      <c r="AI736" s="89" t="s">
        <v>3657</v>
      </c>
      <c r="AJ736" s="1" t="str">
        <f t="shared" si="377"/>
        <v>Draco fire basket</v>
      </c>
      <c r="AK736" s="1" t="str">
        <f t="shared" si="378"/>
        <v>w70 x d70 x h10</v>
      </c>
      <c r="AL736" s="1" t="str">
        <f t="shared" si="379"/>
        <v>rustic rust on wheels outdoor</v>
      </c>
      <c r="AM736" s="1" t="str">
        <f t="shared" si="380"/>
        <v>rustic rust on wheels outdoor</v>
      </c>
      <c r="AN736" s="1" t="str">
        <f t="shared" si="394"/>
        <v xml:space="preserve">rustic rust on wheels </v>
      </c>
      <c r="AO736" s="1" t="s">
        <v>59</v>
      </c>
      <c r="AQ736" s="1" t="str">
        <f t="shared" si="381"/>
        <v>B</v>
      </c>
      <c r="AR736" s="1" t="str">
        <f>VLOOKUP(TRIM(AI736),Sheet1!$D$3:$E$36,2,FALSE)</f>
        <v>06</v>
      </c>
      <c r="AS736" s="90" t="str">
        <f t="shared" si="382"/>
        <v>03</v>
      </c>
      <c r="AT736" s="1" t="str">
        <f t="shared" si="383"/>
        <v>01</v>
      </c>
      <c r="AU736" s="90" t="s">
        <v>1126</v>
      </c>
      <c r="AV736" s="90"/>
      <c r="AW736" s="90"/>
      <c r="AX736" s="95" t="str">
        <f>AQ736&amp;AR736&amp;AS736&amp;"-"&amp;AT736&amp;AU736&amp;BA736</f>
        <v>B0603-0119OUT</v>
      </c>
      <c r="AY736" s="99" t="str">
        <f>AQ736&amp;AR736&amp;AS736&amp;"-"&amp;AT736&amp;BA736</f>
        <v>B0603-01OUT</v>
      </c>
      <c r="AZ736" s="90"/>
      <c r="BA736" s="1" t="str">
        <f t="shared" si="384"/>
        <v>OUT</v>
      </c>
      <c r="BC736" s="1" t="str">
        <f t="shared" si="366"/>
        <v/>
      </c>
      <c r="BD736" s="90">
        <f t="shared" si="367"/>
        <v>3</v>
      </c>
      <c r="BE736" s="1">
        <f t="shared" si="386"/>
        <v>1</v>
      </c>
      <c r="BF736" s="1">
        <f t="shared" si="387"/>
        <v>1</v>
      </c>
    </row>
    <row r="737" spans="1:58" ht="11.25" customHeight="1">
      <c r="A737" s="26" t="s">
        <v>3674</v>
      </c>
      <c r="B737" s="27" t="s">
        <v>3675</v>
      </c>
      <c r="C737" s="28">
        <v>4365.99</v>
      </c>
      <c r="D737" s="28">
        <f t="shared" si="375"/>
        <v>2182.9949999999999</v>
      </c>
      <c r="E737" s="22" t="s">
        <v>3652</v>
      </c>
      <c r="F737" s="22" t="s">
        <v>3676</v>
      </c>
      <c r="G737" s="22" t="s">
        <v>93</v>
      </c>
      <c r="H737" s="22" t="s">
        <v>3677</v>
      </c>
      <c r="I737" s="23" t="s">
        <v>3655</v>
      </c>
      <c r="L737" s="23">
        <v>100</v>
      </c>
      <c r="M737" s="23">
        <v>150</v>
      </c>
      <c r="N737" s="3">
        <f t="shared" si="389"/>
        <v>1.5</v>
      </c>
      <c r="O737" s="4" t="e">
        <f>(C737-(C737*#REF!))-((C737-(C737*#REF!))*#REF!)</f>
        <v>#REF!</v>
      </c>
      <c r="P737" s="7"/>
      <c r="Q737" s="7"/>
      <c r="R737" s="5">
        <f t="shared" si="390"/>
        <v>0</v>
      </c>
      <c r="S737" s="4">
        <f t="shared" si="391"/>
        <v>0</v>
      </c>
      <c r="T737" s="13">
        <f t="shared" si="376"/>
        <v>3056.1930000000002</v>
      </c>
      <c r="U737" s="13">
        <f t="shared" si="385"/>
        <v>1528.0965000000001</v>
      </c>
      <c r="V737" s="14">
        <f>U737/C737</f>
        <v>0.35000000000000003</v>
      </c>
      <c r="W737" s="14"/>
      <c r="X737" s="19">
        <f t="shared" si="392"/>
        <v>1528.0965000000001</v>
      </c>
      <c r="Y737" s="19">
        <f t="shared" si="393"/>
        <v>3056.1930000000002</v>
      </c>
      <c r="Z737" s="15" t="e">
        <f t="shared" si="395"/>
        <v>#DIV/0!</v>
      </c>
      <c r="AA737" s="22" t="s">
        <v>3678</v>
      </c>
      <c r="AG737" s="94" t="s">
        <v>1169</v>
      </c>
      <c r="AH737" s="89" t="str">
        <f>VLOOKUP(AG737,Sheet1!$B$3:$D$36,2,FALSE)</f>
        <v>Decors</v>
      </c>
      <c r="AI737" s="89" t="s">
        <v>3657</v>
      </c>
      <c r="AJ737" s="1" t="str">
        <f t="shared" si="377"/>
        <v>Bakar fire pit with grill</v>
      </c>
      <c r="AK737" s="1" t="str">
        <f t="shared" si="378"/>
        <v>ø100 x h150</v>
      </c>
      <c r="AL737" s="1" t="str">
        <f t="shared" si="379"/>
        <v>rustic rust outdoor</v>
      </c>
      <c r="AM737" s="1" t="str">
        <f t="shared" si="380"/>
        <v>rustic rust outdoor</v>
      </c>
      <c r="AN737" s="1" t="str">
        <f t="shared" si="394"/>
        <v xml:space="preserve">rustic rust </v>
      </c>
      <c r="AO737" s="1" t="s">
        <v>59</v>
      </c>
      <c r="AQ737" s="1" t="str">
        <f t="shared" si="381"/>
        <v>B</v>
      </c>
      <c r="AR737" s="1" t="str">
        <f>VLOOKUP(TRIM(AI737),Sheet1!$D$3:$E$36,2,FALSE)</f>
        <v>06</v>
      </c>
      <c r="AS737" s="90" t="str">
        <f t="shared" si="382"/>
        <v>01</v>
      </c>
      <c r="AT737" s="1" t="str">
        <f t="shared" si="383"/>
        <v>01</v>
      </c>
      <c r="AU737" s="90" t="s">
        <v>1126</v>
      </c>
      <c r="AV737" s="90"/>
      <c r="AW737" s="90"/>
      <c r="AX737" s="95" t="str">
        <f>AQ737&amp;AR737&amp;AS737&amp;"-"&amp;AT737&amp;AU737&amp;BA737</f>
        <v>B0601-0119OUT</v>
      </c>
      <c r="AY737" s="99" t="str">
        <f>AQ737&amp;AR737&amp;AS737&amp;"-"&amp;AT737&amp;BA737</f>
        <v>B0601-01OUT</v>
      </c>
      <c r="AZ737" s="90"/>
      <c r="BA737" s="1" t="str">
        <f t="shared" si="384"/>
        <v>OUT</v>
      </c>
      <c r="BC737" s="1">
        <f t="shared" si="366"/>
        <v>1</v>
      </c>
      <c r="BD737" s="90">
        <f t="shared" si="367"/>
        <v>1</v>
      </c>
      <c r="BE737" s="1">
        <f t="shared" si="386"/>
        <v>1</v>
      </c>
      <c r="BF737" s="1">
        <f t="shared" si="387"/>
        <v>1</v>
      </c>
    </row>
    <row r="738" spans="1:58" ht="11.25" customHeight="1">
      <c r="A738" s="26" t="s">
        <v>3679</v>
      </c>
      <c r="B738" s="27" t="s">
        <v>3675</v>
      </c>
      <c r="C738" s="28">
        <v>1491.99</v>
      </c>
      <c r="D738" s="28">
        <f t="shared" si="375"/>
        <v>745.995</v>
      </c>
      <c r="E738" s="22" t="s">
        <v>3652</v>
      </c>
      <c r="F738" s="22" t="s">
        <v>3680</v>
      </c>
      <c r="G738" s="22" t="s">
        <v>93</v>
      </c>
      <c r="H738" s="22" t="s">
        <v>3681</v>
      </c>
      <c r="I738" s="23" t="s">
        <v>3655</v>
      </c>
      <c r="L738" s="23">
        <v>100</v>
      </c>
      <c r="M738" s="23">
        <v>20</v>
      </c>
      <c r="N738" s="3">
        <f t="shared" si="389"/>
        <v>0.2</v>
      </c>
      <c r="O738" s="4" t="e">
        <f>(C738-(C738*#REF!))-((C738-(C738*#REF!))*#REF!)</f>
        <v>#REF!</v>
      </c>
      <c r="P738" s="7"/>
      <c r="Q738" s="7"/>
      <c r="R738" s="5">
        <f t="shared" si="390"/>
        <v>0</v>
      </c>
      <c r="S738" s="4">
        <f t="shared" si="391"/>
        <v>0</v>
      </c>
      <c r="T738" s="13">
        <f t="shared" si="376"/>
        <v>1044.393</v>
      </c>
      <c r="U738" s="13">
        <f t="shared" si="385"/>
        <v>522.19650000000001</v>
      </c>
      <c r="V738" s="14">
        <f>U738/C738</f>
        <v>0.35000000000000003</v>
      </c>
      <c r="W738" s="14"/>
      <c r="X738" s="19">
        <f t="shared" si="392"/>
        <v>522.19650000000001</v>
      </c>
      <c r="Y738" s="19">
        <f t="shared" si="393"/>
        <v>1044.393</v>
      </c>
      <c r="Z738" s="15" t="e">
        <f t="shared" si="395"/>
        <v>#DIV/0!</v>
      </c>
      <c r="AA738" s="22" t="s">
        <v>3678</v>
      </c>
      <c r="AG738" s="94" t="s">
        <v>1169</v>
      </c>
      <c r="AH738" s="89" t="str">
        <f>VLOOKUP(AG738,Sheet1!$B$3:$D$36,2,FALSE)</f>
        <v>Decors</v>
      </c>
      <c r="AI738" s="89" t="s">
        <v>3657</v>
      </c>
      <c r="AJ738" s="1" t="str">
        <f t="shared" si="377"/>
        <v>Bakar fire pit with grill</v>
      </c>
      <c r="AK738" s="1" t="str">
        <f t="shared" si="378"/>
        <v>ø100 x h20</v>
      </c>
      <c r="AL738" s="1" t="str">
        <f t="shared" si="379"/>
        <v>rustic rust outdoor</v>
      </c>
      <c r="AM738" s="1" t="str">
        <f t="shared" si="380"/>
        <v>rustic rust outdoor</v>
      </c>
      <c r="AN738" s="1" t="str">
        <f t="shared" si="394"/>
        <v xml:space="preserve">rustic rust </v>
      </c>
      <c r="AO738" s="1" t="s">
        <v>59</v>
      </c>
      <c r="AQ738" s="1" t="str">
        <f t="shared" si="381"/>
        <v>B</v>
      </c>
      <c r="AR738" s="1" t="str">
        <f>VLOOKUP(TRIM(AI738),Sheet1!$D$3:$E$36,2,FALSE)</f>
        <v>06</v>
      </c>
      <c r="AS738" s="90" t="str">
        <f t="shared" si="382"/>
        <v>02</v>
      </c>
      <c r="AT738" s="1" t="str">
        <f t="shared" si="383"/>
        <v>01</v>
      </c>
      <c r="AU738" s="90" t="s">
        <v>1126</v>
      </c>
      <c r="AV738" s="90"/>
      <c r="AW738" s="90"/>
      <c r="AX738" s="95" t="str">
        <f>AQ738&amp;AR738&amp;AS738&amp;"-"&amp;AT738&amp;AU738&amp;BA738</f>
        <v>B0602-0119OUT</v>
      </c>
      <c r="AY738" s="99" t="str">
        <f>AQ738&amp;AR738&amp;AS738&amp;"-"&amp;AT738&amp;BA738</f>
        <v>B0602-01OUT</v>
      </c>
      <c r="AZ738" s="90"/>
      <c r="BA738" s="1" t="str">
        <f t="shared" si="384"/>
        <v>OUT</v>
      </c>
      <c r="BC738" s="1" t="str">
        <f t="shared" si="366"/>
        <v/>
      </c>
      <c r="BD738" s="90">
        <f t="shared" si="367"/>
        <v>2</v>
      </c>
      <c r="BE738" s="1">
        <f t="shared" si="386"/>
        <v>1</v>
      </c>
      <c r="BF738" s="1">
        <f t="shared" si="387"/>
        <v>1</v>
      </c>
    </row>
    <row r="739" spans="1:58" ht="11.25" customHeight="1">
      <c r="A739" s="26" t="s">
        <v>3682</v>
      </c>
      <c r="B739" s="27" t="s">
        <v>3675</v>
      </c>
      <c r="C739" s="28">
        <v>967.99</v>
      </c>
      <c r="D739" s="28">
        <f t="shared" si="375"/>
        <v>483.995</v>
      </c>
      <c r="E739" s="22" t="s">
        <v>3652</v>
      </c>
      <c r="F739" s="22" t="s">
        <v>3683</v>
      </c>
      <c r="G739" s="22" t="s">
        <v>93</v>
      </c>
      <c r="H739" s="22" t="s">
        <v>3684</v>
      </c>
      <c r="I739" s="23" t="s">
        <v>3655</v>
      </c>
      <c r="L739" s="23">
        <v>50</v>
      </c>
      <c r="M739" s="23">
        <v>30</v>
      </c>
      <c r="N739" s="3">
        <f t="shared" si="389"/>
        <v>7.4999999999999997E-2</v>
      </c>
      <c r="O739" s="4" t="e">
        <f>(C739-(C739*#REF!))-((C739-(C739*#REF!))*#REF!)</f>
        <v>#REF!</v>
      </c>
      <c r="P739" s="7"/>
      <c r="Q739" s="7"/>
      <c r="R739" s="5">
        <f t="shared" si="390"/>
        <v>0</v>
      </c>
      <c r="S739" s="4">
        <f t="shared" si="391"/>
        <v>0</v>
      </c>
      <c r="T739" s="13">
        <f t="shared" si="376"/>
        <v>677.59300000000007</v>
      </c>
      <c r="U739" s="13">
        <f t="shared" si="385"/>
        <v>338.79650000000004</v>
      </c>
      <c r="V739" s="14">
        <f>U739/C739</f>
        <v>0.35000000000000003</v>
      </c>
      <c r="W739" s="14"/>
      <c r="X739" s="19">
        <f t="shared" si="392"/>
        <v>338.79650000000004</v>
      </c>
      <c r="Y739" s="19">
        <f t="shared" si="393"/>
        <v>677.59300000000007</v>
      </c>
      <c r="Z739" s="15" t="e">
        <f t="shared" si="395"/>
        <v>#DIV/0!</v>
      </c>
      <c r="AA739" s="22" t="s">
        <v>3685</v>
      </c>
      <c r="AG739" s="94" t="s">
        <v>1169</v>
      </c>
      <c r="AH739" s="89" t="str">
        <f>VLOOKUP(AG739,Sheet1!$B$3:$D$36,2,FALSE)</f>
        <v>Decors</v>
      </c>
      <c r="AI739" s="89" t="s">
        <v>3657</v>
      </c>
      <c r="AJ739" s="1" t="str">
        <f t="shared" si="377"/>
        <v>Bakar fire pit with grill</v>
      </c>
      <c r="AK739" s="1" t="str">
        <f t="shared" si="378"/>
        <v>ø50 x h30</v>
      </c>
      <c r="AL739" s="1" t="str">
        <f t="shared" si="379"/>
        <v>rustic rust outdoor</v>
      </c>
      <c r="AM739" s="1" t="str">
        <f t="shared" si="380"/>
        <v>rustic rust outdoor</v>
      </c>
      <c r="AN739" s="1" t="str">
        <f t="shared" si="394"/>
        <v xml:space="preserve">rustic rust </v>
      </c>
      <c r="AO739" s="1" t="s">
        <v>59</v>
      </c>
      <c r="AQ739" s="1" t="str">
        <f t="shared" si="381"/>
        <v>B</v>
      </c>
      <c r="AR739" s="1" t="str">
        <f>VLOOKUP(TRIM(AI739),Sheet1!$D$3:$E$36,2,FALSE)</f>
        <v>06</v>
      </c>
      <c r="AS739" s="90" t="str">
        <f t="shared" si="382"/>
        <v>03</v>
      </c>
      <c r="AT739" s="1" t="str">
        <f t="shared" si="383"/>
        <v>01</v>
      </c>
      <c r="AU739" s="90" t="s">
        <v>1126</v>
      </c>
      <c r="AV739" s="90"/>
      <c r="AW739" s="90"/>
      <c r="AX739" s="95" t="str">
        <f>AQ739&amp;AR739&amp;AS739&amp;"-"&amp;AT739&amp;AU739&amp;BA739</f>
        <v>B0603-0119OUT</v>
      </c>
      <c r="AY739" s="99" t="str">
        <f>AQ739&amp;AR739&amp;AS739&amp;"-"&amp;AT739&amp;BA739</f>
        <v>B0603-01OUT</v>
      </c>
      <c r="AZ739" s="90"/>
      <c r="BA739" s="1" t="str">
        <f t="shared" si="384"/>
        <v>OUT</v>
      </c>
      <c r="BC739" s="1" t="str">
        <f t="shared" si="366"/>
        <v/>
      </c>
      <c r="BD739" s="90">
        <f t="shared" si="367"/>
        <v>3</v>
      </c>
      <c r="BE739" s="1">
        <f t="shared" si="386"/>
        <v>1</v>
      </c>
      <c r="BF739" s="1">
        <f t="shared" si="387"/>
        <v>1</v>
      </c>
    </row>
    <row r="740" spans="1:58" ht="11.25" customHeight="1">
      <c r="A740" s="26" t="s">
        <v>3686</v>
      </c>
      <c r="B740" s="27" t="s">
        <v>3675</v>
      </c>
      <c r="C740" s="28">
        <v>1088.99</v>
      </c>
      <c r="D740" s="28">
        <f t="shared" si="375"/>
        <v>544.495</v>
      </c>
      <c r="E740" s="22" t="s">
        <v>3652</v>
      </c>
      <c r="F740" s="22" t="s">
        <v>3687</v>
      </c>
      <c r="G740" s="22" t="s">
        <v>93</v>
      </c>
      <c r="H740" s="22" t="s">
        <v>3688</v>
      </c>
      <c r="I740" s="23" t="s">
        <v>3655</v>
      </c>
      <c r="L740" s="23">
        <v>100</v>
      </c>
      <c r="M740" s="23">
        <v>40</v>
      </c>
      <c r="N740" s="3">
        <f t="shared" si="389"/>
        <v>0.4</v>
      </c>
      <c r="O740" s="4" t="e">
        <f>(C740-(C740*#REF!))-((C740-(C740*#REF!))*#REF!)</f>
        <v>#REF!</v>
      </c>
      <c r="P740" s="7"/>
      <c r="Q740" s="7"/>
      <c r="R740" s="5">
        <f t="shared" si="390"/>
        <v>0</v>
      </c>
      <c r="S740" s="4">
        <f t="shared" si="391"/>
        <v>0</v>
      </c>
      <c r="T740" s="13">
        <f t="shared" si="376"/>
        <v>762.29300000000001</v>
      </c>
      <c r="U740" s="13">
        <f t="shared" si="385"/>
        <v>381.1465</v>
      </c>
      <c r="V740" s="14">
        <f>U740/C740</f>
        <v>0.35</v>
      </c>
      <c r="W740" s="14"/>
      <c r="X740" s="19">
        <f t="shared" si="392"/>
        <v>381.1465</v>
      </c>
      <c r="Y740" s="19">
        <f t="shared" si="393"/>
        <v>762.29300000000001</v>
      </c>
      <c r="Z740" s="15" t="e">
        <f t="shared" si="395"/>
        <v>#DIV/0!</v>
      </c>
      <c r="AA740" s="22" t="s">
        <v>3689</v>
      </c>
      <c r="AG740" s="94" t="s">
        <v>1169</v>
      </c>
      <c r="AH740" s="89" t="str">
        <f>VLOOKUP(AG740,Sheet1!$B$3:$D$36,2,FALSE)</f>
        <v>Decors</v>
      </c>
      <c r="AI740" s="89" t="s">
        <v>3657</v>
      </c>
      <c r="AJ740" s="1" t="str">
        <f t="shared" si="377"/>
        <v>Bakar fire pit with grill</v>
      </c>
      <c r="AK740" s="1" t="str">
        <f t="shared" si="378"/>
        <v>ø100 x h40</v>
      </c>
      <c r="AL740" s="1" t="str">
        <f t="shared" si="379"/>
        <v>rustic rust outdoor</v>
      </c>
      <c r="AM740" s="1" t="str">
        <f t="shared" si="380"/>
        <v>rustic rust outdoor</v>
      </c>
      <c r="AN740" s="1" t="str">
        <f t="shared" si="394"/>
        <v xml:space="preserve">rustic rust </v>
      </c>
      <c r="AO740" s="1" t="s">
        <v>59</v>
      </c>
      <c r="AQ740" s="1" t="str">
        <f t="shared" si="381"/>
        <v>B</v>
      </c>
      <c r="AR740" s="1" t="str">
        <f>VLOOKUP(TRIM(AI740),Sheet1!$D$3:$E$36,2,FALSE)</f>
        <v>06</v>
      </c>
      <c r="AS740" s="90" t="str">
        <f t="shared" si="382"/>
        <v>04</v>
      </c>
      <c r="AT740" s="1" t="str">
        <f t="shared" si="383"/>
        <v>01</v>
      </c>
      <c r="AU740" s="90" t="s">
        <v>1126</v>
      </c>
      <c r="AV740" s="90"/>
      <c r="AW740" s="90"/>
      <c r="AX740" s="95" t="str">
        <f>AQ740&amp;AR740&amp;AS740&amp;"-"&amp;AT740&amp;AU740&amp;BA740</f>
        <v>B0604-0119OUT</v>
      </c>
      <c r="AY740" s="99" t="str">
        <f>AQ740&amp;AR740&amp;AS740&amp;"-"&amp;AT740&amp;BA740</f>
        <v>B0604-01OUT</v>
      </c>
      <c r="AZ740" s="90"/>
      <c r="BA740" s="1" t="str">
        <f t="shared" si="384"/>
        <v>OUT</v>
      </c>
      <c r="BC740" s="1" t="str">
        <f t="shared" si="366"/>
        <v/>
      </c>
      <c r="BD740" s="90">
        <f t="shared" si="367"/>
        <v>4</v>
      </c>
      <c r="BE740" s="1">
        <f t="shared" si="386"/>
        <v>1</v>
      </c>
      <c r="BF740" s="1">
        <f t="shared" si="387"/>
        <v>1</v>
      </c>
    </row>
    <row r="741" spans="1:58" ht="11.25" customHeight="1">
      <c r="A741" s="26" t="s">
        <v>3690</v>
      </c>
      <c r="B741" s="27" t="s">
        <v>3675</v>
      </c>
      <c r="C741" s="28">
        <v>816.99</v>
      </c>
      <c r="D741" s="28">
        <f t="shared" si="375"/>
        <v>408.495</v>
      </c>
      <c r="E741" s="22" t="s">
        <v>3652</v>
      </c>
      <c r="F741" s="22" t="s">
        <v>3691</v>
      </c>
      <c r="G741" s="22" t="s">
        <v>93</v>
      </c>
      <c r="H741" s="22" t="s">
        <v>3692</v>
      </c>
      <c r="I741" s="23" t="s">
        <v>3655</v>
      </c>
      <c r="L741" s="23">
        <v>60</v>
      </c>
      <c r="M741" s="23">
        <v>80</v>
      </c>
      <c r="N741" s="3">
        <f t="shared" si="389"/>
        <v>0.28799999999999998</v>
      </c>
      <c r="O741" s="4" t="e">
        <f>(C741-(C741*#REF!))-((C741-(C741*#REF!))*#REF!)</f>
        <v>#REF!</v>
      </c>
      <c r="P741" s="7"/>
      <c r="Q741" s="7"/>
      <c r="R741" s="5">
        <f t="shared" si="390"/>
        <v>0</v>
      </c>
      <c r="S741" s="4">
        <f t="shared" si="391"/>
        <v>0</v>
      </c>
      <c r="T741" s="13">
        <f t="shared" si="376"/>
        <v>571.89300000000003</v>
      </c>
      <c r="U741" s="13">
        <f t="shared" si="385"/>
        <v>285.94650000000001</v>
      </c>
      <c r="V741" s="14">
        <f>U741/C741</f>
        <v>0.35000000000000003</v>
      </c>
      <c r="W741" s="14"/>
      <c r="X741" s="19">
        <f t="shared" si="392"/>
        <v>285.94650000000001</v>
      </c>
      <c r="Y741" s="19">
        <f t="shared" si="393"/>
        <v>571.89300000000003</v>
      </c>
      <c r="Z741" s="15" t="e">
        <f t="shared" si="395"/>
        <v>#DIV/0!</v>
      </c>
      <c r="AA741" s="22" t="s">
        <v>3678</v>
      </c>
      <c r="AG741" s="94" t="s">
        <v>1169</v>
      </c>
      <c r="AH741" s="89" t="str">
        <f>VLOOKUP(AG741,Sheet1!$B$3:$D$36,2,FALSE)</f>
        <v>Decors</v>
      </c>
      <c r="AI741" s="89" t="s">
        <v>3657</v>
      </c>
      <c r="AJ741" s="1" t="str">
        <f t="shared" si="377"/>
        <v>Bakar fire pit with grill</v>
      </c>
      <c r="AK741" s="1" t="str">
        <f t="shared" si="378"/>
        <v>ø60 x h80</v>
      </c>
      <c r="AL741" s="1" t="str">
        <f t="shared" si="379"/>
        <v>rustic rust outdoor</v>
      </c>
      <c r="AM741" s="1" t="str">
        <f t="shared" si="380"/>
        <v>rustic rust outdoor</v>
      </c>
      <c r="AN741" s="1" t="str">
        <f t="shared" si="394"/>
        <v xml:space="preserve">rustic rust </v>
      </c>
      <c r="AO741" s="1" t="s">
        <v>59</v>
      </c>
      <c r="AQ741" s="1" t="str">
        <f t="shared" si="381"/>
        <v>B</v>
      </c>
      <c r="AR741" s="1" t="str">
        <f>VLOOKUP(TRIM(AI741),Sheet1!$D$3:$E$36,2,FALSE)</f>
        <v>06</v>
      </c>
      <c r="AS741" s="90" t="str">
        <f t="shared" si="382"/>
        <v>05</v>
      </c>
      <c r="AT741" s="1" t="str">
        <f t="shared" si="383"/>
        <v>01</v>
      </c>
      <c r="AU741" s="90" t="s">
        <v>1126</v>
      </c>
      <c r="AV741" s="90"/>
      <c r="AW741" s="90"/>
      <c r="AX741" s="95" t="str">
        <f>AQ741&amp;AR741&amp;AS741&amp;"-"&amp;AT741&amp;AU741&amp;BA741</f>
        <v>B0605-0119OUT</v>
      </c>
      <c r="AY741" s="99" t="str">
        <f>AQ741&amp;AR741&amp;AS741&amp;"-"&amp;AT741&amp;BA741</f>
        <v>B0605-01OUT</v>
      </c>
      <c r="AZ741" s="90"/>
      <c r="BA741" s="1" t="str">
        <f t="shared" si="384"/>
        <v>OUT</v>
      </c>
      <c r="BC741" s="1" t="str">
        <f t="shared" si="366"/>
        <v/>
      </c>
      <c r="BD741" s="90">
        <f t="shared" si="367"/>
        <v>5</v>
      </c>
      <c r="BE741" s="1">
        <f t="shared" si="386"/>
        <v>1</v>
      </c>
      <c r="BF741" s="1">
        <f t="shared" si="387"/>
        <v>1</v>
      </c>
    </row>
    <row r="742" spans="1:58" ht="11.25" customHeight="1">
      <c r="A742" s="26" t="s">
        <v>3693</v>
      </c>
      <c r="B742" s="27" t="s">
        <v>3694</v>
      </c>
      <c r="C742" s="28">
        <v>1019.99</v>
      </c>
      <c r="D742" s="28">
        <f t="shared" si="375"/>
        <v>509.995</v>
      </c>
      <c r="E742" s="22" t="s">
        <v>3652</v>
      </c>
      <c r="F742" s="22" t="s">
        <v>3695</v>
      </c>
      <c r="G742" s="22" t="s">
        <v>285</v>
      </c>
      <c r="H742" s="22" t="s">
        <v>3696</v>
      </c>
      <c r="I742" s="23" t="s">
        <v>3655</v>
      </c>
      <c r="L742" s="23">
        <v>36</v>
      </c>
      <c r="M742" s="23">
        <v>60</v>
      </c>
      <c r="N742" s="3">
        <f t="shared" si="389"/>
        <v>7.7759999999999996E-2</v>
      </c>
      <c r="O742" s="4" t="e">
        <f>(C742-(C742*#REF!))-((C742-(C742*#REF!))*#REF!)</f>
        <v>#REF!</v>
      </c>
      <c r="P742" s="7"/>
      <c r="Q742" s="7"/>
      <c r="R742" s="5">
        <f t="shared" si="390"/>
        <v>0</v>
      </c>
      <c r="S742" s="4">
        <f t="shared" si="391"/>
        <v>0</v>
      </c>
      <c r="T742" s="13">
        <f t="shared" si="376"/>
        <v>713.99299999999994</v>
      </c>
      <c r="U742" s="13">
        <f t="shared" si="385"/>
        <v>356.99649999999997</v>
      </c>
      <c r="V742" s="14">
        <f>U742/C742</f>
        <v>0.35</v>
      </c>
      <c r="W742" s="14"/>
      <c r="X742" s="19">
        <f t="shared" si="392"/>
        <v>356.99649999999997</v>
      </c>
      <c r="Y742" s="19">
        <f t="shared" si="393"/>
        <v>713.99299999999994</v>
      </c>
      <c r="Z742" s="15" t="e">
        <f t="shared" si="395"/>
        <v>#DIV/0!</v>
      </c>
      <c r="AA742" s="22" t="s">
        <v>3697</v>
      </c>
      <c r="AG742" s="94" t="s">
        <v>1169</v>
      </c>
      <c r="AH742" s="89" t="str">
        <f>VLOOKUP(AG742,Sheet1!$B$3:$D$36,2,FALSE)</f>
        <v>Decors</v>
      </c>
      <c r="AI742" s="89" t="s">
        <v>3657</v>
      </c>
      <c r="AJ742" s="1" t="str">
        <f t="shared" si="377"/>
        <v>Gani round</v>
      </c>
      <c r="AK742" s="1" t="str">
        <f t="shared" si="378"/>
        <v>ø36 x h60</v>
      </c>
      <c r="AL742" s="1" t="str">
        <f t="shared" si="379"/>
        <v>rustic rust outdoor</v>
      </c>
      <c r="AM742" s="1" t="str">
        <f t="shared" si="380"/>
        <v>rustic rust outdoor</v>
      </c>
      <c r="AN742" s="1" t="str">
        <f t="shared" si="394"/>
        <v xml:space="preserve">rustic rust </v>
      </c>
      <c r="AO742" s="1" t="s">
        <v>59</v>
      </c>
      <c r="AQ742" s="1" t="str">
        <f t="shared" si="381"/>
        <v>B</v>
      </c>
      <c r="AR742" s="1" t="str">
        <f>VLOOKUP(TRIM(AI742),Sheet1!$D$3:$E$36,2,FALSE)</f>
        <v>06</v>
      </c>
      <c r="AS742" s="90" t="str">
        <f t="shared" si="382"/>
        <v>01</v>
      </c>
      <c r="AT742" s="1" t="str">
        <f t="shared" si="383"/>
        <v>01</v>
      </c>
      <c r="AU742" s="90" t="s">
        <v>1126</v>
      </c>
      <c r="AV742" s="90"/>
      <c r="AW742" s="90"/>
      <c r="AX742" s="95" t="str">
        <f>AQ742&amp;AR742&amp;AS742&amp;"-"&amp;AT742&amp;AU742&amp;BA742</f>
        <v>B0601-0119OUT</v>
      </c>
      <c r="AY742" s="99" t="str">
        <f>AQ742&amp;AR742&amp;AS742&amp;"-"&amp;AT742&amp;BA742</f>
        <v>B0601-01OUT</v>
      </c>
      <c r="AZ742" s="90"/>
      <c r="BA742" s="1" t="str">
        <f t="shared" si="384"/>
        <v>OUT</v>
      </c>
      <c r="BC742" s="1">
        <f t="shared" si="366"/>
        <v>1</v>
      </c>
      <c r="BD742" s="90">
        <f t="shared" si="367"/>
        <v>1</v>
      </c>
      <c r="BE742" s="1">
        <f t="shared" si="386"/>
        <v>1</v>
      </c>
      <c r="BF742" s="1">
        <f t="shared" si="387"/>
        <v>1</v>
      </c>
    </row>
    <row r="743" spans="1:58" ht="11.25" customHeight="1">
      <c r="A743" s="26" t="s">
        <v>3698</v>
      </c>
      <c r="B743" s="27" t="s">
        <v>3694</v>
      </c>
      <c r="C743" s="28">
        <v>1179.99</v>
      </c>
      <c r="D743" s="28">
        <f t="shared" si="375"/>
        <v>589.995</v>
      </c>
      <c r="E743" s="22" t="s">
        <v>3652</v>
      </c>
      <c r="F743" s="22" t="s">
        <v>3699</v>
      </c>
      <c r="G743" s="22" t="s">
        <v>285</v>
      </c>
      <c r="H743" s="22" t="s">
        <v>3700</v>
      </c>
      <c r="I743" s="23" t="s">
        <v>3655</v>
      </c>
      <c r="L743" s="23">
        <v>80</v>
      </c>
      <c r="M743" s="23">
        <v>20</v>
      </c>
      <c r="N743" s="3">
        <f t="shared" si="389"/>
        <v>0.128</v>
      </c>
      <c r="O743" s="4" t="e">
        <f>(C743-(C743*#REF!))-((C743-(C743*#REF!))*#REF!)</f>
        <v>#REF!</v>
      </c>
      <c r="P743" s="7"/>
      <c r="Q743" s="7"/>
      <c r="R743" s="5">
        <f t="shared" si="390"/>
        <v>0</v>
      </c>
      <c r="S743" s="4">
        <f t="shared" si="391"/>
        <v>0</v>
      </c>
      <c r="T743" s="13">
        <f t="shared" si="376"/>
        <v>825.99299999999994</v>
      </c>
      <c r="U743" s="13">
        <f t="shared" si="385"/>
        <v>412.99649999999997</v>
      </c>
      <c r="V743" s="14">
        <f>U743/C743</f>
        <v>0.35</v>
      </c>
      <c r="W743" s="14"/>
      <c r="X743" s="19">
        <f t="shared" si="392"/>
        <v>412.99649999999997</v>
      </c>
      <c r="Y743" s="19">
        <f t="shared" si="393"/>
        <v>825.99299999999994</v>
      </c>
      <c r="Z743" s="15" t="e">
        <f t="shared" si="395"/>
        <v>#DIV/0!</v>
      </c>
      <c r="AA743" s="22" t="s">
        <v>3697</v>
      </c>
      <c r="AG743" s="94" t="s">
        <v>1169</v>
      </c>
      <c r="AH743" s="89" t="str">
        <f>VLOOKUP(AG743,Sheet1!$B$3:$D$36,2,FALSE)</f>
        <v>Decors</v>
      </c>
      <c r="AI743" s="89" t="s">
        <v>3657</v>
      </c>
      <c r="AJ743" s="1" t="str">
        <f t="shared" si="377"/>
        <v>Gani round</v>
      </c>
      <c r="AK743" s="1" t="str">
        <f t="shared" si="378"/>
        <v>ø80 x h20</v>
      </c>
      <c r="AL743" s="1" t="str">
        <f t="shared" si="379"/>
        <v>rustic rust outdoor</v>
      </c>
      <c r="AM743" s="1" t="str">
        <f t="shared" si="380"/>
        <v>rustic rust outdoor</v>
      </c>
      <c r="AN743" s="1" t="str">
        <f t="shared" si="394"/>
        <v xml:space="preserve">rustic rust </v>
      </c>
      <c r="AO743" s="1" t="s">
        <v>59</v>
      </c>
      <c r="AQ743" s="1" t="str">
        <f t="shared" si="381"/>
        <v>B</v>
      </c>
      <c r="AR743" s="1" t="str">
        <f>VLOOKUP(TRIM(AI743),Sheet1!$D$3:$E$36,2,FALSE)</f>
        <v>06</v>
      </c>
      <c r="AS743" s="90" t="str">
        <f t="shared" si="382"/>
        <v>02</v>
      </c>
      <c r="AT743" s="1" t="str">
        <f t="shared" si="383"/>
        <v>01</v>
      </c>
      <c r="AU743" s="90" t="s">
        <v>1126</v>
      </c>
      <c r="AV743" s="90"/>
      <c r="AW743" s="90"/>
      <c r="AX743" s="95" t="str">
        <f>AQ743&amp;AR743&amp;AS743&amp;"-"&amp;AT743&amp;AU743&amp;BA743</f>
        <v>B0602-0119OUT</v>
      </c>
      <c r="AY743" s="99" t="str">
        <f>AQ743&amp;AR743&amp;AS743&amp;"-"&amp;AT743&amp;BA743</f>
        <v>B0602-01OUT</v>
      </c>
      <c r="AZ743" s="90"/>
      <c r="BA743" s="1" t="str">
        <f t="shared" si="384"/>
        <v>OUT</v>
      </c>
      <c r="BC743" s="1" t="str">
        <f t="shared" si="366"/>
        <v/>
      </c>
      <c r="BD743" s="90">
        <f t="shared" si="367"/>
        <v>2</v>
      </c>
      <c r="BE743" s="1">
        <f t="shared" si="386"/>
        <v>1</v>
      </c>
      <c r="BF743" s="1">
        <f t="shared" si="387"/>
        <v>1</v>
      </c>
    </row>
    <row r="744" spans="1:58" ht="11.25" customHeight="1">
      <c r="A744" s="26" t="s">
        <v>3701</v>
      </c>
      <c r="B744" s="27" t="s">
        <v>3694</v>
      </c>
      <c r="C744" s="28">
        <v>1859.99</v>
      </c>
      <c r="D744" s="28">
        <f t="shared" si="375"/>
        <v>929.995</v>
      </c>
      <c r="E744" s="22" t="s">
        <v>3652</v>
      </c>
      <c r="F744" s="22" t="s">
        <v>3702</v>
      </c>
      <c r="G744" s="22" t="s">
        <v>285</v>
      </c>
      <c r="H744" s="22" t="s">
        <v>3703</v>
      </c>
      <c r="I744" s="23" t="s">
        <v>3655</v>
      </c>
      <c r="L744" s="23">
        <v>57</v>
      </c>
      <c r="M744" s="23">
        <v>90</v>
      </c>
      <c r="N744" s="3">
        <f t="shared" si="389"/>
        <v>0.29241</v>
      </c>
      <c r="O744" s="4" t="e">
        <f>(C744-(C744*#REF!))-((C744-(C744*#REF!))*#REF!)</f>
        <v>#REF!</v>
      </c>
      <c r="P744" s="7"/>
      <c r="Q744" s="7"/>
      <c r="R744" s="5">
        <f t="shared" si="390"/>
        <v>0</v>
      </c>
      <c r="S744" s="4">
        <f t="shared" si="391"/>
        <v>0</v>
      </c>
      <c r="T744" s="13">
        <f t="shared" si="376"/>
        <v>1301.9929999999999</v>
      </c>
      <c r="U744" s="13">
        <f t="shared" si="385"/>
        <v>650.99649999999997</v>
      </c>
      <c r="V744" s="14">
        <f>U744/C744</f>
        <v>0.35</v>
      </c>
      <c r="W744" s="14"/>
      <c r="X744" s="19">
        <f t="shared" si="392"/>
        <v>650.99649999999997</v>
      </c>
      <c r="Y744" s="19">
        <f t="shared" si="393"/>
        <v>1301.9929999999999</v>
      </c>
      <c r="Z744" s="15" t="e">
        <f t="shared" si="395"/>
        <v>#DIV/0!</v>
      </c>
      <c r="AA744" s="22" t="s">
        <v>3704</v>
      </c>
      <c r="AG744" s="94" t="s">
        <v>1169</v>
      </c>
      <c r="AH744" s="89" t="str">
        <f>VLOOKUP(AG744,Sheet1!$B$3:$D$36,2,FALSE)</f>
        <v>Decors</v>
      </c>
      <c r="AI744" s="89" t="s">
        <v>3657</v>
      </c>
      <c r="AJ744" s="1" t="str">
        <f t="shared" si="377"/>
        <v>Gani round</v>
      </c>
      <c r="AK744" s="1" t="str">
        <f t="shared" si="378"/>
        <v>ø57 x h90</v>
      </c>
      <c r="AL744" s="1" t="str">
        <f t="shared" si="379"/>
        <v>rustic rust outdoor</v>
      </c>
      <c r="AM744" s="1" t="str">
        <f t="shared" si="380"/>
        <v>rustic rust outdoor</v>
      </c>
      <c r="AN744" s="1" t="str">
        <f t="shared" si="394"/>
        <v xml:space="preserve">rustic rust </v>
      </c>
      <c r="AO744" s="1" t="s">
        <v>59</v>
      </c>
      <c r="AQ744" s="1" t="str">
        <f t="shared" si="381"/>
        <v>B</v>
      </c>
      <c r="AR744" s="1" t="str">
        <f>VLOOKUP(TRIM(AI744),Sheet1!$D$3:$E$36,2,FALSE)</f>
        <v>06</v>
      </c>
      <c r="AS744" s="90" t="str">
        <f t="shared" si="382"/>
        <v>03</v>
      </c>
      <c r="AT744" s="1" t="str">
        <f t="shared" si="383"/>
        <v>01</v>
      </c>
      <c r="AU744" s="90" t="s">
        <v>1126</v>
      </c>
      <c r="AV744" s="90"/>
      <c r="AW744" s="90"/>
      <c r="AX744" s="95" t="str">
        <f>AQ744&amp;AR744&amp;AS744&amp;"-"&amp;AT744&amp;AU744&amp;BA744</f>
        <v>B0603-0119OUT</v>
      </c>
      <c r="AY744" s="99" t="str">
        <f>AQ744&amp;AR744&amp;AS744&amp;"-"&amp;AT744&amp;BA744</f>
        <v>B0603-01OUT</v>
      </c>
      <c r="AZ744" s="90"/>
      <c r="BA744" s="1" t="str">
        <f t="shared" si="384"/>
        <v>OUT</v>
      </c>
      <c r="BC744" s="1" t="str">
        <f t="shared" si="366"/>
        <v/>
      </c>
      <c r="BD744" s="90">
        <f t="shared" si="367"/>
        <v>3</v>
      </c>
      <c r="BE744" s="1">
        <f t="shared" si="386"/>
        <v>1</v>
      </c>
      <c r="BF744" s="1">
        <f t="shared" si="387"/>
        <v>1</v>
      </c>
    </row>
    <row r="745" spans="1:58" ht="11.25" customHeight="1">
      <c r="A745" s="26" t="s">
        <v>3705</v>
      </c>
      <c r="B745" s="27" t="s">
        <v>3706</v>
      </c>
      <c r="C745" s="28">
        <v>1019.99</v>
      </c>
      <c r="D745" s="28">
        <f t="shared" si="375"/>
        <v>509.995</v>
      </c>
      <c r="E745" s="22" t="s">
        <v>3652</v>
      </c>
      <c r="F745" s="22" t="s">
        <v>3707</v>
      </c>
      <c r="G745" s="22" t="s">
        <v>282</v>
      </c>
      <c r="H745" s="22" t="s">
        <v>3708</v>
      </c>
      <c r="I745" s="23" t="s">
        <v>3655</v>
      </c>
      <c r="L745" s="23">
        <v>50</v>
      </c>
      <c r="M745" s="23">
        <v>60</v>
      </c>
      <c r="N745" s="3">
        <f t="shared" si="389"/>
        <v>0.15</v>
      </c>
      <c r="O745" s="4" t="e">
        <f>(C745-(C745*#REF!))-((C745-(C745*#REF!))*#REF!)</f>
        <v>#REF!</v>
      </c>
      <c r="P745" s="7"/>
      <c r="Q745" s="7"/>
      <c r="R745" s="5">
        <f t="shared" si="390"/>
        <v>0</v>
      </c>
      <c r="S745" s="4">
        <f t="shared" si="391"/>
        <v>0</v>
      </c>
      <c r="T745" s="13">
        <f t="shared" si="376"/>
        <v>713.99299999999994</v>
      </c>
      <c r="U745" s="13">
        <f t="shared" si="385"/>
        <v>356.99649999999997</v>
      </c>
      <c r="V745" s="14">
        <f>U745/C745</f>
        <v>0.35</v>
      </c>
      <c r="W745" s="14"/>
      <c r="X745" s="19">
        <f t="shared" si="392"/>
        <v>356.99649999999997</v>
      </c>
      <c r="Y745" s="19">
        <f t="shared" si="393"/>
        <v>713.99299999999994</v>
      </c>
      <c r="Z745" s="15" t="e">
        <f t="shared" si="395"/>
        <v>#DIV/0!</v>
      </c>
      <c r="AA745" s="22" t="s">
        <v>3709</v>
      </c>
      <c r="AG745" s="94" t="s">
        <v>1169</v>
      </c>
      <c r="AH745" s="89" t="str">
        <f>VLOOKUP(AG745,Sheet1!$B$3:$D$36,2,FALSE)</f>
        <v>Decors</v>
      </c>
      <c r="AI745" s="89" t="s">
        <v>3657</v>
      </c>
      <c r="AJ745" s="1" t="str">
        <f t="shared" si="377"/>
        <v>Gani conic</v>
      </c>
      <c r="AK745" s="1" t="str">
        <f t="shared" si="378"/>
        <v>ø50 x h60</v>
      </c>
      <c r="AL745" s="1" t="str">
        <f t="shared" si="379"/>
        <v>rustic rust outdoor</v>
      </c>
      <c r="AM745" s="1" t="str">
        <f t="shared" si="380"/>
        <v>rustic rust outdoor</v>
      </c>
      <c r="AN745" s="1" t="str">
        <f t="shared" si="394"/>
        <v xml:space="preserve">rustic rust </v>
      </c>
      <c r="AO745" s="1" t="s">
        <v>59</v>
      </c>
      <c r="AQ745" s="1" t="str">
        <f t="shared" si="381"/>
        <v>B</v>
      </c>
      <c r="AR745" s="1" t="str">
        <f>VLOOKUP(TRIM(AI745),Sheet1!$D$3:$E$36,2,FALSE)</f>
        <v>06</v>
      </c>
      <c r="AS745" s="90" t="str">
        <f t="shared" si="382"/>
        <v>01</v>
      </c>
      <c r="AT745" s="1" t="str">
        <f t="shared" si="383"/>
        <v>01</v>
      </c>
      <c r="AU745" s="90" t="s">
        <v>1126</v>
      </c>
      <c r="AV745" s="90"/>
      <c r="AW745" s="90"/>
      <c r="AX745" s="95" t="str">
        <f>AQ745&amp;AR745&amp;AS745&amp;"-"&amp;AT745&amp;AU745&amp;BA745</f>
        <v>B0601-0119OUT</v>
      </c>
      <c r="AY745" s="99" t="str">
        <f>AQ745&amp;AR745&amp;AS745&amp;"-"&amp;AT745&amp;BA745</f>
        <v>B0601-01OUT</v>
      </c>
      <c r="AZ745" s="90"/>
      <c r="BA745" s="1" t="str">
        <f t="shared" si="384"/>
        <v>OUT</v>
      </c>
      <c r="BC745" s="1">
        <f t="shared" ref="BC745:BC808" si="396">IF(AJ744&lt;&gt;AJ745,1,"")</f>
        <v>1</v>
      </c>
      <c r="BD745" s="90">
        <f t="shared" ref="BD745:BD808" si="397">IF(BC745=1,1,BD744+1)</f>
        <v>1</v>
      </c>
      <c r="BE745" s="1">
        <f t="shared" si="386"/>
        <v>1</v>
      </c>
      <c r="BF745" s="1">
        <f t="shared" si="387"/>
        <v>1</v>
      </c>
    </row>
    <row r="746" spans="1:58" ht="11.25" customHeight="1">
      <c r="A746" s="26" t="s">
        <v>3710</v>
      </c>
      <c r="B746" s="27" t="s">
        <v>3706</v>
      </c>
      <c r="C746" s="28">
        <v>1179.99</v>
      </c>
      <c r="D746" s="28">
        <f t="shared" si="375"/>
        <v>589.995</v>
      </c>
      <c r="E746" s="22" t="s">
        <v>3652</v>
      </c>
      <c r="F746" s="22" t="s">
        <v>3711</v>
      </c>
      <c r="G746" s="22" t="s">
        <v>282</v>
      </c>
      <c r="H746" s="22" t="s">
        <v>3712</v>
      </c>
      <c r="I746" s="23" t="s">
        <v>3655</v>
      </c>
      <c r="L746" s="23">
        <v>90</v>
      </c>
      <c r="M746" s="23">
        <v>20</v>
      </c>
      <c r="N746" s="3">
        <f t="shared" si="389"/>
        <v>0.16200000000000001</v>
      </c>
      <c r="O746" s="4" t="e">
        <f>(C746-(C746*#REF!))-((C746-(C746*#REF!))*#REF!)</f>
        <v>#REF!</v>
      </c>
      <c r="P746" s="7"/>
      <c r="Q746" s="7"/>
      <c r="R746" s="5">
        <f t="shared" si="390"/>
        <v>0</v>
      </c>
      <c r="S746" s="4">
        <f t="shared" si="391"/>
        <v>0</v>
      </c>
      <c r="T746" s="13">
        <f t="shared" si="376"/>
        <v>825.99299999999994</v>
      </c>
      <c r="U746" s="13">
        <f t="shared" si="385"/>
        <v>412.99649999999997</v>
      </c>
      <c r="V746" s="14">
        <f>U746/C746</f>
        <v>0.35</v>
      </c>
      <c r="W746" s="14"/>
      <c r="X746" s="19">
        <f t="shared" si="392"/>
        <v>412.99649999999997</v>
      </c>
      <c r="Y746" s="19">
        <f t="shared" si="393"/>
        <v>825.99299999999994</v>
      </c>
      <c r="Z746" s="15" t="e">
        <f t="shared" si="395"/>
        <v>#DIV/0!</v>
      </c>
      <c r="AA746" s="22" t="s">
        <v>3713</v>
      </c>
      <c r="AG746" s="94" t="s">
        <v>1169</v>
      </c>
      <c r="AH746" s="89" t="str">
        <f>VLOOKUP(AG746,Sheet1!$B$3:$D$36,2,FALSE)</f>
        <v>Decors</v>
      </c>
      <c r="AI746" s="89" t="s">
        <v>3657</v>
      </c>
      <c r="AJ746" s="1" t="str">
        <f t="shared" si="377"/>
        <v>Gani conic</v>
      </c>
      <c r="AK746" s="1" t="str">
        <f t="shared" si="378"/>
        <v>ø90 x h20</v>
      </c>
      <c r="AL746" s="1" t="str">
        <f t="shared" si="379"/>
        <v>rustic rust outdoor</v>
      </c>
      <c r="AM746" s="1" t="str">
        <f t="shared" si="380"/>
        <v>rustic rust outdoor</v>
      </c>
      <c r="AN746" s="1" t="str">
        <f t="shared" si="394"/>
        <v xml:space="preserve">rustic rust </v>
      </c>
      <c r="AO746" s="1" t="s">
        <v>59</v>
      </c>
      <c r="AQ746" s="1" t="str">
        <f t="shared" si="381"/>
        <v>B</v>
      </c>
      <c r="AR746" s="1" t="str">
        <f>VLOOKUP(TRIM(AI746),Sheet1!$D$3:$E$36,2,FALSE)</f>
        <v>06</v>
      </c>
      <c r="AS746" s="90" t="str">
        <f t="shared" si="382"/>
        <v>02</v>
      </c>
      <c r="AT746" s="1" t="str">
        <f t="shared" si="383"/>
        <v>01</v>
      </c>
      <c r="AU746" s="90" t="s">
        <v>1126</v>
      </c>
      <c r="AV746" s="90"/>
      <c r="AW746" s="90"/>
      <c r="AX746" s="95" t="str">
        <f>AQ746&amp;AR746&amp;AS746&amp;"-"&amp;AT746&amp;AU746&amp;BA746</f>
        <v>B0602-0119OUT</v>
      </c>
      <c r="AY746" s="99" t="str">
        <f>AQ746&amp;AR746&amp;AS746&amp;"-"&amp;AT746&amp;BA746</f>
        <v>B0602-01OUT</v>
      </c>
      <c r="AZ746" s="90"/>
      <c r="BA746" s="1" t="str">
        <f t="shared" si="384"/>
        <v>OUT</v>
      </c>
      <c r="BC746" s="1" t="str">
        <f t="shared" si="396"/>
        <v/>
      </c>
      <c r="BD746" s="90">
        <f t="shared" si="397"/>
        <v>2</v>
      </c>
      <c r="BE746" s="1">
        <f t="shared" si="386"/>
        <v>1</v>
      </c>
      <c r="BF746" s="1">
        <f t="shared" si="387"/>
        <v>1</v>
      </c>
    </row>
    <row r="747" spans="1:58" ht="11.25" customHeight="1">
      <c r="A747" s="26" t="s">
        <v>3714</v>
      </c>
      <c r="B747" s="27" t="s">
        <v>3706</v>
      </c>
      <c r="C747" s="28">
        <v>1859.99</v>
      </c>
      <c r="D747" s="28">
        <f t="shared" si="375"/>
        <v>929.995</v>
      </c>
      <c r="E747" s="22" t="s">
        <v>3652</v>
      </c>
      <c r="F747" s="22" t="s">
        <v>3715</v>
      </c>
      <c r="G747" s="22" t="s">
        <v>282</v>
      </c>
      <c r="H747" s="22" t="s">
        <v>3716</v>
      </c>
      <c r="I747" s="23" t="s">
        <v>3655</v>
      </c>
      <c r="L747" s="23">
        <v>77</v>
      </c>
      <c r="M747" s="23">
        <v>90</v>
      </c>
      <c r="N747" s="3">
        <f t="shared" si="389"/>
        <v>0.53361000000000003</v>
      </c>
      <c r="O747" s="4" t="e">
        <f>(C747-(C747*#REF!))-((C747-(C747*#REF!))*#REF!)</f>
        <v>#REF!</v>
      </c>
      <c r="P747" s="7"/>
      <c r="Q747" s="7"/>
      <c r="R747" s="5">
        <f t="shared" si="390"/>
        <v>0</v>
      </c>
      <c r="S747" s="4">
        <f t="shared" si="391"/>
        <v>0</v>
      </c>
      <c r="T747" s="13">
        <f t="shared" si="376"/>
        <v>1301.9929999999999</v>
      </c>
      <c r="U747" s="13">
        <f t="shared" si="385"/>
        <v>650.99649999999997</v>
      </c>
      <c r="V747" s="14">
        <f>U747/C747</f>
        <v>0.35</v>
      </c>
      <c r="W747" s="14"/>
      <c r="X747" s="19">
        <f t="shared" si="392"/>
        <v>650.99649999999997</v>
      </c>
      <c r="Y747" s="19">
        <f t="shared" si="393"/>
        <v>1301.9929999999999</v>
      </c>
      <c r="Z747" s="15" t="e">
        <f t="shared" si="395"/>
        <v>#DIV/0!</v>
      </c>
      <c r="AA747" s="22" t="s">
        <v>3717</v>
      </c>
      <c r="AG747" s="94" t="s">
        <v>1169</v>
      </c>
      <c r="AH747" s="89" t="str">
        <f>VLOOKUP(AG747,Sheet1!$B$3:$D$36,2,FALSE)</f>
        <v>Decors</v>
      </c>
      <c r="AI747" s="89" t="s">
        <v>3657</v>
      </c>
      <c r="AJ747" s="1" t="str">
        <f t="shared" si="377"/>
        <v>Gani conic</v>
      </c>
      <c r="AK747" s="1" t="str">
        <f t="shared" si="378"/>
        <v>ø77 x h90</v>
      </c>
      <c r="AL747" s="1" t="str">
        <f t="shared" si="379"/>
        <v>rustic rust outdoor</v>
      </c>
      <c r="AM747" s="1" t="str">
        <f t="shared" si="380"/>
        <v>rustic rust outdoor</v>
      </c>
      <c r="AN747" s="1" t="str">
        <f t="shared" si="394"/>
        <v xml:space="preserve">rustic rust </v>
      </c>
      <c r="AO747" s="1" t="s">
        <v>59</v>
      </c>
      <c r="AQ747" s="1" t="str">
        <f t="shared" si="381"/>
        <v>B</v>
      </c>
      <c r="AR747" s="1" t="str">
        <f>VLOOKUP(TRIM(AI747),Sheet1!$D$3:$E$36,2,FALSE)</f>
        <v>06</v>
      </c>
      <c r="AS747" s="90" t="str">
        <f t="shared" si="382"/>
        <v>03</v>
      </c>
      <c r="AT747" s="1" t="str">
        <f t="shared" si="383"/>
        <v>01</v>
      </c>
      <c r="AU747" s="90" t="s">
        <v>1126</v>
      </c>
      <c r="AV747" s="90"/>
      <c r="AW747" s="90"/>
      <c r="AX747" s="95" t="str">
        <f>AQ747&amp;AR747&amp;AS747&amp;"-"&amp;AT747&amp;AU747&amp;BA747</f>
        <v>B0603-0119OUT</v>
      </c>
      <c r="AY747" s="99" t="str">
        <f>AQ747&amp;AR747&amp;AS747&amp;"-"&amp;AT747&amp;BA747</f>
        <v>B0603-01OUT</v>
      </c>
      <c r="AZ747" s="90"/>
      <c r="BA747" s="1" t="str">
        <f t="shared" si="384"/>
        <v>OUT</v>
      </c>
      <c r="BC747" s="1" t="str">
        <f t="shared" si="396"/>
        <v/>
      </c>
      <c r="BD747" s="90">
        <f t="shared" si="397"/>
        <v>3</v>
      </c>
      <c r="BE747" s="1">
        <f t="shared" si="386"/>
        <v>1</v>
      </c>
      <c r="BF747" s="1">
        <f t="shared" si="387"/>
        <v>1</v>
      </c>
    </row>
    <row r="748" spans="1:58" ht="11.25" customHeight="1">
      <c r="A748" s="26" t="s">
        <v>3718</v>
      </c>
      <c r="B748" s="27" t="s">
        <v>3719</v>
      </c>
      <c r="C748" s="28">
        <v>1643.99</v>
      </c>
      <c r="D748" s="28">
        <f t="shared" si="375"/>
        <v>821.995</v>
      </c>
      <c r="E748" s="22" t="s">
        <v>3652</v>
      </c>
      <c r="F748" s="22" t="s">
        <v>3720</v>
      </c>
      <c r="G748" s="22" t="s">
        <v>3721</v>
      </c>
      <c r="H748" s="22" t="s">
        <v>3722</v>
      </c>
      <c r="I748" s="23" t="s">
        <v>3655</v>
      </c>
      <c r="L748" s="23">
        <v>55</v>
      </c>
      <c r="M748" s="23">
        <v>66</v>
      </c>
      <c r="N748" s="3">
        <f t="shared" si="389"/>
        <v>0.19964999999999999</v>
      </c>
      <c r="O748" s="4" t="e">
        <f>(C748-(C748*#REF!))-((C748-(C748*#REF!))*#REF!)</f>
        <v>#REF!</v>
      </c>
      <c r="P748" s="7"/>
      <c r="Q748" s="7"/>
      <c r="R748" s="5">
        <f t="shared" si="390"/>
        <v>0</v>
      </c>
      <c r="S748" s="4">
        <f t="shared" si="391"/>
        <v>0</v>
      </c>
      <c r="T748" s="13">
        <f t="shared" si="376"/>
        <v>1150.7930000000001</v>
      </c>
      <c r="U748" s="13">
        <f t="shared" si="385"/>
        <v>575.39650000000006</v>
      </c>
      <c r="V748" s="14">
        <f>U748/C748</f>
        <v>0.35000000000000003</v>
      </c>
      <c r="W748" s="14"/>
      <c r="X748" s="19">
        <f t="shared" si="392"/>
        <v>575.39650000000006</v>
      </c>
      <c r="Y748" s="19">
        <f t="shared" si="393"/>
        <v>1150.7930000000001</v>
      </c>
      <c r="Z748" s="15" t="e">
        <f t="shared" si="395"/>
        <v>#DIV/0!</v>
      </c>
      <c r="AA748" s="22" t="s">
        <v>3723</v>
      </c>
      <c r="AG748" s="94" t="s">
        <v>1169</v>
      </c>
      <c r="AH748" s="89" t="str">
        <f>VLOOKUP(AG748,Sheet1!$B$3:$D$36,2,FALSE)</f>
        <v>Decors</v>
      </c>
      <c r="AI748" s="89" t="s">
        <v>3657</v>
      </c>
      <c r="AJ748" s="1" t="str">
        <f t="shared" si="377"/>
        <v>Vero basket small</v>
      </c>
      <c r="AK748" s="1" t="str">
        <f t="shared" si="378"/>
        <v>ø55 x h66</v>
      </c>
      <c r="AL748" s="1" t="str">
        <f t="shared" si="379"/>
        <v>rustic rust outdoor</v>
      </c>
      <c r="AM748" s="1" t="str">
        <f t="shared" si="380"/>
        <v>rustic rust outdoor</v>
      </c>
      <c r="AN748" s="1" t="str">
        <f t="shared" si="394"/>
        <v xml:space="preserve">rustic rust </v>
      </c>
      <c r="AO748" s="1" t="s">
        <v>59</v>
      </c>
      <c r="AQ748" s="1" t="str">
        <f t="shared" si="381"/>
        <v>B</v>
      </c>
      <c r="AR748" s="1" t="str">
        <f>VLOOKUP(TRIM(AI748),Sheet1!$D$3:$E$36,2,FALSE)</f>
        <v>06</v>
      </c>
      <c r="AS748" s="90" t="str">
        <f t="shared" si="382"/>
        <v>01</v>
      </c>
      <c r="AT748" s="1" t="str">
        <f t="shared" si="383"/>
        <v>01</v>
      </c>
      <c r="AU748" s="90" t="s">
        <v>1126</v>
      </c>
      <c r="AV748" s="90"/>
      <c r="AW748" s="90"/>
      <c r="AX748" s="95" t="str">
        <f>AQ748&amp;AR748&amp;AS748&amp;"-"&amp;AT748&amp;AU748&amp;BA748</f>
        <v>B0601-0119OUT</v>
      </c>
      <c r="AY748" s="99" t="str">
        <f>AQ748&amp;AR748&amp;AS748&amp;"-"&amp;AT748&amp;BA748</f>
        <v>B0601-01OUT</v>
      </c>
      <c r="AZ748" s="90"/>
      <c r="BA748" s="1" t="str">
        <f t="shared" si="384"/>
        <v>OUT</v>
      </c>
      <c r="BC748" s="1">
        <f t="shared" si="396"/>
        <v>1</v>
      </c>
      <c r="BD748" s="90">
        <f t="shared" si="397"/>
        <v>1</v>
      </c>
      <c r="BE748" s="1">
        <f t="shared" si="386"/>
        <v>1</v>
      </c>
      <c r="BF748" s="1">
        <f t="shared" si="387"/>
        <v>1</v>
      </c>
    </row>
    <row r="749" spans="1:58" ht="11.25" customHeight="1">
      <c r="A749" s="26" t="s">
        <v>3724</v>
      </c>
      <c r="B749" s="27" t="s">
        <v>3725</v>
      </c>
      <c r="C749" s="28">
        <v>2207.9899999999998</v>
      </c>
      <c r="D749" s="28">
        <f t="shared" si="375"/>
        <v>1103.9949999999999</v>
      </c>
      <c r="E749" s="22" t="s">
        <v>3652</v>
      </c>
      <c r="F749" s="22" t="s">
        <v>3726</v>
      </c>
      <c r="G749" s="22" t="s">
        <v>3727</v>
      </c>
      <c r="H749" s="22" t="s">
        <v>3728</v>
      </c>
      <c r="I749" s="23" t="s">
        <v>3655</v>
      </c>
      <c r="L749" s="23">
        <v>120</v>
      </c>
      <c r="M749" s="23">
        <v>55</v>
      </c>
      <c r="N749" s="3">
        <f t="shared" si="389"/>
        <v>0.79200000000000004</v>
      </c>
      <c r="O749" s="4" t="e">
        <f>(C749-(C749*#REF!))-((C749-(C749*#REF!))*#REF!)</f>
        <v>#REF!</v>
      </c>
      <c r="P749" s="7"/>
      <c r="Q749" s="7"/>
      <c r="R749" s="5">
        <f t="shared" si="390"/>
        <v>0</v>
      </c>
      <c r="S749" s="4">
        <f t="shared" si="391"/>
        <v>0</v>
      </c>
      <c r="T749" s="13">
        <f t="shared" si="376"/>
        <v>1545.5929999999998</v>
      </c>
      <c r="U749" s="13">
        <f t="shared" si="385"/>
        <v>772.79649999999992</v>
      </c>
      <c r="V749" s="14">
        <f>U749/C749</f>
        <v>0.35</v>
      </c>
      <c r="W749" s="14"/>
      <c r="X749" s="19">
        <f t="shared" si="392"/>
        <v>772.79649999999992</v>
      </c>
      <c r="Y749" s="19">
        <f t="shared" si="393"/>
        <v>1545.5929999999998</v>
      </c>
      <c r="Z749" s="15" t="e">
        <f t="shared" si="395"/>
        <v>#DIV/0!</v>
      </c>
      <c r="AA749" s="22" t="s">
        <v>3729</v>
      </c>
      <c r="AG749" s="94" t="s">
        <v>1169</v>
      </c>
      <c r="AH749" s="89" t="str">
        <f>VLOOKUP(AG749,Sheet1!$B$3:$D$36,2,FALSE)</f>
        <v>Decors</v>
      </c>
      <c r="AI749" s="89" t="s">
        <v>3657</v>
      </c>
      <c r="AJ749" s="1" t="str">
        <f t="shared" si="377"/>
        <v>Vero basket wide</v>
      </c>
      <c r="AK749" s="1" t="str">
        <f t="shared" si="378"/>
        <v>ø120 x h55</v>
      </c>
      <c r="AL749" s="1" t="str">
        <f t="shared" si="379"/>
        <v>rustic rust outdoor</v>
      </c>
      <c r="AM749" s="1" t="str">
        <f t="shared" si="380"/>
        <v>rustic rust outdoor</v>
      </c>
      <c r="AN749" s="1" t="str">
        <f t="shared" si="394"/>
        <v xml:space="preserve">rustic rust </v>
      </c>
      <c r="AO749" s="1" t="s">
        <v>59</v>
      </c>
      <c r="AQ749" s="1" t="str">
        <f t="shared" si="381"/>
        <v>B</v>
      </c>
      <c r="AR749" s="1" t="str">
        <f>VLOOKUP(TRIM(AI749),Sheet1!$D$3:$E$36,2,FALSE)</f>
        <v>06</v>
      </c>
      <c r="AS749" s="90" t="str">
        <f t="shared" si="382"/>
        <v>01</v>
      </c>
      <c r="AT749" s="1" t="str">
        <f t="shared" si="383"/>
        <v>01</v>
      </c>
      <c r="AU749" s="90" t="s">
        <v>1126</v>
      </c>
      <c r="AV749" s="90"/>
      <c r="AW749" s="90"/>
      <c r="AX749" s="95" t="str">
        <f>AQ749&amp;AR749&amp;AS749&amp;"-"&amp;AT749&amp;AU749&amp;BA749</f>
        <v>B0601-0119OUT</v>
      </c>
      <c r="AY749" s="99" t="str">
        <f>AQ749&amp;AR749&amp;AS749&amp;"-"&amp;AT749&amp;BA749</f>
        <v>B0601-01OUT</v>
      </c>
      <c r="AZ749" s="90"/>
      <c r="BA749" s="1" t="str">
        <f t="shared" si="384"/>
        <v>OUT</v>
      </c>
      <c r="BC749" s="1">
        <f t="shared" si="396"/>
        <v>1</v>
      </c>
      <c r="BD749" s="90">
        <f t="shared" si="397"/>
        <v>1</v>
      </c>
      <c r="BE749" s="1">
        <f t="shared" si="386"/>
        <v>1</v>
      </c>
      <c r="BF749" s="1">
        <f t="shared" si="387"/>
        <v>1</v>
      </c>
    </row>
    <row r="750" spans="1:58" ht="11.25" customHeight="1">
      <c r="A750" s="26" t="s">
        <v>3730</v>
      </c>
      <c r="B750" s="27" t="s">
        <v>3731</v>
      </c>
      <c r="C750" s="28">
        <v>2226.9899999999998</v>
      </c>
      <c r="D750" s="28">
        <f t="shared" si="375"/>
        <v>1113.4949999999999</v>
      </c>
      <c r="E750" s="22" t="s">
        <v>3652</v>
      </c>
      <c r="F750" s="22" t="s">
        <v>3732</v>
      </c>
      <c r="G750" s="22" t="s">
        <v>3733</v>
      </c>
      <c r="H750" s="22" t="s">
        <v>3734</v>
      </c>
      <c r="I750" s="23" t="s">
        <v>3655</v>
      </c>
      <c r="L750" s="23">
        <v>95</v>
      </c>
      <c r="M750" s="23">
        <v>130</v>
      </c>
      <c r="N750" s="3">
        <f t="shared" si="389"/>
        <v>1.1732499999999999</v>
      </c>
      <c r="O750" s="4" t="e">
        <f>(C750-(C750*#REF!))-((C750-(C750*#REF!))*#REF!)</f>
        <v>#REF!</v>
      </c>
      <c r="P750" s="7"/>
      <c r="Q750" s="7"/>
      <c r="R750" s="5">
        <f t="shared" si="390"/>
        <v>0</v>
      </c>
      <c r="S750" s="4">
        <f t="shared" si="391"/>
        <v>0</v>
      </c>
      <c r="T750" s="13">
        <f t="shared" si="376"/>
        <v>1558.893</v>
      </c>
      <c r="U750" s="13">
        <f t="shared" si="385"/>
        <v>779.44650000000001</v>
      </c>
      <c r="V750" s="14">
        <f>U750/C750</f>
        <v>0.35000000000000003</v>
      </c>
      <c r="W750" s="14"/>
      <c r="X750" s="19">
        <f t="shared" si="392"/>
        <v>779.44650000000001</v>
      </c>
      <c r="Y750" s="19">
        <f t="shared" si="393"/>
        <v>1558.893</v>
      </c>
      <c r="Z750" s="15" t="e">
        <f t="shared" si="395"/>
        <v>#DIV/0!</v>
      </c>
      <c r="AA750" s="22" t="s">
        <v>3735</v>
      </c>
      <c r="AG750" s="94" t="s">
        <v>1169</v>
      </c>
      <c r="AH750" s="89" t="str">
        <f>VLOOKUP(AG750,Sheet1!$B$3:$D$36,2,FALSE)</f>
        <v>Decors</v>
      </c>
      <c r="AI750" s="89" t="s">
        <v>3657</v>
      </c>
      <c r="AJ750" s="1" t="str">
        <f t="shared" si="377"/>
        <v>Vero basket torch</v>
      </c>
      <c r="AK750" s="1" t="str">
        <f t="shared" si="378"/>
        <v>ø95 x H130</v>
      </c>
      <c r="AL750" s="1" t="str">
        <f t="shared" si="379"/>
        <v>rustic rust outdoor</v>
      </c>
      <c r="AM750" s="1" t="str">
        <f t="shared" si="380"/>
        <v>rustic rust outdoor</v>
      </c>
      <c r="AN750" s="1" t="str">
        <f t="shared" si="394"/>
        <v xml:space="preserve">rustic rust </v>
      </c>
      <c r="AO750" s="1" t="s">
        <v>59</v>
      </c>
      <c r="AQ750" s="1" t="str">
        <f t="shared" si="381"/>
        <v>B</v>
      </c>
      <c r="AR750" s="1" t="str">
        <f>VLOOKUP(TRIM(AI750),Sheet1!$D$3:$E$36,2,FALSE)</f>
        <v>06</v>
      </c>
      <c r="AS750" s="90" t="str">
        <f t="shared" si="382"/>
        <v>01</v>
      </c>
      <c r="AT750" s="1" t="str">
        <f t="shared" si="383"/>
        <v>01</v>
      </c>
      <c r="AU750" s="90" t="s">
        <v>1126</v>
      </c>
      <c r="AV750" s="90"/>
      <c r="AW750" s="90"/>
      <c r="AX750" s="95" t="str">
        <f>AQ750&amp;AR750&amp;AS750&amp;"-"&amp;AT750&amp;AU750&amp;BA750</f>
        <v>B0601-0119OUT</v>
      </c>
      <c r="AY750" s="99" t="str">
        <f>AQ750&amp;AR750&amp;AS750&amp;"-"&amp;AT750&amp;BA750</f>
        <v>B0601-01OUT</v>
      </c>
      <c r="AZ750" s="90"/>
      <c r="BA750" s="1" t="str">
        <f t="shared" si="384"/>
        <v>OUT</v>
      </c>
      <c r="BC750" s="1">
        <f t="shared" si="396"/>
        <v>1</v>
      </c>
      <c r="BD750" s="90">
        <f t="shared" si="397"/>
        <v>1</v>
      </c>
      <c r="BE750" s="1">
        <f t="shared" si="386"/>
        <v>1</v>
      </c>
      <c r="BF750" s="1">
        <f t="shared" si="387"/>
        <v>1</v>
      </c>
    </row>
    <row r="751" spans="1:58" s="63" customFormat="1" ht="15.75">
      <c r="A751" s="33" t="s">
        <v>3736</v>
      </c>
      <c r="B751" s="34"/>
      <c r="C751" s="35"/>
      <c r="D751" s="36"/>
      <c r="E751" s="39"/>
      <c r="F751" s="40"/>
      <c r="G751" s="39"/>
      <c r="H751" s="39"/>
      <c r="I751" s="41"/>
      <c r="J751" s="39"/>
      <c r="K751" s="41"/>
      <c r="L751" s="41"/>
      <c r="M751" s="41"/>
      <c r="N751" s="48"/>
      <c r="O751" s="48"/>
      <c r="P751" s="49"/>
      <c r="Q751" s="49"/>
      <c r="R751" s="50"/>
      <c r="S751" s="48"/>
      <c r="T751" s="13"/>
      <c r="U751" s="13"/>
      <c r="V751" s="14"/>
      <c r="W751" s="14"/>
      <c r="X751" s="60"/>
      <c r="Y751" s="60"/>
      <c r="Z751" s="15"/>
      <c r="AA751" s="39"/>
      <c r="AG751" s="93"/>
      <c r="AH751" s="89"/>
      <c r="AI751" s="89"/>
      <c r="AJ751" s="1"/>
      <c r="AK751" s="1"/>
      <c r="AL751" s="1"/>
      <c r="AM751" s="1"/>
      <c r="AN751" s="1"/>
      <c r="AQ751" s="1"/>
      <c r="AR751" s="1"/>
      <c r="AS751" s="90"/>
      <c r="AT751" s="1"/>
      <c r="AU751" s="90"/>
      <c r="AV751" s="90"/>
      <c r="AW751" s="90"/>
      <c r="AX751" s="95"/>
      <c r="AY751" s="99" t="str">
        <f>AQ751&amp;AR751&amp;AS751&amp;"-"&amp;AT751&amp;BA751</f>
        <v>-</v>
      </c>
      <c r="AZ751" s="90"/>
      <c r="BA751" s="1"/>
      <c r="BC751" s="1"/>
      <c r="BD751" s="90"/>
      <c r="BE751" s="1"/>
      <c r="BF751" s="1"/>
    </row>
    <row r="752" spans="1:58" ht="11.25" customHeight="1">
      <c r="A752" s="26" t="s">
        <v>3737</v>
      </c>
      <c r="B752" s="27" t="s">
        <v>3738</v>
      </c>
      <c r="C752" s="28">
        <v>42.99</v>
      </c>
      <c r="D752" s="28">
        <f t="shared" si="375"/>
        <v>21.495000000000001</v>
      </c>
      <c r="E752" s="22" t="s">
        <v>3739</v>
      </c>
      <c r="F752" s="22" t="s">
        <v>3740</v>
      </c>
      <c r="G752" s="22" t="s">
        <v>3741</v>
      </c>
      <c r="H752" s="22" t="s">
        <v>3742</v>
      </c>
      <c r="I752" s="23" t="s">
        <v>3743</v>
      </c>
      <c r="J752" s="22" t="s">
        <v>670</v>
      </c>
      <c r="K752" s="23">
        <v>42</v>
      </c>
      <c r="L752" s="23">
        <v>3</v>
      </c>
      <c r="M752" s="23">
        <v>70</v>
      </c>
      <c r="N752" s="3">
        <f t="shared" ref="N752:N757" si="398">(IF(ISBLANK(K752),(L752*L752*M752),(K752*L752*M752)))/1000000</f>
        <v>8.8199999999999997E-3</v>
      </c>
      <c r="O752" s="4" t="e">
        <f>(C752-(C752*#REF!))-((C752-(C752*#REF!))*#REF!)</f>
        <v>#REF!</v>
      </c>
      <c r="P752" s="7"/>
      <c r="Q752" s="7"/>
      <c r="R752" s="5">
        <f t="shared" ref="R752:R757" si="399">P752+Q752</f>
        <v>0</v>
      </c>
      <c r="S752" s="4">
        <f t="shared" ref="S752:S757" si="400">R752/15000</f>
        <v>0</v>
      </c>
      <c r="T752" s="13">
        <f t="shared" si="376"/>
        <v>30.093000000000004</v>
      </c>
      <c r="U752" s="13">
        <f t="shared" si="385"/>
        <v>15.046500000000002</v>
      </c>
      <c r="V752" s="14">
        <f>U752/C752</f>
        <v>0.35000000000000003</v>
      </c>
      <c r="W752" s="14"/>
      <c r="X752" s="19">
        <f t="shared" ref="X752:X757" si="401">IF(ISBLANK(W752),U752, W752)</f>
        <v>15.046500000000002</v>
      </c>
      <c r="Y752" s="19">
        <f t="shared" ref="Y752:Y757" si="402">X752*2</f>
        <v>30.093000000000004</v>
      </c>
      <c r="Z752" s="15" t="e">
        <f t="shared" si="395"/>
        <v>#DIV/0!</v>
      </c>
      <c r="AA752" s="22" t="s">
        <v>3744</v>
      </c>
      <c r="AG752" s="94" t="s">
        <v>2489</v>
      </c>
      <c r="AH752" s="89" t="str">
        <f>VLOOKUP(AG752,Sheet1!$B$3:$D$36,2,FALSE)</f>
        <v>Textiles</v>
      </c>
      <c r="AI752" s="89" t="s">
        <v>3745</v>
      </c>
      <c r="AJ752" s="1" t="str">
        <f t="shared" si="377"/>
        <v>Macarena black hand towel</v>
      </c>
      <c r="AK752" s="1" t="str">
        <f t="shared" si="378"/>
        <v>w42 x d3 x h70</v>
      </c>
      <c r="AL752" s="1" t="str">
        <f t="shared" si="379"/>
        <v>LINEN INDOOR SET OF 2</v>
      </c>
      <c r="AM752" s="1" t="str">
        <f t="shared" si="380"/>
        <v>LINEN INDOOR SET OF 2</v>
      </c>
      <c r="AN752" s="1" t="str">
        <f t="shared" ref="AN752:AN758" si="403">SUBSTITUTE(AL752,"indoor","")</f>
        <v>LINEN INDOOR SET OF 2</v>
      </c>
      <c r="AO752" s="1" t="s">
        <v>54</v>
      </c>
      <c r="AQ752" s="1" t="str">
        <f t="shared" si="381"/>
        <v>E</v>
      </c>
      <c r="AR752" s="1" t="str">
        <f>VLOOKUP(TRIM(AI752),Sheet1!$D$3:$E$36,2,FALSE)</f>
        <v>01</v>
      </c>
      <c r="AS752" s="90" t="str">
        <f t="shared" si="382"/>
        <v>01</v>
      </c>
      <c r="AT752" s="1" t="str">
        <f t="shared" si="383"/>
        <v>01</v>
      </c>
      <c r="AU752" s="90" t="s">
        <v>3746</v>
      </c>
      <c r="AV752" s="90"/>
      <c r="AW752" s="90"/>
      <c r="AX752" s="95" t="str">
        <f>AQ752&amp;AR752&amp;AS752&amp;"-"&amp;AT752&amp;AU752&amp;BA752</f>
        <v>E0101-0109IND</v>
      </c>
      <c r="AY752" s="99" t="str">
        <f>AQ752&amp;AR752&amp;AS752&amp;"-"&amp;AT752&amp;BA752</f>
        <v>E0101-01IND</v>
      </c>
      <c r="AZ752" s="90"/>
      <c r="BA752" s="1" t="str">
        <f t="shared" si="384"/>
        <v>IND</v>
      </c>
      <c r="BC752" s="1">
        <f t="shared" si="396"/>
        <v>1</v>
      </c>
      <c r="BD752" s="90">
        <f t="shared" si="397"/>
        <v>1</v>
      </c>
      <c r="BE752" s="1">
        <f t="shared" si="386"/>
        <v>1</v>
      </c>
      <c r="BF752" s="1">
        <f t="shared" si="387"/>
        <v>1</v>
      </c>
    </row>
    <row r="753" spans="1:58" ht="11.25" customHeight="1">
      <c r="A753" s="26" t="s">
        <v>3747</v>
      </c>
      <c r="B753" s="27" t="s">
        <v>3748</v>
      </c>
      <c r="C753" s="28">
        <v>46.99</v>
      </c>
      <c r="D753" s="28">
        <f t="shared" si="375"/>
        <v>23.495000000000001</v>
      </c>
      <c r="E753" s="22" t="s">
        <v>3739</v>
      </c>
      <c r="F753" s="22" t="s">
        <v>3749</v>
      </c>
      <c r="G753" s="22" t="s">
        <v>3750</v>
      </c>
      <c r="H753" s="22" t="s">
        <v>3742</v>
      </c>
      <c r="I753" s="23" t="s">
        <v>3743</v>
      </c>
      <c r="J753" s="22" t="s">
        <v>670</v>
      </c>
      <c r="K753" s="23">
        <v>42</v>
      </c>
      <c r="L753" s="23">
        <v>3</v>
      </c>
      <c r="M753" s="23">
        <v>70</v>
      </c>
      <c r="N753" s="3">
        <f t="shared" si="398"/>
        <v>8.8199999999999997E-3</v>
      </c>
      <c r="O753" s="4" t="e">
        <f>(C753-(C753*#REF!))-((C753-(C753*#REF!))*#REF!)</f>
        <v>#REF!</v>
      </c>
      <c r="P753" s="7"/>
      <c r="Q753" s="7"/>
      <c r="R753" s="5">
        <f t="shared" si="399"/>
        <v>0</v>
      </c>
      <c r="S753" s="4">
        <f t="shared" si="400"/>
        <v>0</v>
      </c>
      <c r="T753" s="13">
        <f t="shared" si="376"/>
        <v>32.893000000000001</v>
      </c>
      <c r="U753" s="13">
        <f t="shared" si="385"/>
        <v>16.4465</v>
      </c>
      <c r="V753" s="14">
        <f>U753/C753</f>
        <v>0.35</v>
      </c>
      <c r="W753" s="14"/>
      <c r="X753" s="19">
        <f t="shared" si="401"/>
        <v>16.4465</v>
      </c>
      <c r="Y753" s="19">
        <f t="shared" si="402"/>
        <v>32.893000000000001</v>
      </c>
      <c r="Z753" s="15" t="e">
        <f t="shared" si="395"/>
        <v>#DIV/0!</v>
      </c>
      <c r="AA753" s="22" t="s">
        <v>3751</v>
      </c>
      <c r="AG753" s="94" t="s">
        <v>2489</v>
      </c>
      <c r="AH753" s="89" t="str">
        <f>VLOOKUP(AG753,Sheet1!$B$3:$D$36,2,FALSE)</f>
        <v>Textiles</v>
      </c>
      <c r="AI753" s="89" t="str">
        <f>VLOOKUP(AG753,Sheet1!$B$3:$D$36,3,FALSE)</f>
        <v>Bathroom Linen</v>
      </c>
      <c r="AJ753" s="1" t="str">
        <f t="shared" si="377"/>
        <v>Feliani silver hand towel</v>
      </c>
      <c r="AK753" s="1" t="str">
        <f t="shared" si="378"/>
        <v>w42 x d3 x h70</v>
      </c>
      <c r="AL753" s="1" t="str">
        <f t="shared" si="379"/>
        <v>LINEN INDOOR SET OF 2</v>
      </c>
      <c r="AM753" s="1" t="str">
        <f t="shared" si="380"/>
        <v>LINEN INDOOR SET OF 2</v>
      </c>
      <c r="AN753" s="1" t="str">
        <f t="shared" si="403"/>
        <v>LINEN INDOOR SET OF 2</v>
      </c>
      <c r="AO753" s="1" t="s">
        <v>54</v>
      </c>
      <c r="AQ753" s="1" t="str">
        <f t="shared" si="381"/>
        <v>E</v>
      </c>
      <c r="AR753" s="1" t="str">
        <f>VLOOKUP(TRIM(AI753),Sheet1!$D$3:$E$36,2,FALSE)</f>
        <v>01</v>
      </c>
      <c r="AS753" s="90" t="str">
        <f t="shared" si="382"/>
        <v>01</v>
      </c>
      <c r="AT753" s="1" t="str">
        <f t="shared" si="383"/>
        <v>02</v>
      </c>
      <c r="AU753" s="90" t="s">
        <v>3746</v>
      </c>
      <c r="AV753" s="90"/>
      <c r="AW753" s="90"/>
      <c r="AX753" s="95" t="str">
        <f>AQ753&amp;AR753&amp;AS753&amp;"-"&amp;AT753&amp;AU753&amp;BA753</f>
        <v>E0101-0209IND</v>
      </c>
      <c r="AY753" s="99" t="str">
        <f>AQ753&amp;AR753&amp;AS753&amp;"-"&amp;AT753&amp;BA753</f>
        <v>E0101-02IND</v>
      </c>
      <c r="AZ753" s="90"/>
      <c r="BA753" s="1" t="str">
        <f t="shared" si="384"/>
        <v>IND</v>
      </c>
      <c r="BC753" s="1">
        <f t="shared" si="396"/>
        <v>1</v>
      </c>
      <c r="BD753" s="90">
        <f t="shared" si="397"/>
        <v>1</v>
      </c>
      <c r="BE753" s="1" t="str">
        <f t="shared" si="386"/>
        <v/>
      </c>
      <c r="BF753" s="1">
        <f t="shared" si="387"/>
        <v>2</v>
      </c>
    </row>
    <row r="754" spans="1:58" ht="11.25" customHeight="1">
      <c r="A754" s="26" t="s">
        <v>3752</v>
      </c>
      <c r="B754" s="27" t="s">
        <v>3753</v>
      </c>
      <c r="C754" s="28">
        <v>42.99</v>
      </c>
      <c r="D754" s="28">
        <f t="shared" si="375"/>
        <v>21.495000000000001</v>
      </c>
      <c r="E754" s="22" t="s">
        <v>3739</v>
      </c>
      <c r="F754" s="22" t="s">
        <v>3754</v>
      </c>
      <c r="G754" s="22" t="s">
        <v>3755</v>
      </c>
      <c r="H754" s="22" t="s">
        <v>3742</v>
      </c>
      <c r="I754" s="23" t="s">
        <v>3743</v>
      </c>
      <c r="J754" s="22" t="s">
        <v>670</v>
      </c>
      <c r="K754" s="23">
        <v>42</v>
      </c>
      <c r="L754" s="23">
        <v>3</v>
      </c>
      <c r="M754" s="23">
        <v>70</v>
      </c>
      <c r="N754" s="3">
        <f t="shared" si="398"/>
        <v>8.8199999999999997E-3</v>
      </c>
      <c r="O754" s="4" t="e">
        <f>(C754-(C754*#REF!))-((C754-(C754*#REF!))*#REF!)</f>
        <v>#REF!</v>
      </c>
      <c r="P754" s="7"/>
      <c r="Q754" s="7"/>
      <c r="R754" s="5">
        <f t="shared" si="399"/>
        <v>0</v>
      </c>
      <c r="S754" s="4">
        <f t="shared" si="400"/>
        <v>0</v>
      </c>
      <c r="T754" s="13">
        <f t="shared" si="376"/>
        <v>30.093000000000004</v>
      </c>
      <c r="U754" s="13">
        <f t="shared" si="385"/>
        <v>15.046500000000002</v>
      </c>
      <c r="V754" s="14">
        <f>U754/C754</f>
        <v>0.35000000000000003</v>
      </c>
      <c r="W754" s="14"/>
      <c r="X754" s="19">
        <f t="shared" si="401"/>
        <v>15.046500000000002</v>
      </c>
      <c r="Y754" s="19">
        <f t="shared" si="402"/>
        <v>30.093000000000004</v>
      </c>
      <c r="Z754" s="15" t="e">
        <f t="shared" si="395"/>
        <v>#DIV/0!</v>
      </c>
      <c r="AA754" s="22" t="s">
        <v>3756</v>
      </c>
      <c r="AG754" s="94" t="s">
        <v>2489</v>
      </c>
      <c r="AH754" s="89" t="str">
        <f>VLOOKUP(AG754,Sheet1!$B$3:$D$36,2,FALSE)</f>
        <v>Textiles</v>
      </c>
      <c r="AI754" s="89" t="str">
        <f>VLOOKUP(AG754,Sheet1!$B$3:$D$36,3,FALSE)</f>
        <v>Bathroom Linen</v>
      </c>
      <c r="AJ754" s="1" t="str">
        <f t="shared" si="377"/>
        <v>Reno birch hand towel</v>
      </c>
      <c r="AK754" s="1" t="str">
        <f t="shared" si="378"/>
        <v>w42 x d3 x h70</v>
      </c>
      <c r="AL754" s="1" t="str">
        <f t="shared" si="379"/>
        <v>LINEN INDOOR SET OF 2</v>
      </c>
      <c r="AM754" s="1" t="str">
        <f t="shared" si="380"/>
        <v>LINEN INDOOR SET OF 2</v>
      </c>
      <c r="AN754" s="1" t="str">
        <f t="shared" si="403"/>
        <v>LINEN INDOOR SET OF 2</v>
      </c>
      <c r="AO754" s="1" t="s">
        <v>54</v>
      </c>
      <c r="AQ754" s="1" t="str">
        <f t="shared" si="381"/>
        <v>E</v>
      </c>
      <c r="AR754" s="1" t="str">
        <f>VLOOKUP(TRIM(AI754),Sheet1!$D$3:$E$36,2,FALSE)</f>
        <v>01</v>
      </c>
      <c r="AS754" s="90" t="str">
        <f t="shared" si="382"/>
        <v>01</v>
      </c>
      <c r="AT754" s="1" t="str">
        <f t="shared" si="383"/>
        <v>03</v>
      </c>
      <c r="AU754" s="90" t="s">
        <v>3746</v>
      </c>
      <c r="AV754" s="90"/>
      <c r="AW754" s="90"/>
      <c r="AX754" s="95" t="str">
        <f>AQ754&amp;AR754&amp;AS754&amp;"-"&amp;AT754&amp;AU754&amp;BA754</f>
        <v>E0101-0309IND</v>
      </c>
      <c r="AY754" s="99" t="str">
        <f>AQ754&amp;AR754&amp;AS754&amp;"-"&amp;AT754&amp;BA754</f>
        <v>E0101-03IND</v>
      </c>
      <c r="AZ754" s="90"/>
      <c r="BA754" s="1" t="str">
        <f t="shared" si="384"/>
        <v>IND</v>
      </c>
      <c r="BC754" s="1">
        <f t="shared" si="396"/>
        <v>1</v>
      </c>
      <c r="BD754" s="90">
        <f t="shared" si="397"/>
        <v>1</v>
      </c>
      <c r="BE754" s="1" t="str">
        <f t="shared" si="386"/>
        <v/>
      </c>
      <c r="BF754" s="1">
        <f t="shared" si="387"/>
        <v>3</v>
      </c>
    </row>
    <row r="755" spans="1:58" ht="11.25" customHeight="1">
      <c r="A755" s="26" t="s">
        <v>3757</v>
      </c>
      <c r="B755" s="27" t="s">
        <v>3758</v>
      </c>
      <c r="C755" s="28">
        <v>75.989999999999995</v>
      </c>
      <c r="D755" s="28">
        <f t="shared" si="375"/>
        <v>37.994999999999997</v>
      </c>
      <c r="E755" s="22" t="s">
        <v>3739</v>
      </c>
      <c r="F755" s="22" t="s">
        <v>3759</v>
      </c>
      <c r="G755" s="22" t="s">
        <v>3760</v>
      </c>
      <c r="H755" s="22" t="s">
        <v>3761</v>
      </c>
      <c r="I755" s="23" t="s">
        <v>3762</v>
      </c>
      <c r="J755" s="22" t="s">
        <v>670</v>
      </c>
      <c r="K755" s="23">
        <v>100</v>
      </c>
      <c r="L755" s="23">
        <v>3</v>
      </c>
      <c r="M755" s="23">
        <v>140</v>
      </c>
      <c r="N755" s="3">
        <f t="shared" si="398"/>
        <v>4.2000000000000003E-2</v>
      </c>
      <c r="O755" s="4" t="e">
        <f>(C755-(C755*#REF!))-((C755-(C755*#REF!))*#REF!)</f>
        <v>#REF!</v>
      </c>
      <c r="P755" s="7"/>
      <c r="Q755" s="7"/>
      <c r="R755" s="5">
        <f t="shared" si="399"/>
        <v>0</v>
      </c>
      <c r="S755" s="4">
        <f t="shared" si="400"/>
        <v>0</v>
      </c>
      <c r="T755" s="13">
        <f t="shared" si="376"/>
        <v>53.192999999999998</v>
      </c>
      <c r="U755" s="13">
        <f t="shared" si="385"/>
        <v>26.596499999999999</v>
      </c>
      <c r="V755" s="14">
        <f>U755/C755</f>
        <v>0.35000000000000003</v>
      </c>
      <c r="W755" s="14"/>
      <c r="X755" s="19">
        <f t="shared" si="401"/>
        <v>26.596499999999999</v>
      </c>
      <c r="Y755" s="19">
        <f t="shared" si="402"/>
        <v>53.192999999999998</v>
      </c>
      <c r="Z755" s="15" t="e">
        <f t="shared" si="395"/>
        <v>#DIV/0!</v>
      </c>
      <c r="AA755" s="22" t="s">
        <v>3763</v>
      </c>
      <c r="AG755" s="94" t="s">
        <v>2489</v>
      </c>
      <c r="AH755" s="89" t="str">
        <f>VLOOKUP(AG755,Sheet1!$B$3:$D$36,2,FALSE)</f>
        <v>Textiles</v>
      </c>
      <c r="AI755" s="89" t="str">
        <f>VLOOKUP(AG755,Sheet1!$B$3:$D$36,3,FALSE)</f>
        <v>Bathroom Linen</v>
      </c>
      <c r="AJ755" s="1" t="str">
        <f t="shared" si="377"/>
        <v>Macarena black bath towel</v>
      </c>
      <c r="AK755" s="1" t="str">
        <f t="shared" si="378"/>
        <v>w100 x d3 x h140</v>
      </c>
      <c r="AL755" s="1" t="str">
        <f t="shared" si="379"/>
        <v>LINEN INDOOR</v>
      </c>
      <c r="AM755" s="1" t="str">
        <f t="shared" si="380"/>
        <v>LINEN INDOOR</v>
      </c>
      <c r="AN755" s="1" t="str">
        <f t="shared" si="403"/>
        <v>LINEN INDOOR</v>
      </c>
      <c r="AO755" s="1" t="s">
        <v>54</v>
      </c>
      <c r="AQ755" s="1" t="str">
        <f t="shared" si="381"/>
        <v>E</v>
      </c>
      <c r="AR755" s="1" t="str">
        <f>VLOOKUP(TRIM(AI755),Sheet1!$D$3:$E$36,2,FALSE)</f>
        <v>01</v>
      </c>
      <c r="AS755" s="90" t="str">
        <f t="shared" si="382"/>
        <v>01</v>
      </c>
      <c r="AT755" s="1" t="str">
        <f t="shared" si="383"/>
        <v>01</v>
      </c>
      <c r="AU755" s="90" t="s">
        <v>3746</v>
      </c>
      <c r="AV755" s="90"/>
      <c r="AW755" s="90"/>
      <c r="AX755" s="95" t="str">
        <f>AQ755&amp;AR755&amp;AS755&amp;"-"&amp;AT755&amp;AU755&amp;BA755</f>
        <v>E0101-0109IND</v>
      </c>
      <c r="AY755" s="99" t="str">
        <f>AQ755&amp;AR755&amp;AS755&amp;"-"&amp;AT755&amp;BA755</f>
        <v>E0101-01IND</v>
      </c>
      <c r="AZ755" s="90"/>
      <c r="BA755" s="1" t="str">
        <f t="shared" si="384"/>
        <v>IND</v>
      </c>
      <c r="BC755" s="1">
        <f t="shared" si="396"/>
        <v>1</v>
      </c>
      <c r="BD755" s="90">
        <f t="shared" si="397"/>
        <v>1</v>
      </c>
      <c r="BE755" s="1">
        <f t="shared" si="386"/>
        <v>1</v>
      </c>
      <c r="BF755" s="1">
        <f t="shared" si="387"/>
        <v>1</v>
      </c>
    </row>
    <row r="756" spans="1:58" ht="11.25" customHeight="1">
      <c r="A756" s="26" t="s">
        <v>3764</v>
      </c>
      <c r="B756" s="27" t="s">
        <v>3765</v>
      </c>
      <c r="C756" s="28">
        <v>92.99</v>
      </c>
      <c r="D756" s="28">
        <f t="shared" si="375"/>
        <v>46.494999999999997</v>
      </c>
      <c r="E756" s="22" t="s">
        <v>3739</v>
      </c>
      <c r="F756" s="22" t="s">
        <v>3766</v>
      </c>
      <c r="G756" s="22" t="s">
        <v>3767</v>
      </c>
      <c r="H756" s="22" t="s">
        <v>3768</v>
      </c>
      <c r="I756" s="23" t="s">
        <v>3762</v>
      </c>
      <c r="J756" s="22" t="s">
        <v>670</v>
      </c>
      <c r="K756" s="23">
        <v>100</v>
      </c>
      <c r="L756" s="23">
        <v>3</v>
      </c>
      <c r="M756" s="23">
        <v>140</v>
      </c>
      <c r="N756" s="3">
        <f t="shared" si="398"/>
        <v>4.2000000000000003E-2</v>
      </c>
      <c r="O756" s="4" t="e">
        <f>(C756-(C756*#REF!))-((C756-(C756*#REF!))*#REF!)</f>
        <v>#REF!</v>
      </c>
      <c r="P756" s="7"/>
      <c r="Q756" s="7"/>
      <c r="R756" s="5">
        <f t="shared" si="399"/>
        <v>0</v>
      </c>
      <c r="S756" s="4">
        <f t="shared" si="400"/>
        <v>0</v>
      </c>
      <c r="T756" s="13">
        <f t="shared" si="376"/>
        <v>65.092999999999989</v>
      </c>
      <c r="U756" s="13">
        <f t="shared" si="385"/>
        <v>32.546499999999995</v>
      </c>
      <c r="V756" s="14">
        <f>U756/C756</f>
        <v>0.35</v>
      </c>
      <c r="W756" s="14"/>
      <c r="X756" s="19">
        <f t="shared" si="401"/>
        <v>32.546499999999995</v>
      </c>
      <c r="Y756" s="19">
        <f t="shared" si="402"/>
        <v>65.092999999999989</v>
      </c>
      <c r="Z756" s="15" t="e">
        <f t="shared" si="395"/>
        <v>#DIV/0!</v>
      </c>
      <c r="AA756" s="22" t="s">
        <v>3769</v>
      </c>
      <c r="AG756" s="94" t="s">
        <v>2489</v>
      </c>
      <c r="AH756" s="89" t="str">
        <f>VLOOKUP(AG756,Sheet1!$B$3:$D$36,2,FALSE)</f>
        <v>Textiles</v>
      </c>
      <c r="AI756" s="89" t="str">
        <f>VLOOKUP(AG756,Sheet1!$B$3:$D$36,3,FALSE)</f>
        <v>Bathroom Linen</v>
      </c>
      <c r="AJ756" s="1" t="str">
        <f t="shared" si="377"/>
        <v>Feliani silver bath towel</v>
      </c>
      <c r="AK756" s="1" t="str">
        <f t="shared" si="378"/>
        <v xml:space="preserve">w100 x d3 x h140
</v>
      </c>
      <c r="AL756" s="1" t="str">
        <f t="shared" si="379"/>
        <v>LINEN INDOOR</v>
      </c>
      <c r="AM756" s="1" t="str">
        <f t="shared" si="380"/>
        <v>LINEN INDOOR</v>
      </c>
      <c r="AN756" s="1" t="str">
        <f t="shared" si="403"/>
        <v>LINEN INDOOR</v>
      </c>
      <c r="AO756" s="1" t="s">
        <v>54</v>
      </c>
      <c r="AQ756" s="1" t="str">
        <f t="shared" si="381"/>
        <v>E</v>
      </c>
      <c r="AR756" s="1" t="str">
        <f>VLOOKUP(TRIM(AI756),Sheet1!$D$3:$E$36,2,FALSE)</f>
        <v>01</v>
      </c>
      <c r="AS756" s="90" t="str">
        <f t="shared" si="382"/>
        <v>01</v>
      </c>
      <c r="AT756" s="1" t="str">
        <f t="shared" si="383"/>
        <v>01</v>
      </c>
      <c r="AU756" s="90" t="s">
        <v>3746</v>
      </c>
      <c r="AV756" s="90"/>
      <c r="AW756" s="90"/>
      <c r="AX756" s="95" t="str">
        <f>AQ756&amp;AR756&amp;AS756&amp;"-"&amp;AT756&amp;AU756&amp;BA756</f>
        <v>E0101-0109IND</v>
      </c>
      <c r="AY756" s="99" t="str">
        <f>AQ756&amp;AR756&amp;AS756&amp;"-"&amp;AT756&amp;BA756</f>
        <v>E0101-01IND</v>
      </c>
      <c r="AZ756" s="90"/>
      <c r="BA756" s="1" t="str">
        <f t="shared" si="384"/>
        <v>IND</v>
      </c>
      <c r="BC756" s="1">
        <f t="shared" si="396"/>
        <v>1</v>
      </c>
      <c r="BD756" s="90">
        <f t="shared" si="397"/>
        <v>1</v>
      </c>
      <c r="BE756" s="1">
        <f t="shared" si="386"/>
        <v>1</v>
      </c>
      <c r="BF756" s="1">
        <f t="shared" si="387"/>
        <v>1</v>
      </c>
    </row>
    <row r="757" spans="1:58" ht="11.25" customHeight="1">
      <c r="A757" s="26" t="s">
        <v>3770</v>
      </c>
      <c r="B757" s="27" t="s">
        <v>3771</v>
      </c>
      <c r="C757" s="28">
        <v>69.989999999999995</v>
      </c>
      <c r="D757" s="28">
        <f t="shared" si="375"/>
        <v>34.994999999999997</v>
      </c>
      <c r="E757" s="22" t="s">
        <v>3739</v>
      </c>
      <c r="F757" s="22" t="s">
        <v>3772</v>
      </c>
      <c r="G757" s="22" t="s">
        <v>3773</v>
      </c>
      <c r="H757" s="22" t="s">
        <v>3761</v>
      </c>
      <c r="I757" s="23" t="s">
        <v>3762</v>
      </c>
      <c r="J757" s="22" t="s">
        <v>670</v>
      </c>
      <c r="K757" s="23">
        <v>100</v>
      </c>
      <c r="L757" s="23">
        <v>3</v>
      </c>
      <c r="M757" s="23">
        <v>140</v>
      </c>
      <c r="N757" s="3">
        <f t="shared" si="398"/>
        <v>4.2000000000000003E-2</v>
      </c>
      <c r="O757" s="4" t="e">
        <f>(C757-(C757*#REF!))-((C757-(C757*#REF!))*#REF!)</f>
        <v>#REF!</v>
      </c>
      <c r="P757" s="7"/>
      <c r="Q757" s="7"/>
      <c r="R757" s="5">
        <f t="shared" si="399"/>
        <v>0</v>
      </c>
      <c r="S757" s="4">
        <f t="shared" si="400"/>
        <v>0</v>
      </c>
      <c r="T757" s="13">
        <f t="shared" si="376"/>
        <v>48.992999999999995</v>
      </c>
      <c r="U757" s="13">
        <f t="shared" si="385"/>
        <v>24.496499999999997</v>
      </c>
      <c r="V757" s="14">
        <f>U757/C757</f>
        <v>0.35</v>
      </c>
      <c r="W757" s="14"/>
      <c r="X757" s="19">
        <f t="shared" si="401"/>
        <v>24.496499999999997</v>
      </c>
      <c r="Y757" s="19">
        <f t="shared" si="402"/>
        <v>48.992999999999995</v>
      </c>
      <c r="Z757" s="15" t="e">
        <f t="shared" si="395"/>
        <v>#DIV/0!</v>
      </c>
      <c r="AA757" s="22" t="s">
        <v>3774</v>
      </c>
      <c r="AG757" s="94" t="s">
        <v>2489</v>
      </c>
      <c r="AH757" s="89" t="str">
        <f>VLOOKUP(AG757,Sheet1!$B$3:$D$36,2,FALSE)</f>
        <v>Textiles</v>
      </c>
      <c r="AI757" s="89" t="str">
        <f>VLOOKUP(AG757,Sheet1!$B$3:$D$36,3,FALSE)</f>
        <v>Bathroom Linen</v>
      </c>
      <c r="AJ757" s="1" t="str">
        <f t="shared" si="377"/>
        <v>Reno birch bath towel</v>
      </c>
      <c r="AK757" s="1" t="str">
        <f t="shared" si="378"/>
        <v>w100 x d3 x h140</v>
      </c>
      <c r="AL757" s="1" t="str">
        <f t="shared" si="379"/>
        <v>LINEN INDOOR</v>
      </c>
      <c r="AM757" s="1" t="str">
        <f t="shared" si="380"/>
        <v>LINEN INDOOR</v>
      </c>
      <c r="AN757" s="1" t="str">
        <f t="shared" si="403"/>
        <v>LINEN INDOOR</v>
      </c>
      <c r="AO757" s="1" t="s">
        <v>54</v>
      </c>
      <c r="AQ757" s="1" t="str">
        <f t="shared" si="381"/>
        <v>E</v>
      </c>
      <c r="AR757" s="1" t="str">
        <f>VLOOKUP(TRIM(AI757),Sheet1!$D$3:$E$36,2,FALSE)</f>
        <v>01</v>
      </c>
      <c r="AS757" s="90" t="str">
        <f t="shared" si="382"/>
        <v>01</v>
      </c>
      <c r="AT757" s="1" t="str">
        <f t="shared" si="383"/>
        <v>01</v>
      </c>
      <c r="AU757" s="90" t="s">
        <v>3746</v>
      </c>
      <c r="AV757" s="90"/>
      <c r="AW757" s="90"/>
      <c r="AX757" s="95" t="str">
        <f>AQ757&amp;AR757&amp;AS757&amp;"-"&amp;AT757&amp;AU757&amp;BA757</f>
        <v>E0101-0109IND</v>
      </c>
      <c r="AY757" s="99" t="str">
        <f>AQ757&amp;AR757&amp;AS757&amp;"-"&amp;AT757&amp;BA757</f>
        <v>E0101-01IND</v>
      </c>
      <c r="AZ757" s="90"/>
      <c r="BA757" s="1" t="str">
        <f t="shared" si="384"/>
        <v>IND</v>
      </c>
      <c r="BC757" s="1">
        <f t="shared" si="396"/>
        <v>1</v>
      </c>
      <c r="BD757" s="90">
        <f t="shared" si="397"/>
        <v>1</v>
      </c>
      <c r="BE757" s="1">
        <f t="shared" si="386"/>
        <v>1</v>
      </c>
      <c r="BF757" s="1">
        <f t="shared" si="387"/>
        <v>1</v>
      </c>
    </row>
    <row r="758" spans="1:58" s="63" customFormat="1" ht="15.75">
      <c r="A758" s="33" t="s">
        <v>3775</v>
      </c>
      <c r="B758" s="34"/>
      <c r="C758" s="35"/>
      <c r="D758" s="36"/>
      <c r="E758" s="39"/>
      <c r="F758" s="40"/>
      <c r="G758" s="39"/>
      <c r="H758" s="39"/>
      <c r="I758" s="41"/>
      <c r="J758" s="39"/>
      <c r="K758" s="41"/>
      <c r="L758" s="41"/>
      <c r="M758" s="41"/>
      <c r="N758" s="48"/>
      <c r="O758" s="48"/>
      <c r="P758" s="49"/>
      <c r="Q758" s="49"/>
      <c r="R758" s="50"/>
      <c r="S758" s="48"/>
      <c r="T758" s="13"/>
      <c r="U758" s="13"/>
      <c r="V758" s="14"/>
      <c r="W758" s="14"/>
      <c r="X758" s="60"/>
      <c r="Y758" s="60"/>
      <c r="Z758" s="15"/>
      <c r="AA758" s="39"/>
      <c r="AG758" s="93"/>
      <c r="AH758" s="89"/>
      <c r="AI758" s="89"/>
      <c r="AJ758" s="1"/>
      <c r="AK758" s="1"/>
      <c r="AL758" s="1"/>
      <c r="AM758" s="1"/>
      <c r="AN758" s="1"/>
      <c r="AQ758" s="1"/>
      <c r="AR758" s="1"/>
      <c r="AS758" s="90"/>
      <c r="AT758" s="1"/>
      <c r="AU758" s="90"/>
      <c r="AV758" s="90"/>
      <c r="AW758" s="90"/>
      <c r="AX758" s="95"/>
      <c r="AY758" s="99" t="str">
        <f>AQ758&amp;AR758&amp;AS758&amp;"-"&amp;AT758&amp;BA758</f>
        <v>-</v>
      </c>
      <c r="AZ758" s="90"/>
      <c r="BA758" s="1"/>
      <c r="BC758" s="1"/>
      <c r="BD758" s="90"/>
      <c r="BE758" s="1"/>
      <c r="BF758" s="1"/>
    </row>
    <row r="759" spans="1:58" ht="11.25" customHeight="1">
      <c r="A759" s="26" t="s">
        <v>3776</v>
      </c>
      <c r="B759" s="27" t="s">
        <v>3777</v>
      </c>
      <c r="C759" s="28">
        <v>45.99</v>
      </c>
      <c r="D759" s="28">
        <f t="shared" si="375"/>
        <v>22.995000000000001</v>
      </c>
      <c r="E759" s="22" t="s">
        <v>3778</v>
      </c>
      <c r="F759" s="22" t="s">
        <v>3779</v>
      </c>
      <c r="G759" s="22" t="s">
        <v>3780</v>
      </c>
      <c r="H759" s="22" t="s">
        <v>3781</v>
      </c>
      <c r="I759" s="23" t="s">
        <v>3762</v>
      </c>
      <c r="J759" s="22" t="s">
        <v>670</v>
      </c>
      <c r="K759" s="23">
        <v>35</v>
      </c>
      <c r="L759" s="23">
        <v>3</v>
      </c>
      <c r="M759" s="23">
        <v>50</v>
      </c>
      <c r="N759" s="3">
        <f t="shared" ref="N759:N771" si="404">(IF(ISBLANK(K759),(L759*L759*M759),(K759*L759*M759)))/1000000</f>
        <v>5.2500000000000003E-3</v>
      </c>
      <c r="O759" s="4" t="e">
        <f>(C759-(C759*#REF!))-((C759-(C759*#REF!))*#REF!)</f>
        <v>#REF!</v>
      </c>
      <c r="P759" s="7"/>
      <c r="Q759" s="7"/>
      <c r="R759" s="5">
        <f t="shared" ref="R759:R771" si="405">P759+Q759</f>
        <v>0</v>
      </c>
      <c r="S759" s="4">
        <f t="shared" ref="S759:S771" si="406">R759/15000</f>
        <v>0</v>
      </c>
      <c r="T759" s="13">
        <f t="shared" si="376"/>
        <v>32.192999999999998</v>
      </c>
      <c r="U759" s="13">
        <f t="shared" si="385"/>
        <v>16.096499999999999</v>
      </c>
      <c r="V759" s="14">
        <f>U759/C759</f>
        <v>0.35</v>
      </c>
      <c r="W759" s="14"/>
      <c r="X759" s="19">
        <f t="shared" ref="X759:X771" si="407">IF(ISBLANK(W759),U759, W759)</f>
        <v>16.096499999999999</v>
      </c>
      <c r="Y759" s="19">
        <f t="shared" ref="Y759:Y771" si="408">X759*2</f>
        <v>32.192999999999998</v>
      </c>
      <c r="Z759" s="15" t="e">
        <f t="shared" si="395"/>
        <v>#DIV/0!</v>
      </c>
      <c r="AA759" s="22" t="s">
        <v>3782</v>
      </c>
      <c r="AG759" s="94" t="s">
        <v>2489</v>
      </c>
      <c r="AH759" s="89" t="str">
        <f>VLOOKUP(AG759,Sheet1!$B$3:$D$36,2,FALSE)</f>
        <v>Textiles</v>
      </c>
      <c r="AI759" s="89" t="s">
        <v>3783</v>
      </c>
      <c r="AJ759" s="1" t="str">
        <f t="shared" si="377"/>
        <v>Nakama black placemat</v>
      </c>
      <c r="AK759" s="1" t="str">
        <f t="shared" si="378"/>
        <v>w35 x d3 x h50</v>
      </c>
      <c r="AL759" s="1" t="str">
        <f t="shared" si="379"/>
        <v>LINEN INDOOR</v>
      </c>
      <c r="AM759" s="1" t="str">
        <f t="shared" si="380"/>
        <v>LINEN INDOOR</v>
      </c>
      <c r="AN759" s="1" t="str">
        <f t="shared" ref="AN759:AN772" si="409">SUBSTITUTE(AL759,"indoor","")</f>
        <v>LINEN INDOOR</v>
      </c>
      <c r="AO759" s="1" t="s">
        <v>54</v>
      </c>
      <c r="AQ759" s="1" t="str">
        <f t="shared" si="381"/>
        <v>E</v>
      </c>
      <c r="AR759" s="1" t="str">
        <f>VLOOKUP(TRIM(AI759),Sheet1!$D$3:$E$36,2,FALSE)</f>
        <v>02</v>
      </c>
      <c r="AS759" s="90" t="str">
        <f t="shared" si="382"/>
        <v>01</v>
      </c>
      <c r="AT759" s="1" t="str">
        <f t="shared" si="383"/>
        <v>01</v>
      </c>
      <c r="AU759" s="90" t="s">
        <v>3746</v>
      </c>
      <c r="AV759" s="90"/>
      <c r="AW759" s="90"/>
      <c r="AX759" s="95" t="str">
        <f>AQ759&amp;AR759&amp;AS759&amp;"-"&amp;AT759&amp;AU759&amp;BA759</f>
        <v>E0201-0109IND</v>
      </c>
      <c r="AY759" s="99" t="str">
        <f>AQ759&amp;AR759&amp;AS759&amp;"-"&amp;AT759&amp;BA759</f>
        <v>E0201-01IND</v>
      </c>
      <c r="AZ759" s="90"/>
      <c r="BA759" s="1" t="str">
        <f t="shared" si="384"/>
        <v>IND</v>
      </c>
      <c r="BC759" s="1">
        <f t="shared" si="396"/>
        <v>1</v>
      </c>
      <c r="BD759" s="90">
        <f t="shared" si="397"/>
        <v>1</v>
      </c>
      <c r="BE759" s="1">
        <f t="shared" si="386"/>
        <v>1</v>
      </c>
      <c r="BF759" s="1">
        <f t="shared" si="387"/>
        <v>1</v>
      </c>
    </row>
    <row r="760" spans="1:58" ht="11.25" customHeight="1">
      <c r="A760" s="26" t="s">
        <v>3784</v>
      </c>
      <c r="B760" s="27" t="s">
        <v>3785</v>
      </c>
      <c r="C760" s="28">
        <v>45.99</v>
      </c>
      <c r="D760" s="28">
        <f t="shared" si="375"/>
        <v>22.995000000000001</v>
      </c>
      <c r="E760" s="22" t="s">
        <v>3778</v>
      </c>
      <c r="F760" s="22" t="s">
        <v>3786</v>
      </c>
      <c r="G760" s="22" t="s">
        <v>3787</v>
      </c>
      <c r="H760" s="22" t="s">
        <v>3781</v>
      </c>
      <c r="I760" s="23" t="s">
        <v>3762</v>
      </c>
      <c r="J760" s="22" t="s">
        <v>670</v>
      </c>
      <c r="K760" s="23">
        <v>35</v>
      </c>
      <c r="L760" s="23">
        <v>3</v>
      </c>
      <c r="M760" s="23">
        <v>50</v>
      </c>
      <c r="N760" s="3">
        <f t="shared" si="404"/>
        <v>5.2500000000000003E-3</v>
      </c>
      <c r="O760" s="4" t="e">
        <f>(C760-(C760*#REF!))-((C760-(C760*#REF!))*#REF!)</f>
        <v>#REF!</v>
      </c>
      <c r="P760" s="7"/>
      <c r="Q760" s="7"/>
      <c r="R760" s="5">
        <f t="shared" si="405"/>
        <v>0</v>
      </c>
      <c r="S760" s="4">
        <f t="shared" si="406"/>
        <v>0</v>
      </c>
      <c r="T760" s="13">
        <f t="shared" si="376"/>
        <v>32.192999999999998</v>
      </c>
      <c r="U760" s="13">
        <f t="shared" si="385"/>
        <v>16.096499999999999</v>
      </c>
      <c r="V760" s="14">
        <f>U760/C760</f>
        <v>0.35</v>
      </c>
      <c r="W760" s="14"/>
      <c r="X760" s="19">
        <f t="shared" si="407"/>
        <v>16.096499999999999</v>
      </c>
      <c r="Y760" s="19">
        <f t="shared" si="408"/>
        <v>32.192999999999998</v>
      </c>
      <c r="Z760" s="15" t="e">
        <f t="shared" si="395"/>
        <v>#DIV/0!</v>
      </c>
      <c r="AA760" s="22" t="s">
        <v>3788</v>
      </c>
      <c r="AG760" s="94" t="s">
        <v>2489</v>
      </c>
      <c r="AH760" s="89" t="str">
        <f>VLOOKUP(AG760,Sheet1!$B$3:$D$36,2,FALSE)</f>
        <v>Textiles</v>
      </c>
      <c r="AI760" s="89" t="s">
        <v>3783</v>
      </c>
      <c r="AJ760" s="1" t="str">
        <f t="shared" si="377"/>
        <v>Nakama grey placemat</v>
      </c>
      <c r="AK760" s="1" t="str">
        <f t="shared" si="378"/>
        <v>w35 x d3 x h50</v>
      </c>
      <c r="AL760" s="1" t="str">
        <f t="shared" si="379"/>
        <v>LINEN INDOOR</v>
      </c>
      <c r="AM760" s="1" t="str">
        <f t="shared" si="380"/>
        <v>LINEN INDOOR</v>
      </c>
      <c r="AN760" s="1" t="str">
        <f t="shared" si="409"/>
        <v>LINEN INDOOR</v>
      </c>
      <c r="AO760" s="1" t="s">
        <v>54</v>
      </c>
      <c r="AQ760" s="1" t="str">
        <f t="shared" si="381"/>
        <v>E</v>
      </c>
      <c r="AR760" s="1" t="str">
        <f>VLOOKUP(TRIM(AI760),Sheet1!$D$3:$E$36,2,FALSE)</f>
        <v>02</v>
      </c>
      <c r="AS760" s="90" t="str">
        <f t="shared" si="382"/>
        <v>01</v>
      </c>
      <c r="AT760" s="1" t="str">
        <f t="shared" si="383"/>
        <v>02</v>
      </c>
      <c r="AU760" s="90" t="s">
        <v>3746</v>
      </c>
      <c r="AV760" s="90"/>
      <c r="AW760" s="90"/>
      <c r="AX760" s="95" t="str">
        <f>AQ760&amp;AR760&amp;AS760&amp;"-"&amp;AT760&amp;AU760&amp;BA760</f>
        <v>E0201-0209IND</v>
      </c>
      <c r="AY760" s="99" t="str">
        <f>AQ760&amp;AR760&amp;AS760&amp;"-"&amp;AT760&amp;BA760</f>
        <v>E0201-02IND</v>
      </c>
      <c r="AZ760" s="90"/>
      <c r="BA760" s="1" t="str">
        <f t="shared" si="384"/>
        <v>IND</v>
      </c>
      <c r="BC760" s="1">
        <f t="shared" si="396"/>
        <v>1</v>
      </c>
      <c r="BD760" s="90">
        <f t="shared" si="397"/>
        <v>1</v>
      </c>
      <c r="BE760" s="1" t="str">
        <f t="shared" si="386"/>
        <v/>
      </c>
      <c r="BF760" s="1">
        <f t="shared" si="387"/>
        <v>2</v>
      </c>
    </row>
    <row r="761" spans="1:58" ht="11.25" customHeight="1">
      <c r="A761" s="26" t="s">
        <v>3789</v>
      </c>
      <c r="B761" s="27" t="s">
        <v>3790</v>
      </c>
      <c r="C761" s="28">
        <v>45.99</v>
      </c>
      <c r="D761" s="28">
        <f t="shared" si="375"/>
        <v>22.995000000000001</v>
      </c>
      <c r="E761" s="22" t="s">
        <v>3778</v>
      </c>
      <c r="F761" s="22" t="s">
        <v>3791</v>
      </c>
      <c r="G761" s="22" t="s">
        <v>3792</v>
      </c>
      <c r="H761" s="22" t="s">
        <v>3781</v>
      </c>
      <c r="I761" s="23" t="s">
        <v>3762</v>
      </c>
      <c r="J761" s="22" t="s">
        <v>670</v>
      </c>
      <c r="K761" s="23">
        <v>35</v>
      </c>
      <c r="L761" s="23">
        <v>3</v>
      </c>
      <c r="M761" s="23">
        <v>50</v>
      </c>
      <c r="N761" s="3">
        <f t="shared" si="404"/>
        <v>5.2500000000000003E-3</v>
      </c>
      <c r="O761" s="4" t="e">
        <f>(C761-(C761*#REF!))-((C761-(C761*#REF!))*#REF!)</f>
        <v>#REF!</v>
      </c>
      <c r="P761" s="7"/>
      <c r="Q761" s="7"/>
      <c r="R761" s="5">
        <f t="shared" si="405"/>
        <v>0</v>
      </c>
      <c r="S761" s="4">
        <f t="shared" si="406"/>
        <v>0</v>
      </c>
      <c r="T761" s="13">
        <f t="shared" si="376"/>
        <v>32.192999999999998</v>
      </c>
      <c r="U761" s="13">
        <f t="shared" si="385"/>
        <v>16.096499999999999</v>
      </c>
      <c r="V761" s="14">
        <f>U761/C761</f>
        <v>0.35</v>
      </c>
      <c r="W761" s="14"/>
      <c r="X761" s="19">
        <f t="shared" si="407"/>
        <v>16.096499999999999</v>
      </c>
      <c r="Y761" s="19">
        <f t="shared" si="408"/>
        <v>32.192999999999998</v>
      </c>
      <c r="Z761" s="15" t="e">
        <f t="shared" si="395"/>
        <v>#DIV/0!</v>
      </c>
      <c r="AA761" s="22" t="s">
        <v>3793</v>
      </c>
      <c r="AG761" s="94" t="s">
        <v>2489</v>
      </c>
      <c r="AH761" s="89" t="str">
        <f>VLOOKUP(AG761,Sheet1!$B$3:$D$36,2,FALSE)</f>
        <v>Textiles</v>
      </c>
      <c r="AI761" s="89" t="s">
        <v>3783</v>
      </c>
      <c r="AJ761" s="1" t="str">
        <f t="shared" si="377"/>
        <v>Nakama off white placemat</v>
      </c>
      <c r="AK761" s="1" t="str">
        <f t="shared" si="378"/>
        <v>w35 x d3 x h50</v>
      </c>
      <c r="AL761" s="1" t="str">
        <f t="shared" si="379"/>
        <v>LINEN INDOOR</v>
      </c>
      <c r="AM761" s="1" t="str">
        <f t="shared" si="380"/>
        <v>LINEN INDOOR</v>
      </c>
      <c r="AN761" s="1" t="str">
        <f t="shared" si="409"/>
        <v>LINEN INDOOR</v>
      </c>
      <c r="AO761" s="1" t="s">
        <v>54</v>
      </c>
      <c r="AQ761" s="1" t="str">
        <f t="shared" si="381"/>
        <v>E</v>
      </c>
      <c r="AR761" s="1" t="str">
        <f>VLOOKUP(TRIM(AI761),Sheet1!$D$3:$E$36,2,FALSE)</f>
        <v>02</v>
      </c>
      <c r="AS761" s="90" t="str">
        <f t="shared" si="382"/>
        <v>01</v>
      </c>
      <c r="AT761" s="1" t="str">
        <f t="shared" si="383"/>
        <v>03</v>
      </c>
      <c r="AU761" s="90" t="s">
        <v>3746</v>
      </c>
      <c r="AV761" s="90"/>
      <c r="AW761" s="90"/>
      <c r="AX761" s="95" t="str">
        <f>AQ761&amp;AR761&amp;AS761&amp;"-"&amp;AT761&amp;AU761&amp;BA761</f>
        <v>E0201-0309IND</v>
      </c>
      <c r="AY761" s="99" t="str">
        <f>AQ761&amp;AR761&amp;AS761&amp;"-"&amp;AT761&amp;BA761</f>
        <v>E0201-03IND</v>
      </c>
      <c r="AZ761" s="90"/>
      <c r="BA761" s="1" t="str">
        <f t="shared" si="384"/>
        <v>IND</v>
      </c>
      <c r="BC761" s="1">
        <f t="shared" si="396"/>
        <v>1</v>
      </c>
      <c r="BD761" s="90">
        <f t="shared" si="397"/>
        <v>1</v>
      </c>
      <c r="BE761" s="1" t="str">
        <f t="shared" si="386"/>
        <v/>
      </c>
      <c r="BF761" s="1">
        <f t="shared" si="387"/>
        <v>3</v>
      </c>
    </row>
    <row r="762" spans="1:58" ht="11.25" customHeight="1">
      <c r="A762" s="26" t="s">
        <v>3794</v>
      </c>
      <c r="B762" s="27" t="s">
        <v>3795</v>
      </c>
      <c r="C762" s="28">
        <v>181.99</v>
      </c>
      <c r="D762" s="28">
        <f t="shared" si="375"/>
        <v>90.995000000000005</v>
      </c>
      <c r="E762" s="22" t="s">
        <v>3778</v>
      </c>
      <c r="F762" s="22" t="s">
        <v>3796</v>
      </c>
      <c r="G762" s="22" t="s">
        <v>3797</v>
      </c>
      <c r="H762" s="22" t="s">
        <v>3798</v>
      </c>
      <c r="I762" s="23" t="s">
        <v>3762</v>
      </c>
      <c r="J762" s="22" t="s">
        <v>670</v>
      </c>
      <c r="K762" s="23">
        <v>140</v>
      </c>
      <c r="L762" s="23">
        <v>3</v>
      </c>
      <c r="M762" s="23">
        <v>250</v>
      </c>
      <c r="N762" s="3">
        <f t="shared" si="404"/>
        <v>0.105</v>
      </c>
      <c r="O762" s="4" t="e">
        <f>(C762-(C762*#REF!))-((C762-(C762*#REF!))*#REF!)</f>
        <v>#REF!</v>
      </c>
      <c r="P762" s="7"/>
      <c r="Q762" s="7"/>
      <c r="R762" s="5">
        <f t="shared" si="405"/>
        <v>0</v>
      </c>
      <c r="S762" s="4">
        <f t="shared" si="406"/>
        <v>0</v>
      </c>
      <c r="T762" s="13">
        <f t="shared" si="376"/>
        <v>127.393</v>
      </c>
      <c r="U762" s="13">
        <f t="shared" si="385"/>
        <v>63.6965</v>
      </c>
      <c r="V762" s="14">
        <f>U762/C762</f>
        <v>0.35</v>
      </c>
      <c r="W762" s="14"/>
      <c r="X762" s="19">
        <f t="shared" si="407"/>
        <v>63.6965</v>
      </c>
      <c r="Y762" s="19">
        <f t="shared" si="408"/>
        <v>127.393</v>
      </c>
      <c r="Z762" s="15" t="e">
        <f t="shared" si="395"/>
        <v>#DIV/0!</v>
      </c>
      <c r="AA762" s="22" t="s">
        <v>3799</v>
      </c>
      <c r="AG762" s="94" t="s">
        <v>2489</v>
      </c>
      <c r="AH762" s="89" t="str">
        <f>VLOOKUP(AG762,Sheet1!$B$3:$D$36,2,FALSE)</f>
        <v>Textiles</v>
      </c>
      <c r="AI762" s="89" t="s">
        <v>3783</v>
      </c>
      <c r="AJ762" s="1" t="str">
        <f t="shared" si="377"/>
        <v>Gamo fringe natural tablecloth</v>
      </c>
      <c r="AK762" s="1" t="str">
        <f t="shared" si="378"/>
        <v>w140 x d3 x h250_x000D_</v>
      </c>
      <c r="AL762" s="1" t="str">
        <f t="shared" si="379"/>
        <v>LINEN INDOOR</v>
      </c>
      <c r="AM762" s="1" t="str">
        <f t="shared" si="380"/>
        <v>LINEN INDOOR</v>
      </c>
      <c r="AN762" s="1" t="str">
        <f t="shared" si="409"/>
        <v>LINEN INDOOR</v>
      </c>
      <c r="AO762" s="1" t="s">
        <v>54</v>
      </c>
      <c r="AQ762" s="1" t="str">
        <f t="shared" si="381"/>
        <v>E</v>
      </c>
      <c r="AR762" s="1" t="str">
        <f>VLOOKUP(TRIM(AI762),Sheet1!$D$3:$E$36,2,FALSE)</f>
        <v>02</v>
      </c>
      <c r="AS762" s="90" t="str">
        <f t="shared" si="382"/>
        <v>01</v>
      </c>
      <c r="AT762" s="1" t="str">
        <f t="shared" si="383"/>
        <v>01</v>
      </c>
      <c r="AU762" s="90" t="s">
        <v>3746</v>
      </c>
      <c r="AV762" s="90"/>
      <c r="AW762" s="90"/>
      <c r="AX762" s="95" t="str">
        <f>AQ762&amp;AR762&amp;AS762&amp;"-"&amp;AT762&amp;AU762&amp;BA762</f>
        <v>E0201-0109IND</v>
      </c>
      <c r="AY762" s="99" t="str">
        <f>AQ762&amp;AR762&amp;AS762&amp;"-"&amp;AT762&amp;BA762</f>
        <v>E0201-01IND</v>
      </c>
      <c r="AZ762" s="90"/>
      <c r="BA762" s="1" t="str">
        <f t="shared" si="384"/>
        <v>IND</v>
      </c>
      <c r="BC762" s="1">
        <f t="shared" si="396"/>
        <v>1</v>
      </c>
      <c r="BD762" s="90">
        <f t="shared" si="397"/>
        <v>1</v>
      </c>
      <c r="BE762" s="1">
        <f t="shared" si="386"/>
        <v>1</v>
      </c>
      <c r="BF762" s="1">
        <f t="shared" si="387"/>
        <v>1</v>
      </c>
    </row>
    <row r="763" spans="1:58" ht="11.25" customHeight="1">
      <c r="A763" s="26" t="s">
        <v>3800</v>
      </c>
      <c r="B763" s="27" t="s">
        <v>3801</v>
      </c>
      <c r="C763" s="28">
        <v>151.99</v>
      </c>
      <c r="D763" s="28">
        <f t="shared" si="375"/>
        <v>75.995000000000005</v>
      </c>
      <c r="E763" s="22" t="s">
        <v>3778</v>
      </c>
      <c r="F763" s="22" t="s">
        <v>3802</v>
      </c>
      <c r="G763" s="22" t="s">
        <v>3803</v>
      </c>
      <c r="H763" s="22" t="s">
        <v>3804</v>
      </c>
      <c r="I763" s="23" t="s">
        <v>3762</v>
      </c>
      <c r="J763" s="22" t="s">
        <v>670</v>
      </c>
      <c r="K763" s="23">
        <v>140</v>
      </c>
      <c r="L763" s="23">
        <v>3</v>
      </c>
      <c r="M763" s="23">
        <v>250</v>
      </c>
      <c r="N763" s="3">
        <f t="shared" si="404"/>
        <v>0.105</v>
      </c>
      <c r="O763" s="4" t="e">
        <f>(C763-(C763*#REF!))-((C763-(C763*#REF!))*#REF!)</f>
        <v>#REF!</v>
      </c>
      <c r="P763" s="7"/>
      <c r="Q763" s="7"/>
      <c r="R763" s="5">
        <f t="shared" si="405"/>
        <v>0</v>
      </c>
      <c r="S763" s="4">
        <f t="shared" si="406"/>
        <v>0</v>
      </c>
      <c r="T763" s="13">
        <f t="shared" si="376"/>
        <v>106.393</v>
      </c>
      <c r="U763" s="13">
        <f t="shared" si="385"/>
        <v>53.1965</v>
      </c>
      <c r="V763" s="14">
        <f>U763/C763</f>
        <v>0.35</v>
      </c>
      <c r="W763" s="14"/>
      <c r="X763" s="19">
        <f t="shared" si="407"/>
        <v>53.1965</v>
      </c>
      <c r="Y763" s="19">
        <f t="shared" si="408"/>
        <v>106.393</v>
      </c>
      <c r="Z763" s="15" t="e">
        <f t="shared" si="395"/>
        <v>#DIV/0!</v>
      </c>
      <c r="AA763" s="22" t="s">
        <v>3805</v>
      </c>
      <c r="AG763" s="94" t="s">
        <v>2489</v>
      </c>
      <c r="AH763" s="89" t="str">
        <f>VLOOKUP(AG763,Sheet1!$B$3:$D$36,2,FALSE)</f>
        <v>Textiles</v>
      </c>
      <c r="AI763" s="89" t="s">
        <v>3783</v>
      </c>
      <c r="AJ763" s="1" t="str">
        <f t="shared" si="377"/>
        <v>Hiro black tablecloth</v>
      </c>
      <c r="AK763" s="1" t="str">
        <f t="shared" si="378"/>
        <v>w140 x d3 x h250</v>
      </c>
      <c r="AL763" s="1" t="str">
        <f t="shared" si="379"/>
        <v>LINEN INDOOR</v>
      </c>
      <c r="AM763" s="1" t="str">
        <f t="shared" si="380"/>
        <v>LINEN INDOOR</v>
      </c>
      <c r="AN763" s="1" t="str">
        <f t="shared" si="409"/>
        <v>LINEN INDOOR</v>
      </c>
      <c r="AO763" s="1" t="s">
        <v>54</v>
      </c>
      <c r="AQ763" s="1" t="str">
        <f t="shared" si="381"/>
        <v>E</v>
      </c>
      <c r="AR763" s="1" t="str">
        <f>VLOOKUP(TRIM(AI763),Sheet1!$D$3:$E$36,2,FALSE)</f>
        <v>02</v>
      </c>
      <c r="AS763" s="90" t="str">
        <f t="shared" si="382"/>
        <v>01</v>
      </c>
      <c r="AT763" s="1" t="str">
        <f t="shared" si="383"/>
        <v>01</v>
      </c>
      <c r="AU763" s="90" t="s">
        <v>3746</v>
      </c>
      <c r="AV763" s="90"/>
      <c r="AW763" s="90"/>
      <c r="AX763" s="95" t="str">
        <f>AQ763&amp;AR763&amp;AS763&amp;"-"&amp;AT763&amp;AU763&amp;BA763</f>
        <v>E0201-0109IND</v>
      </c>
      <c r="AY763" s="99" t="str">
        <f>AQ763&amp;AR763&amp;AS763&amp;"-"&amp;AT763&amp;BA763</f>
        <v>E0201-01IND</v>
      </c>
      <c r="AZ763" s="90"/>
      <c r="BA763" s="1" t="str">
        <f t="shared" si="384"/>
        <v>IND</v>
      </c>
      <c r="BC763" s="1">
        <f t="shared" si="396"/>
        <v>1</v>
      </c>
      <c r="BD763" s="90">
        <f t="shared" si="397"/>
        <v>1</v>
      </c>
      <c r="BE763" s="1">
        <f t="shared" si="386"/>
        <v>1</v>
      </c>
      <c r="BF763" s="1">
        <f t="shared" si="387"/>
        <v>1</v>
      </c>
    </row>
    <row r="764" spans="1:58" ht="11.25" customHeight="1">
      <c r="A764" s="26" t="s">
        <v>3806</v>
      </c>
      <c r="B764" s="27" t="s">
        <v>3807</v>
      </c>
      <c r="C764" s="28">
        <v>155.99</v>
      </c>
      <c r="D764" s="28">
        <f t="shared" si="375"/>
        <v>77.995000000000005</v>
      </c>
      <c r="E764" s="22" t="s">
        <v>3778</v>
      </c>
      <c r="F764" s="22" t="s">
        <v>3808</v>
      </c>
      <c r="G764" s="22" t="s">
        <v>3809</v>
      </c>
      <c r="H764" s="22" t="s">
        <v>3804</v>
      </c>
      <c r="I764" s="23" t="s">
        <v>3762</v>
      </c>
      <c r="J764" s="22" t="s">
        <v>670</v>
      </c>
      <c r="K764" s="23">
        <v>140</v>
      </c>
      <c r="L764" s="23">
        <v>3</v>
      </c>
      <c r="M764" s="23">
        <v>250</v>
      </c>
      <c r="N764" s="3">
        <f t="shared" si="404"/>
        <v>0.105</v>
      </c>
      <c r="O764" s="4" t="e">
        <f>(C764-(C764*#REF!))-((C764-(C764*#REF!))*#REF!)</f>
        <v>#REF!</v>
      </c>
      <c r="P764" s="7"/>
      <c r="Q764" s="7"/>
      <c r="R764" s="5">
        <f t="shared" si="405"/>
        <v>0</v>
      </c>
      <c r="S764" s="4">
        <f t="shared" si="406"/>
        <v>0</v>
      </c>
      <c r="T764" s="13">
        <f t="shared" si="376"/>
        <v>109.19300000000001</v>
      </c>
      <c r="U764" s="13">
        <f t="shared" si="385"/>
        <v>54.596500000000006</v>
      </c>
      <c r="V764" s="14">
        <f>U764/C764</f>
        <v>0.35000000000000003</v>
      </c>
      <c r="W764" s="14"/>
      <c r="X764" s="19">
        <f t="shared" si="407"/>
        <v>54.596500000000006</v>
      </c>
      <c r="Y764" s="19">
        <f t="shared" si="408"/>
        <v>109.19300000000001</v>
      </c>
      <c r="Z764" s="15" t="e">
        <f t="shared" si="395"/>
        <v>#DIV/0!</v>
      </c>
      <c r="AA764" s="22" t="s">
        <v>3810</v>
      </c>
      <c r="AG764" s="94" t="s">
        <v>2489</v>
      </c>
      <c r="AH764" s="89" t="str">
        <f>VLOOKUP(AG764,Sheet1!$B$3:$D$36,2,FALSE)</f>
        <v>Textiles</v>
      </c>
      <c r="AI764" s="89" t="s">
        <v>3783</v>
      </c>
      <c r="AJ764" s="1" t="str">
        <f t="shared" si="377"/>
        <v>Nakama off white tablecloth</v>
      </c>
      <c r="AK764" s="1" t="str">
        <f t="shared" si="378"/>
        <v>w140 x d3 x h250</v>
      </c>
      <c r="AL764" s="1" t="str">
        <f t="shared" si="379"/>
        <v>LINEN INDOOR</v>
      </c>
      <c r="AM764" s="1" t="str">
        <f t="shared" si="380"/>
        <v>LINEN INDOOR</v>
      </c>
      <c r="AN764" s="1" t="str">
        <f t="shared" si="409"/>
        <v>LINEN INDOOR</v>
      </c>
      <c r="AO764" s="1" t="s">
        <v>54</v>
      </c>
      <c r="AQ764" s="1" t="str">
        <f t="shared" si="381"/>
        <v>E</v>
      </c>
      <c r="AR764" s="1" t="str">
        <f>VLOOKUP(TRIM(AI764),Sheet1!$D$3:$E$36,2,FALSE)</f>
        <v>02</v>
      </c>
      <c r="AS764" s="90" t="str">
        <f t="shared" si="382"/>
        <v>01</v>
      </c>
      <c r="AT764" s="1" t="str">
        <f t="shared" si="383"/>
        <v>02</v>
      </c>
      <c r="AU764" s="90" t="s">
        <v>3746</v>
      </c>
      <c r="AV764" s="90"/>
      <c r="AW764" s="90"/>
      <c r="AX764" s="95" t="str">
        <f>AQ764&amp;AR764&amp;AS764&amp;"-"&amp;AT764&amp;AU764&amp;BA764</f>
        <v>E0201-0209IND</v>
      </c>
      <c r="AY764" s="99" t="str">
        <f>AQ764&amp;AR764&amp;AS764&amp;"-"&amp;AT764&amp;BA764</f>
        <v>E0201-02IND</v>
      </c>
      <c r="AZ764" s="90"/>
      <c r="BA764" s="1" t="str">
        <f t="shared" si="384"/>
        <v>IND</v>
      </c>
      <c r="BC764" s="1">
        <f t="shared" si="396"/>
        <v>1</v>
      </c>
      <c r="BD764" s="90">
        <f t="shared" si="397"/>
        <v>1</v>
      </c>
      <c r="BE764" s="1" t="str">
        <f t="shared" si="386"/>
        <v/>
      </c>
      <c r="BF764" s="1">
        <f t="shared" si="387"/>
        <v>2</v>
      </c>
    </row>
    <row r="765" spans="1:58" ht="11.25" customHeight="1">
      <c r="A765" s="26" t="s">
        <v>3811</v>
      </c>
      <c r="B765" s="27" t="s">
        <v>3812</v>
      </c>
      <c r="C765" s="28">
        <v>18.989999999999998</v>
      </c>
      <c r="D765" s="28">
        <f t="shared" si="375"/>
        <v>9.4949999999999992</v>
      </c>
      <c r="E765" s="22" t="s">
        <v>3778</v>
      </c>
      <c r="F765" s="22" t="s">
        <v>3813</v>
      </c>
      <c r="G765" s="22" t="s">
        <v>3814</v>
      </c>
      <c r="H765" s="22" t="s">
        <v>3815</v>
      </c>
      <c r="I765" s="23" t="s">
        <v>3762</v>
      </c>
      <c r="J765" s="22" t="s">
        <v>670</v>
      </c>
      <c r="K765" s="23">
        <v>42</v>
      </c>
      <c r="L765" s="23">
        <v>3</v>
      </c>
      <c r="M765" s="23">
        <v>42</v>
      </c>
      <c r="N765" s="3">
        <f t="shared" si="404"/>
        <v>5.2919999999999998E-3</v>
      </c>
      <c r="O765" s="4" t="e">
        <f>(C765-(C765*#REF!))-((C765-(C765*#REF!))*#REF!)</f>
        <v>#REF!</v>
      </c>
      <c r="P765" s="7"/>
      <c r="Q765" s="7"/>
      <c r="R765" s="5">
        <f t="shared" si="405"/>
        <v>0</v>
      </c>
      <c r="S765" s="4">
        <f t="shared" si="406"/>
        <v>0</v>
      </c>
      <c r="T765" s="13">
        <f t="shared" si="376"/>
        <v>13.292999999999999</v>
      </c>
      <c r="U765" s="13">
        <f t="shared" si="385"/>
        <v>6.6464999999999996</v>
      </c>
      <c r="V765" s="14">
        <f>U765/C765</f>
        <v>0.35000000000000003</v>
      </c>
      <c r="W765" s="14"/>
      <c r="X765" s="19">
        <f t="shared" si="407"/>
        <v>6.6464999999999996</v>
      </c>
      <c r="Y765" s="19">
        <f t="shared" si="408"/>
        <v>13.292999999999999</v>
      </c>
      <c r="Z765" s="15" t="e">
        <f t="shared" si="395"/>
        <v>#DIV/0!</v>
      </c>
      <c r="AA765" s="22" t="s">
        <v>3816</v>
      </c>
      <c r="AG765" s="94" t="s">
        <v>2489</v>
      </c>
      <c r="AH765" s="89" t="str">
        <f>VLOOKUP(AG765,Sheet1!$B$3:$D$36,2,FALSE)</f>
        <v>Textiles</v>
      </c>
      <c r="AI765" s="89" t="s">
        <v>3783</v>
      </c>
      <c r="AJ765" s="1" t="str">
        <f t="shared" si="377"/>
        <v>Gamo fringe natural napkin</v>
      </c>
      <c r="AK765" s="1" t="str">
        <f t="shared" si="378"/>
        <v>w42 x d3 x h42</v>
      </c>
      <c r="AL765" s="1" t="str">
        <f t="shared" si="379"/>
        <v>LINEN INDOOR</v>
      </c>
      <c r="AM765" s="1" t="str">
        <f t="shared" si="380"/>
        <v>LINEN INDOOR</v>
      </c>
      <c r="AN765" s="1" t="str">
        <f t="shared" si="409"/>
        <v>LINEN INDOOR</v>
      </c>
      <c r="AO765" s="1" t="s">
        <v>54</v>
      </c>
      <c r="AQ765" s="1" t="str">
        <f t="shared" si="381"/>
        <v>E</v>
      </c>
      <c r="AR765" s="1" t="str">
        <f>VLOOKUP(TRIM(AI765),Sheet1!$D$3:$E$36,2,FALSE)</f>
        <v>02</v>
      </c>
      <c r="AS765" s="90" t="str">
        <f t="shared" si="382"/>
        <v>01</v>
      </c>
      <c r="AT765" s="1" t="str">
        <f t="shared" si="383"/>
        <v>01</v>
      </c>
      <c r="AU765" s="90" t="s">
        <v>3746</v>
      </c>
      <c r="AV765" s="90"/>
      <c r="AW765" s="90"/>
      <c r="AX765" s="95" t="str">
        <f>AQ765&amp;AR765&amp;AS765&amp;"-"&amp;AT765&amp;AU765&amp;BA765</f>
        <v>E0201-0109IND</v>
      </c>
      <c r="AY765" s="99" t="str">
        <f>AQ765&amp;AR765&amp;AS765&amp;"-"&amp;AT765&amp;BA765</f>
        <v>E0201-01IND</v>
      </c>
      <c r="AZ765" s="90"/>
      <c r="BA765" s="1" t="str">
        <f t="shared" si="384"/>
        <v>IND</v>
      </c>
      <c r="BC765" s="1">
        <f t="shared" si="396"/>
        <v>1</v>
      </c>
      <c r="BD765" s="90">
        <f t="shared" si="397"/>
        <v>1</v>
      </c>
      <c r="BE765" s="1">
        <f t="shared" si="386"/>
        <v>1</v>
      </c>
      <c r="BF765" s="1">
        <f t="shared" si="387"/>
        <v>1</v>
      </c>
    </row>
    <row r="766" spans="1:58" ht="11.25" customHeight="1">
      <c r="A766" s="26" t="s">
        <v>3817</v>
      </c>
      <c r="B766" s="27" t="s">
        <v>3818</v>
      </c>
      <c r="C766" s="28">
        <v>14.99</v>
      </c>
      <c r="D766" s="28">
        <f t="shared" si="375"/>
        <v>7.4950000000000001</v>
      </c>
      <c r="E766" s="22" t="s">
        <v>3778</v>
      </c>
      <c r="F766" s="22" t="s">
        <v>3819</v>
      </c>
      <c r="G766" s="22" t="s">
        <v>3820</v>
      </c>
      <c r="H766" s="22" t="s">
        <v>3815</v>
      </c>
      <c r="I766" s="23" t="s">
        <v>3762</v>
      </c>
      <c r="J766" s="22" t="s">
        <v>670</v>
      </c>
      <c r="K766" s="23">
        <v>42</v>
      </c>
      <c r="L766" s="23">
        <v>3</v>
      </c>
      <c r="M766" s="23">
        <v>42</v>
      </c>
      <c r="N766" s="3">
        <f t="shared" si="404"/>
        <v>5.2919999999999998E-3</v>
      </c>
      <c r="O766" s="4" t="e">
        <f>(C766-(C766*#REF!))-((C766-(C766*#REF!))*#REF!)</f>
        <v>#REF!</v>
      </c>
      <c r="P766" s="7"/>
      <c r="Q766" s="7"/>
      <c r="R766" s="5">
        <f t="shared" si="405"/>
        <v>0</v>
      </c>
      <c r="S766" s="4">
        <f t="shared" si="406"/>
        <v>0</v>
      </c>
      <c r="T766" s="13">
        <f t="shared" si="376"/>
        <v>10.493</v>
      </c>
      <c r="U766" s="13">
        <f t="shared" si="385"/>
        <v>5.2465000000000002</v>
      </c>
      <c r="V766" s="14">
        <f>U766/C766</f>
        <v>0.35000000000000003</v>
      </c>
      <c r="W766" s="14"/>
      <c r="X766" s="19">
        <f t="shared" si="407"/>
        <v>5.2465000000000002</v>
      </c>
      <c r="Y766" s="19">
        <f t="shared" si="408"/>
        <v>10.493</v>
      </c>
      <c r="Z766" s="15" t="e">
        <f t="shared" si="395"/>
        <v>#DIV/0!</v>
      </c>
      <c r="AA766" s="22" t="s">
        <v>3821</v>
      </c>
      <c r="AG766" s="94" t="s">
        <v>2489</v>
      </c>
      <c r="AH766" s="89" t="str">
        <f>VLOOKUP(AG766,Sheet1!$B$3:$D$36,2,FALSE)</f>
        <v>Textiles</v>
      </c>
      <c r="AI766" s="89" t="s">
        <v>3783</v>
      </c>
      <c r="AJ766" s="1" t="str">
        <f t="shared" si="377"/>
        <v>Gamo black napkin</v>
      </c>
      <c r="AK766" s="1" t="str">
        <f t="shared" si="378"/>
        <v>w42 x d3 x h42</v>
      </c>
      <c r="AL766" s="1" t="str">
        <f t="shared" si="379"/>
        <v>LINEN INDOOR</v>
      </c>
      <c r="AM766" s="1" t="str">
        <f t="shared" si="380"/>
        <v>LINEN INDOOR</v>
      </c>
      <c r="AN766" s="1" t="str">
        <f t="shared" si="409"/>
        <v>LINEN INDOOR</v>
      </c>
      <c r="AO766" s="1" t="s">
        <v>54</v>
      </c>
      <c r="AQ766" s="1" t="str">
        <f t="shared" si="381"/>
        <v>E</v>
      </c>
      <c r="AR766" s="1" t="str">
        <f>VLOOKUP(TRIM(AI766),Sheet1!$D$3:$E$36,2,FALSE)</f>
        <v>02</v>
      </c>
      <c r="AS766" s="90" t="str">
        <f t="shared" si="382"/>
        <v>01</v>
      </c>
      <c r="AT766" s="1" t="str">
        <f t="shared" si="383"/>
        <v>02</v>
      </c>
      <c r="AU766" s="90" t="s">
        <v>3746</v>
      </c>
      <c r="AV766" s="90"/>
      <c r="AW766" s="90"/>
      <c r="AX766" s="95" t="str">
        <f>AQ766&amp;AR766&amp;AS766&amp;"-"&amp;AT766&amp;AU766&amp;BA766</f>
        <v>E0201-0209IND</v>
      </c>
      <c r="AY766" s="99" t="str">
        <f>AQ766&amp;AR766&amp;AS766&amp;"-"&amp;AT766&amp;BA766</f>
        <v>E0201-02IND</v>
      </c>
      <c r="AZ766" s="90"/>
      <c r="BA766" s="1" t="str">
        <f t="shared" si="384"/>
        <v>IND</v>
      </c>
      <c r="BC766" s="1">
        <f t="shared" si="396"/>
        <v>1</v>
      </c>
      <c r="BD766" s="90">
        <f t="shared" si="397"/>
        <v>1</v>
      </c>
      <c r="BE766" s="1" t="str">
        <f t="shared" si="386"/>
        <v/>
      </c>
      <c r="BF766" s="1">
        <f t="shared" si="387"/>
        <v>2</v>
      </c>
    </row>
    <row r="767" spans="1:58" ht="11.25" customHeight="1">
      <c r="A767" s="26" t="s">
        <v>3822</v>
      </c>
      <c r="B767" s="27" t="s">
        <v>3823</v>
      </c>
      <c r="C767" s="28">
        <v>14.99</v>
      </c>
      <c r="D767" s="28">
        <f t="shared" si="375"/>
        <v>7.4950000000000001</v>
      </c>
      <c r="E767" s="22" t="s">
        <v>3778</v>
      </c>
      <c r="F767" s="22" t="s">
        <v>3824</v>
      </c>
      <c r="G767" s="22" t="s">
        <v>3825</v>
      </c>
      <c r="H767" s="22" t="s">
        <v>3815</v>
      </c>
      <c r="I767" s="23" t="s">
        <v>3762</v>
      </c>
      <c r="J767" s="22" t="s">
        <v>670</v>
      </c>
      <c r="K767" s="23">
        <v>42</v>
      </c>
      <c r="L767" s="23">
        <v>3</v>
      </c>
      <c r="M767" s="23">
        <v>42</v>
      </c>
      <c r="N767" s="3">
        <f t="shared" si="404"/>
        <v>5.2919999999999998E-3</v>
      </c>
      <c r="O767" s="4" t="e">
        <f>(C767-(C767*#REF!))-((C767-(C767*#REF!))*#REF!)</f>
        <v>#REF!</v>
      </c>
      <c r="P767" s="7"/>
      <c r="Q767" s="7"/>
      <c r="R767" s="5">
        <f t="shared" si="405"/>
        <v>0</v>
      </c>
      <c r="S767" s="4">
        <f t="shared" si="406"/>
        <v>0</v>
      </c>
      <c r="T767" s="13">
        <f t="shared" si="376"/>
        <v>10.493</v>
      </c>
      <c r="U767" s="13">
        <f t="shared" si="385"/>
        <v>5.2465000000000002</v>
      </c>
      <c r="V767" s="14">
        <f>U767/C767</f>
        <v>0.35000000000000003</v>
      </c>
      <c r="W767" s="14"/>
      <c r="X767" s="19">
        <f t="shared" si="407"/>
        <v>5.2465000000000002</v>
      </c>
      <c r="Y767" s="19">
        <f t="shared" si="408"/>
        <v>10.493</v>
      </c>
      <c r="Z767" s="15" t="e">
        <f t="shared" si="395"/>
        <v>#DIV/0!</v>
      </c>
      <c r="AA767" s="22" t="s">
        <v>3826</v>
      </c>
      <c r="AG767" s="94" t="s">
        <v>2489</v>
      </c>
      <c r="AH767" s="89" t="str">
        <f>VLOOKUP(AG767,Sheet1!$B$3:$D$36,2,FALSE)</f>
        <v>Textiles</v>
      </c>
      <c r="AI767" s="89" t="s">
        <v>3783</v>
      </c>
      <c r="AJ767" s="1" t="str">
        <f t="shared" si="377"/>
        <v>Nakama off white napkin</v>
      </c>
      <c r="AK767" s="1" t="str">
        <f t="shared" si="378"/>
        <v>w42 x d3 x h42</v>
      </c>
      <c r="AL767" s="1" t="str">
        <f t="shared" si="379"/>
        <v>LINEN INDOOR</v>
      </c>
      <c r="AM767" s="1" t="str">
        <f t="shared" si="380"/>
        <v>LINEN INDOOR</v>
      </c>
      <c r="AN767" s="1" t="str">
        <f t="shared" si="409"/>
        <v>LINEN INDOOR</v>
      </c>
      <c r="AO767" s="1" t="s">
        <v>54</v>
      </c>
      <c r="AQ767" s="1" t="str">
        <f t="shared" si="381"/>
        <v>E</v>
      </c>
      <c r="AR767" s="1" t="str">
        <f>VLOOKUP(TRIM(AI767),Sheet1!$D$3:$E$36,2,FALSE)</f>
        <v>02</v>
      </c>
      <c r="AS767" s="90" t="str">
        <f t="shared" si="382"/>
        <v>01</v>
      </c>
      <c r="AT767" s="1" t="str">
        <f t="shared" si="383"/>
        <v>03</v>
      </c>
      <c r="AU767" s="90" t="s">
        <v>3746</v>
      </c>
      <c r="AV767" s="90"/>
      <c r="AW767" s="90"/>
      <c r="AX767" s="95" t="str">
        <f>AQ767&amp;AR767&amp;AS767&amp;"-"&amp;AT767&amp;AU767&amp;BA767</f>
        <v>E0201-0309IND</v>
      </c>
      <c r="AY767" s="99" t="str">
        <f>AQ767&amp;AR767&amp;AS767&amp;"-"&amp;AT767&amp;BA767</f>
        <v>E0201-03IND</v>
      </c>
      <c r="AZ767" s="90"/>
      <c r="BA767" s="1" t="str">
        <f t="shared" si="384"/>
        <v>IND</v>
      </c>
      <c r="BC767" s="1">
        <f t="shared" si="396"/>
        <v>1</v>
      </c>
      <c r="BD767" s="90">
        <f t="shared" si="397"/>
        <v>1</v>
      </c>
      <c r="BE767" s="1" t="str">
        <f t="shared" si="386"/>
        <v/>
      </c>
      <c r="BF767" s="1">
        <f t="shared" si="387"/>
        <v>3</v>
      </c>
    </row>
    <row r="768" spans="1:58" ht="11.25" customHeight="1">
      <c r="A768" s="26" t="s">
        <v>3827</v>
      </c>
      <c r="B768" s="27" t="s">
        <v>3828</v>
      </c>
      <c r="C768" s="28">
        <v>14.99</v>
      </c>
      <c r="D768" s="28">
        <f t="shared" si="375"/>
        <v>7.4950000000000001</v>
      </c>
      <c r="E768" s="22" t="s">
        <v>3778</v>
      </c>
      <c r="F768" s="22" t="s">
        <v>3829</v>
      </c>
      <c r="G768" s="22" t="s">
        <v>3830</v>
      </c>
      <c r="H768" s="22" t="s">
        <v>3815</v>
      </c>
      <c r="I768" s="23" t="s">
        <v>3762</v>
      </c>
      <c r="J768" s="22" t="s">
        <v>670</v>
      </c>
      <c r="K768" s="23">
        <v>42</v>
      </c>
      <c r="L768" s="23">
        <v>3</v>
      </c>
      <c r="M768" s="23">
        <v>42</v>
      </c>
      <c r="N768" s="3">
        <f t="shared" si="404"/>
        <v>5.2919999999999998E-3</v>
      </c>
      <c r="O768" s="4" t="e">
        <f>(C768-(C768*#REF!))-((C768-(C768*#REF!))*#REF!)</f>
        <v>#REF!</v>
      </c>
      <c r="P768" s="7"/>
      <c r="Q768" s="7"/>
      <c r="R768" s="5">
        <f t="shared" si="405"/>
        <v>0</v>
      </c>
      <c r="S768" s="4">
        <f t="shared" si="406"/>
        <v>0</v>
      </c>
      <c r="T768" s="13">
        <f t="shared" si="376"/>
        <v>10.493</v>
      </c>
      <c r="U768" s="13">
        <f t="shared" si="385"/>
        <v>5.2465000000000002</v>
      </c>
      <c r="V768" s="14">
        <f>U768/C768</f>
        <v>0.35000000000000003</v>
      </c>
      <c r="W768" s="14"/>
      <c r="X768" s="19">
        <f t="shared" si="407"/>
        <v>5.2465000000000002</v>
      </c>
      <c r="Y768" s="19">
        <f t="shared" si="408"/>
        <v>10.493</v>
      </c>
      <c r="Z768" s="15" t="e">
        <f t="shared" si="395"/>
        <v>#DIV/0!</v>
      </c>
      <c r="AA768" s="22" t="s">
        <v>3831</v>
      </c>
      <c r="AG768" s="94" t="s">
        <v>2489</v>
      </c>
      <c r="AH768" s="89" t="str">
        <f>VLOOKUP(AG768,Sheet1!$B$3:$D$36,2,FALSE)</f>
        <v>Textiles</v>
      </c>
      <c r="AI768" s="89" t="s">
        <v>3783</v>
      </c>
      <c r="AJ768" s="1" t="str">
        <f t="shared" si="377"/>
        <v>Nakama natural napkin</v>
      </c>
      <c r="AK768" s="1" t="str">
        <f t="shared" si="378"/>
        <v>w42 x d3 x h42</v>
      </c>
      <c r="AL768" s="1" t="str">
        <f t="shared" si="379"/>
        <v>LINEN INDOOR</v>
      </c>
      <c r="AM768" s="1" t="str">
        <f t="shared" si="380"/>
        <v>LINEN INDOOR</v>
      </c>
      <c r="AN768" s="1" t="str">
        <f t="shared" si="409"/>
        <v>LINEN INDOOR</v>
      </c>
      <c r="AO768" s="1" t="s">
        <v>54</v>
      </c>
      <c r="AQ768" s="1" t="str">
        <f t="shared" si="381"/>
        <v>E</v>
      </c>
      <c r="AR768" s="1" t="str">
        <f>VLOOKUP(TRIM(AI768),Sheet1!$D$3:$E$36,2,FALSE)</f>
        <v>02</v>
      </c>
      <c r="AS768" s="90" t="str">
        <f t="shared" si="382"/>
        <v>01</v>
      </c>
      <c r="AT768" s="1" t="str">
        <f t="shared" si="383"/>
        <v>04</v>
      </c>
      <c r="AU768" s="90" t="s">
        <v>3746</v>
      </c>
      <c r="AV768" s="90"/>
      <c r="AW768" s="90"/>
      <c r="AX768" s="95" t="str">
        <f>AQ768&amp;AR768&amp;AS768&amp;"-"&amp;AT768&amp;AU768&amp;BA768</f>
        <v>E0201-0409IND</v>
      </c>
      <c r="AY768" s="99" t="str">
        <f>AQ768&amp;AR768&amp;AS768&amp;"-"&amp;AT768&amp;BA768</f>
        <v>E0201-04IND</v>
      </c>
      <c r="AZ768" s="90"/>
      <c r="BA768" s="1" t="str">
        <f t="shared" si="384"/>
        <v>IND</v>
      </c>
      <c r="BC768" s="1">
        <f t="shared" si="396"/>
        <v>1</v>
      </c>
      <c r="BD768" s="90">
        <f t="shared" si="397"/>
        <v>1</v>
      </c>
      <c r="BE768" s="1" t="str">
        <f t="shared" si="386"/>
        <v/>
      </c>
      <c r="BF768" s="1">
        <f t="shared" si="387"/>
        <v>4</v>
      </c>
    </row>
    <row r="769" spans="1:58" ht="11.25" customHeight="1">
      <c r="A769" s="26" t="s">
        <v>3832</v>
      </c>
      <c r="B769" s="27" t="s">
        <v>3833</v>
      </c>
      <c r="C769" s="28">
        <v>14.99</v>
      </c>
      <c r="D769" s="28">
        <f t="shared" si="375"/>
        <v>7.4950000000000001</v>
      </c>
      <c r="E769" s="22" t="s">
        <v>3778</v>
      </c>
      <c r="F769" s="22" t="s">
        <v>3834</v>
      </c>
      <c r="G769" s="22" t="s">
        <v>3835</v>
      </c>
      <c r="H769" s="22" t="s">
        <v>3836</v>
      </c>
      <c r="I769" s="23" t="s">
        <v>3762</v>
      </c>
      <c r="J769" s="22" t="s">
        <v>670</v>
      </c>
      <c r="K769" s="23">
        <v>42</v>
      </c>
      <c r="L769" s="23">
        <v>3</v>
      </c>
      <c r="M769" s="23">
        <v>42</v>
      </c>
      <c r="N769" s="3">
        <f t="shared" si="404"/>
        <v>5.2919999999999998E-3</v>
      </c>
      <c r="O769" s="4" t="e">
        <f>(C769-(C769*#REF!))-((C769-(C769*#REF!))*#REF!)</f>
        <v>#REF!</v>
      </c>
      <c r="P769" s="7"/>
      <c r="Q769" s="7"/>
      <c r="R769" s="5">
        <f t="shared" si="405"/>
        <v>0</v>
      </c>
      <c r="S769" s="4">
        <f t="shared" si="406"/>
        <v>0</v>
      </c>
      <c r="T769" s="13">
        <f t="shared" si="376"/>
        <v>10.493</v>
      </c>
      <c r="U769" s="13">
        <f t="shared" si="385"/>
        <v>5.2465000000000002</v>
      </c>
      <c r="V769" s="14">
        <f>U769/C769</f>
        <v>0.35000000000000003</v>
      </c>
      <c r="W769" s="14"/>
      <c r="X769" s="19">
        <f t="shared" si="407"/>
        <v>5.2465000000000002</v>
      </c>
      <c r="Y769" s="19">
        <f t="shared" si="408"/>
        <v>10.493</v>
      </c>
      <c r="Z769" s="15" t="e">
        <f t="shared" si="395"/>
        <v>#DIV/0!</v>
      </c>
      <c r="AA769" s="22" t="s">
        <v>3837</v>
      </c>
      <c r="AG769" s="94" t="s">
        <v>2489</v>
      </c>
      <c r="AH769" s="89" t="str">
        <f>VLOOKUP(AG769,Sheet1!$B$3:$D$36,2,FALSE)</f>
        <v>Textiles</v>
      </c>
      <c r="AI769" s="89" t="s">
        <v>3783</v>
      </c>
      <c r="AJ769" s="1" t="str">
        <f t="shared" si="377"/>
        <v>Hiro black napkin</v>
      </c>
      <c r="AK769" s="1" t="str">
        <f t="shared" si="378"/>
        <v>w42 x d3 x h42</v>
      </c>
      <c r="AL769" s="1" t="str">
        <f t="shared" si="379"/>
        <v>LINEN INDOOR</v>
      </c>
      <c r="AM769" s="1" t="str">
        <f t="shared" si="380"/>
        <v>LINEN INDOOR</v>
      </c>
      <c r="AN769" s="1" t="str">
        <f t="shared" si="409"/>
        <v>LINEN INDOOR</v>
      </c>
      <c r="AO769" s="1" t="s">
        <v>54</v>
      </c>
      <c r="AQ769" s="1" t="str">
        <f t="shared" si="381"/>
        <v>E</v>
      </c>
      <c r="AR769" s="1" t="str">
        <f>VLOOKUP(TRIM(AI769),Sheet1!$D$3:$E$36,2,FALSE)</f>
        <v>02</v>
      </c>
      <c r="AS769" s="90" t="str">
        <f t="shared" si="382"/>
        <v>01</v>
      </c>
      <c r="AT769" s="1" t="str">
        <f t="shared" si="383"/>
        <v>05</v>
      </c>
      <c r="AU769" s="90" t="s">
        <v>3746</v>
      </c>
      <c r="AV769" s="90"/>
      <c r="AW769" s="90"/>
      <c r="AX769" s="95" t="str">
        <f>AQ769&amp;AR769&amp;AS769&amp;"-"&amp;AT769&amp;AU769&amp;BA769</f>
        <v>E0201-0509IND</v>
      </c>
      <c r="AY769" s="99" t="str">
        <f>AQ769&amp;AR769&amp;AS769&amp;"-"&amp;AT769&amp;BA769</f>
        <v>E0201-05IND</v>
      </c>
      <c r="AZ769" s="90"/>
      <c r="BA769" s="1" t="str">
        <f t="shared" si="384"/>
        <v>IND</v>
      </c>
      <c r="BC769" s="1">
        <f t="shared" si="396"/>
        <v>1</v>
      </c>
      <c r="BD769" s="90">
        <f t="shared" si="397"/>
        <v>1</v>
      </c>
      <c r="BE769" s="1" t="str">
        <f t="shared" si="386"/>
        <v/>
      </c>
      <c r="BF769" s="1">
        <f t="shared" si="387"/>
        <v>5</v>
      </c>
    </row>
    <row r="770" spans="1:58" ht="11.25" customHeight="1">
      <c r="A770" s="26" t="s">
        <v>3838</v>
      </c>
      <c r="B770" s="27" t="s">
        <v>3839</v>
      </c>
      <c r="C770" s="28">
        <v>43.99</v>
      </c>
      <c r="D770" s="28">
        <f t="shared" si="375"/>
        <v>21.995000000000001</v>
      </c>
      <c r="E770" s="22" t="s">
        <v>3778</v>
      </c>
      <c r="F770" s="22" t="s">
        <v>3840</v>
      </c>
      <c r="G770" s="22" t="s">
        <v>3841</v>
      </c>
      <c r="H770" s="22" t="s">
        <v>3842</v>
      </c>
      <c r="I770" s="23" t="s">
        <v>3743</v>
      </c>
      <c r="J770" s="22" t="s">
        <v>670</v>
      </c>
      <c r="K770" s="23">
        <v>47</v>
      </c>
      <c r="L770" s="23">
        <v>3</v>
      </c>
      <c r="M770" s="23">
        <v>70</v>
      </c>
      <c r="N770" s="3">
        <f t="shared" si="404"/>
        <v>9.8700000000000003E-3</v>
      </c>
      <c r="O770" s="4" t="e">
        <f>(C770-(C770*#REF!))-((C770-(C770*#REF!))*#REF!)</f>
        <v>#REF!</v>
      </c>
      <c r="P770" s="7"/>
      <c r="Q770" s="7"/>
      <c r="R770" s="5">
        <f t="shared" si="405"/>
        <v>0</v>
      </c>
      <c r="S770" s="4">
        <f t="shared" si="406"/>
        <v>0</v>
      </c>
      <c r="T770" s="13">
        <f t="shared" si="376"/>
        <v>30.792999999999999</v>
      </c>
      <c r="U770" s="13">
        <f t="shared" si="385"/>
        <v>15.3965</v>
      </c>
      <c r="V770" s="14">
        <f>U770/C770</f>
        <v>0.35</v>
      </c>
      <c r="W770" s="14"/>
      <c r="X770" s="19">
        <f t="shared" si="407"/>
        <v>15.3965</v>
      </c>
      <c r="Y770" s="19">
        <f t="shared" si="408"/>
        <v>30.792999999999999</v>
      </c>
      <c r="Z770" s="15" t="e">
        <f t="shared" si="395"/>
        <v>#DIV/0!</v>
      </c>
      <c r="AA770" s="22" t="s">
        <v>3843</v>
      </c>
      <c r="AG770" s="94" t="s">
        <v>2489</v>
      </c>
      <c r="AH770" s="89" t="str">
        <f>VLOOKUP(AG770,Sheet1!$B$3:$D$36,2,FALSE)</f>
        <v>Textiles</v>
      </c>
      <c r="AI770" s="89" t="s">
        <v>3783</v>
      </c>
      <c r="AJ770" s="1" t="str">
        <f t="shared" si="377"/>
        <v>Nakama natural tea towel</v>
      </c>
      <c r="AK770" s="1" t="str">
        <f t="shared" si="378"/>
        <v>w47 x d3 x h70</v>
      </c>
      <c r="AL770" s="1" t="str">
        <f t="shared" si="379"/>
        <v>LINEN INDOOR SET OF 2</v>
      </c>
      <c r="AM770" s="1" t="str">
        <f t="shared" si="380"/>
        <v>LINEN INDOOR SET OF 2</v>
      </c>
      <c r="AN770" s="1" t="str">
        <f t="shared" si="409"/>
        <v>LINEN INDOOR SET OF 2</v>
      </c>
      <c r="AO770" s="1" t="s">
        <v>54</v>
      </c>
      <c r="AQ770" s="1" t="str">
        <f t="shared" si="381"/>
        <v>E</v>
      </c>
      <c r="AR770" s="1" t="str">
        <f>VLOOKUP(TRIM(AI770),Sheet1!$D$3:$E$36,2,FALSE)</f>
        <v>02</v>
      </c>
      <c r="AS770" s="90" t="str">
        <f t="shared" si="382"/>
        <v>01</v>
      </c>
      <c r="AT770" s="1" t="str">
        <f t="shared" si="383"/>
        <v>01</v>
      </c>
      <c r="AU770" s="90" t="s">
        <v>3746</v>
      </c>
      <c r="AV770" s="90"/>
      <c r="AW770" s="90"/>
      <c r="AX770" s="95" t="str">
        <f>AQ770&amp;AR770&amp;AS770&amp;"-"&amp;AT770&amp;AU770&amp;BA770</f>
        <v>E0201-0109IND</v>
      </c>
      <c r="AY770" s="99" t="str">
        <f>AQ770&amp;AR770&amp;AS770&amp;"-"&amp;AT770&amp;BA770</f>
        <v>E0201-01IND</v>
      </c>
      <c r="AZ770" s="90"/>
      <c r="BA770" s="1" t="str">
        <f t="shared" si="384"/>
        <v>IND</v>
      </c>
      <c r="BC770" s="1">
        <f t="shared" si="396"/>
        <v>1</v>
      </c>
      <c r="BD770" s="90">
        <f t="shared" si="397"/>
        <v>1</v>
      </c>
      <c r="BE770" s="1">
        <f t="shared" si="386"/>
        <v>1</v>
      </c>
      <c r="BF770" s="1">
        <f t="shared" si="387"/>
        <v>1</v>
      </c>
    </row>
    <row r="771" spans="1:58" ht="11.25" customHeight="1">
      <c r="A771" s="26" t="s">
        <v>3844</v>
      </c>
      <c r="B771" s="27" t="s">
        <v>3845</v>
      </c>
      <c r="C771" s="28">
        <v>43.99</v>
      </c>
      <c r="D771" s="28">
        <f t="shared" si="375"/>
        <v>21.995000000000001</v>
      </c>
      <c r="E771" s="22" t="s">
        <v>3778</v>
      </c>
      <c r="F771" s="22" t="s">
        <v>3846</v>
      </c>
      <c r="G771" s="22" t="s">
        <v>3847</v>
      </c>
      <c r="H771" s="22" t="s">
        <v>3842</v>
      </c>
      <c r="I771" s="23" t="s">
        <v>3743</v>
      </c>
      <c r="J771" s="22" t="s">
        <v>670</v>
      </c>
      <c r="K771" s="23">
        <v>47</v>
      </c>
      <c r="L771" s="23">
        <v>3</v>
      </c>
      <c r="M771" s="23">
        <v>70</v>
      </c>
      <c r="N771" s="3">
        <f t="shared" si="404"/>
        <v>9.8700000000000003E-3</v>
      </c>
      <c r="O771" s="4" t="e">
        <f>(C771-(C771*#REF!))-((C771-(C771*#REF!))*#REF!)</f>
        <v>#REF!</v>
      </c>
      <c r="P771" s="7"/>
      <c r="Q771" s="7"/>
      <c r="R771" s="5">
        <f t="shared" si="405"/>
        <v>0</v>
      </c>
      <c r="S771" s="4">
        <f t="shared" si="406"/>
        <v>0</v>
      </c>
      <c r="T771" s="13">
        <f t="shared" si="376"/>
        <v>30.792999999999999</v>
      </c>
      <c r="U771" s="13">
        <f t="shared" si="385"/>
        <v>15.3965</v>
      </c>
      <c r="V771" s="14">
        <f>U771/C771</f>
        <v>0.35</v>
      </c>
      <c r="W771" s="14"/>
      <c r="X771" s="19">
        <f t="shared" si="407"/>
        <v>15.3965</v>
      </c>
      <c r="Y771" s="19">
        <f t="shared" si="408"/>
        <v>30.792999999999999</v>
      </c>
      <c r="Z771" s="15" t="e">
        <f t="shared" si="395"/>
        <v>#DIV/0!</v>
      </c>
      <c r="AA771" s="22" t="s">
        <v>3848</v>
      </c>
      <c r="AG771" s="94" t="s">
        <v>2489</v>
      </c>
      <c r="AH771" s="89" t="str">
        <f>VLOOKUP(AG771,Sheet1!$B$3:$D$36,2,FALSE)</f>
        <v>Textiles</v>
      </c>
      <c r="AI771" s="89" t="s">
        <v>3783</v>
      </c>
      <c r="AJ771" s="1" t="str">
        <f t="shared" si="377"/>
        <v>Omura black tea towel</v>
      </c>
      <c r="AK771" s="1" t="str">
        <f t="shared" si="378"/>
        <v>w47 x d3 x h70</v>
      </c>
      <c r="AL771" s="1" t="str">
        <f t="shared" si="379"/>
        <v>LINEN INDOOR SET OF 2</v>
      </c>
      <c r="AM771" s="1" t="str">
        <f t="shared" si="380"/>
        <v>LINEN INDOOR SET OF 2</v>
      </c>
      <c r="AN771" s="1" t="str">
        <f t="shared" si="409"/>
        <v>LINEN INDOOR SET OF 2</v>
      </c>
      <c r="AO771" s="1" t="s">
        <v>54</v>
      </c>
      <c r="AQ771" s="1" t="str">
        <f t="shared" si="381"/>
        <v>E</v>
      </c>
      <c r="AR771" s="1" t="str">
        <f>VLOOKUP(TRIM(AI771),Sheet1!$D$3:$E$36,2,FALSE)</f>
        <v>02</v>
      </c>
      <c r="AS771" s="90" t="str">
        <f t="shared" si="382"/>
        <v>01</v>
      </c>
      <c r="AT771" s="1" t="str">
        <f t="shared" si="383"/>
        <v>02</v>
      </c>
      <c r="AU771" s="90" t="s">
        <v>3746</v>
      </c>
      <c r="AV771" s="90"/>
      <c r="AW771" s="90"/>
      <c r="AX771" s="95" t="str">
        <f>AQ771&amp;AR771&amp;AS771&amp;"-"&amp;AT771&amp;AU771&amp;BA771</f>
        <v>E0201-0209IND</v>
      </c>
      <c r="AY771" s="99" t="str">
        <f>AQ771&amp;AR771&amp;AS771&amp;"-"&amp;AT771&amp;BA771</f>
        <v>E0201-02IND</v>
      </c>
      <c r="AZ771" s="90"/>
      <c r="BA771" s="1" t="str">
        <f t="shared" si="384"/>
        <v>IND</v>
      </c>
      <c r="BC771" s="1">
        <f t="shared" si="396"/>
        <v>1</v>
      </c>
      <c r="BD771" s="90">
        <f t="shared" si="397"/>
        <v>1</v>
      </c>
      <c r="BE771" s="1" t="str">
        <f t="shared" si="386"/>
        <v/>
      </c>
      <c r="BF771" s="1">
        <f t="shared" si="387"/>
        <v>2</v>
      </c>
    </row>
    <row r="772" spans="1:58" s="63" customFormat="1" ht="15.75">
      <c r="A772" s="33" t="s">
        <v>3849</v>
      </c>
      <c r="B772" s="34"/>
      <c r="C772" s="35"/>
      <c r="D772" s="36"/>
      <c r="E772" s="39"/>
      <c r="F772" s="40"/>
      <c r="G772" s="39"/>
      <c r="H772" s="39"/>
      <c r="I772" s="41"/>
      <c r="J772" s="39"/>
      <c r="K772" s="41"/>
      <c r="L772" s="41"/>
      <c r="M772" s="41"/>
      <c r="N772" s="48"/>
      <c r="O772" s="48"/>
      <c r="P772" s="49"/>
      <c r="Q772" s="49"/>
      <c r="R772" s="50"/>
      <c r="S772" s="48"/>
      <c r="T772" s="13"/>
      <c r="U772" s="13"/>
      <c r="V772" s="14"/>
      <c r="W772" s="14"/>
      <c r="X772" s="60"/>
      <c r="Y772" s="60"/>
      <c r="Z772" s="15"/>
      <c r="AA772" s="39"/>
      <c r="AG772" s="93"/>
      <c r="AH772" s="89"/>
      <c r="AI772" s="89"/>
      <c r="AJ772" s="1"/>
      <c r="AK772" s="1"/>
      <c r="AL772" s="1"/>
      <c r="AM772" s="1"/>
      <c r="AN772" s="1"/>
      <c r="AQ772" s="1"/>
      <c r="AR772" s="1"/>
      <c r="AS772" s="90"/>
      <c r="AT772" s="1"/>
      <c r="AU772" s="90"/>
      <c r="AV772" s="90"/>
      <c r="AW772" s="90"/>
      <c r="AX772" s="95"/>
      <c r="AY772" s="99" t="str">
        <f>AQ772&amp;AR772&amp;AS772&amp;"-"&amp;AT772&amp;BA772</f>
        <v>-</v>
      </c>
      <c r="AZ772" s="90"/>
      <c r="BA772" s="1"/>
      <c r="BC772" s="1"/>
      <c r="BD772" s="90"/>
      <c r="BE772" s="1"/>
      <c r="BF772" s="1"/>
    </row>
    <row r="773" spans="1:58" ht="11.25" customHeight="1">
      <c r="A773" s="26" t="s">
        <v>3850</v>
      </c>
      <c r="B773" s="27" t="s">
        <v>3851</v>
      </c>
      <c r="C773" s="28">
        <v>0</v>
      </c>
      <c r="D773" s="28">
        <f t="shared" ref="D773:D836" si="410">C773*$D$1</f>
        <v>0</v>
      </c>
      <c r="E773" s="22" t="s">
        <v>3852</v>
      </c>
      <c r="F773" s="22" t="s">
        <v>3853</v>
      </c>
      <c r="G773" s="22" t="s">
        <v>3851</v>
      </c>
      <c r="H773" s="22" t="s">
        <v>3854</v>
      </c>
      <c r="I773" s="23" t="s">
        <v>3855</v>
      </c>
      <c r="J773" s="22" t="s">
        <v>670</v>
      </c>
      <c r="K773" s="23">
        <v>140</v>
      </c>
      <c r="L773" s="23">
        <v>3</v>
      </c>
      <c r="M773" s="23">
        <v>100</v>
      </c>
      <c r="N773" s="3">
        <f t="shared" ref="N773:N784" si="411">(IF(ISBLANK(K773),(L773*L773*M773),(K773*L773*M773)))/1000000</f>
        <v>4.2000000000000003E-2</v>
      </c>
      <c r="O773" s="4" t="e">
        <f>(C773-(C773*#REF!))-((C773-(C773*#REF!))*#REF!)</f>
        <v>#REF!</v>
      </c>
      <c r="P773" s="7"/>
      <c r="Q773" s="7"/>
      <c r="R773" s="5">
        <f t="shared" ref="R773:R784" si="412">P773+Q773</f>
        <v>0</v>
      </c>
      <c r="S773" s="4">
        <f t="shared" ref="S773:S784" si="413">R773/15000</f>
        <v>0</v>
      </c>
      <c r="T773" s="13">
        <f t="shared" ref="T773:T836" si="414">C773-(C773*$T$1)</f>
        <v>0</v>
      </c>
      <c r="U773" s="13">
        <f t="shared" si="385"/>
        <v>0</v>
      </c>
      <c r="V773" s="14" t="e">
        <f>U773/C773</f>
        <v>#DIV/0!</v>
      </c>
      <c r="W773" s="14"/>
      <c r="X773" s="19">
        <f t="shared" ref="X773:X784" si="415">IF(ISBLANK(W773),U773, W773)</f>
        <v>0</v>
      </c>
      <c r="Y773" s="19">
        <f t="shared" ref="Y773:Y784" si="416">X773*2</f>
        <v>0</v>
      </c>
      <c r="Z773" s="15" t="e">
        <f t="shared" si="395"/>
        <v>#DIV/0!</v>
      </c>
      <c r="AA773" s="22" t="s">
        <v>3856</v>
      </c>
      <c r="AG773" s="94" t="s">
        <v>2489</v>
      </c>
      <c r="AH773" s="89" t="str">
        <f>VLOOKUP(AG773,Sheet1!$B$3:$D$36,2,FALSE)</f>
        <v>Textiles</v>
      </c>
      <c r="AI773" s="89" t="s">
        <v>3857</v>
      </c>
      <c r="AJ773" s="1" t="str">
        <f t="shared" ref="AJ773:AJ836" si="417">G773</f>
        <v xml:space="preserve">Plaid Moonga fringe </v>
      </c>
      <c r="AK773" s="1" t="str">
        <f t="shared" ref="AK773:AK836" si="418">TRIM(H773)</f>
        <v>w140 x d3 x h100</v>
      </c>
      <c r="AL773" s="1" t="str">
        <f t="shared" ref="AL773:AL836" si="419">I773</f>
        <v>linen indoor</v>
      </c>
      <c r="AM773" s="1" t="str">
        <f t="shared" ref="AM773:AM836" si="420">I773</f>
        <v>linen indoor</v>
      </c>
      <c r="AN773" s="1" t="str">
        <f t="shared" ref="AN773:AN836" si="421">SUBSTITUTE(AL773,"indoor","")</f>
        <v xml:space="preserve">linen </v>
      </c>
      <c r="AO773" s="1" t="s">
        <v>54</v>
      </c>
      <c r="AQ773" s="1" t="str">
        <f t="shared" ref="AQ773:AQ836" si="422">IF(TRIM(AG773)="01","A",IF(TRIM(AG773)="02","B",IF(TRIM(AG773)="03","C",IF(TRIM(AG773)="04","D",IF(TRIM(AG773)="05","E","F")))))</f>
        <v>E</v>
      </c>
      <c r="AR773" s="1" t="str">
        <f>VLOOKUP(TRIM(AI773),Sheet1!$D$3:$E$36,2,FALSE)</f>
        <v>03</v>
      </c>
      <c r="AS773" s="90" t="str">
        <f t="shared" ref="AS773:AS836" si="423">IF(LEN(BD773)=1,"0"&amp;BD773,BD773)</f>
        <v>01</v>
      </c>
      <c r="AT773" s="1" t="str">
        <f t="shared" ref="AT773:AT836" si="424">IF(LEN(BF773)=1,"0"&amp;BF773,BF773)</f>
        <v>01</v>
      </c>
      <c r="AU773" s="90" t="s">
        <v>3746</v>
      </c>
      <c r="AV773" s="90"/>
      <c r="AW773" s="90"/>
      <c r="AX773" s="95" t="str">
        <f>AQ773&amp;AR773&amp;AS773&amp;"-"&amp;AT773&amp;AU773&amp;BA773</f>
        <v>E0301-0109IND</v>
      </c>
      <c r="AY773" s="99" t="str">
        <f>AQ773&amp;AR773&amp;AS773&amp;"-"&amp;AT773&amp;BA773</f>
        <v>E0301-01IND</v>
      </c>
      <c r="AZ773" s="90"/>
      <c r="BA773" s="1" t="str">
        <f t="shared" ref="BA773:BA836" si="425">IF(AO773="","",UPPER(LEFT(AO773,3)))</f>
        <v>IND</v>
      </c>
      <c r="BC773" s="1">
        <f t="shared" si="396"/>
        <v>1</v>
      </c>
      <c r="BD773" s="90">
        <f t="shared" si="397"/>
        <v>1</v>
      </c>
      <c r="BE773" s="1">
        <f t="shared" si="386"/>
        <v>1</v>
      </c>
      <c r="BF773" s="1">
        <f t="shared" si="387"/>
        <v>1</v>
      </c>
    </row>
    <row r="774" spans="1:58" ht="11.25" customHeight="1">
      <c r="A774" s="26" t="s">
        <v>3858</v>
      </c>
      <c r="B774" s="27" t="s">
        <v>3859</v>
      </c>
      <c r="C774" s="28">
        <v>0</v>
      </c>
      <c r="D774" s="28">
        <f t="shared" si="410"/>
        <v>0</v>
      </c>
      <c r="E774" s="22" t="s">
        <v>3852</v>
      </c>
      <c r="F774" s="22" t="s">
        <v>3860</v>
      </c>
      <c r="G774" s="22" t="s">
        <v>3859</v>
      </c>
      <c r="H774" s="22" t="s">
        <v>3854</v>
      </c>
      <c r="I774" s="23" t="s">
        <v>3855</v>
      </c>
      <c r="J774" s="22" t="s">
        <v>670</v>
      </c>
      <c r="K774" s="23">
        <v>140</v>
      </c>
      <c r="L774" s="23">
        <v>3</v>
      </c>
      <c r="M774" s="23">
        <v>100</v>
      </c>
      <c r="N774" s="3">
        <f t="shared" si="411"/>
        <v>4.2000000000000003E-2</v>
      </c>
      <c r="O774" s="4" t="e">
        <f>(C774-(C774*#REF!))-((C774-(C774*#REF!))*#REF!)</f>
        <v>#REF!</v>
      </c>
      <c r="P774" s="7"/>
      <c r="Q774" s="7"/>
      <c r="R774" s="5">
        <f t="shared" si="412"/>
        <v>0</v>
      </c>
      <c r="S774" s="4">
        <f t="shared" si="413"/>
        <v>0</v>
      </c>
      <c r="T774" s="13">
        <f t="shared" si="414"/>
        <v>0</v>
      </c>
      <c r="U774" s="13">
        <f t="shared" ref="U774:U837" si="426">T774-(T774*$U$1)</f>
        <v>0</v>
      </c>
      <c r="V774" s="14" t="e">
        <f>U774/C774</f>
        <v>#DIV/0!</v>
      </c>
      <c r="W774" s="14"/>
      <c r="X774" s="19">
        <f t="shared" si="415"/>
        <v>0</v>
      </c>
      <c r="Y774" s="19">
        <f t="shared" si="416"/>
        <v>0</v>
      </c>
      <c r="Z774" s="15" t="e">
        <f t="shared" si="395"/>
        <v>#DIV/0!</v>
      </c>
      <c r="AA774" s="22" t="s">
        <v>3861</v>
      </c>
      <c r="AG774" s="94" t="s">
        <v>2489</v>
      </c>
      <c r="AH774" s="89" t="str">
        <f>VLOOKUP(AG774,Sheet1!$B$3:$D$36,2,FALSE)</f>
        <v>Textiles</v>
      </c>
      <c r="AI774" s="89" t="s">
        <v>3857</v>
      </c>
      <c r="AJ774" s="1" t="str">
        <f t="shared" si="417"/>
        <v>Plaid Indicolite striped fringe</v>
      </c>
      <c r="AK774" s="1" t="str">
        <f t="shared" si="418"/>
        <v>w140 x d3 x h100</v>
      </c>
      <c r="AL774" s="1" t="str">
        <f t="shared" si="419"/>
        <v>linen indoor</v>
      </c>
      <c r="AM774" s="1" t="str">
        <f t="shared" si="420"/>
        <v>linen indoor</v>
      </c>
      <c r="AN774" s="1" t="str">
        <f t="shared" si="421"/>
        <v xml:space="preserve">linen </v>
      </c>
      <c r="AO774" s="1" t="s">
        <v>54</v>
      </c>
      <c r="AQ774" s="1" t="str">
        <f t="shared" si="422"/>
        <v>E</v>
      </c>
      <c r="AR774" s="1" t="str">
        <f>VLOOKUP(TRIM(AI774),Sheet1!$D$3:$E$36,2,FALSE)</f>
        <v>03</v>
      </c>
      <c r="AS774" s="90" t="str">
        <f t="shared" si="423"/>
        <v>01</v>
      </c>
      <c r="AT774" s="1" t="str">
        <f t="shared" si="424"/>
        <v>02</v>
      </c>
      <c r="AU774" s="90" t="s">
        <v>3746</v>
      </c>
      <c r="AV774" s="90"/>
      <c r="AW774" s="90"/>
      <c r="AX774" s="95" t="str">
        <f>AQ774&amp;AR774&amp;AS774&amp;"-"&amp;AT774&amp;AU774&amp;BA774</f>
        <v>E0301-0209IND</v>
      </c>
      <c r="AY774" s="99" t="str">
        <f>AQ774&amp;AR774&amp;AS774&amp;"-"&amp;AT774&amp;BA774</f>
        <v>E0301-02IND</v>
      </c>
      <c r="AZ774" s="90"/>
      <c r="BA774" s="1" t="str">
        <f t="shared" si="425"/>
        <v>IND</v>
      </c>
      <c r="BC774" s="1">
        <f t="shared" si="396"/>
        <v>1</v>
      </c>
      <c r="BD774" s="90">
        <f t="shared" si="397"/>
        <v>1</v>
      </c>
      <c r="BE774" s="1" t="str">
        <f t="shared" si="386"/>
        <v/>
      </c>
      <c r="BF774" s="1">
        <f t="shared" si="387"/>
        <v>2</v>
      </c>
    </row>
    <row r="775" spans="1:58" ht="11.25" customHeight="1">
      <c r="A775" s="26" t="s">
        <v>3862</v>
      </c>
      <c r="B775" s="27" t="s">
        <v>3863</v>
      </c>
      <c r="C775" s="28">
        <v>0</v>
      </c>
      <c r="D775" s="28">
        <f t="shared" si="410"/>
        <v>0</v>
      </c>
      <c r="E775" s="22" t="s">
        <v>3852</v>
      </c>
      <c r="F775" s="22" t="s">
        <v>3853</v>
      </c>
      <c r="G775" s="22" t="s">
        <v>3863</v>
      </c>
      <c r="H775" s="22" t="s">
        <v>3854</v>
      </c>
      <c r="I775" s="23" t="s">
        <v>3855</v>
      </c>
      <c r="J775" s="22" t="s">
        <v>670</v>
      </c>
      <c r="K775" s="23">
        <v>140</v>
      </c>
      <c r="L775" s="23">
        <v>3</v>
      </c>
      <c r="M775" s="23">
        <v>100</v>
      </c>
      <c r="N775" s="3">
        <f t="shared" si="411"/>
        <v>4.2000000000000003E-2</v>
      </c>
      <c r="O775" s="4" t="e">
        <f>(C775-(C775*#REF!))-((C775-(C775*#REF!))*#REF!)</f>
        <v>#REF!</v>
      </c>
      <c r="P775" s="7"/>
      <c r="Q775" s="7"/>
      <c r="R775" s="5">
        <f t="shared" si="412"/>
        <v>0</v>
      </c>
      <c r="S775" s="4">
        <f t="shared" si="413"/>
        <v>0</v>
      </c>
      <c r="T775" s="13">
        <f t="shared" si="414"/>
        <v>0</v>
      </c>
      <c r="U775" s="13">
        <f t="shared" si="426"/>
        <v>0</v>
      </c>
      <c r="V775" s="14" t="e">
        <f>U775/C775</f>
        <v>#DIV/0!</v>
      </c>
      <c r="W775" s="14"/>
      <c r="X775" s="19">
        <f t="shared" si="415"/>
        <v>0</v>
      </c>
      <c r="Y775" s="19">
        <f t="shared" si="416"/>
        <v>0</v>
      </c>
      <c r="Z775" s="15" t="e">
        <f t="shared" si="395"/>
        <v>#DIV/0!</v>
      </c>
      <c r="AA775" s="22" t="s">
        <v>3864</v>
      </c>
      <c r="AG775" s="94" t="s">
        <v>2489</v>
      </c>
      <c r="AH775" s="89" t="str">
        <f>VLOOKUP(AG775,Sheet1!$B$3:$D$36,2,FALSE)</f>
        <v>Textiles</v>
      </c>
      <c r="AI775" s="89" t="s">
        <v>3857</v>
      </c>
      <c r="AJ775" s="1" t="str">
        <f t="shared" si="417"/>
        <v xml:space="preserve">Plaid Obsidian fringe </v>
      </c>
      <c r="AK775" s="1" t="str">
        <f t="shared" si="418"/>
        <v>w140 x d3 x h100</v>
      </c>
      <c r="AL775" s="1" t="str">
        <f t="shared" si="419"/>
        <v>linen indoor</v>
      </c>
      <c r="AM775" s="1" t="str">
        <f t="shared" si="420"/>
        <v>linen indoor</v>
      </c>
      <c r="AN775" s="1" t="str">
        <f t="shared" si="421"/>
        <v xml:space="preserve">linen </v>
      </c>
      <c r="AO775" s="1" t="s">
        <v>54</v>
      </c>
      <c r="AQ775" s="1" t="str">
        <f t="shared" si="422"/>
        <v>E</v>
      </c>
      <c r="AR775" s="1" t="str">
        <f>VLOOKUP(TRIM(AI775),Sheet1!$D$3:$E$36,2,FALSE)</f>
        <v>03</v>
      </c>
      <c r="AS775" s="90" t="str">
        <f t="shared" si="423"/>
        <v>01</v>
      </c>
      <c r="AT775" s="1" t="str">
        <f t="shared" si="424"/>
        <v>03</v>
      </c>
      <c r="AU775" s="90" t="s">
        <v>3746</v>
      </c>
      <c r="AV775" s="90"/>
      <c r="AW775" s="90"/>
      <c r="AX775" s="95" t="str">
        <f>AQ775&amp;AR775&amp;AS775&amp;"-"&amp;AT775&amp;AU775&amp;BA775</f>
        <v>E0301-0309IND</v>
      </c>
      <c r="AY775" s="99" t="str">
        <f>AQ775&amp;AR775&amp;AS775&amp;"-"&amp;AT775&amp;BA775</f>
        <v>E0301-03IND</v>
      </c>
      <c r="AZ775" s="90"/>
      <c r="BA775" s="1" t="str">
        <f t="shared" si="425"/>
        <v>IND</v>
      </c>
      <c r="BC775" s="1">
        <f t="shared" si="396"/>
        <v>1</v>
      </c>
      <c r="BD775" s="90">
        <f t="shared" si="397"/>
        <v>1</v>
      </c>
      <c r="BE775" s="1" t="str">
        <f t="shared" si="386"/>
        <v/>
      </c>
      <c r="BF775" s="1">
        <f t="shared" si="387"/>
        <v>3</v>
      </c>
    </row>
    <row r="776" spans="1:58" ht="11.25" customHeight="1">
      <c r="A776" s="26">
        <v>33013</v>
      </c>
      <c r="B776" s="27" t="s">
        <v>3865</v>
      </c>
      <c r="C776" s="28">
        <v>57.99</v>
      </c>
      <c r="D776" s="28">
        <f t="shared" si="410"/>
        <v>28.995000000000001</v>
      </c>
      <c r="E776" s="22" t="s">
        <v>3852</v>
      </c>
      <c r="F776" s="22" t="s">
        <v>3866</v>
      </c>
      <c r="G776" s="22" t="s">
        <v>3867</v>
      </c>
      <c r="H776" s="22" t="s">
        <v>3868</v>
      </c>
      <c r="I776" s="23" t="s">
        <v>3869</v>
      </c>
      <c r="J776" s="22" t="s">
        <v>670</v>
      </c>
      <c r="K776" s="23">
        <v>50</v>
      </c>
      <c r="L776" s="23">
        <v>10</v>
      </c>
      <c r="M776" s="23">
        <v>50</v>
      </c>
      <c r="N776" s="3">
        <f t="shared" si="411"/>
        <v>2.5000000000000001E-2</v>
      </c>
      <c r="O776" s="4" t="e">
        <f>(C776-(C776*#REF!))-((C776-(C776*#REF!))*#REF!)</f>
        <v>#REF!</v>
      </c>
      <c r="P776" s="7">
        <f>Q776*0.05</f>
        <v>11000</v>
      </c>
      <c r="Q776" s="7">
        <v>220000</v>
      </c>
      <c r="R776" s="5">
        <f>P776+Q776</f>
        <v>231000</v>
      </c>
      <c r="S776" s="4">
        <f t="shared" si="413"/>
        <v>15.4</v>
      </c>
      <c r="T776" s="13">
        <f t="shared" si="414"/>
        <v>40.593000000000004</v>
      </c>
      <c r="U776" s="13">
        <f t="shared" si="426"/>
        <v>20.296500000000002</v>
      </c>
      <c r="V776" s="14">
        <f>U776/C776</f>
        <v>0.35000000000000003</v>
      </c>
      <c r="W776" s="18">
        <v>26.18</v>
      </c>
      <c r="X776" s="19">
        <f t="shared" si="415"/>
        <v>26.18</v>
      </c>
      <c r="Y776" s="19">
        <f t="shared" si="416"/>
        <v>52.36</v>
      </c>
      <c r="Z776" s="15">
        <v>2</v>
      </c>
      <c r="AA776" s="22" t="s">
        <v>3870</v>
      </c>
      <c r="AG776" s="94" t="s">
        <v>2489</v>
      </c>
      <c r="AH776" s="89" t="str">
        <f>VLOOKUP(AG776,Sheet1!$B$3:$D$36,2,FALSE)</f>
        <v>Textiles</v>
      </c>
      <c r="AI776" s="89" t="s">
        <v>3857</v>
      </c>
      <c r="AJ776" s="1" t="str">
        <f t="shared" si="417"/>
        <v>Rumbana pillow</v>
      </c>
      <c r="AK776" s="1" t="str">
        <f t="shared" si="418"/>
        <v>w50 x d10 x h50</v>
      </c>
      <c r="AL776" s="1" t="str">
        <f t="shared" si="419"/>
        <v>seagrass indoor</v>
      </c>
      <c r="AM776" s="1" t="str">
        <f t="shared" si="420"/>
        <v>seagrass indoor</v>
      </c>
      <c r="AN776" s="1" t="str">
        <f t="shared" si="421"/>
        <v xml:space="preserve">seagrass </v>
      </c>
      <c r="AO776" s="1" t="s">
        <v>54</v>
      </c>
      <c r="AQ776" s="1" t="str">
        <f t="shared" si="422"/>
        <v>E</v>
      </c>
      <c r="AR776" s="1" t="str">
        <f>VLOOKUP(TRIM(AI776),Sheet1!$D$3:$E$36,2,FALSE)</f>
        <v>03</v>
      </c>
      <c r="AS776" s="90" t="str">
        <f t="shared" si="423"/>
        <v>01</v>
      </c>
      <c r="AT776" s="1" t="str">
        <f t="shared" si="424"/>
        <v>01</v>
      </c>
      <c r="AU776" s="90" t="s">
        <v>1503</v>
      </c>
      <c r="AV776" s="90"/>
      <c r="AW776" s="90"/>
      <c r="AX776" s="95" t="str">
        <f>AQ776&amp;AR776&amp;AS776&amp;"-"&amp;AT776&amp;AU776&amp;BA776</f>
        <v>E0301-0121IND</v>
      </c>
      <c r="AY776" s="99" t="str">
        <f>AQ776&amp;AR776&amp;AS776&amp;"-"&amp;AT776&amp;BA776</f>
        <v>E0301-01IND</v>
      </c>
      <c r="AZ776" s="90"/>
      <c r="BA776" s="1" t="str">
        <f t="shared" si="425"/>
        <v>IND</v>
      </c>
      <c r="BC776" s="1">
        <f t="shared" si="396"/>
        <v>1</v>
      </c>
      <c r="BD776" s="90">
        <f t="shared" si="397"/>
        <v>1</v>
      </c>
      <c r="BE776" s="1">
        <f t="shared" si="386"/>
        <v>1</v>
      </c>
      <c r="BF776" s="1">
        <f t="shared" si="387"/>
        <v>1</v>
      </c>
    </row>
    <row r="777" spans="1:58" ht="11.25" customHeight="1">
      <c r="A777" s="26" t="s">
        <v>3871</v>
      </c>
      <c r="B777" s="27" t="s">
        <v>3872</v>
      </c>
      <c r="C777" s="28">
        <v>170.99</v>
      </c>
      <c r="D777" s="28">
        <f t="shared" si="410"/>
        <v>85.495000000000005</v>
      </c>
      <c r="E777" s="22" t="s">
        <v>3852</v>
      </c>
      <c r="F777" s="22" t="s">
        <v>3873</v>
      </c>
      <c r="G777" s="22" t="s">
        <v>920</v>
      </c>
      <c r="H777" s="22" t="s">
        <v>3874</v>
      </c>
      <c r="J777" s="22" t="s">
        <v>670</v>
      </c>
      <c r="K777" s="23">
        <v>40</v>
      </c>
      <c r="L777" s="23">
        <v>10</v>
      </c>
      <c r="M777" s="23">
        <v>40</v>
      </c>
      <c r="N777" s="3">
        <f t="shared" si="411"/>
        <v>1.6E-2</v>
      </c>
      <c r="O777" s="4" t="e">
        <f>(C777-(C777*#REF!))-((C777-(C777*#REF!))*#REF!)</f>
        <v>#REF!</v>
      </c>
      <c r="P777" s="7">
        <f>142388.546152985-Q777</f>
        <v>4888.5461529850145</v>
      </c>
      <c r="Q777" s="7">
        <v>137500</v>
      </c>
      <c r="R777" s="5">
        <f t="shared" si="412"/>
        <v>142388.54615298501</v>
      </c>
      <c r="S777" s="4">
        <f t="shared" si="413"/>
        <v>9.492569743532334</v>
      </c>
      <c r="T777" s="13">
        <f t="shared" si="414"/>
        <v>119.69300000000001</v>
      </c>
      <c r="U777" s="13">
        <f t="shared" si="426"/>
        <v>59.846500000000006</v>
      </c>
      <c r="V777" s="14">
        <f>U777/C777</f>
        <v>0.35000000000000003</v>
      </c>
      <c r="W777" s="14"/>
      <c r="X777" s="19">
        <f t="shared" si="415"/>
        <v>59.846500000000006</v>
      </c>
      <c r="Y777" s="19">
        <f t="shared" si="416"/>
        <v>119.69300000000001</v>
      </c>
      <c r="Z777" s="15">
        <f>U777/S777</f>
        <v>6.3045625807253947</v>
      </c>
      <c r="AA777" s="22" t="s">
        <v>3875</v>
      </c>
      <c r="AG777" s="94" t="s">
        <v>2489</v>
      </c>
      <c r="AH777" s="89" t="str">
        <f>VLOOKUP(AG777,Sheet1!$B$3:$D$36,2,FALSE)</f>
        <v>Textiles</v>
      </c>
      <c r="AI777" s="89" t="s">
        <v>3857</v>
      </c>
      <c r="AJ777" s="1" t="str">
        <f t="shared" si="417"/>
        <v>Wiro pillow souffle</v>
      </c>
      <c r="AK777" s="1" t="str">
        <f t="shared" si="418"/>
        <v>w40 x d10 x h40</v>
      </c>
      <c r="AL777" s="1">
        <f t="shared" si="419"/>
        <v>0</v>
      </c>
      <c r="AM777" s="1">
        <f t="shared" si="420"/>
        <v>0</v>
      </c>
      <c r="AN777" s="1" t="str">
        <f t="shared" si="421"/>
        <v>0</v>
      </c>
      <c r="AQ777" s="1" t="str">
        <f t="shared" si="422"/>
        <v>E</v>
      </c>
      <c r="AR777" s="1" t="str">
        <f>VLOOKUP(TRIM(AI777),Sheet1!$D$3:$E$36,2,FALSE)</f>
        <v>03</v>
      </c>
      <c r="AS777" s="90" t="str">
        <f t="shared" si="423"/>
        <v>01</v>
      </c>
      <c r="AT777" s="1" t="str">
        <f t="shared" si="424"/>
        <v>01</v>
      </c>
      <c r="AU777" s="90"/>
      <c r="AV777" s="90"/>
      <c r="AW777" s="90"/>
      <c r="AX777" s="95" t="str">
        <f>AQ777&amp;AR777&amp;AS777&amp;"-"&amp;AT777&amp;AU777&amp;BA777</f>
        <v>E0301-01</v>
      </c>
      <c r="AY777" s="99" t="str">
        <f>AQ777&amp;AR777&amp;AS777&amp;"-"&amp;AT777&amp;BA777</f>
        <v>E0301-01</v>
      </c>
      <c r="AZ777" s="90"/>
      <c r="BA777" s="1" t="str">
        <f t="shared" si="425"/>
        <v/>
      </c>
      <c r="BC777" s="1">
        <f t="shared" si="396"/>
        <v>1</v>
      </c>
      <c r="BD777" s="90">
        <f t="shared" si="397"/>
        <v>1</v>
      </c>
      <c r="BE777" s="1">
        <f t="shared" si="386"/>
        <v>1</v>
      </c>
      <c r="BF777" s="1">
        <f t="shared" si="387"/>
        <v>1</v>
      </c>
    </row>
    <row r="778" spans="1:58" ht="11.25" customHeight="1">
      <c r="A778" s="26" t="s">
        <v>3876</v>
      </c>
      <c r="B778" s="27" t="s">
        <v>3872</v>
      </c>
      <c r="C778" s="28">
        <v>184.99</v>
      </c>
      <c r="D778" s="28">
        <f t="shared" si="410"/>
        <v>92.495000000000005</v>
      </c>
      <c r="E778" s="22" t="s">
        <v>3852</v>
      </c>
      <c r="F778" s="22" t="s">
        <v>3877</v>
      </c>
      <c r="G778" s="22" t="s">
        <v>920</v>
      </c>
      <c r="H778" s="22" t="s">
        <v>3878</v>
      </c>
      <c r="J778" s="22" t="s">
        <v>670</v>
      </c>
      <c r="K778" s="23">
        <v>45</v>
      </c>
      <c r="L778" s="23">
        <v>10</v>
      </c>
      <c r="M778" s="23">
        <v>45</v>
      </c>
      <c r="N778" s="3">
        <f t="shared" si="411"/>
        <v>2.0250000000000001E-2</v>
      </c>
      <c r="O778" s="4" t="e">
        <f>(C778-(C778*#REF!))-((C778-(C778*#REF!))*#REF!)</f>
        <v>#REF!</v>
      </c>
      <c r="P778" s="7">
        <f>153388.546152985-Q778</f>
        <v>4888.5461529850145</v>
      </c>
      <c r="Q778" s="7">
        <v>148500</v>
      </c>
      <c r="R778" s="5">
        <f t="shared" si="412"/>
        <v>153388.54615298501</v>
      </c>
      <c r="S778" s="4">
        <f t="shared" si="413"/>
        <v>10.225903076865668</v>
      </c>
      <c r="T778" s="13">
        <f t="shared" si="414"/>
        <v>129.49299999999999</v>
      </c>
      <c r="U778" s="13">
        <f t="shared" si="426"/>
        <v>64.746499999999997</v>
      </c>
      <c r="V778" s="14">
        <f>U778/C778</f>
        <v>0.35</v>
      </c>
      <c r="W778" s="14"/>
      <c r="X778" s="19">
        <f t="shared" si="415"/>
        <v>64.746499999999997</v>
      </c>
      <c r="Y778" s="19">
        <f t="shared" si="416"/>
        <v>129.49299999999999</v>
      </c>
      <c r="Z778" s="15">
        <f>U778/S778</f>
        <v>6.3316168277086176</v>
      </c>
      <c r="AA778" s="22" t="s">
        <v>3879</v>
      </c>
      <c r="AG778" s="94" t="s">
        <v>2489</v>
      </c>
      <c r="AH778" s="89" t="str">
        <f>VLOOKUP(AG778,Sheet1!$B$3:$D$36,2,FALSE)</f>
        <v>Textiles</v>
      </c>
      <c r="AI778" s="89" t="s">
        <v>3857</v>
      </c>
      <c r="AJ778" s="1" t="str">
        <f t="shared" si="417"/>
        <v>Wiro pillow souffle</v>
      </c>
      <c r="AK778" s="1" t="str">
        <f t="shared" si="418"/>
        <v>w45 x d10 x h45</v>
      </c>
      <c r="AL778" s="1">
        <f t="shared" si="419"/>
        <v>0</v>
      </c>
      <c r="AM778" s="1">
        <f t="shared" si="420"/>
        <v>0</v>
      </c>
      <c r="AN778" s="1" t="str">
        <f t="shared" si="421"/>
        <v>0</v>
      </c>
      <c r="AQ778" s="1" t="str">
        <f t="shared" si="422"/>
        <v>E</v>
      </c>
      <c r="AR778" s="1" t="str">
        <f>VLOOKUP(TRIM(AI778),Sheet1!$D$3:$E$36,2,FALSE)</f>
        <v>03</v>
      </c>
      <c r="AS778" s="90" t="str">
        <f t="shared" si="423"/>
        <v>02</v>
      </c>
      <c r="AT778" s="1" t="str">
        <f t="shared" si="424"/>
        <v>01</v>
      </c>
      <c r="AU778" s="90"/>
      <c r="AV778" s="90"/>
      <c r="AW778" s="90"/>
      <c r="AX778" s="95" t="str">
        <f>AQ778&amp;AR778&amp;AS778&amp;"-"&amp;AT778&amp;AU778&amp;BA778</f>
        <v>E0302-01</v>
      </c>
      <c r="AY778" s="99" t="str">
        <f>AQ778&amp;AR778&amp;AS778&amp;"-"&amp;AT778&amp;BA778</f>
        <v>E0302-01</v>
      </c>
      <c r="AZ778" s="90"/>
      <c r="BA778" s="1" t="str">
        <f t="shared" si="425"/>
        <v/>
      </c>
      <c r="BC778" s="1" t="str">
        <f t="shared" si="396"/>
        <v/>
      </c>
      <c r="BD778" s="90">
        <f t="shared" si="397"/>
        <v>2</v>
      </c>
      <c r="BE778" s="1">
        <f t="shared" si="386"/>
        <v>1</v>
      </c>
      <c r="BF778" s="1">
        <f t="shared" si="387"/>
        <v>1</v>
      </c>
    </row>
    <row r="779" spans="1:58" ht="11.25" customHeight="1">
      <c r="A779" s="26" t="s">
        <v>3880</v>
      </c>
      <c r="B779" s="27" t="s">
        <v>3872</v>
      </c>
      <c r="D779" s="28">
        <f t="shared" si="410"/>
        <v>0</v>
      </c>
      <c r="E779" s="22" t="s">
        <v>3852</v>
      </c>
      <c r="F779" s="22" t="s">
        <v>3881</v>
      </c>
      <c r="G779" s="22" t="s">
        <v>920</v>
      </c>
      <c r="H779" s="22" t="s">
        <v>3868</v>
      </c>
      <c r="J779" s="22" t="s">
        <v>670</v>
      </c>
      <c r="K779" s="23">
        <v>50</v>
      </c>
      <c r="L779" s="23">
        <v>10</v>
      </c>
      <c r="M779" s="23">
        <v>50</v>
      </c>
      <c r="N779" s="3">
        <f t="shared" si="411"/>
        <v>2.5000000000000001E-2</v>
      </c>
      <c r="O779" s="4" t="e">
        <f>(C779-(C779*#REF!))-((C779-(C779*#REF!))*#REF!)</f>
        <v>#REF!</v>
      </c>
      <c r="P779" s="7">
        <f>176535.242164179-Q779</f>
        <v>6035.2421641790133</v>
      </c>
      <c r="Q779" s="7">
        <v>170500</v>
      </c>
      <c r="R779" s="5">
        <f t="shared" si="412"/>
        <v>176535.24216417901</v>
      </c>
      <c r="S779" s="4">
        <f t="shared" si="413"/>
        <v>11.7690161442786</v>
      </c>
      <c r="T779" s="13">
        <f t="shared" si="414"/>
        <v>0</v>
      </c>
      <c r="U779" s="13">
        <f t="shared" si="426"/>
        <v>0</v>
      </c>
      <c r="V779" s="14" t="e">
        <f>U779/C779</f>
        <v>#DIV/0!</v>
      </c>
      <c r="W779" s="18">
        <f>S779*$W$1</f>
        <v>23.538032288557201</v>
      </c>
      <c r="X779" s="19">
        <f t="shared" si="415"/>
        <v>23.538032288557201</v>
      </c>
      <c r="Y779" s="19">
        <f t="shared" si="416"/>
        <v>47.076064577114401</v>
      </c>
      <c r="Z779" s="15">
        <v>2</v>
      </c>
      <c r="AA779" s="22" t="s">
        <v>3882</v>
      </c>
      <c r="AG779" s="94" t="s">
        <v>2489</v>
      </c>
      <c r="AH779" s="89" t="str">
        <f>VLOOKUP(AG779,Sheet1!$B$3:$D$36,2,FALSE)</f>
        <v>Textiles</v>
      </c>
      <c r="AI779" s="89" t="s">
        <v>3857</v>
      </c>
      <c r="AJ779" s="1" t="str">
        <f t="shared" si="417"/>
        <v>Wiro pillow souffle</v>
      </c>
      <c r="AK779" s="1" t="str">
        <f t="shared" si="418"/>
        <v>w50 x d10 x h50</v>
      </c>
      <c r="AL779" s="1">
        <f t="shared" si="419"/>
        <v>0</v>
      </c>
      <c r="AM779" s="1">
        <f t="shared" si="420"/>
        <v>0</v>
      </c>
      <c r="AN779" s="1" t="str">
        <f t="shared" si="421"/>
        <v>0</v>
      </c>
      <c r="AQ779" s="1" t="str">
        <f t="shared" si="422"/>
        <v>E</v>
      </c>
      <c r="AR779" s="1" t="str">
        <f>VLOOKUP(TRIM(AI779),Sheet1!$D$3:$E$36,2,FALSE)</f>
        <v>03</v>
      </c>
      <c r="AS779" s="90" t="str">
        <f t="shared" si="423"/>
        <v>03</v>
      </c>
      <c r="AT779" s="1" t="str">
        <f t="shared" si="424"/>
        <v>01</v>
      </c>
      <c r="AU779" s="90"/>
      <c r="AV779" s="90"/>
      <c r="AW779" s="90"/>
      <c r="AX779" s="95" t="str">
        <f>AQ779&amp;AR779&amp;AS779&amp;"-"&amp;AT779&amp;AU779&amp;BA779</f>
        <v>E0303-01</v>
      </c>
      <c r="AY779" s="99" t="str">
        <f>AQ779&amp;AR779&amp;AS779&amp;"-"&amp;AT779&amp;BA779</f>
        <v>E0303-01</v>
      </c>
      <c r="AZ779" s="90"/>
      <c r="BA779" s="1" t="str">
        <f t="shared" si="425"/>
        <v/>
      </c>
      <c r="BC779" s="1" t="str">
        <f t="shared" si="396"/>
        <v/>
      </c>
      <c r="BD779" s="90">
        <f t="shared" si="397"/>
        <v>3</v>
      </c>
      <c r="BE779" s="1">
        <f t="shared" si="386"/>
        <v>1</v>
      </c>
      <c r="BF779" s="1">
        <f t="shared" si="387"/>
        <v>1</v>
      </c>
    </row>
    <row r="780" spans="1:58" ht="11.25" customHeight="1">
      <c r="A780" s="26" t="s">
        <v>3883</v>
      </c>
      <c r="B780" s="27" t="s">
        <v>3872</v>
      </c>
      <c r="D780" s="28">
        <f t="shared" si="410"/>
        <v>0</v>
      </c>
      <c r="E780" s="22" t="s">
        <v>3852</v>
      </c>
      <c r="F780" s="22" t="s">
        <v>3884</v>
      </c>
      <c r="G780" s="22" t="s">
        <v>920</v>
      </c>
      <c r="H780" s="22" t="s">
        <v>3885</v>
      </c>
      <c r="J780" s="22" t="s">
        <v>670</v>
      </c>
      <c r="K780" s="23">
        <v>60</v>
      </c>
      <c r="L780" s="23">
        <v>10</v>
      </c>
      <c r="M780" s="23">
        <v>60</v>
      </c>
      <c r="N780" s="3">
        <f t="shared" si="411"/>
        <v>3.5999999999999997E-2</v>
      </c>
      <c r="O780" s="4" t="e">
        <f>(C780-(C780*#REF!))-((C780-(C780*#REF!))*#REF!)</f>
        <v>#REF!</v>
      </c>
      <c r="P780" s="7">
        <f>201190.748716418-Q780</f>
        <v>8690.7487164179911</v>
      </c>
      <c r="Q780" s="7">
        <v>192500</v>
      </c>
      <c r="R780" s="5">
        <f t="shared" si="412"/>
        <v>201190.74871641799</v>
      </c>
      <c r="S780" s="4">
        <f t="shared" si="413"/>
        <v>13.412716581094532</v>
      </c>
      <c r="T780" s="13">
        <f t="shared" si="414"/>
        <v>0</v>
      </c>
      <c r="U780" s="13">
        <f t="shared" si="426"/>
        <v>0</v>
      </c>
      <c r="V780" s="14" t="e">
        <f>U780/C780</f>
        <v>#DIV/0!</v>
      </c>
      <c r="W780" s="18">
        <f>S780*$W$1</f>
        <v>26.825433162189064</v>
      </c>
      <c r="X780" s="19">
        <f t="shared" si="415"/>
        <v>26.825433162189064</v>
      </c>
      <c r="Y780" s="19">
        <f t="shared" si="416"/>
        <v>53.650866324378129</v>
      </c>
      <c r="Z780" s="15">
        <v>2</v>
      </c>
      <c r="AA780" s="22" t="s">
        <v>3886</v>
      </c>
      <c r="AG780" s="94" t="s">
        <v>2489</v>
      </c>
      <c r="AH780" s="89" t="str">
        <f>VLOOKUP(AG780,Sheet1!$B$3:$D$36,2,FALSE)</f>
        <v>Textiles</v>
      </c>
      <c r="AI780" s="89" t="s">
        <v>3857</v>
      </c>
      <c r="AJ780" s="1" t="str">
        <f t="shared" si="417"/>
        <v>Wiro pillow souffle</v>
      </c>
      <c r="AK780" s="1" t="str">
        <f t="shared" si="418"/>
        <v>w60 x d10 x h60</v>
      </c>
      <c r="AL780" s="1">
        <f t="shared" si="419"/>
        <v>0</v>
      </c>
      <c r="AM780" s="1">
        <f t="shared" si="420"/>
        <v>0</v>
      </c>
      <c r="AN780" s="1" t="str">
        <f t="shared" si="421"/>
        <v>0</v>
      </c>
      <c r="AQ780" s="1" t="str">
        <f t="shared" si="422"/>
        <v>E</v>
      </c>
      <c r="AR780" s="1" t="str">
        <f>VLOOKUP(TRIM(AI780),Sheet1!$D$3:$E$36,2,FALSE)</f>
        <v>03</v>
      </c>
      <c r="AS780" s="90" t="str">
        <f t="shared" si="423"/>
        <v>04</v>
      </c>
      <c r="AT780" s="1" t="str">
        <f t="shared" si="424"/>
        <v>01</v>
      </c>
      <c r="AU780" s="90"/>
      <c r="AV780" s="90"/>
      <c r="AW780" s="90"/>
      <c r="AX780" s="95" t="str">
        <f>AQ780&amp;AR780&amp;AS780&amp;"-"&amp;AT780&amp;AU780&amp;BA780</f>
        <v>E0304-01</v>
      </c>
      <c r="AY780" s="99" t="str">
        <f>AQ780&amp;AR780&amp;AS780&amp;"-"&amp;AT780&amp;BA780</f>
        <v>E0304-01</v>
      </c>
      <c r="AZ780" s="90"/>
      <c r="BA780" s="1" t="str">
        <f t="shared" si="425"/>
        <v/>
      </c>
      <c r="BC780" s="1" t="str">
        <f t="shared" si="396"/>
        <v/>
      </c>
      <c r="BD780" s="90">
        <f t="shared" si="397"/>
        <v>4</v>
      </c>
      <c r="BE780" s="1">
        <f t="shared" si="386"/>
        <v>1</v>
      </c>
      <c r="BF780" s="1">
        <f t="shared" si="387"/>
        <v>1</v>
      </c>
    </row>
    <row r="781" spans="1:58" ht="11.25" customHeight="1">
      <c r="A781" s="26" t="s">
        <v>3887</v>
      </c>
      <c r="B781" s="27" t="s">
        <v>3888</v>
      </c>
      <c r="C781" s="28">
        <v>124.99</v>
      </c>
      <c r="D781" s="28">
        <f t="shared" si="410"/>
        <v>62.494999999999997</v>
      </c>
      <c r="E781" s="22" t="s">
        <v>3852</v>
      </c>
      <c r="F781" s="22" t="s">
        <v>3873</v>
      </c>
      <c r="G781" s="22" t="s">
        <v>914</v>
      </c>
      <c r="H781" s="22" t="s">
        <v>2686</v>
      </c>
      <c r="J781" s="22" t="s">
        <v>670</v>
      </c>
      <c r="K781" s="23">
        <v>40</v>
      </c>
      <c r="L781" s="23">
        <v>10</v>
      </c>
      <c r="M781" s="23">
        <v>40</v>
      </c>
      <c r="N781" s="3">
        <f t="shared" si="411"/>
        <v>1.6E-2</v>
      </c>
      <c r="O781" s="4" t="e">
        <f>(C781-(C781*#REF!))-((C781-(C781*#REF!))*#REF!)</f>
        <v>#REF!</v>
      </c>
      <c r="P781" s="7">
        <f>141362.554985075-Q781</f>
        <v>3862.5549850749958</v>
      </c>
      <c r="Q781" s="7">
        <v>137500</v>
      </c>
      <c r="R781" s="5">
        <f t="shared" si="412"/>
        <v>141362.554985075</v>
      </c>
      <c r="S781" s="4">
        <f t="shared" si="413"/>
        <v>9.424170332338333</v>
      </c>
      <c r="T781" s="13">
        <f t="shared" si="414"/>
        <v>87.492999999999995</v>
      </c>
      <c r="U781" s="13">
        <f t="shared" si="426"/>
        <v>43.746499999999997</v>
      </c>
      <c r="V781" s="14">
        <f>U781/C781</f>
        <v>0.35</v>
      </c>
      <c r="W781" s="14"/>
      <c r="X781" s="19">
        <f t="shared" si="415"/>
        <v>43.746499999999997</v>
      </c>
      <c r="Y781" s="19">
        <f t="shared" si="416"/>
        <v>87.492999999999995</v>
      </c>
      <c r="Z781" s="15">
        <f t="shared" ref="Z781:Z844" si="427">U781/S781</f>
        <v>4.6419470847091091</v>
      </c>
      <c r="AA781" s="22" t="s">
        <v>3889</v>
      </c>
      <c r="AG781" s="94" t="s">
        <v>2489</v>
      </c>
      <c r="AH781" s="89" t="str">
        <f>VLOOKUP(AG781,Sheet1!$B$3:$D$36,2,FALSE)</f>
        <v>Textiles</v>
      </c>
      <c r="AI781" s="89" t="s">
        <v>3857</v>
      </c>
      <c r="AJ781" s="1" t="str">
        <f t="shared" si="417"/>
        <v>Wiro pillow</v>
      </c>
      <c r="AK781" s="1" t="str">
        <f t="shared" si="418"/>
        <v>w40 x d10 x h40</v>
      </c>
      <c r="AL781" s="1">
        <f t="shared" si="419"/>
        <v>0</v>
      </c>
      <c r="AM781" s="1">
        <f t="shared" si="420"/>
        <v>0</v>
      </c>
      <c r="AN781" s="1" t="str">
        <f t="shared" si="421"/>
        <v>0</v>
      </c>
      <c r="AQ781" s="1" t="str">
        <f t="shared" si="422"/>
        <v>E</v>
      </c>
      <c r="AR781" s="1" t="str">
        <f>VLOOKUP(TRIM(AI781),Sheet1!$D$3:$E$36,2,FALSE)</f>
        <v>03</v>
      </c>
      <c r="AS781" s="90" t="str">
        <f t="shared" si="423"/>
        <v>01</v>
      </c>
      <c r="AT781" s="1" t="str">
        <f t="shared" si="424"/>
        <v>01</v>
      </c>
      <c r="AU781" s="90"/>
      <c r="AV781" s="90"/>
      <c r="AW781" s="90"/>
      <c r="AX781" s="95" t="str">
        <f>AQ781&amp;AR781&amp;AS781&amp;"-"&amp;AT781&amp;AU781&amp;BA781</f>
        <v>E0301-01</v>
      </c>
      <c r="AY781" s="99" t="str">
        <f>AQ781&amp;AR781&amp;AS781&amp;"-"&amp;AT781&amp;BA781</f>
        <v>E0301-01</v>
      </c>
      <c r="AZ781" s="90"/>
      <c r="BA781" s="1" t="str">
        <f t="shared" si="425"/>
        <v/>
      </c>
      <c r="BC781" s="1">
        <f t="shared" si="396"/>
        <v>1</v>
      </c>
      <c r="BD781" s="90">
        <f t="shared" si="397"/>
        <v>1</v>
      </c>
      <c r="BE781" s="1">
        <f t="shared" ref="BE781:BE844" si="428">IF(AK780&lt;&gt;AK781,1,"")</f>
        <v>1</v>
      </c>
      <c r="BF781" s="1">
        <f t="shared" ref="BF781:BF844" si="429">IF(BE781=1,1,BF780+1)</f>
        <v>1</v>
      </c>
    </row>
    <row r="782" spans="1:58" ht="11.25" customHeight="1">
      <c r="A782" s="26" t="s">
        <v>3890</v>
      </c>
      <c r="B782" s="27" t="s">
        <v>3888</v>
      </c>
      <c r="C782" s="28">
        <v>144.99</v>
      </c>
      <c r="D782" s="28">
        <f t="shared" si="410"/>
        <v>72.495000000000005</v>
      </c>
      <c r="E782" s="22" t="s">
        <v>3852</v>
      </c>
      <c r="F782" s="22" t="s">
        <v>3881</v>
      </c>
      <c r="G782" s="22" t="s">
        <v>914</v>
      </c>
      <c r="H782" s="22" t="s">
        <v>3891</v>
      </c>
      <c r="J782" s="22" t="s">
        <v>670</v>
      </c>
      <c r="K782" s="23">
        <v>50</v>
      </c>
      <c r="L782" s="23">
        <v>10</v>
      </c>
      <c r="M782" s="23">
        <v>50</v>
      </c>
      <c r="N782" s="3">
        <f t="shared" si="411"/>
        <v>2.5000000000000001E-2</v>
      </c>
      <c r="O782" s="4" t="e">
        <f>(C782-(C782*#REF!))-((C782-(C782*#REF!))*#REF!)</f>
        <v>#REF!</v>
      </c>
      <c r="P782" s="7">
        <f>176535.242164179-Q782</f>
        <v>6035.2421641790133</v>
      </c>
      <c r="Q782" s="7">
        <v>170500</v>
      </c>
      <c r="R782" s="5">
        <f t="shared" si="412"/>
        <v>176535.24216417901</v>
      </c>
      <c r="S782" s="4">
        <f t="shared" si="413"/>
        <v>11.7690161442786</v>
      </c>
      <c r="T782" s="13">
        <f t="shared" si="414"/>
        <v>101.49300000000001</v>
      </c>
      <c r="U782" s="13">
        <f t="shared" si="426"/>
        <v>50.746500000000005</v>
      </c>
      <c r="V782" s="14">
        <f>U782/C782</f>
        <v>0.35000000000000003</v>
      </c>
      <c r="W782" s="14"/>
      <c r="X782" s="19">
        <f t="shared" si="415"/>
        <v>50.746500000000005</v>
      </c>
      <c r="Y782" s="19">
        <f t="shared" si="416"/>
        <v>101.49300000000001</v>
      </c>
      <c r="Z782" s="15">
        <f t="shared" si="427"/>
        <v>4.3118727494200906</v>
      </c>
      <c r="AA782" s="22" t="s">
        <v>3892</v>
      </c>
      <c r="AG782" s="94" t="s">
        <v>2489</v>
      </c>
      <c r="AH782" s="89" t="str">
        <f>VLOOKUP(AG782,Sheet1!$B$3:$D$36,2,FALSE)</f>
        <v>Textiles</v>
      </c>
      <c r="AI782" s="89" t="s">
        <v>3857</v>
      </c>
      <c r="AJ782" s="1" t="str">
        <f t="shared" si="417"/>
        <v>Wiro pillow</v>
      </c>
      <c r="AK782" s="1" t="str">
        <f t="shared" si="418"/>
        <v>w50 x d10 x h50</v>
      </c>
      <c r="AL782" s="1">
        <f t="shared" si="419"/>
        <v>0</v>
      </c>
      <c r="AM782" s="1">
        <f t="shared" si="420"/>
        <v>0</v>
      </c>
      <c r="AN782" s="1" t="str">
        <f t="shared" si="421"/>
        <v>0</v>
      </c>
      <c r="AQ782" s="1" t="str">
        <f t="shared" si="422"/>
        <v>E</v>
      </c>
      <c r="AR782" s="1" t="str">
        <f>VLOOKUP(TRIM(AI782),Sheet1!$D$3:$E$36,2,FALSE)</f>
        <v>03</v>
      </c>
      <c r="AS782" s="90" t="str">
        <f t="shared" si="423"/>
        <v>02</v>
      </c>
      <c r="AT782" s="1" t="str">
        <f t="shared" si="424"/>
        <v>01</v>
      </c>
      <c r="AU782" s="90"/>
      <c r="AV782" s="90"/>
      <c r="AW782" s="90"/>
      <c r="AX782" s="95" t="str">
        <f>AQ782&amp;AR782&amp;AS782&amp;"-"&amp;AT782&amp;AU782&amp;BA782</f>
        <v>E0302-01</v>
      </c>
      <c r="AY782" s="99" t="str">
        <f>AQ782&amp;AR782&amp;AS782&amp;"-"&amp;AT782&amp;BA782</f>
        <v>E0302-01</v>
      </c>
      <c r="AZ782" s="90"/>
      <c r="BA782" s="1" t="str">
        <f t="shared" si="425"/>
        <v/>
      </c>
      <c r="BC782" s="1" t="str">
        <f t="shared" si="396"/>
        <v/>
      </c>
      <c r="BD782" s="90">
        <f t="shared" si="397"/>
        <v>2</v>
      </c>
      <c r="BE782" s="1">
        <f t="shared" si="428"/>
        <v>1</v>
      </c>
      <c r="BF782" s="1">
        <f t="shared" si="429"/>
        <v>1</v>
      </c>
    </row>
    <row r="783" spans="1:58" ht="11.25" customHeight="1">
      <c r="A783" s="26" t="s">
        <v>3893</v>
      </c>
      <c r="B783" s="27" t="s">
        <v>3888</v>
      </c>
      <c r="C783" s="28">
        <v>179.99</v>
      </c>
      <c r="D783" s="28">
        <f t="shared" si="410"/>
        <v>89.995000000000005</v>
      </c>
      <c r="E783" s="22" t="s">
        <v>3852</v>
      </c>
      <c r="F783" s="22" t="s">
        <v>3884</v>
      </c>
      <c r="G783" s="22" t="s">
        <v>914</v>
      </c>
      <c r="H783" s="22" t="s">
        <v>3885</v>
      </c>
      <c r="J783" s="22" t="s">
        <v>670</v>
      </c>
      <c r="K783" s="23">
        <v>60</v>
      </c>
      <c r="L783" s="23">
        <v>10</v>
      </c>
      <c r="M783" s="23">
        <v>60</v>
      </c>
      <c r="N783" s="3">
        <f t="shared" si="411"/>
        <v>3.5999999999999997E-2</v>
      </c>
      <c r="O783" s="4" t="e">
        <f>(C783-(C783*#REF!))-((C783-(C783*#REF!))*#REF!)</f>
        <v>#REF!</v>
      </c>
      <c r="P783" s="7">
        <f>201190.748716418-Q783</f>
        <v>8690.7487164179911</v>
      </c>
      <c r="Q783" s="7">
        <v>192500</v>
      </c>
      <c r="R783" s="5">
        <f t="shared" si="412"/>
        <v>201190.74871641799</v>
      </c>
      <c r="S783" s="4">
        <f t="shared" si="413"/>
        <v>13.412716581094532</v>
      </c>
      <c r="T783" s="13">
        <f t="shared" si="414"/>
        <v>125.99300000000001</v>
      </c>
      <c r="U783" s="13">
        <f t="shared" si="426"/>
        <v>62.996500000000005</v>
      </c>
      <c r="V783" s="14">
        <f>U783/C783</f>
        <v>0.35000000000000003</v>
      </c>
      <c r="W783" s="14"/>
      <c r="X783" s="19">
        <f t="shared" si="415"/>
        <v>62.996500000000005</v>
      </c>
      <c r="Y783" s="19">
        <f t="shared" si="416"/>
        <v>125.99300000000001</v>
      </c>
      <c r="Z783" s="15">
        <f t="shared" si="427"/>
        <v>4.69677411127845</v>
      </c>
      <c r="AA783" s="22" t="s">
        <v>3894</v>
      </c>
      <c r="AG783" s="94" t="s">
        <v>2489</v>
      </c>
      <c r="AH783" s="89" t="str">
        <f>VLOOKUP(AG783,Sheet1!$B$3:$D$36,2,FALSE)</f>
        <v>Textiles</v>
      </c>
      <c r="AI783" s="89" t="s">
        <v>3857</v>
      </c>
      <c r="AJ783" s="1" t="str">
        <f t="shared" si="417"/>
        <v>Wiro pillow</v>
      </c>
      <c r="AK783" s="1" t="str">
        <f t="shared" si="418"/>
        <v>w60 x d10 x h60</v>
      </c>
      <c r="AL783" s="1">
        <f t="shared" si="419"/>
        <v>0</v>
      </c>
      <c r="AM783" s="1">
        <f t="shared" si="420"/>
        <v>0</v>
      </c>
      <c r="AN783" s="1" t="str">
        <f t="shared" si="421"/>
        <v>0</v>
      </c>
      <c r="AQ783" s="1" t="str">
        <f t="shared" si="422"/>
        <v>E</v>
      </c>
      <c r="AR783" s="1" t="str">
        <f>VLOOKUP(TRIM(AI783),Sheet1!$D$3:$E$36,2,FALSE)</f>
        <v>03</v>
      </c>
      <c r="AS783" s="90" t="str">
        <f t="shared" si="423"/>
        <v>03</v>
      </c>
      <c r="AT783" s="1" t="str">
        <f t="shared" si="424"/>
        <v>01</v>
      </c>
      <c r="AU783" s="90"/>
      <c r="AV783" s="90"/>
      <c r="AW783" s="90"/>
      <c r="AX783" s="95" t="str">
        <f>AQ783&amp;AR783&amp;AS783&amp;"-"&amp;AT783&amp;AU783&amp;BA783</f>
        <v>E0303-01</v>
      </c>
      <c r="AY783" s="99" t="str">
        <f>AQ783&amp;AR783&amp;AS783&amp;"-"&amp;AT783&amp;BA783</f>
        <v>E0303-01</v>
      </c>
      <c r="AZ783" s="90"/>
      <c r="BA783" s="1" t="str">
        <f t="shared" si="425"/>
        <v/>
      </c>
      <c r="BC783" s="1" t="str">
        <f t="shared" si="396"/>
        <v/>
      </c>
      <c r="BD783" s="90">
        <f t="shared" si="397"/>
        <v>3</v>
      </c>
      <c r="BE783" s="1">
        <f t="shared" si="428"/>
        <v>1</v>
      </c>
      <c r="BF783" s="1">
        <f t="shared" si="429"/>
        <v>1</v>
      </c>
    </row>
    <row r="784" spans="1:58" ht="11.25" customHeight="1">
      <c r="A784" s="26" t="s">
        <v>3895</v>
      </c>
      <c r="B784" s="27" t="s">
        <v>3888</v>
      </c>
      <c r="C784" s="28">
        <v>179.99</v>
      </c>
      <c r="D784" s="28">
        <f t="shared" si="410"/>
        <v>89.995000000000005</v>
      </c>
      <c r="E784" s="22" t="s">
        <v>3852</v>
      </c>
      <c r="F784" s="22" t="s">
        <v>3896</v>
      </c>
      <c r="G784" s="22" t="s">
        <v>914</v>
      </c>
      <c r="H784" s="22" t="s">
        <v>3897</v>
      </c>
      <c r="J784" s="22" t="s">
        <v>670</v>
      </c>
      <c r="K784" s="23">
        <v>70</v>
      </c>
      <c r="L784" s="23">
        <v>10</v>
      </c>
      <c r="M784" s="23">
        <v>35</v>
      </c>
      <c r="N784" s="3">
        <f t="shared" si="411"/>
        <v>2.4500000000000001E-2</v>
      </c>
      <c r="O784" s="4" t="e">
        <f>(C784-(C784*#REF!))-((C784-(C784*#REF!))*#REF!)</f>
        <v>#REF!</v>
      </c>
      <c r="P784" s="7">
        <f>198414.537320896-Q784</f>
        <v>5914.5373208959936</v>
      </c>
      <c r="Q784" s="7">
        <v>192500</v>
      </c>
      <c r="R784" s="5">
        <f t="shared" si="412"/>
        <v>198414.53732089599</v>
      </c>
      <c r="S784" s="4">
        <f t="shared" si="413"/>
        <v>13.227635821393067</v>
      </c>
      <c r="T784" s="13">
        <f t="shared" si="414"/>
        <v>125.99300000000001</v>
      </c>
      <c r="U784" s="13">
        <f t="shared" si="426"/>
        <v>62.996500000000005</v>
      </c>
      <c r="V784" s="14">
        <f>U784/C784</f>
        <v>0.35000000000000003</v>
      </c>
      <c r="W784" s="14"/>
      <c r="X784" s="19">
        <f t="shared" si="415"/>
        <v>62.996500000000005</v>
      </c>
      <c r="Y784" s="19">
        <f t="shared" si="416"/>
        <v>125.99300000000001</v>
      </c>
      <c r="Z784" s="15">
        <f t="shared" si="427"/>
        <v>4.76249126076753</v>
      </c>
      <c r="AA784" s="22" t="s">
        <v>3889</v>
      </c>
      <c r="AG784" s="94" t="s">
        <v>2489</v>
      </c>
      <c r="AH784" s="89" t="str">
        <f>VLOOKUP(AG784,Sheet1!$B$3:$D$36,2,FALSE)</f>
        <v>Textiles</v>
      </c>
      <c r="AI784" s="89" t="s">
        <v>3857</v>
      </c>
      <c r="AJ784" s="1" t="str">
        <f t="shared" si="417"/>
        <v>Wiro pillow</v>
      </c>
      <c r="AK784" s="1" t="str">
        <f t="shared" si="418"/>
        <v>w70 x d10 x h35</v>
      </c>
      <c r="AL784" s="1">
        <f t="shared" si="419"/>
        <v>0</v>
      </c>
      <c r="AM784" s="1">
        <f t="shared" si="420"/>
        <v>0</v>
      </c>
      <c r="AN784" s="1" t="str">
        <f t="shared" si="421"/>
        <v>0</v>
      </c>
      <c r="AQ784" s="1" t="str">
        <f t="shared" si="422"/>
        <v>E</v>
      </c>
      <c r="AR784" s="1" t="str">
        <f>VLOOKUP(TRIM(AI784),Sheet1!$D$3:$E$36,2,FALSE)</f>
        <v>03</v>
      </c>
      <c r="AS784" s="90" t="str">
        <f t="shared" si="423"/>
        <v>04</v>
      </c>
      <c r="AT784" s="1" t="str">
        <f t="shared" si="424"/>
        <v>01</v>
      </c>
      <c r="AU784" s="90"/>
      <c r="AV784" s="90"/>
      <c r="AW784" s="90"/>
      <c r="AX784" s="95" t="str">
        <f>AQ784&amp;AR784&amp;AS784&amp;"-"&amp;AT784&amp;AU784&amp;BA784</f>
        <v>E0304-01</v>
      </c>
      <c r="AY784" s="99" t="str">
        <f>AQ784&amp;AR784&amp;AS784&amp;"-"&amp;AT784&amp;BA784</f>
        <v>E0304-01</v>
      </c>
      <c r="AZ784" s="90"/>
      <c r="BA784" s="1" t="str">
        <f t="shared" si="425"/>
        <v/>
      </c>
      <c r="BC784" s="1" t="str">
        <f t="shared" si="396"/>
        <v/>
      </c>
      <c r="BD784" s="90">
        <f t="shared" si="397"/>
        <v>4</v>
      </c>
      <c r="BE784" s="1">
        <f t="shared" si="428"/>
        <v>1</v>
      </c>
      <c r="BF784" s="1">
        <f t="shared" si="429"/>
        <v>1</v>
      </c>
    </row>
    <row r="785" spans="1:58" s="63" customFormat="1" ht="15.75">
      <c r="A785" s="33" t="s">
        <v>3898</v>
      </c>
      <c r="B785" s="34"/>
      <c r="C785" s="35"/>
      <c r="D785" s="36"/>
      <c r="E785" s="39"/>
      <c r="F785" s="40"/>
      <c r="G785" s="39"/>
      <c r="H785" s="39"/>
      <c r="I785" s="41"/>
      <c r="J785" s="39"/>
      <c r="K785" s="41"/>
      <c r="L785" s="41"/>
      <c r="M785" s="41"/>
      <c r="N785" s="48"/>
      <c r="O785" s="48"/>
      <c r="P785" s="49"/>
      <c r="Q785" s="49"/>
      <c r="R785" s="50"/>
      <c r="S785" s="48"/>
      <c r="T785" s="13"/>
      <c r="U785" s="13"/>
      <c r="V785" s="14"/>
      <c r="W785" s="14"/>
      <c r="X785" s="60"/>
      <c r="Y785" s="60"/>
      <c r="Z785" s="15"/>
      <c r="AA785" s="39"/>
      <c r="AG785" s="93"/>
      <c r="AH785" s="89"/>
      <c r="AI785" s="89"/>
      <c r="AJ785" s="1"/>
      <c r="AK785" s="1"/>
      <c r="AL785" s="1"/>
      <c r="AM785" s="1"/>
      <c r="AN785" s="1"/>
      <c r="AQ785" s="1"/>
      <c r="AR785" s="1"/>
      <c r="AS785" s="90"/>
      <c r="AT785" s="1"/>
      <c r="AU785" s="90"/>
      <c r="AV785" s="90"/>
      <c r="AW785" s="90"/>
      <c r="AX785" s="95"/>
      <c r="AY785" s="99" t="str">
        <f>AQ785&amp;AR785&amp;AS785&amp;"-"&amp;AT785&amp;BA785</f>
        <v>-</v>
      </c>
      <c r="AZ785" s="90"/>
      <c r="BA785" s="1"/>
      <c r="BC785" s="1"/>
      <c r="BD785" s="90"/>
      <c r="BE785" s="1"/>
      <c r="BF785" s="1"/>
    </row>
    <row r="786" spans="1:58" ht="11.25" customHeight="1">
      <c r="A786" s="26" t="s">
        <v>3899</v>
      </c>
      <c r="B786" s="27" t="s">
        <v>3900</v>
      </c>
      <c r="C786" s="28">
        <v>33.99</v>
      </c>
      <c r="D786" s="28">
        <f t="shared" si="410"/>
        <v>16.995000000000001</v>
      </c>
      <c r="E786" s="22" t="s">
        <v>3901</v>
      </c>
      <c r="F786" s="22" t="s">
        <v>3902</v>
      </c>
      <c r="G786" s="22" t="s">
        <v>3903</v>
      </c>
      <c r="H786" s="22" t="s">
        <v>3904</v>
      </c>
      <c r="I786" s="23" t="s">
        <v>3905</v>
      </c>
      <c r="J786" s="22" t="s">
        <v>670</v>
      </c>
      <c r="L786" s="23">
        <v>12</v>
      </c>
      <c r="M786" s="23">
        <v>12</v>
      </c>
      <c r="N786" s="3">
        <f t="shared" ref="N786:N849" si="430">(IF(ISBLANK(K786),(L786*L786*M786),(K786*L786*M786)))/1000000</f>
        <v>1.7279999999999999E-3</v>
      </c>
      <c r="O786" s="4" t="e">
        <f>(C786-(C786*#REF!))-((C786-(C786*#REF!))*#REF!)</f>
        <v>#REF!</v>
      </c>
      <c r="P786" s="7"/>
      <c r="Q786" s="7"/>
      <c r="R786" s="5">
        <f t="shared" ref="R786:R849" si="431">P786+Q786</f>
        <v>0</v>
      </c>
      <c r="S786" s="4">
        <f t="shared" ref="S786:S849" si="432">R786/15000</f>
        <v>0</v>
      </c>
      <c r="T786" s="13">
        <f t="shared" si="414"/>
        <v>23.792999999999999</v>
      </c>
      <c r="U786" s="13">
        <f t="shared" si="426"/>
        <v>11.8965</v>
      </c>
      <c r="V786" s="14">
        <f>U786/C786</f>
        <v>0.35</v>
      </c>
      <c r="W786" s="14"/>
      <c r="X786" s="19">
        <f t="shared" ref="X786:X849" si="433">IF(ISBLANK(W786),U786, W786)</f>
        <v>11.8965</v>
      </c>
      <c r="Y786" s="19">
        <f t="shared" ref="Y786:Y849" si="434">X786*2</f>
        <v>23.792999999999999</v>
      </c>
      <c r="Z786" s="15" t="e">
        <f t="shared" si="427"/>
        <v>#DIV/0!</v>
      </c>
      <c r="AA786" s="22" t="s">
        <v>3906</v>
      </c>
      <c r="AG786" s="94" t="s">
        <v>817</v>
      </c>
      <c r="AH786" s="89" t="str">
        <f>VLOOKUP(AG786,Sheet1!$B$3:$D$36,2,FALSE)</f>
        <v>Kitchen &amp; Dining</v>
      </c>
      <c r="AI786" s="89" t="s">
        <v>2821</v>
      </c>
      <c r="AJ786" s="1" t="str">
        <f t="shared" si="417"/>
        <v>Shelena</v>
      </c>
      <c r="AK786" s="1" t="str">
        <f t="shared" si="418"/>
        <v>semi - ø12 x h12 - vol. 200 ml</v>
      </c>
      <c r="AL786" s="1" t="str">
        <f t="shared" si="419"/>
        <v>clear glass # 6</v>
      </c>
      <c r="AM786" s="1" t="str">
        <f t="shared" si="420"/>
        <v>clear glass # 6</v>
      </c>
      <c r="AN786" s="1" t="str">
        <f t="shared" si="421"/>
        <v>clear glass # 6</v>
      </c>
      <c r="AQ786" s="1" t="str">
        <f t="shared" si="422"/>
        <v>C</v>
      </c>
      <c r="AR786" s="1" t="str">
        <f>VLOOKUP(TRIM(AI786),Sheet1!$D$3:$E$36,2,FALSE)</f>
        <v>04</v>
      </c>
      <c r="AS786" s="90" t="str">
        <f t="shared" si="423"/>
        <v>01</v>
      </c>
      <c r="AT786" s="1" t="str">
        <f t="shared" si="424"/>
        <v>01</v>
      </c>
      <c r="AU786" s="90" t="s">
        <v>2567</v>
      </c>
      <c r="AV786" s="90"/>
      <c r="AW786" s="90"/>
      <c r="AX786" s="95" t="str">
        <f>AQ786&amp;AR786&amp;AS786&amp;"-"&amp;AT786&amp;AU786&amp;BA786</f>
        <v>C0401-0138</v>
      </c>
      <c r="AY786" s="99" t="str">
        <f>AQ786&amp;AR786&amp;AS786&amp;"-"&amp;AT786&amp;BA786</f>
        <v>C0401-01</v>
      </c>
      <c r="AZ786" s="90"/>
      <c r="BA786" s="1" t="str">
        <f t="shared" si="425"/>
        <v/>
      </c>
      <c r="BC786" s="1">
        <f t="shared" si="396"/>
        <v>1</v>
      </c>
      <c r="BD786" s="90">
        <f t="shared" si="397"/>
        <v>1</v>
      </c>
      <c r="BE786" s="1">
        <f t="shared" si="428"/>
        <v>1</v>
      </c>
      <c r="BF786" s="1">
        <f t="shared" si="429"/>
        <v>1</v>
      </c>
    </row>
    <row r="787" spans="1:58" ht="11.25" customHeight="1">
      <c r="A787" s="26" t="s">
        <v>3907</v>
      </c>
      <c r="B787" s="27" t="s">
        <v>3908</v>
      </c>
      <c r="C787" s="28">
        <v>31.99</v>
      </c>
      <c r="D787" s="28">
        <f t="shared" si="410"/>
        <v>15.994999999999999</v>
      </c>
      <c r="E787" s="22" t="s">
        <v>3901</v>
      </c>
      <c r="F787" s="22" t="s">
        <v>3909</v>
      </c>
      <c r="G787" s="22" t="s">
        <v>3910</v>
      </c>
      <c r="H787" s="22" t="s">
        <v>3911</v>
      </c>
      <c r="I787" s="23" t="s">
        <v>3905</v>
      </c>
      <c r="J787" s="22" t="s">
        <v>670</v>
      </c>
      <c r="L787" s="23">
        <v>11</v>
      </c>
      <c r="M787" s="23">
        <v>15</v>
      </c>
      <c r="N787" s="3">
        <f t="shared" si="430"/>
        <v>1.815E-3</v>
      </c>
      <c r="O787" s="4" t="e">
        <f>(C787-(C787*#REF!))-((C787-(C787*#REF!))*#REF!)</f>
        <v>#REF!</v>
      </c>
      <c r="P787" s="7"/>
      <c r="Q787" s="7"/>
      <c r="R787" s="5">
        <f t="shared" si="431"/>
        <v>0</v>
      </c>
      <c r="S787" s="4">
        <f t="shared" si="432"/>
        <v>0</v>
      </c>
      <c r="T787" s="13">
        <f t="shared" si="414"/>
        <v>22.393000000000001</v>
      </c>
      <c r="U787" s="13">
        <f t="shared" si="426"/>
        <v>11.1965</v>
      </c>
      <c r="V787" s="14">
        <f>U787/C787</f>
        <v>0.35000000000000003</v>
      </c>
      <c r="W787" s="14"/>
      <c r="X787" s="19">
        <f t="shared" si="433"/>
        <v>11.1965</v>
      </c>
      <c r="Y787" s="19">
        <f t="shared" si="434"/>
        <v>22.393000000000001</v>
      </c>
      <c r="Z787" s="15" t="e">
        <f t="shared" si="427"/>
        <v>#DIV/0!</v>
      </c>
      <c r="AA787" s="22" t="s">
        <v>3912</v>
      </c>
      <c r="AG787" s="94" t="s">
        <v>817</v>
      </c>
      <c r="AH787" s="89" t="str">
        <f>VLOOKUP(AG787,Sheet1!$B$3:$D$36,2,FALSE)</f>
        <v>Kitchen &amp; Dining</v>
      </c>
      <c r="AI787" s="89" t="s">
        <v>2821</v>
      </c>
      <c r="AJ787" s="1" t="str">
        <f t="shared" si="417"/>
        <v>Jenny</v>
      </c>
      <c r="AK787" s="1" t="str">
        <f t="shared" si="418"/>
        <v>semi - ø11 x h15 - vol. 100 ml</v>
      </c>
      <c r="AL787" s="1" t="str">
        <f t="shared" si="419"/>
        <v>clear glass # 6</v>
      </c>
      <c r="AM787" s="1" t="str">
        <f t="shared" si="420"/>
        <v>clear glass # 6</v>
      </c>
      <c r="AN787" s="1" t="str">
        <f t="shared" si="421"/>
        <v>clear glass # 6</v>
      </c>
      <c r="AQ787" s="1" t="str">
        <f t="shared" si="422"/>
        <v>C</v>
      </c>
      <c r="AR787" s="1" t="str">
        <f>VLOOKUP(TRIM(AI787),Sheet1!$D$3:$E$36,2,FALSE)</f>
        <v>04</v>
      </c>
      <c r="AS787" s="90" t="str">
        <f t="shared" si="423"/>
        <v>01</v>
      </c>
      <c r="AT787" s="1" t="str">
        <f t="shared" si="424"/>
        <v>01</v>
      </c>
      <c r="AU787" s="90" t="s">
        <v>2567</v>
      </c>
      <c r="AV787" s="90"/>
      <c r="AW787" s="90"/>
      <c r="AX787" s="95" t="str">
        <f>AQ787&amp;AR787&amp;AS787&amp;"-"&amp;AT787&amp;AU787&amp;BA787</f>
        <v>C0401-0138</v>
      </c>
      <c r="AY787" s="99" t="str">
        <f>AQ787&amp;AR787&amp;AS787&amp;"-"&amp;AT787&amp;BA787</f>
        <v>C0401-01</v>
      </c>
      <c r="AZ787" s="90"/>
      <c r="BA787" s="1" t="str">
        <f t="shared" si="425"/>
        <v/>
      </c>
      <c r="BC787" s="1">
        <f t="shared" si="396"/>
        <v>1</v>
      </c>
      <c r="BD787" s="90">
        <f t="shared" si="397"/>
        <v>1</v>
      </c>
      <c r="BE787" s="1">
        <f t="shared" si="428"/>
        <v>1</v>
      </c>
      <c r="BF787" s="1">
        <f t="shared" si="429"/>
        <v>1</v>
      </c>
    </row>
    <row r="788" spans="1:58" ht="11.25" customHeight="1">
      <c r="A788" s="26" t="s">
        <v>3913</v>
      </c>
      <c r="B788" s="27" t="s">
        <v>3914</v>
      </c>
      <c r="C788" s="28">
        <v>35.99</v>
      </c>
      <c r="D788" s="28">
        <f t="shared" si="410"/>
        <v>17.995000000000001</v>
      </c>
      <c r="E788" s="22" t="s">
        <v>3901</v>
      </c>
      <c r="F788" s="22" t="s">
        <v>3915</v>
      </c>
      <c r="G788" s="22" t="s">
        <v>3916</v>
      </c>
      <c r="H788" s="22" t="s">
        <v>3917</v>
      </c>
      <c r="I788" s="23" t="s">
        <v>3905</v>
      </c>
      <c r="J788" s="22" t="s">
        <v>670</v>
      </c>
      <c r="L788" s="23">
        <v>12</v>
      </c>
      <c r="M788" s="23">
        <v>15</v>
      </c>
      <c r="N788" s="3">
        <f t="shared" si="430"/>
        <v>2.16E-3</v>
      </c>
      <c r="O788" s="4" t="e">
        <f>(C788-(C788*#REF!))-((C788-(C788*#REF!))*#REF!)</f>
        <v>#REF!</v>
      </c>
      <c r="P788" s="7"/>
      <c r="Q788" s="7"/>
      <c r="R788" s="5">
        <f t="shared" si="431"/>
        <v>0</v>
      </c>
      <c r="S788" s="4">
        <f t="shared" si="432"/>
        <v>0</v>
      </c>
      <c r="T788" s="13">
        <f t="shared" si="414"/>
        <v>25.193000000000001</v>
      </c>
      <c r="U788" s="13">
        <f t="shared" si="426"/>
        <v>12.596500000000001</v>
      </c>
      <c r="V788" s="14">
        <f>U788/C788</f>
        <v>0.35</v>
      </c>
      <c r="W788" s="14"/>
      <c r="X788" s="19">
        <f t="shared" si="433"/>
        <v>12.596500000000001</v>
      </c>
      <c r="Y788" s="19">
        <f t="shared" si="434"/>
        <v>25.193000000000001</v>
      </c>
      <c r="Z788" s="15" t="e">
        <f t="shared" si="427"/>
        <v>#DIV/0!</v>
      </c>
      <c r="AA788" s="22" t="s">
        <v>3918</v>
      </c>
      <c r="AG788" s="94" t="s">
        <v>817</v>
      </c>
      <c r="AH788" s="89" t="str">
        <f>VLOOKUP(AG788,Sheet1!$B$3:$D$36,2,FALSE)</f>
        <v>Kitchen &amp; Dining</v>
      </c>
      <c r="AI788" s="89" t="s">
        <v>2821</v>
      </c>
      <c r="AJ788" s="1" t="str">
        <f t="shared" si="417"/>
        <v>Glammy</v>
      </c>
      <c r="AK788" s="1" t="str">
        <f t="shared" si="418"/>
        <v>semi - ø12 x h15 - vol. 200 ml</v>
      </c>
      <c r="AL788" s="1" t="str">
        <f t="shared" si="419"/>
        <v>clear glass # 6</v>
      </c>
      <c r="AM788" s="1" t="str">
        <f t="shared" si="420"/>
        <v>clear glass # 6</v>
      </c>
      <c r="AN788" s="1" t="str">
        <f t="shared" si="421"/>
        <v>clear glass # 6</v>
      </c>
      <c r="AQ788" s="1" t="str">
        <f t="shared" si="422"/>
        <v>C</v>
      </c>
      <c r="AR788" s="1" t="str">
        <f>VLOOKUP(TRIM(AI788),Sheet1!$D$3:$E$36,2,FALSE)</f>
        <v>04</v>
      </c>
      <c r="AS788" s="90" t="str">
        <f t="shared" si="423"/>
        <v>01</v>
      </c>
      <c r="AT788" s="1" t="str">
        <f t="shared" si="424"/>
        <v>01</v>
      </c>
      <c r="AU788" s="90" t="s">
        <v>2567</v>
      </c>
      <c r="AV788" s="90"/>
      <c r="AW788" s="90"/>
      <c r="AX788" s="95" t="str">
        <f>AQ788&amp;AR788&amp;AS788&amp;"-"&amp;AT788&amp;AU788&amp;BA788</f>
        <v>C0401-0138</v>
      </c>
      <c r="AY788" s="99" t="str">
        <f>AQ788&amp;AR788&amp;AS788&amp;"-"&amp;AT788&amp;BA788</f>
        <v>C0401-01</v>
      </c>
      <c r="AZ788" s="90"/>
      <c r="BA788" s="1" t="str">
        <f t="shared" si="425"/>
        <v/>
      </c>
      <c r="BC788" s="1">
        <f t="shared" si="396"/>
        <v>1</v>
      </c>
      <c r="BD788" s="90">
        <f t="shared" si="397"/>
        <v>1</v>
      </c>
      <c r="BE788" s="1">
        <f t="shared" si="428"/>
        <v>1</v>
      </c>
      <c r="BF788" s="1">
        <f t="shared" si="429"/>
        <v>1</v>
      </c>
    </row>
    <row r="789" spans="1:58" ht="11.25" customHeight="1">
      <c r="A789" s="26" t="s">
        <v>3919</v>
      </c>
      <c r="B789" s="27" t="s">
        <v>3920</v>
      </c>
      <c r="C789" s="28">
        <v>26.99</v>
      </c>
      <c r="D789" s="28">
        <f t="shared" si="410"/>
        <v>13.494999999999999</v>
      </c>
      <c r="E789" s="22" t="s">
        <v>3901</v>
      </c>
      <c r="F789" s="22" t="s">
        <v>3921</v>
      </c>
      <c r="G789" s="22" t="s">
        <v>3922</v>
      </c>
      <c r="H789" s="22" t="s">
        <v>3923</v>
      </c>
      <c r="I789" s="23" t="s">
        <v>3905</v>
      </c>
      <c r="J789" s="22" t="s">
        <v>670</v>
      </c>
      <c r="L789" s="23">
        <v>6</v>
      </c>
      <c r="M789" s="23">
        <v>18</v>
      </c>
      <c r="N789" s="3">
        <f t="shared" si="430"/>
        <v>6.4800000000000003E-4</v>
      </c>
      <c r="O789" s="4" t="e">
        <f>(C789-(C789*#REF!))-((C789-(C789*#REF!))*#REF!)</f>
        <v>#REF!</v>
      </c>
      <c r="P789" s="7"/>
      <c r="Q789" s="7"/>
      <c r="R789" s="5">
        <f t="shared" si="431"/>
        <v>0</v>
      </c>
      <c r="S789" s="4">
        <f t="shared" si="432"/>
        <v>0</v>
      </c>
      <c r="T789" s="13">
        <f t="shared" si="414"/>
        <v>18.893000000000001</v>
      </c>
      <c r="U789" s="13">
        <f t="shared" si="426"/>
        <v>9.4465000000000003</v>
      </c>
      <c r="V789" s="14">
        <f>U789/C789</f>
        <v>0.35000000000000003</v>
      </c>
      <c r="W789" s="14"/>
      <c r="X789" s="19">
        <f t="shared" si="433"/>
        <v>9.4465000000000003</v>
      </c>
      <c r="Y789" s="19">
        <f t="shared" si="434"/>
        <v>18.893000000000001</v>
      </c>
      <c r="Z789" s="15" t="e">
        <f t="shared" si="427"/>
        <v>#DIV/0!</v>
      </c>
      <c r="AA789" s="22" t="s">
        <v>3924</v>
      </c>
      <c r="AG789" s="94" t="s">
        <v>817</v>
      </c>
      <c r="AH789" s="89" t="str">
        <f>VLOOKUP(AG789,Sheet1!$B$3:$D$36,2,FALSE)</f>
        <v>Kitchen &amp; Dining</v>
      </c>
      <c r="AI789" s="89" t="s">
        <v>2821</v>
      </c>
      <c r="AJ789" s="1" t="str">
        <f t="shared" si="417"/>
        <v>Gracieni</v>
      </c>
      <c r="AK789" s="1" t="str">
        <f t="shared" si="418"/>
        <v>semi - ø6 x h18 - vol. 50 ml</v>
      </c>
      <c r="AL789" s="1" t="str">
        <f t="shared" si="419"/>
        <v>clear glass # 6</v>
      </c>
      <c r="AM789" s="1" t="str">
        <f t="shared" si="420"/>
        <v>clear glass # 6</v>
      </c>
      <c r="AN789" s="1" t="str">
        <f t="shared" si="421"/>
        <v>clear glass # 6</v>
      </c>
      <c r="AQ789" s="1" t="str">
        <f t="shared" si="422"/>
        <v>C</v>
      </c>
      <c r="AR789" s="1" t="str">
        <f>VLOOKUP(TRIM(AI789),Sheet1!$D$3:$E$36,2,FALSE)</f>
        <v>04</v>
      </c>
      <c r="AS789" s="90" t="str">
        <f t="shared" si="423"/>
        <v>01</v>
      </c>
      <c r="AT789" s="1" t="str">
        <f t="shared" si="424"/>
        <v>01</v>
      </c>
      <c r="AU789" s="90" t="s">
        <v>2567</v>
      </c>
      <c r="AV789" s="90"/>
      <c r="AW789" s="90"/>
      <c r="AX789" s="95" t="str">
        <f>AQ789&amp;AR789&amp;AS789&amp;"-"&amp;AT789&amp;AU789&amp;BA789</f>
        <v>C0401-0138</v>
      </c>
      <c r="AY789" s="99" t="str">
        <f>AQ789&amp;AR789&amp;AS789&amp;"-"&amp;AT789&amp;BA789</f>
        <v>C0401-01</v>
      </c>
      <c r="AZ789" s="90"/>
      <c r="BA789" s="1" t="str">
        <f t="shared" si="425"/>
        <v/>
      </c>
      <c r="BC789" s="1">
        <f t="shared" si="396"/>
        <v>1</v>
      </c>
      <c r="BD789" s="90">
        <f t="shared" si="397"/>
        <v>1</v>
      </c>
      <c r="BE789" s="1">
        <f t="shared" si="428"/>
        <v>1</v>
      </c>
      <c r="BF789" s="1">
        <f t="shared" si="429"/>
        <v>1</v>
      </c>
    </row>
    <row r="790" spans="1:58" ht="11.25" customHeight="1">
      <c r="A790" s="26" t="s">
        <v>3925</v>
      </c>
      <c r="B790" s="27" t="s">
        <v>3926</v>
      </c>
      <c r="C790" s="28">
        <v>39.99</v>
      </c>
      <c r="D790" s="28">
        <f t="shared" si="410"/>
        <v>19.995000000000001</v>
      </c>
      <c r="E790" s="22" t="s">
        <v>3901</v>
      </c>
      <c r="F790" s="22" t="s">
        <v>3927</v>
      </c>
      <c r="G790" s="22" t="s">
        <v>536</v>
      </c>
      <c r="H790" s="22" t="s">
        <v>3928</v>
      </c>
      <c r="I790" s="23" t="s">
        <v>3905</v>
      </c>
      <c r="J790" s="22" t="s">
        <v>670</v>
      </c>
      <c r="L790" s="23">
        <v>12</v>
      </c>
      <c r="M790" s="23">
        <v>21</v>
      </c>
      <c r="N790" s="3">
        <f t="shared" si="430"/>
        <v>3.0240000000000002E-3</v>
      </c>
      <c r="O790" s="4" t="e">
        <f>(C790-(C790*#REF!))-((C790-(C790*#REF!))*#REF!)</f>
        <v>#REF!</v>
      </c>
      <c r="P790" s="7"/>
      <c r="Q790" s="7"/>
      <c r="R790" s="5">
        <f t="shared" si="431"/>
        <v>0</v>
      </c>
      <c r="S790" s="4">
        <f t="shared" si="432"/>
        <v>0</v>
      </c>
      <c r="T790" s="13">
        <f t="shared" si="414"/>
        <v>27.993000000000002</v>
      </c>
      <c r="U790" s="13">
        <f t="shared" si="426"/>
        <v>13.996500000000001</v>
      </c>
      <c r="V790" s="14">
        <f>U790/C790</f>
        <v>0.35000000000000003</v>
      </c>
      <c r="W790" s="14"/>
      <c r="X790" s="19">
        <f t="shared" si="433"/>
        <v>13.996500000000001</v>
      </c>
      <c r="Y790" s="19">
        <f t="shared" si="434"/>
        <v>27.993000000000002</v>
      </c>
      <c r="Z790" s="15" t="e">
        <f t="shared" si="427"/>
        <v>#DIV/0!</v>
      </c>
      <c r="AA790" s="22" t="s">
        <v>3929</v>
      </c>
      <c r="AG790" s="94" t="s">
        <v>817</v>
      </c>
      <c r="AH790" s="89" t="str">
        <f>VLOOKUP(AG790,Sheet1!$B$3:$D$36,2,FALSE)</f>
        <v>Kitchen &amp; Dining</v>
      </c>
      <c r="AI790" s="89" t="s">
        <v>2821</v>
      </c>
      <c r="AJ790" s="1" t="str">
        <f t="shared" si="417"/>
        <v>Monata</v>
      </c>
      <c r="AK790" s="1" t="str">
        <f t="shared" si="418"/>
        <v>semi - ø12 x h21 - vol. 500 ml</v>
      </c>
      <c r="AL790" s="1" t="str">
        <f t="shared" si="419"/>
        <v>clear glass # 6</v>
      </c>
      <c r="AM790" s="1" t="str">
        <f t="shared" si="420"/>
        <v>clear glass # 6</v>
      </c>
      <c r="AN790" s="1" t="str">
        <f t="shared" si="421"/>
        <v>clear glass # 6</v>
      </c>
      <c r="AQ790" s="1" t="str">
        <f t="shared" si="422"/>
        <v>C</v>
      </c>
      <c r="AR790" s="1" t="str">
        <f>VLOOKUP(TRIM(AI790),Sheet1!$D$3:$E$36,2,FALSE)</f>
        <v>04</v>
      </c>
      <c r="AS790" s="90" t="str">
        <f t="shared" si="423"/>
        <v>01</v>
      </c>
      <c r="AT790" s="1" t="str">
        <f t="shared" si="424"/>
        <v>01</v>
      </c>
      <c r="AU790" s="90" t="s">
        <v>2567</v>
      </c>
      <c r="AV790" s="90"/>
      <c r="AW790" s="90"/>
      <c r="AX790" s="95" t="str">
        <f>AQ790&amp;AR790&amp;AS790&amp;"-"&amp;AT790&amp;AU790&amp;BA790</f>
        <v>C0401-0138</v>
      </c>
      <c r="AY790" s="99" t="str">
        <f>AQ790&amp;AR790&amp;AS790&amp;"-"&amp;AT790&amp;BA790</f>
        <v>C0401-01</v>
      </c>
      <c r="AZ790" s="90"/>
      <c r="BA790" s="1" t="str">
        <f t="shared" si="425"/>
        <v/>
      </c>
      <c r="BC790" s="1">
        <f t="shared" si="396"/>
        <v>1</v>
      </c>
      <c r="BD790" s="90">
        <f t="shared" si="397"/>
        <v>1</v>
      </c>
      <c r="BE790" s="1">
        <f t="shared" si="428"/>
        <v>1</v>
      </c>
      <c r="BF790" s="1">
        <f t="shared" si="429"/>
        <v>1</v>
      </c>
    </row>
    <row r="791" spans="1:58" ht="11.25" customHeight="1">
      <c r="A791" s="26" t="s">
        <v>3930</v>
      </c>
      <c r="B791" s="27" t="s">
        <v>3926</v>
      </c>
      <c r="C791" s="28">
        <v>46.99</v>
      </c>
      <c r="D791" s="28">
        <f t="shared" si="410"/>
        <v>23.495000000000001</v>
      </c>
      <c r="E791" s="22" t="s">
        <v>3901</v>
      </c>
      <c r="F791" s="22" t="s">
        <v>3931</v>
      </c>
      <c r="G791" s="22" t="s">
        <v>536</v>
      </c>
      <c r="H791" s="22" t="s">
        <v>3932</v>
      </c>
      <c r="I791" s="23" t="s">
        <v>3905</v>
      </c>
      <c r="J791" s="22" t="s">
        <v>670</v>
      </c>
      <c r="L791" s="23">
        <v>12</v>
      </c>
      <c r="M791" s="23">
        <v>30</v>
      </c>
      <c r="N791" s="3">
        <f t="shared" si="430"/>
        <v>4.3200000000000001E-3</v>
      </c>
      <c r="O791" s="4" t="e">
        <f>(C791-(C791*#REF!))-((C791-(C791*#REF!))*#REF!)</f>
        <v>#REF!</v>
      </c>
      <c r="P791" s="7"/>
      <c r="Q791" s="7"/>
      <c r="R791" s="5">
        <f t="shared" si="431"/>
        <v>0</v>
      </c>
      <c r="S791" s="4">
        <f t="shared" si="432"/>
        <v>0</v>
      </c>
      <c r="T791" s="13">
        <f t="shared" si="414"/>
        <v>32.893000000000001</v>
      </c>
      <c r="U791" s="13">
        <f t="shared" si="426"/>
        <v>16.4465</v>
      </c>
      <c r="V791" s="14">
        <f>U791/C791</f>
        <v>0.35</v>
      </c>
      <c r="W791" s="14"/>
      <c r="X791" s="19">
        <f t="shared" si="433"/>
        <v>16.4465</v>
      </c>
      <c r="Y791" s="19">
        <f t="shared" si="434"/>
        <v>32.893000000000001</v>
      </c>
      <c r="Z791" s="15" t="e">
        <f t="shared" si="427"/>
        <v>#DIV/0!</v>
      </c>
      <c r="AA791" s="22" t="s">
        <v>3933</v>
      </c>
      <c r="AG791" s="94" t="s">
        <v>817</v>
      </c>
      <c r="AH791" s="89" t="str">
        <f>VLOOKUP(AG791,Sheet1!$B$3:$D$36,2,FALSE)</f>
        <v>Kitchen &amp; Dining</v>
      </c>
      <c r="AI791" s="89" t="s">
        <v>2821</v>
      </c>
      <c r="AJ791" s="1" t="str">
        <f t="shared" si="417"/>
        <v>Monata</v>
      </c>
      <c r="AK791" s="1" t="str">
        <f t="shared" si="418"/>
        <v>ø12 x h30 - vol. 550 ml</v>
      </c>
      <c r="AL791" s="1" t="str">
        <f t="shared" si="419"/>
        <v>clear glass # 6</v>
      </c>
      <c r="AM791" s="1" t="str">
        <f t="shared" si="420"/>
        <v>clear glass # 6</v>
      </c>
      <c r="AN791" s="1" t="str">
        <f t="shared" si="421"/>
        <v>clear glass # 6</v>
      </c>
      <c r="AQ791" s="1" t="str">
        <f t="shared" si="422"/>
        <v>C</v>
      </c>
      <c r="AR791" s="1" t="str">
        <f>VLOOKUP(TRIM(AI791),Sheet1!$D$3:$E$36,2,FALSE)</f>
        <v>04</v>
      </c>
      <c r="AS791" s="90" t="str">
        <f t="shared" si="423"/>
        <v>02</v>
      </c>
      <c r="AT791" s="1" t="str">
        <f t="shared" si="424"/>
        <v>01</v>
      </c>
      <c r="AU791" s="90" t="s">
        <v>2567</v>
      </c>
      <c r="AV791" s="90"/>
      <c r="AW791" s="90"/>
      <c r="AX791" s="95" t="str">
        <f>AQ791&amp;AR791&amp;AS791&amp;"-"&amp;AT791&amp;AU791&amp;BA791</f>
        <v>C0402-0138</v>
      </c>
      <c r="AY791" s="99" t="str">
        <f>AQ791&amp;AR791&amp;AS791&amp;"-"&amp;AT791&amp;BA791</f>
        <v>C0402-01</v>
      </c>
      <c r="AZ791" s="90"/>
      <c r="BA791" s="1" t="str">
        <f t="shared" si="425"/>
        <v/>
      </c>
      <c r="BC791" s="1" t="str">
        <f t="shared" si="396"/>
        <v/>
      </c>
      <c r="BD791" s="90">
        <f t="shared" si="397"/>
        <v>2</v>
      </c>
      <c r="BE791" s="1">
        <f t="shared" si="428"/>
        <v>1</v>
      </c>
      <c r="BF791" s="1">
        <f t="shared" si="429"/>
        <v>1</v>
      </c>
    </row>
    <row r="792" spans="1:58" ht="11.25" customHeight="1">
      <c r="A792" s="26" t="s">
        <v>3934</v>
      </c>
      <c r="B792" s="27" t="s">
        <v>3935</v>
      </c>
      <c r="C792" s="28">
        <v>25.99</v>
      </c>
      <c r="D792" s="28">
        <f t="shared" si="410"/>
        <v>12.994999999999999</v>
      </c>
      <c r="E792" s="22" t="s">
        <v>3901</v>
      </c>
      <c r="F792" s="22" t="s">
        <v>3936</v>
      </c>
      <c r="G792" s="22" t="s">
        <v>301</v>
      </c>
      <c r="H792" s="22" t="s">
        <v>3937</v>
      </c>
      <c r="I792" s="23" t="s">
        <v>3905</v>
      </c>
      <c r="J792" s="22" t="s">
        <v>670</v>
      </c>
      <c r="L792" s="23">
        <v>6</v>
      </c>
      <c r="M792" s="23">
        <v>9</v>
      </c>
      <c r="N792" s="3">
        <f t="shared" si="430"/>
        <v>3.2400000000000001E-4</v>
      </c>
      <c r="O792" s="4" t="e">
        <f>(C792-(C792*#REF!))-((C792-(C792*#REF!))*#REF!)</f>
        <v>#REF!</v>
      </c>
      <c r="P792" s="7"/>
      <c r="Q792" s="7"/>
      <c r="R792" s="5">
        <f t="shared" si="431"/>
        <v>0</v>
      </c>
      <c r="S792" s="4">
        <f t="shared" si="432"/>
        <v>0</v>
      </c>
      <c r="T792" s="13">
        <f t="shared" si="414"/>
        <v>18.192999999999998</v>
      </c>
      <c r="U792" s="13">
        <f t="shared" si="426"/>
        <v>9.0964999999999989</v>
      </c>
      <c r="V792" s="14">
        <f>U792/C792</f>
        <v>0.35</v>
      </c>
      <c r="W792" s="14"/>
      <c r="X792" s="19">
        <f t="shared" si="433"/>
        <v>9.0964999999999989</v>
      </c>
      <c r="Y792" s="19">
        <f t="shared" si="434"/>
        <v>18.192999999999998</v>
      </c>
      <c r="Z792" s="15" t="e">
        <f t="shared" si="427"/>
        <v>#DIV/0!</v>
      </c>
      <c r="AA792" s="22" t="s">
        <v>3938</v>
      </c>
      <c r="AG792" s="94" t="s">
        <v>817</v>
      </c>
      <c r="AH792" s="89" t="str">
        <f>VLOOKUP(AG792,Sheet1!$B$3:$D$36,2,FALSE)</f>
        <v>Kitchen &amp; Dining</v>
      </c>
      <c r="AI792" s="89" t="s">
        <v>2821</v>
      </c>
      <c r="AJ792" s="1" t="str">
        <f t="shared" si="417"/>
        <v>Gresconi</v>
      </c>
      <c r="AK792" s="1" t="str">
        <f t="shared" si="418"/>
        <v>semi - ø6 x h9 - vol. 100 ml</v>
      </c>
      <c r="AL792" s="1" t="str">
        <f t="shared" si="419"/>
        <v>clear glass # 6</v>
      </c>
      <c r="AM792" s="1" t="str">
        <f t="shared" si="420"/>
        <v>clear glass # 6</v>
      </c>
      <c r="AN792" s="1" t="str">
        <f t="shared" si="421"/>
        <v>clear glass # 6</v>
      </c>
      <c r="AQ792" s="1" t="str">
        <f t="shared" si="422"/>
        <v>C</v>
      </c>
      <c r="AR792" s="1" t="str">
        <f>VLOOKUP(TRIM(AI792),Sheet1!$D$3:$E$36,2,FALSE)</f>
        <v>04</v>
      </c>
      <c r="AS792" s="90" t="str">
        <f t="shared" si="423"/>
        <v>01</v>
      </c>
      <c r="AT792" s="1" t="str">
        <f t="shared" si="424"/>
        <v>01</v>
      </c>
      <c r="AU792" s="90" t="s">
        <v>2567</v>
      </c>
      <c r="AV792" s="90"/>
      <c r="AW792" s="90"/>
      <c r="AX792" s="95" t="str">
        <f>AQ792&amp;AR792&amp;AS792&amp;"-"&amp;AT792&amp;AU792&amp;BA792</f>
        <v>C0401-0138</v>
      </c>
      <c r="AY792" s="99" t="str">
        <f>AQ792&amp;AR792&amp;AS792&amp;"-"&amp;AT792&amp;BA792</f>
        <v>C0401-01</v>
      </c>
      <c r="AZ792" s="90"/>
      <c r="BA792" s="1" t="str">
        <f t="shared" si="425"/>
        <v/>
      </c>
      <c r="BC792" s="1">
        <f t="shared" si="396"/>
        <v>1</v>
      </c>
      <c r="BD792" s="90">
        <f t="shared" si="397"/>
        <v>1</v>
      </c>
      <c r="BE792" s="1">
        <f t="shared" si="428"/>
        <v>1</v>
      </c>
      <c r="BF792" s="1">
        <f t="shared" si="429"/>
        <v>1</v>
      </c>
    </row>
    <row r="793" spans="1:58" ht="11.25" customHeight="1">
      <c r="A793" s="26" t="s">
        <v>3939</v>
      </c>
      <c r="B793" s="27" t="s">
        <v>3935</v>
      </c>
      <c r="C793" s="28">
        <v>31.99</v>
      </c>
      <c r="D793" s="28">
        <f t="shared" si="410"/>
        <v>15.994999999999999</v>
      </c>
      <c r="E793" s="22" t="s">
        <v>3901</v>
      </c>
      <c r="F793" s="22" t="s">
        <v>3940</v>
      </c>
      <c r="G793" s="22" t="s">
        <v>301</v>
      </c>
      <c r="H793" s="22" t="s">
        <v>3941</v>
      </c>
      <c r="I793" s="23" t="s">
        <v>3905</v>
      </c>
      <c r="J793" s="22" t="s">
        <v>670</v>
      </c>
      <c r="L793" s="23">
        <v>7</v>
      </c>
      <c r="M793" s="23">
        <v>10</v>
      </c>
      <c r="N793" s="3">
        <f t="shared" si="430"/>
        <v>4.8999999999999998E-4</v>
      </c>
      <c r="O793" s="4" t="e">
        <f>(C793-(C793*#REF!))-((C793-(C793*#REF!))*#REF!)</f>
        <v>#REF!</v>
      </c>
      <c r="P793" s="7"/>
      <c r="Q793" s="7"/>
      <c r="R793" s="5">
        <f t="shared" si="431"/>
        <v>0</v>
      </c>
      <c r="S793" s="4">
        <f t="shared" si="432"/>
        <v>0</v>
      </c>
      <c r="T793" s="13">
        <f t="shared" si="414"/>
        <v>22.393000000000001</v>
      </c>
      <c r="U793" s="13">
        <f t="shared" si="426"/>
        <v>11.1965</v>
      </c>
      <c r="V793" s="14">
        <f>U793/C793</f>
        <v>0.35000000000000003</v>
      </c>
      <c r="W793" s="14"/>
      <c r="X793" s="19">
        <f t="shared" si="433"/>
        <v>11.1965</v>
      </c>
      <c r="Y793" s="19">
        <f t="shared" si="434"/>
        <v>22.393000000000001</v>
      </c>
      <c r="Z793" s="15" t="e">
        <f t="shared" si="427"/>
        <v>#DIV/0!</v>
      </c>
      <c r="AA793" s="22" t="s">
        <v>3942</v>
      </c>
      <c r="AG793" s="94" t="s">
        <v>817</v>
      </c>
      <c r="AH793" s="89" t="str">
        <f>VLOOKUP(AG793,Sheet1!$B$3:$D$36,2,FALSE)</f>
        <v>Kitchen &amp; Dining</v>
      </c>
      <c r="AI793" s="89" t="s">
        <v>2821</v>
      </c>
      <c r="AJ793" s="1" t="str">
        <f t="shared" si="417"/>
        <v>Gresconi</v>
      </c>
      <c r="AK793" s="1" t="str">
        <f t="shared" si="418"/>
        <v>ø7 x h10 - vol. 200 ml</v>
      </c>
      <c r="AL793" s="1" t="str">
        <f t="shared" si="419"/>
        <v>clear glass # 6</v>
      </c>
      <c r="AM793" s="1" t="str">
        <f t="shared" si="420"/>
        <v>clear glass # 6</v>
      </c>
      <c r="AN793" s="1" t="str">
        <f t="shared" si="421"/>
        <v>clear glass # 6</v>
      </c>
      <c r="AQ793" s="1" t="str">
        <f t="shared" si="422"/>
        <v>C</v>
      </c>
      <c r="AR793" s="1" t="str">
        <f>VLOOKUP(TRIM(AI793),Sheet1!$D$3:$E$36,2,FALSE)</f>
        <v>04</v>
      </c>
      <c r="AS793" s="90" t="str">
        <f t="shared" si="423"/>
        <v>02</v>
      </c>
      <c r="AT793" s="1" t="str">
        <f t="shared" si="424"/>
        <v>01</v>
      </c>
      <c r="AU793" s="90" t="s">
        <v>2567</v>
      </c>
      <c r="AV793" s="90"/>
      <c r="AW793" s="90"/>
      <c r="AX793" s="95" t="str">
        <f>AQ793&amp;AR793&amp;AS793&amp;"-"&amp;AT793&amp;AU793&amp;BA793</f>
        <v>C0402-0138</v>
      </c>
      <c r="AY793" s="99" t="str">
        <f>AQ793&amp;AR793&amp;AS793&amp;"-"&amp;AT793&amp;BA793</f>
        <v>C0402-01</v>
      </c>
      <c r="AZ793" s="90"/>
      <c r="BA793" s="1" t="str">
        <f t="shared" si="425"/>
        <v/>
      </c>
      <c r="BC793" s="1" t="str">
        <f t="shared" si="396"/>
        <v/>
      </c>
      <c r="BD793" s="90">
        <f t="shared" si="397"/>
        <v>2</v>
      </c>
      <c r="BE793" s="1">
        <f t="shared" si="428"/>
        <v>1</v>
      </c>
      <c r="BF793" s="1">
        <f t="shared" si="429"/>
        <v>1</v>
      </c>
    </row>
    <row r="794" spans="1:58" ht="11.25" customHeight="1">
      <c r="A794" s="26" t="s">
        <v>3943</v>
      </c>
      <c r="B794" s="27" t="s">
        <v>3935</v>
      </c>
      <c r="C794" s="28">
        <v>29.99</v>
      </c>
      <c r="D794" s="28">
        <f t="shared" si="410"/>
        <v>14.994999999999999</v>
      </c>
      <c r="E794" s="22" t="s">
        <v>3901</v>
      </c>
      <c r="F794" s="22" t="s">
        <v>3944</v>
      </c>
      <c r="G794" s="22" t="s">
        <v>301</v>
      </c>
      <c r="H794" s="22" t="s">
        <v>3945</v>
      </c>
      <c r="I794" s="23" t="s">
        <v>3905</v>
      </c>
      <c r="J794" s="22" t="s">
        <v>670</v>
      </c>
      <c r="L794" s="23">
        <v>7</v>
      </c>
      <c r="M794" s="23">
        <v>12</v>
      </c>
      <c r="N794" s="3">
        <f t="shared" si="430"/>
        <v>5.8799999999999998E-4</v>
      </c>
      <c r="O794" s="4" t="e">
        <f>(C794-(C794*#REF!))-((C794-(C794*#REF!))*#REF!)</f>
        <v>#REF!</v>
      </c>
      <c r="P794" s="7"/>
      <c r="Q794" s="7"/>
      <c r="R794" s="5">
        <f t="shared" si="431"/>
        <v>0</v>
      </c>
      <c r="S794" s="4">
        <f t="shared" si="432"/>
        <v>0</v>
      </c>
      <c r="T794" s="13">
        <f t="shared" si="414"/>
        <v>20.992999999999999</v>
      </c>
      <c r="U794" s="13">
        <f t="shared" si="426"/>
        <v>10.496499999999999</v>
      </c>
      <c r="V794" s="14">
        <f>U794/C794</f>
        <v>0.35</v>
      </c>
      <c r="W794" s="14"/>
      <c r="X794" s="19">
        <f t="shared" si="433"/>
        <v>10.496499999999999</v>
      </c>
      <c r="Y794" s="19">
        <f t="shared" si="434"/>
        <v>20.992999999999999</v>
      </c>
      <c r="Z794" s="15" t="e">
        <f t="shared" si="427"/>
        <v>#DIV/0!</v>
      </c>
      <c r="AA794" s="22" t="s">
        <v>3938</v>
      </c>
      <c r="AG794" s="94" t="s">
        <v>817</v>
      </c>
      <c r="AH794" s="89" t="str">
        <f>VLOOKUP(AG794,Sheet1!$B$3:$D$36,2,FALSE)</f>
        <v>Kitchen &amp; Dining</v>
      </c>
      <c r="AI794" s="89" t="s">
        <v>2821</v>
      </c>
      <c r="AJ794" s="1" t="str">
        <f t="shared" si="417"/>
        <v>Gresconi</v>
      </c>
      <c r="AK794" s="1" t="str">
        <f t="shared" si="418"/>
        <v>ø7 x h12 - vol. 300 ml</v>
      </c>
      <c r="AL794" s="1" t="str">
        <f t="shared" si="419"/>
        <v>clear glass # 6</v>
      </c>
      <c r="AM794" s="1" t="str">
        <f t="shared" si="420"/>
        <v>clear glass # 6</v>
      </c>
      <c r="AN794" s="1" t="str">
        <f t="shared" si="421"/>
        <v>clear glass # 6</v>
      </c>
      <c r="AQ794" s="1" t="str">
        <f t="shared" si="422"/>
        <v>C</v>
      </c>
      <c r="AR794" s="1" t="str">
        <f>VLOOKUP(TRIM(AI794),Sheet1!$D$3:$E$36,2,FALSE)</f>
        <v>04</v>
      </c>
      <c r="AS794" s="90" t="str">
        <f t="shared" si="423"/>
        <v>03</v>
      </c>
      <c r="AT794" s="1" t="str">
        <f t="shared" si="424"/>
        <v>01</v>
      </c>
      <c r="AU794" s="90" t="s">
        <v>2567</v>
      </c>
      <c r="AV794" s="90"/>
      <c r="AW794" s="90"/>
      <c r="AX794" s="95" t="str">
        <f>AQ794&amp;AR794&amp;AS794&amp;"-"&amp;AT794&amp;AU794&amp;BA794</f>
        <v>C0403-0138</v>
      </c>
      <c r="AY794" s="99" t="str">
        <f>AQ794&amp;AR794&amp;AS794&amp;"-"&amp;AT794&amp;BA794</f>
        <v>C0403-01</v>
      </c>
      <c r="AZ794" s="90"/>
      <c r="BA794" s="1" t="str">
        <f t="shared" si="425"/>
        <v/>
      </c>
      <c r="BC794" s="1" t="str">
        <f t="shared" si="396"/>
        <v/>
      </c>
      <c r="BD794" s="90">
        <f t="shared" si="397"/>
        <v>3</v>
      </c>
      <c r="BE794" s="1">
        <f t="shared" si="428"/>
        <v>1</v>
      </c>
      <c r="BF794" s="1">
        <f t="shared" si="429"/>
        <v>1</v>
      </c>
    </row>
    <row r="795" spans="1:58" ht="11.25" customHeight="1">
      <c r="A795" s="26" t="s">
        <v>3946</v>
      </c>
      <c r="B795" s="27" t="s">
        <v>3935</v>
      </c>
      <c r="C795" s="28">
        <v>31.99</v>
      </c>
      <c r="D795" s="28">
        <f t="shared" si="410"/>
        <v>15.994999999999999</v>
      </c>
      <c r="E795" s="22" t="s">
        <v>3901</v>
      </c>
      <c r="F795" s="22" t="s">
        <v>3947</v>
      </c>
      <c r="G795" s="22" t="s">
        <v>301</v>
      </c>
      <c r="H795" s="22" t="s">
        <v>3948</v>
      </c>
      <c r="I795" s="23" t="s">
        <v>3905</v>
      </c>
      <c r="J795" s="22" t="s">
        <v>670</v>
      </c>
      <c r="L795" s="23">
        <v>6</v>
      </c>
      <c r="M795" s="23">
        <v>16</v>
      </c>
      <c r="N795" s="3">
        <f t="shared" si="430"/>
        <v>5.7600000000000001E-4</v>
      </c>
      <c r="O795" s="4" t="e">
        <f>(C795-(C795*#REF!))-((C795-(C795*#REF!))*#REF!)</f>
        <v>#REF!</v>
      </c>
      <c r="P795" s="7"/>
      <c r="Q795" s="7"/>
      <c r="R795" s="5">
        <f t="shared" si="431"/>
        <v>0</v>
      </c>
      <c r="S795" s="4">
        <f t="shared" si="432"/>
        <v>0</v>
      </c>
      <c r="T795" s="13">
        <f t="shared" si="414"/>
        <v>22.393000000000001</v>
      </c>
      <c r="U795" s="13">
        <f t="shared" si="426"/>
        <v>11.1965</v>
      </c>
      <c r="V795" s="14">
        <f>U795/C795</f>
        <v>0.35000000000000003</v>
      </c>
      <c r="W795" s="14"/>
      <c r="X795" s="19">
        <f t="shared" si="433"/>
        <v>11.1965</v>
      </c>
      <c r="Y795" s="19">
        <f t="shared" si="434"/>
        <v>22.393000000000001</v>
      </c>
      <c r="Z795" s="15" t="e">
        <f t="shared" si="427"/>
        <v>#DIV/0!</v>
      </c>
      <c r="AA795" s="22" t="s">
        <v>3949</v>
      </c>
      <c r="AG795" s="94" t="s">
        <v>817</v>
      </c>
      <c r="AH795" s="89" t="str">
        <f>VLOOKUP(AG795,Sheet1!$B$3:$D$36,2,FALSE)</f>
        <v>Kitchen &amp; Dining</v>
      </c>
      <c r="AI795" s="89" t="s">
        <v>2821</v>
      </c>
      <c r="AJ795" s="1" t="str">
        <f t="shared" si="417"/>
        <v>Gresconi</v>
      </c>
      <c r="AK795" s="1" t="str">
        <f t="shared" si="418"/>
        <v>ø6 x h16 - vol. 300 ml</v>
      </c>
      <c r="AL795" s="1" t="str">
        <f t="shared" si="419"/>
        <v>clear glass # 6</v>
      </c>
      <c r="AM795" s="1" t="str">
        <f t="shared" si="420"/>
        <v>clear glass # 6</v>
      </c>
      <c r="AN795" s="1" t="str">
        <f t="shared" si="421"/>
        <v>clear glass # 6</v>
      </c>
      <c r="AQ795" s="1" t="str">
        <f t="shared" si="422"/>
        <v>C</v>
      </c>
      <c r="AR795" s="1" t="str">
        <f>VLOOKUP(TRIM(AI795),Sheet1!$D$3:$E$36,2,FALSE)</f>
        <v>04</v>
      </c>
      <c r="AS795" s="90" t="str">
        <f t="shared" si="423"/>
        <v>04</v>
      </c>
      <c r="AT795" s="1" t="str">
        <f t="shared" si="424"/>
        <v>01</v>
      </c>
      <c r="AU795" s="90" t="s">
        <v>2567</v>
      </c>
      <c r="AV795" s="90"/>
      <c r="AW795" s="90"/>
      <c r="AX795" s="95" t="str">
        <f>AQ795&amp;AR795&amp;AS795&amp;"-"&amp;AT795&amp;AU795&amp;BA795</f>
        <v>C0404-0138</v>
      </c>
      <c r="AY795" s="99" t="str">
        <f>AQ795&amp;AR795&amp;AS795&amp;"-"&amp;AT795&amp;BA795</f>
        <v>C0404-01</v>
      </c>
      <c r="AZ795" s="90"/>
      <c r="BA795" s="1" t="str">
        <f t="shared" si="425"/>
        <v/>
      </c>
      <c r="BC795" s="1" t="str">
        <f t="shared" si="396"/>
        <v/>
      </c>
      <c r="BD795" s="90">
        <f t="shared" si="397"/>
        <v>4</v>
      </c>
      <c r="BE795" s="1">
        <f t="shared" si="428"/>
        <v>1</v>
      </c>
      <c r="BF795" s="1">
        <f t="shared" si="429"/>
        <v>1</v>
      </c>
    </row>
    <row r="796" spans="1:58" ht="11.25" customHeight="1">
      <c r="A796" s="26" t="s">
        <v>3950</v>
      </c>
      <c r="B796" s="27" t="s">
        <v>3935</v>
      </c>
      <c r="C796" s="28">
        <v>57.99</v>
      </c>
      <c r="D796" s="28">
        <f t="shared" si="410"/>
        <v>28.995000000000001</v>
      </c>
      <c r="E796" s="22" t="s">
        <v>3901</v>
      </c>
      <c r="F796" s="22" t="s">
        <v>3951</v>
      </c>
      <c r="G796" s="22" t="s">
        <v>301</v>
      </c>
      <c r="H796" s="22" t="s">
        <v>3952</v>
      </c>
      <c r="I796" s="23" t="s">
        <v>3905</v>
      </c>
      <c r="J796" s="22" t="s">
        <v>670</v>
      </c>
      <c r="L796" s="23">
        <v>11</v>
      </c>
      <c r="M796" s="23">
        <v>27</v>
      </c>
      <c r="N796" s="3">
        <f t="shared" si="430"/>
        <v>3.2669999999999999E-3</v>
      </c>
      <c r="O796" s="4" t="e">
        <f>(C796-(C796*#REF!))-((C796-(C796*#REF!))*#REF!)</f>
        <v>#REF!</v>
      </c>
      <c r="P796" s="7"/>
      <c r="Q796" s="7"/>
      <c r="R796" s="5">
        <f t="shared" si="431"/>
        <v>0</v>
      </c>
      <c r="S796" s="4">
        <f t="shared" si="432"/>
        <v>0</v>
      </c>
      <c r="T796" s="13">
        <f t="shared" si="414"/>
        <v>40.593000000000004</v>
      </c>
      <c r="U796" s="13">
        <f t="shared" si="426"/>
        <v>20.296500000000002</v>
      </c>
      <c r="V796" s="14">
        <f>U796/C796</f>
        <v>0.35000000000000003</v>
      </c>
      <c r="W796" s="14"/>
      <c r="X796" s="19">
        <f t="shared" si="433"/>
        <v>20.296500000000002</v>
      </c>
      <c r="Y796" s="19">
        <f t="shared" si="434"/>
        <v>40.593000000000004</v>
      </c>
      <c r="Z796" s="15" t="e">
        <f t="shared" si="427"/>
        <v>#DIV/0!</v>
      </c>
      <c r="AA796" s="22" t="s">
        <v>3953</v>
      </c>
      <c r="AG796" s="94" t="s">
        <v>817</v>
      </c>
      <c r="AH796" s="89" t="str">
        <f>VLOOKUP(AG796,Sheet1!$B$3:$D$36,2,FALSE)</f>
        <v>Kitchen &amp; Dining</v>
      </c>
      <c r="AI796" s="89" t="s">
        <v>2821</v>
      </c>
      <c r="AJ796" s="1" t="str">
        <f t="shared" si="417"/>
        <v>Gresconi</v>
      </c>
      <c r="AK796" s="1" t="str">
        <f t="shared" si="418"/>
        <v>ø11 x h27 - vol. 1.300 ml</v>
      </c>
      <c r="AL796" s="1" t="str">
        <f t="shared" si="419"/>
        <v>clear glass # 6</v>
      </c>
      <c r="AM796" s="1" t="str">
        <f t="shared" si="420"/>
        <v>clear glass # 6</v>
      </c>
      <c r="AN796" s="1" t="str">
        <f t="shared" si="421"/>
        <v>clear glass # 6</v>
      </c>
      <c r="AQ796" s="1" t="str">
        <f t="shared" si="422"/>
        <v>C</v>
      </c>
      <c r="AR796" s="1" t="str">
        <f>VLOOKUP(TRIM(AI796),Sheet1!$D$3:$E$36,2,FALSE)</f>
        <v>04</v>
      </c>
      <c r="AS796" s="90" t="str">
        <f t="shared" si="423"/>
        <v>05</v>
      </c>
      <c r="AT796" s="1" t="str">
        <f t="shared" si="424"/>
        <v>01</v>
      </c>
      <c r="AU796" s="90" t="s">
        <v>2567</v>
      </c>
      <c r="AV796" s="90"/>
      <c r="AW796" s="90"/>
      <c r="AX796" s="95" t="str">
        <f>AQ796&amp;AR796&amp;AS796&amp;"-"&amp;AT796&amp;AU796&amp;BA796</f>
        <v>C0405-0138</v>
      </c>
      <c r="AY796" s="99" t="str">
        <f>AQ796&amp;AR796&amp;AS796&amp;"-"&amp;AT796&amp;BA796</f>
        <v>C0405-01</v>
      </c>
      <c r="AZ796" s="90"/>
      <c r="BA796" s="1" t="str">
        <f t="shared" si="425"/>
        <v/>
      </c>
      <c r="BC796" s="1" t="str">
        <f t="shared" si="396"/>
        <v/>
      </c>
      <c r="BD796" s="90">
        <f t="shared" si="397"/>
        <v>5</v>
      </c>
      <c r="BE796" s="1">
        <f t="shared" si="428"/>
        <v>1</v>
      </c>
      <c r="BF796" s="1">
        <f t="shared" si="429"/>
        <v>1</v>
      </c>
    </row>
    <row r="797" spans="1:58" ht="11.25" customHeight="1">
      <c r="A797" s="26" t="s">
        <v>3954</v>
      </c>
      <c r="B797" s="27" t="s">
        <v>3955</v>
      </c>
      <c r="C797" s="28">
        <v>30.99</v>
      </c>
      <c r="D797" s="28">
        <f t="shared" si="410"/>
        <v>15.494999999999999</v>
      </c>
      <c r="E797" s="22" t="s">
        <v>3901</v>
      </c>
      <c r="F797" s="22" t="s">
        <v>3956</v>
      </c>
      <c r="G797" s="22" t="s">
        <v>85</v>
      </c>
      <c r="H797" s="22" t="s">
        <v>3957</v>
      </c>
      <c r="I797" s="23" t="s">
        <v>3905</v>
      </c>
      <c r="J797" s="22" t="s">
        <v>670</v>
      </c>
      <c r="L797" s="23">
        <v>9</v>
      </c>
      <c r="M797" s="23">
        <v>15</v>
      </c>
      <c r="N797" s="3">
        <f t="shared" si="430"/>
        <v>1.2149999999999999E-3</v>
      </c>
      <c r="O797" s="4" t="e">
        <f>(C797-(C797*#REF!))-((C797-(C797*#REF!))*#REF!)</f>
        <v>#REF!</v>
      </c>
      <c r="P797" s="7"/>
      <c r="Q797" s="7"/>
      <c r="R797" s="5">
        <f t="shared" si="431"/>
        <v>0</v>
      </c>
      <c r="S797" s="4">
        <f t="shared" si="432"/>
        <v>0</v>
      </c>
      <c r="T797" s="13">
        <f t="shared" si="414"/>
        <v>21.692999999999998</v>
      </c>
      <c r="U797" s="13">
        <f t="shared" si="426"/>
        <v>10.846499999999999</v>
      </c>
      <c r="V797" s="14">
        <f>U797/C797</f>
        <v>0.35</v>
      </c>
      <c r="W797" s="14"/>
      <c r="X797" s="19">
        <f t="shared" si="433"/>
        <v>10.846499999999999</v>
      </c>
      <c r="Y797" s="19">
        <f t="shared" si="434"/>
        <v>21.692999999999998</v>
      </c>
      <c r="Z797" s="15" t="e">
        <f t="shared" si="427"/>
        <v>#DIV/0!</v>
      </c>
      <c r="AA797" s="22" t="s">
        <v>3958</v>
      </c>
      <c r="AG797" s="94" t="s">
        <v>817</v>
      </c>
      <c r="AH797" s="89" t="str">
        <f>VLOOKUP(AG797,Sheet1!$B$3:$D$36,2,FALSE)</f>
        <v>Kitchen &amp; Dining</v>
      </c>
      <c r="AI797" s="89" t="s">
        <v>2821</v>
      </c>
      <c r="AJ797" s="1" t="str">
        <f t="shared" si="417"/>
        <v>Axello champagne coupe</v>
      </c>
      <c r="AK797" s="1" t="str">
        <f t="shared" si="418"/>
        <v>semi - ø9 x h15 - vol. 150 ml</v>
      </c>
      <c r="AL797" s="1" t="str">
        <f t="shared" si="419"/>
        <v>clear glass # 6</v>
      </c>
      <c r="AM797" s="1" t="str">
        <f t="shared" si="420"/>
        <v>clear glass # 6</v>
      </c>
      <c r="AN797" s="1" t="str">
        <f t="shared" si="421"/>
        <v>clear glass # 6</v>
      </c>
      <c r="AQ797" s="1" t="str">
        <f t="shared" si="422"/>
        <v>C</v>
      </c>
      <c r="AR797" s="1" t="str">
        <f>VLOOKUP(TRIM(AI797),Sheet1!$D$3:$E$36,2,FALSE)</f>
        <v>04</v>
      </c>
      <c r="AS797" s="90" t="str">
        <f t="shared" si="423"/>
        <v>01</v>
      </c>
      <c r="AT797" s="1" t="str">
        <f t="shared" si="424"/>
        <v>01</v>
      </c>
      <c r="AU797" s="90" t="s">
        <v>2567</v>
      </c>
      <c r="AV797" s="90"/>
      <c r="AW797" s="90"/>
      <c r="AX797" s="95" t="str">
        <f>AQ797&amp;AR797&amp;AS797&amp;"-"&amp;AT797&amp;AU797&amp;BA797</f>
        <v>C0401-0138</v>
      </c>
      <c r="AY797" s="99" t="str">
        <f>AQ797&amp;AR797&amp;AS797&amp;"-"&amp;AT797&amp;BA797</f>
        <v>C0401-01</v>
      </c>
      <c r="AZ797" s="90"/>
      <c r="BA797" s="1" t="str">
        <f t="shared" si="425"/>
        <v/>
      </c>
      <c r="BC797" s="1">
        <f t="shared" si="396"/>
        <v>1</v>
      </c>
      <c r="BD797" s="90">
        <f t="shared" si="397"/>
        <v>1</v>
      </c>
      <c r="BE797" s="1">
        <f t="shared" si="428"/>
        <v>1</v>
      </c>
      <c r="BF797" s="1">
        <f t="shared" si="429"/>
        <v>1</v>
      </c>
    </row>
    <row r="798" spans="1:58" ht="11.25" customHeight="1">
      <c r="A798" s="26" t="s">
        <v>3959</v>
      </c>
      <c r="B798" s="27" t="s">
        <v>3955</v>
      </c>
      <c r="D798" s="28">
        <f t="shared" si="410"/>
        <v>0</v>
      </c>
      <c r="E798" s="22" t="s">
        <v>3901</v>
      </c>
      <c r="F798" s="22" t="s">
        <v>3960</v>
      </c>
      <c r="G798" s="22" t="s">
        <v>85</v>
      </c>
      <c r="H798" s="22" t="s">
        <v>3957</v>
      </c>
      <c r="I798" s="23" t="s">
        <v>3961</v>
      </c>
      <c r="J798" s="22" t="s">
        <v>670</v>
      </c>
      <c r="L798" s="23">
        <v>9</v>
      </c>
      <c r="M798" s="23">
        <v>15</v>
      </c>
      <c r="N798" s="3">
        <f t="shared" si="430"/>
        <v>1.2149999999999999E-3</v>
      </c>
      <c r="O798" s="4" t="e">
        <f>(C798-(C798*#REF!))-((C798-(C798*#REF!))*#REF!)</f>
        <v>#REF!</v>
      </c>
      <c r="P798" s="7"/>
      <c r="Q798" s="7"/>
      <c r="R798" s="5">
        <f t="shared" si="431"/>
        <v>0</v>
      </c>
      <c r="S798" s="4">
        <f t="shared" si="432"/>
        <v>0</v>
      </c>
      <c r="T798" s="13">
        <f t="shared" si="414"/>
        <v>0</v>
      </c>
      <c r="U798" s="13">
        <f t="shared" si="426"/>
        <v>0</v>
      </c>
      <c r="V798" s="14" t="e">
        <f>U798/C798</f>
        <v>#DIV/0!</v>
      </c>
      <c r="W798" s="14"/>
      <c r="X798" s="19">
        <f t="shared" si="433"/>
        <v>0</v>
      </c>
      <c r="Y798" s="19">
        <f t="shared" si="434"/>
        <v>0</v>
      </c>
      <c r="Z798" s="15" t="e">
        <f t="shared" si="427"/>
        <v>#DIV/0!</v>
      </c>
      <c r="AA798" s="22" t="s">
        <v>3962</v>
      </c>
      <c r="AG798" s="94" t="s">
        <v>817</v>
      </c>
      <c r="AH798" s="89" t="str">
        <f>VLOOKUP(AG798,Sheet1!$B$3:$D$36,2,FALSE)</f>
        <v>Kitchen &amp; Dining</v>
      </c>
      <c r="AI798" s="89" t="s">
        <v>2821</v>
      </c>
      <c r="AJ798" s="1" t="str">
        <f t="shared" si="417"/>
        <v>Axello champagne coupe</v>
      </c>
      <c r="AK798" s="1" t="str">
        <f t="shared" si="418"/>
        <v>semi - ø9 x h15 - vol. 150 ml</v>
      </c>
      <c r="AL798" s="1" t="str">
        <f t="shared" si="419"/>
        <v>clear glass cracked
# 6</v>
      </c>
      <c r="AM798" s="1" t="str">
        <f t="shared" si="420"/>
        <v>clear glass cracked
# 6</v>
      </c>
      <c r="AN798" s="1" t="str">
        <f t="shared" si="421"/>
        <v>clear glass cracked
# 6</v>
      </c>
      <c r="AQ798" s="1" t="str">
        <f t="shared" si="422"/>
        <v>C</v>
      </c>
      <c r="AR798" s="1" t="str">
        <f>VLOOKUP(TRIM(AI798),Sheet1!$D$3:$E$36,2,FALSE)</f>
        <v>04</v>
      </c>
      <c r="AS798" s="90" t="str">
        <f t="shared" si="423"/>
        <v>02</v>
      </c>
      <c r="AT798" s="1" t="str">
        <f t="shared" si="424"/>
        <v>02</v>
      </c>
      <c r="AU798" s="90" t="s">
        <v>2567</v>
      </c>
      <c r="AV798" s="90"/>
      <c r="AW798" s="90"/>
      <c r="AX798" s="95" t="str">
        <f>AQ798&amp;AR798&amp;AS798&amp;"-"&amp;AT798&amp;AU798&amp;BA798</f>
        <v>C0402-0238</v>
      </c>
      <c r="AY798" s="99" t="str">
        <f>AQ798&amp;AR798&amp;AS798&amp;"-"&amp;AT798&amp;BA798</f>
        <v>C0402-02</v>
      </c>
      <c r="AZ798" s="90"/>
      <c r="BA798" s="1" t="str">
        <f t="shared" si="425"/>
        <v/>
      </c>
      <c r="BC798" s="1" t="str">
        <f t="shared" si="396"/>
        <v/>
      </c>
      <c r="BD798" s="90">
        <f t="shared" si="397"/>
        <v>2</v>
      </c>
      <c r="BE798" s="1" t="str">
        <f t="shared" si="428"/>
        <v/>
      </c>
      <c r="BF798" s="1">
        <f t="shared" si="429"/>
        <v>2</v>
      </c>
    </row>
    <row r="799" spans="1:58" ht="11.25" customHeight="1">
      <c r="A799" s="26" t="s">
        <v>3963</v>
      </c>
      <c r="B799" s="27" t="s">
        <v>3955</v>
      </c>
      <c r="D799" s="28">
        <f t="shared" si="410"/>
        <v>0</v>
      </c>
      <c r="E799" s="22" t="s">
        <v>3901</v>
      </c>
      <c r="F799" s="22" t="s">
        <v>3964</v>
      </c>
      <c r="G799" s="22" t="s">
        <v>85</v>
      </c>
      <c r="H799" s="22" t="s">
        <v>3957</v>
      </c>
      <c r="I799" s="23" t="s">
        <v>3965</v>
      </c>
      <c r="J799" s="22" t="s">
        <v>670</v>
      </c>
      <c r="L799" s="23">
        <v>9</v>
      </c>
      <c r="M799" s="23">
        <v>15</v>
      </c>
      <c r="N799" s="3">
        <f t="shared" si="430"/>
        <v>1.2149999999999999E-3</v>
      </c>
      <c r="O799" s="4" t="e">
        <f>(C799-(C799*#REF!))-((C799-(C799*#REF!))*#REF!)</f>
        <v>#REF!</v>
      </c>
      <c r="P799" s="7"/>
      <c r="Q799" s="7"/>
      <c r="R799" s="5">
        <f t="shared" si="431"/>
        <v>0</v>
      </c>
      <c r="S799" s="4">
        <f t="shared" si="432"/>
        <v>0</v>
      </c>
      <c r="T799" s="13">
        <f t="shared" si="414"/>
        <v>0</v>
      </c>
      <c r="U799" s="13">
        <f t="shared" si="426"/>
        <v>0</v>
      </c>
      <c r="V799" s="14" t="e">
        <f>U799/C799</f>
        <v>#DIV/0!</v>
      </c>
      <c r="W799" s="14"/>
      <c r="X799" s="19">
        <f t="shared" si="433"/>
        <v>0</v>
      </c>
      <c r="Y799" s="19">
        <f t="shared" si="434"/>
        <v>0</v>
      </c>
      <c r="Z799" s="15" t="e">
        <f t="shared" si="427"/>
        <v>#DIV/0!</v>
      </c>
      <c r="AA799" s="22" t="s">
        <v>3958</v>
      </c>
      <c r="AG799" s="94" t="s">
        <v>817</v>
      </c>
      <c r="AH799" s="89" t="str">
        <f>VLOOKUP(AG799,Sheet1!$B$3:$D$36,2,FALSE)</f>
        <v>Kitchen &amp; Dining</v>
      </c>
      <c r="AI799" s="89" t="s">
        <v>2821</v>
      </c>
      <c r="AJ799" s="1" t="str">
        <f t="shared" si="417"/>
        <v>Axello champagne coupe</v>
      </c>
      <c r="AK799" s="1" t="str">
        <f t="shared" si="418"/>
        <v>semi - ø9 x h15 - vol. 150 ml</v>
      </c>
      <c r="AL799" s="1" t="str">
        <f t="shared" si="419"/>
        <v>clear glass snow
# 6</v>
      </c>
      <c r="AM799" s="1" t="str">
        <f t="shared" si="420"/>
        <v>clear glass snow
# 6</v>
      </c>
      <c r="AN799" s="1" t="str">
        <f t="shared" si="421"/>
        <v>clear glass snow
# 6</v>
      </c>
      <c r="AQ799" s="1" t="str">
        <f t="shared" si="422"/>
        <v>C</v>
      </c>
      <c r="AR799" s="1" t="str">
        <f>VLOOKUP(TRIM(AI799),Sheet1!$D$3:$E$36,2,FALSE)</f>
        <v>04</v>
      </c>
      <c r="AS799" s="90" t="str">
        <f t="shared" si="423"/>
        <v>03</v>
      </c>
      <c r="AT799" s="1" t="str">
        <f t="shared" si="424"/>
        <v>03</v>
      </c>
      <c r="AU799" s="90" t="s">
        <v>2567</v>
      </c>
      <c r="AV799" s="90"/>
      <c r="AW799" s="90"/>
      <c r="AX799" s="95" t="str">
        <f>AQ799&amp;AR799&amp;AS799&amp;"-"&amp;AT799&amp;AU799&amp;BA799</f>
        <v>C0403-0338</v>
      </c>
      <c r="AY799" s="99" t="str">
        <f>AQ799&amp;AR799&amp;AS799&amp;"-"&amp;AT799&amp;BA799</f>
        <v>C0403-03</v>
      </c>
      <c r="AZ799" s="90"/>
      <c r="BA799" s="1" t="str">
        <f t="shared" si="425"/>
        <v/>
      </c>
      <c r="BC799" s="1" t="str">
        <f t="shared" si="396"/>
        <v/>
      </c>
      <c r="BD799" s="90">
        <f t="shared" si="397"/>
        <v>3</v>
      </c>
      <c r="BE799" s="1" t="str">
        <f t="shared" si="428"/>
        <v/>
      </c>
      <c r="BF799" s="1">
        <f t="shared" si="429"/>
        <v>3</v>
      </c>
    </row>
    <row r="800" spans="1:58" ht="11.25" customHeight="1">
      <c r="A800" s="26" t="s">
        <v>3966</v>
      </c>
      <c r="B800" s="27" t="s">
        <v>3967</v>
      </c>
      <c r="C800" s="28">
        <v>38.99</v>
      </c>
      <c r="D800" s="28">
        <f t="shared" si="410"/>
        <v>19.495000000000001</v>
      </c>
      <c r="E800" s="22" t="s">
        <v>3901</v>
      </c>
      <c r="F800" s="22" t="s">
        <v>3968</v>
      </c>
      <c r="G800" s="22" t="s">
        <v>618</v>
      </c>
      <c r="H800" s="22" t="s">
        <v>3969</v>
      </c>
      <c r="I800" s="23" t="s">
        <v>3905</v>
      </c>
      <c r="J800" s="22" t="s">
        <v>670</v>
      </c>
      <c r="L800" s="23">
        <v>9.5</v>
      </c>
      <c r="M800" s="23">
        <v>20</v>
      </c>
      <c r="N800" s="3">
        <f t="shared" si="430"/>
        <v>1.805E-3</v>
      </c>
      <c r="O800" s="4" t="e">
        <f>(C800-(C800*#REF!))-((C800-(C800*#REF!))*#REF!)</f>
        <v>#REF!</v>
      </c>
      <c r="P800" s="7"/>
      <c r="Q800" s="7"/>
      <c r="R800" s="5">
        <f t="shared" si="431"/>
        <v>0</v>
      </c>
      <c r="S800" s="4">
        <f t="shared" si="432"/>
        <v>0</v>
      </c>
      <c r="T800" s="13">
        <f t="shared" si="414"/>
        <v>27.292999999999999</v>
      </c>
      <c r="U800" s="13">
        <f t="shared" si="426"/>
        <v>13.6465</v>
      </c>
      <c r="V800" s="14">
        <f>U800/C800</f>
        <v>0.35</v>
      </c>
      <c r="W800" s="14"/>
      <c r="X800" s="19">
        <f t="shared" si="433"/>
        <v>13.6465</v>
      </c>
      <c r="Y800" s="19">
        <f t="shared" si="434"/>
        <v>27.292999999999999</v>
      </c>
      <c r="Z800" s="15" t="e">
        <f t="shared" si="427"/>
        <v>#DIV/0!</v>
      </c>
      <c r="AA800" s="22" t="s">
        <v>3970</v>
      </c>
      <c r="AG800" s="94" t="s">
        <v>817</v>
      </c>
      <c r="AH800" s="89" t="str">
        <f>VLOOKUP(AG800,Sheet1!$B$3:$D$36,2,FALSE)</f>
        <v>Kitchen &amp; Dining</v>
      </c>
      <c r="AI800" s="89" t="s">
        <v>2821</v>
      </c>
      <c r="AJ800" s="1" t="str">
        <f t="shared" si="417"/>
        <v>Pinot glass low</v>
      </c>
      <c r="AK800" s="1" t="str">
        <f t="shared" si="418"/>
        <v>semi - ø9,5 x h20 - vol. 350 ml</v>
      </c>
      <c r="AL800" s="1" t="str">
        <f t="shared" si="419"/>
        <v>clear glass # 6</v>
      </c>
      <c r="AM800" s="1" t="str">
        <f t="shared" si="420"/>
        <v>clear glass # 6</v>
      </c>
      <c r="AN800" s="1" t="str">
        <f t="shared" si="421"/>
        <v>clear glass # 6</v>
      </c>
      <c r="AQ800" s="1" t="str">
        <f t="shared" si="422"/>
        <v>C</v>
      </c>
      <c r="AR800" s="1" t="str">
        <f>VLOOKUP(TRIM(AI800),Sheet1!$D$3:$E$36,2,FALSE)</f>
        <v>04</v>
      </c>
      <c r="AS800" s="90" t="str">
        <f t="shared" si="423"/>
        <v>01</v>
      </c>
      <c r="AT800" s="1" t="str">
        <f t="shared" si="424"/>
        <v>01</v>
      </c>
      <c r="AU800" s="90" t="s">
        <v>2567</v>
      </c>
      <c r="AV800" s="90"/>
      <c r="AW800" s="90"/>
      <c r="AX800" s="95" t="str">
        <f>AQ800&amp;AR800&amp;AS800&amp;"-"&amp;AT800&amp;AU800&amp;BA800</f>
        <v>C0401-0138</v>
      </c>
      <c r="AY800" s="99" t="str">
        <f>AQ800&amp;AR800&amp;AS800&amp;"-"&amp;AT800&amp;BA800</f>
        <v>C0401-01</v>
      </c>
      <c r="AZ800" s="90"/>
      <c r="BA800" s="1" t="str">
        <f t="shared" si="425"/>
        <v/>
      </c>
      <c r="BC800" s="1">
        <f t="shared" si="396"/>
        <v>1</v>
      </c>
      <c r="BD800" s="90">
        <f t="shared" si="397"/>
        <v>1</v>
      </c>
      <c r="BE800" s="1">
        <f t="shared" si="428"/>
        <v>1</v>
      </c>
      <c r="BF800" s="1">
        <f t="shared" si="429"/>
        <v>1</v>
      </c>
    </row>
    <row r="801" spans="1:58" ht="11.25" customHeight="1">
      <c r="A801" s="26" t="s">
        <v>3971</v>
      </c>
      <c r="B801" s="27" t="s">
        <v>3967</v>
      </c>
      <c r="C801" s="28">
        <v>41.99</v>
      </c>
      <c r="D801" s="28">
        <f t="shared" si="410"/>
        <v>20.995000000000001</v>
      </c>
      <c r="E801" s="22" t="s">
        <v>3901</v>
      </c>
      <c r="F801" s="22" t="s">
        <v>3972</v>
      </c>
      <c r="G801" s="22" t="s">
        <v>618</v>
      </c>
      <c r="H801" s="22" t="s">
        <v>3969</v>
      </c>
      <c r="I801" s="23" t="s">
        <v>3973</v>
      </c>
      <c r="J801" s="22" t="s">
        <v>670</v>
      </c>
      <c r="L801" s="23">
        <v>9.5</v>
      </c>
      <c r="M801" s="23">
        <v>20</v>
      </c>
      <c r="N801" s="3">
        <f t="shared" si="430"/>
        <v>1.805E-3</v>
      </c>
      <c r="O801" s="4" t="e">
        <f>(C801-(C801*#REF!))-((C801-(C801*#REF!))*#REF!)</f>
        <v>#REF!</v>
      </c>
      <c r="P801" s="7"/>
      <c r="Q801" s="7"/>
      <c r="R801" s="5">
        <f t="shared" si="431"/>
        <v>0</v>
      </c>
      <c r="S801" s="4">
        <f t="shared" si="432"/>
        <v>0</v>
      </c>
      <c r="T801" s="13">
        <f t="shared" si="414"/>
        <v>29.393000000000001</v>
      </c>
      <c r="U801" s="13">
        <f t="shared" si="426"/>
        <v>14.6965</v>
      </c>
      <c r="V801" s="14">
        <f>U801/C801</f>
        <v>0.35</v>
      </c>
      <c r="W801" s="14"/>
      <c r="X801" s="19">
        <f t="shared" si="433"/>
        <v>14.6965</v>
      </c>
      <c r="Y801" s="19">
        <f t="shared" si="434"/>
        <v>29.393000000000001</v>
      </c>
      <c r="Z801" s="15" t="e">
        <f t="shared" si="427"/>
        <v>#DIV/0!</v>
      </c>
      <c r="AA801" s="22" t="s">
        <v>3974</v>
      </c>
      <c r="AG801" s="94" t="s">
        <v>817</v>
      </c>
      <c r="AH801" s="89" t="str">
        <f>VLOOKUP(AG801,Sheet1!$B$3:$D$36,2,FALSE)</f>
        <v>Kitchen &amp; Dining</v>
      </c>
      <c r="AI801" s="89" t="s">
        <v>2821</v>
      </c>
      <c r="AJ801" s="1" t="str">
        <f t="shared" si="417"/>
        <v>Pinot glass low</v>
      </c>
      <c r="AK801" s="1" t="str">
        <f t="shared" si="418"/>
        <v>semi - ø9,5 x h20 - vol. 350 ml</v>
      </c>
      <c r="AL801" s="1" t="str">
        <f t="shared" si="419"/>
        <v>clear glass cracked # 6</v>
      </c>
      <c r="AM801" s="1" t="str">
        <f t="shared" si="420"/>
        <v>clear glass cracked # 6</v>
      </c>
      <c r="AN801" s="1" t="str">
        <f t="shared" si="421"/>
        <v>clear glass cracked # 6</v>
      </c>
      <c r="AQ801" s="1" t="str">
        <f t="shared" si="422"/>
        <v>C</v>
      </c>
      <c r="AR801" s="1" t="str">
        <f>VLOOKUP(TRIM(AI801),Sheet1!$D$3:$E$36,2,FALSE)</f>
        <v>04</v>
      </c>
      <c r="AS801" s="90" t="str">
        <f t="shared" si="423"/>
        <v>02</v>
      </c>
      <c r="AT801" s="1" t="str">
        <f t="shared" si="424"/>
        <v>02</v>
      </c>
      <c r="AU801" s="90" t="s">
        <v>2567</v>
      </c>
      <c r="AV801" s="90"/>
      <c r="AW801" s="90"/>
      <c r="AX801" s="95" t="str">
        <f>AQ801&amp;AR801&amp;AS801&amp;"-"&amp;AT801&amp;AU801&amp;BA801</f>
        <v>C0402-0238</v>
      </c>
      <c r="AY801" s="99" t="str">
        <f>AQ801&amp;AR801&amp;AS801&amp;"-"&amp;AT801&amp;BA801</f>
        <v>C0402-02</v>
      </c>
      <c r="AZ801" s="90"/>
      <c r="BA801" s="1" t="str">
        <f t="shared" si="425"/>
        <v/>
      </c>
      <c r="BC801" s="1" t="str">
        <f t="shared" si="396"/>
        <v/>
      </c>
      <c r="BD801" s="90">
        <f t="shared" si="397"/>
        <v>2</v>
      </c>
      <c r="BE801" s="1" t="str">
        <f t="shared" si="428"/>
        <v/>
      </c>
      <c r="BF801" s="1">
        <f t="shared" si="429"/>
        <v>2</v>
      </c>
    </row>
    <row r="802" spans="1:58" ht="11.25" customHeight="1">
      <c r="A802" s="26" t="s">
        <v>3975</v>
      </c>
      <c r="B802" s="27" t="s">
        <v>3967</v>
      </c>
      <c r="D802" s="28">
        <f t="shared" si="410"/>
        <v>0</v>
      </c>
      <c r="E802" s="22" t="s">
        <v>3901</v>
      </c>
      <c r="F802" s="22" t="s">
        <v>3976</v>
      </c>
      <c r="G802" s="22" t="s">
        <v>618</v>
      </c>
      <c r="H802" s="22" t="s">
        <v>3969</v>
      </c>
      <c r="I802" s="23" t="s">
        <v>3965</v>
      </c>
      <c r="J802" s="22" t="s">
        <v>670</v>
      </c>
      <c r="L802" s="23">
        <v>9.5</v>
      </c>
      <c r="M802" s="23">
        <v>20</v>
      </c>
      <c r="N802" s="3">
        <f t="shared" si="430"/>
        <v>1.805E-3</v>
      </c>
      <c r="O802" s="4" t="e">
        <f>(C802-(C802*#REF!))-((C802-(C802*#REF!))*#REF!)</f>
        <v>#REF!</v>
      </c>
      <c r="P802" s="7"/>
      <c r="Q802" s="7"/>
      <c r="R802" s="5">
        <f t="shared" si="431"/>
        <v>0</v>
      </c>
      <c r="S802" s="4">
        <f t="shared" si="432"/>
        <v>0</v>
      </c>
      <c r="T802" s="13">
        <f t="shared" si="414"/>
        <v>0</v>
      </c>
      <c r="U802" s="13">
        <f t="shared" si="426"/>
        <v>0</v>
      </c>
      <c r="V802" s="14" t="e">
        <f>U802/C802</f>
        <v>#DIV/0!</v>
      </c>
      <c r="W802" s="14"/>
      <c r="X802" s="19">
        <f t="shared" si="433"/>
        <v>0</v>
      </c>
      <c r="Y802" s="19">
        <f t="shared" si="434"/>
        <v>0</v>
      </c>
      <c r="Z802" s="15" t="e">
        <f t="shared" si="427"/>
        <v>#DIV/0!</v>
      </c>
      <c r="AA802" s="22" t="s">
        <v>3974</v>
      </c>
      <c r="AG802" s="94" t="s">
        <v>817</v>
      </c>
      <c r="AH802" s="89" t="str">
        <f>VLOOKUP(AG802,Sheet1!$B$3:$D$36,2,FALSE)</f>
        <v>Kitchen &amp; Dining</v>
      </c>
      <c r="AI802" s="89" t="s">
        <v>2821</v>
      </c>
      <c r="AJ802" s="1" t="str">
        <f t="shared" si="417"/>
        <v>Pinot glass low</v>
      </c>
      <c r="AK802" s="1" t="str">
        <f t="shared" si="418"/>
        <v>semi - ø9,5 x h20 - vol. 350 ml</v>
      </c>
      <c r="AL802" s="1" t="str">
        <f t="shared" si="419"/>
        <v>clear glass snow
# 6</v>
      </c>
      <c r="AM802" s="1" t="str">
        <f t="shared" si="420"/>
        <v>clear glass snow
# 6</v>
      </c>
      <c r="AN802" s="1" t="str">
        <f t="shared" si="421"/>
        <v>clear glass snow
# 6</v>
      </c>
      <c r="AQ802" s="1" t="str">
        <f t="shared" si="422"/>
        <v>C</v>
      </c>
      <c r="AR802" s="1" t="str">
        <f>VLOOKUP(TRIM(AI802),Sheet1!$D$3:$E$36,2,FALSE)</f>
        <v>04</v>
      </c>
      <c r="AS802" s="90" t="str">
        <f t="shared" si="423"/>
        <v>03</v>
      </c>
      <c r="AT802" s="1" t="str">
        <f t="shared" si="424"/>
        <v>03</v>
      </c>
      <c r="AU802" s="90" t="s">
        <v>2567</v>
      </c>
      <c r="AV802" s="90"/>
      <c r="AW802" s="90"/>
      <c r="AX802" s="95" t="str">
        <f>AQ802&amp;AR802&amp;AS802&amp;"-"&amp;AT802&amp;AU802&amp;BA802</f>
        <v>C0403-0338</v>
      </c>
      <c r="AY802" s="99" t="str">
        <f>AQ802&amp;AR802&amp;AS802&amp;"-"&amp;AT802&amp;BA802</f>
        <v>C0403-03</v>
      </c>
      <c r="AZ802" s="90"/>
      <c r="BA802" s="1" t="str">
        <f t="shared" si="425"/>
        <v/>
      </c>
      <c r="BC802" s="1" t="str">
        <f t="shared" si="396"/>
        <v/>
      </c>
      <c r="BD802" s="90">
        <f t="shared" si="397"/>
        <v>3</v>
      </c>
      <c r="BE802" s="1" t="str">
        <f t="shared" si="428"/>
        <v/>
      </c>
      <c r="BF802" s="1">
        <f t="shared" si="429"/>
        <v>3</v>
      </c>
    </row>
    <row r="803" spans="1:58" ht="11.25" customHeight="1">
      <c r="A803" s="26" t="s">
        <v>3977</v>
      </c>
      <c r="B803" s="27" t="s">
        <v>3978</v>
      </c>
      <c r="C803" s="28">
        <v>41.99</v>
      </c>
      <c r="D803" s="28">
        <f t="shared" si="410"/>
        <v>20.995000000000001</v>
      </c>
      <c r="E803" s="22" t="s">
        <v>3901</v>
      </c>
      <c r="F803" s="22" t="s">
        <v>3979</v>
      </c>
      <c r="G803" s="22" t="s">
        <v>611</v>
      </c>
      <c r="H803" s="22" t="s">
        <v>3980</v>
      </c>
      <c r="I803" s="23" t="s">
        <v>3905</v>
      </c>
      <c r="J803" s="22" t="s">
        <v>670</v>
      </c>
      <c r="L803" s="23">
        <v>10</v>
      </c>
      <c r="M803" s="23">
        <v>25</v>
      </c>
      <c r="N803" s="3">
        <f t="shared" si="430"/>
        <v>2.5000000000000001E-3</v>
      </c>
      <c r="O803" s="4" t="e">
        <f>(C803-(C803*#REF!))-((C803-(C803*#REF!))*#REF!)</f>
        <v>#REF!</v>
      </c>
      <c r="P803" s="7"/>
      <c r="Q803" s="7"/>
      <c r="R803" s="5">
        <f t="shared" si="431"/>
        <v>0</v>
      </c>
      <c r="S803" s="4">
        <f t="shared" si="432"/>
        <v>0</v>
      </c>
      <c r="T803" s="13">
        <f t="shared" si="414"/>
        <v>29.393000000000001</v>
      </c>
      <c r="U803" s="13">
        <f t="shared" si="426"/>
        <v>14.6965</v>
      </c>
      <c r="V803" s="14">
        <f>U803/C803</f>
        <v>0.35</v>
      </c>
      <c r="W803" s="14"/>
      <c r="X803" s="19">
        <f t="shared" si="433"/>
        <v>14.6965</v>
      </c>
      <c r="Y803" s="19">
        <f t="shared" si="434"/>
        <v>29.393000000000001</v>
      </c>
      <c r="Z803" s="15" t="e">
        <f t="shared" si="427"/>
        <v>#DIV/0!</v>
      </c>
      <c r="AA803" s="22" t="s">
        <v>3981</v>
      </c>
      <c r="AG803" s="94" t="s">
        <v>817</v>
      </c>
      <c r="AH803" s="89" t="str">
        <f>VLOOKUP(AG803,Sheet1!$B$3:$D$36,2,FALSE)</f>
        <v>Kitchen &amp; Dining</v>
      </c>
      <c r="AI803" s="89" t="s">
        <v>2821</v>
      </c>
      <c r="AJ803" s="1" t="str">
        <f t="shared" si="417"/>
        <v>Pinot glass high</v>
      </c>
      <c r="AK803" s="1" t="str">
        <f t="shared" si="418"/>
        <v>semi - ø10 x h25 - vol. 500 ml</v>
      </c>
      <c r="AL803" s="1" t="str">
        <f t="shared" si="419"/>
        <v>clear glass # 6</v>
      </c>
      <c r="AM803" s="1" t="str">
        <f t="shared" si="420"/>
        <v>clear glass # 6</v>
      </c>
      <c r="AN803" s="1" t="str">
        <f t="shared" si="421"/>
        <v>clear glass # 6</v>
      </c>
      <c r="AQ803" s="1" t="str">
        <f t="shared" si="422"/>
        <v>C</v>
      </c>
      <c r="AR803" s="1" t="str">
        <f>VLOOKUP(TRIM(AI803),Sheet1!$D$3:$E$36,2,FALSE)</f>
        <v>04</v>
      </c>
      <c r="AS803" s="90" t="str">
        <f t="shared" si="423"/>
        <v>01</v>
      </c>
      <c r="AT803" s="1" t="str">
        <f t="shared" si="424"/>
        <v>01</v>
      </c>
      <c r="AU803" s="90" t="s">
        <v>2567</v>
      </c>
      <c r="AV803" s="90"/>
      <c r="AW803" s="90"/>
      <c r="AX803" s="95" t="str">
        <f>AQ803&amp;AR803&amp;AS803&amp;"-"&amp;AT803&amp;AU803&amp;BA803</f>
        <v>C0401-0138</v>
      </c>
      <c r="AY803" s="99" t="str">
        <f>AQ803&amp;AR803&amp;AS803&amp;"-"&amp;AT803&amp;BA803</f>
        <v>C0401-01</v>
      </c>
      <c r="AZ803" s="90"/>
      <c r="BA803" s="1" t="str">
        <f t="shared" si="425"/>
        <v/>
      </c>
      <c r="BC803" s="1">
        <f t="shared" si="396"/>
        <v>1</v>
      </c>
      <c r="BD803" s="90">
        <f t="shared" si="397"/>
        <v>1</v>
      </c>
      <c r="BE803" s="1">
        <f t="shared" si="428"/>
        <v>1</v>
      </c>
      <c r="BF803" s="1">
        <f t="shared" si="429"/>
        <v>1</v>
      </c>
    </row>
    <row r="804" spans="1:58" ht="11.25" customHeight="1">
      <c r="A804" s="26" t="s">
        <v>3982</v>
      </c>
      <c r="B804" s="27" t="s">
        <v>3978</v>
      </c>
      <c r="C804" s="28">
        <v>45.99</v>
      </c>
      <c r="D804" s="28">
        <f t="shared" si="410"/>
        <v>22.995000000000001</v>
      </c>
      <c r="E804" s="22" t="s">
        <v>3901</v>
      </c>
      <c r="F804" s="22" t="s">
        <v>3983</v>
      </c>
      <c r="G804" s="22" t="s">
        <v>611</v>
      </c>
      <c r="H804" s="22" t="s">
        <v>3980</v>
      </c>
      <c r="I804" s="23" t="s">
        <v>3973</v>
      </c>
      <c r="J804" s="22" t="s">
        <v>670</v>
      </c>
      <c r="L804" s="23">
        <v>10</v>
      </c>
      <c r="M804" s="23">
        <v>25</v>
      </c>
      <c r="N804" s="3">
        <f t="shared" si="430"/>
        <v>2.5000000000000001E-3</v>
      </c>
      <c r="O804" s="4" t="e">
        <f>(C804-(C804*#REF!))-((C804-(C804*#REF!))*#REF!)</f>
        <v>#REF!</v>
      </c>
      <c r="P804" s="7"/>
      <c r="Q804" s="7"/>
      <c r="R804" s="5">
        <f t="shared" si="431"/>
        <v>0</v>
      </c>
      <c r="S804" s="4">
        <f t="shared" si="432"/>
        <v>0</v>
      </c>
      <c r="T804" s="13">
        <f t="shared" si="414"/>
        <v>32.192999999999998</v>
      </c>
      <c r="U804" s="13">
        <f t="shared" si="426"/>
        <v>16.096499999999999</v>
      </c>
      <c r="V804" s="14">
        <f>U804/C804</f>
        <v>0.35</v>
      </c>
      <c r="W804" s="14"/>
      <c r="X804" s="19">
        <f t="shared" si="433"/>
        <v>16.096499999999999</v>
      </c>
      <c r="Y804" s="19">
        <f t="shared" si="434"/>
        <v>32.192999999999998</v>
      </c>
      <c r="Z804" s="15" t="e">
        <f t="shared" si="427"/>
        <v>#DIV/0!</v>
      </c>
      <c r="AA804" s="22" t="s">
        <v>3984</v>
      </c>
      <c r="AG804" s="94" t="s">
        <v>817</v>
      </c>
      <c r="AH804" s="89" t="str">
        <f>VLOOKUP(AG804,Sheet1!$B$3:$D$36,2,FALSE)</f>
        <v>Kitchen &amp; Dining</v>
      </c>
      <c r="AI804" s="89" t="s">
        <v>2821</v>
      </c>
      <c r="AJ804" s="1" t="str">
        <f t="shared" si="417"/>
        <v>Pinot glass high</v>
      </c>
      <c r="AK804" s="1" t="str">
        <f t="shared" si="418"/>
        <v>semi - ø10 x h25 - vol. 500 ml</v>
      </c>
      <c r="AL804" s="1" t="str">
        <f t="shared" si="419"/>
        <v>clear glass cracked # 6</v>
      </c>
      <c r="AM804" s="1" t="str">
        <f t="shared" si="420"/>
        <v>clear glass cracked # 6</v>
      </c>
      <c r="AN804" s="1" t="str">
        <f t="shared" si="421"/>
        <v>clear glass cracked # 6</v>
      </c>
      <c r="AQ804" s="1" t="str">
        <f t="shared" si="422"/>
        <v>C</v>
      </c>
      <c r="AR804" s="1" t="str">
        <f>VLOOKUP(TRIM(AI804),Sheet1!$D$3:$E$36,2,FALSE)</f>
        <v>04</v>
      </c>
      <c r="AS804" s="90" t="str">
        <f t="shared" si="423"/>
        <v>02</v>
      </c>
      <c r="AT804" s="1" t="str">
        <f t="shared" si="424"/>
        <v>02</v>
      </c>
      <c r="AU804" s="90" t="s">
        <v>2567</v>
      </c>
      <c r="AV804" s="90"/>
      <c r="AW804" s="90"/>
      <c r="AX804" s="95" t="str">
        <f>AQ804&amp;AR804&amp;AS804&amp;"-"&amp;AT804&amp;AU804&amp;BA804</f>
        <v>C0402-0238</v>
      </c>
      <c r="AY804" s="99" t="str">
        <f>AQ804&amp;AR804&amp;AS804&amp;"-"&amp;AT804&amp;BA804</f>
        <v>C0402-02</v>
      </c>
      <c r="AZ804" s="90"/>
      <c r="BA804" s="1" t="str">
        <f t="shared" si="425"/>
        <v/>
      </c>
      <c r="BC804" s="1" t="str">
        <f t="shared" si="396"/>
        <v/>
      </c>
      <c r="BD804" s="90">
        <f t="shared" si="397"/>
        <v>2</v>
      </c>
      <c r="BE804" s="1" t="str">
        <f t="shared" si="428"/>
        <v/>
      </c>
      <c r="BF804" s="1">
        <f t="shared" si="429"/>
        <v>2</v>
      </c>
    </row>
    <row r="805" spans="1:58" ht="11.25" customHeight="1">
      <c r="A805" s="26" t="s">
        <v>3985</v>
      </c>
      <c r="B805" s="27" t="s">
        <v>3978</v>
      </c>
      <c r="D805" s="28">
        <f t="shared" si="410"/>
        <v>0</v>
      </c>
      <c r="E805" s="22" t="s">
        <v>3901</v>
      </c>
      <c r="F805" s="22" t="s">
        <v>3986</v>
      </c>
      <c r="G805" s="22" t="s">
        <v>611</v>
      </c>
      <c r="H805" s="22" t="s">
        <v>3980</v>
      </c>
      <c r="I805" s="23" t="s">
        <v>3965</v>
      </c>
      <c r="J805" s="22" t="s">
        <v>670</v>
      </c>
      <c r="L805" s="23">
        <v>10</v>
      </c>
      <c r="M805" s="23">
        <v>25</v>
      </c>
      <c r="N805" s="3">
        <f t="shared" si="430"/>
        <v>2.5000000000000001E-3</v>
      </c>
      <c r="O805" s="4" t="e">
        <f>(C805-(C805*#REF!))-((C805-(C805*#REF!))*#REF!)</f>
        <v>#REF!</v>
      </c>
      <c r="P805" s="7"/>
      <c r="Q805" s="7"/>
      <c r="R805" s="5">
        <f t="shared" si="431"/>
        <v>0</v>
      </c>
      <c r="S805" s="4">
        <f t="shared" si="432"/>
        <v>0</v>
      </c>
      <c r="T805" s="13">
        <f t="shared" si="414"/>
        <v>0</v>
      </c>
      <c r="U805" s="13">
        <f t="shared" si="426"/>
        <v>0</v>
      </c>
      <c r="V805" s="14" t="e">
        <f>U805/C805</f>
        <v>#DIV/0!</v>
      </c>
      <c r="W805" s="14"/>
      <c r="X805" s="19">
        <f t="shared" si="433"/>
        <v>0</v>
      </c>
      <c r="Y805" s="19">
        <f t="shared" si="434"/>
        <v>0</v>
      </c>
      <c r="Z805" s="15" t="e">
        <f t="shared" si="427"/>
        <v>#DIV/0!</v>
      </c>
      <c r="AA805" s="22" t="s">
        <v>3987</v>
      </c>
      <c r="AG805" s="94" t="s">
        <v>817</v>
      </c>
      <c r="AH805" s="89" t="str">
        <f>VLOOKUP(AG805,Sheet1!$B$3:$D$36,2,FALSE)</f>
        <v>Kitchen &amp; Dining</v>
      </c>
      <c r="AI805" s="89" t="s">
        <v>2821</v>
      </c>
      <c r="AJ805" s="1" t="str">
        <f t="shared" si="417"/>
        <v>Pinot glass high</v>
      </c>
      <c r="AK805" s="1" t="str">
        <f t="shared" si="418"/>
        <v>semi - ø10 x h25 - vol. 500 ml</v>
      </c>
      <c r="AL805" s="1" t="str">
        <f t="shared" si="419"/>
        <v>clear glass snow
# 6</v>
      </c>
      <c r="AM805" s="1" t="str">
        <f t="shared" si="420"/>
        <v>clear glass snow
# 6</v>
      </c>
      <c r="AN805" s="1" t="str">
        <f t="shared" si="421"/>
        <v>clear glass snow
# 6</v>
      </c>
      <c r="AQ805" s="1" t="str">
        <f t="shared" si="422"/>
        <v>C</v>
      </c>
      <c r="AR805" s="1" t="str">
        <f>VLOOKUP(TRIM(AI805),Sheet1!$D$3:$E$36,2,FALSE)</f>
        <v>04</v>
      </c>
      <c r="AS805" s="90" t="str">
        <f t="shared" si="423"/>
        <v>03</v>
      </c>
      <c r="AT805" s="1" t="str">
        <f t="shared" si="424"/>
        <v>03</v>
      </c>
      <c r="AU805" s="90" t="s">
        <v>2567</v>
      </c>
      <c r="AV805" s="90"/>
      <c r="AW805" s="90"/>
      <c r="AX805" s="95" t="str">
        <f>AQ805&amp;AR805&amp;AS805&amp;"-"&amp;AT805&amp;AU805&amp;BA805</f>
        <v>C0403-0338</v>
      </c>
      <c r="AY805" s="99" t="str">
        <f>AQ805&amp;AR805&amp;AS805&amp;"-"&amp;AT805&amp;BA805</f>
        <v>C0403-03</v>
      </c>
      <c r="AZ805" s="90"/>
      <c r="BA805" s="1" t="str">
        <f t="shared" si="425"/>
        <v/>
      </c>
      <c r="BC805" s="1" t="str">
        <f t="shared" si="396"/>
        <v/>
      </c>
      <c r="BD805" s="90">
        <f t="shared" si="397"/>
        <v>3</v>
      </c>
      <c r="BE805" s="1" t="str">
        <f t="shared" si="428"/>
        <v/>
      </c>
      <c r="BF805" s="1">
        <f t="shared" si="429"/>
        <v>3</v>
      </c>
    </row>
    <row r="806" spans="1:58" ht="11.25" customHeight="1">
      <c r="A806" s="26" t="s">
        <v>3988</v>
      </c>
      <c r="B806" s="27" t="s">
        <v>3989</v>
      </c>
      <c r="C806" s="28">
        <v>36.99</v>
      </c>
      <c r="D806" s="28">
        <f t="shared" si="410"/>
        <v>18.495000000000001</v>
      </c>
      <c r="E806" s="22" t="s">
        <v>3901</v>
      </c>
      <c r="F806" s="22" t="s">
        <v>3990</v>
      </c>
      <c r="G806" s="22" t="s">
        <v>577</v>
      </c>
      <c r="H806" s="22" t="s">
        <v>3991</v>
      </c>
      <c r="I806" s="23" t="s">
        <v>3905</v>
      </c>
      <c r="J806" s="22" t="s">
        <v>670</v>
      </c>
      <c r="L806" s="23">
        <v>7</v>
      </c>
      <c r="M806" s="23">
        <v>25</v>
      </c>
      <c r="N806" s="3">
        <f t="shared" si="430"/>
        <v>1.225E-3</v>
      </c>
      <c r="O806" s="4" t="e">
        <f>(C806-(C806*#REF!))-((C806-(C806*#REF!))*#REF!)</f>
        <v>#REF!</v>
      </c>
      <c r="P806" s="7"/>
      <c r="Q806" s="7"/>
      <c r="R806" s="5">
        <f t="shared" si="431"/>
        <v>0</v>
      </c>
      <c r="S806" s="4">
        <f t="shared" si="432"/>
        <v>0</v>
      </c>
      <c r="T806" s="13">
        <f t="shared" si="414"/>
        <v>25.893000000000001</v>
      </c>
      <c r="U806" s="13">
        <f t="shared" si="426"/>
        <v>12.9465</v>
      </c>
      <c r="V806" s="14">
        <f>U806/C806</f>
        <v>0.35</v>
      </c>
      <c r="W806" s="14"/>
      <c r="X806" s="19">
        <f t="shared" si="433"/>
        <v>12.9465</v>
      </c>
      <c r="Y806" s="19">
        <f t="shared" si="434"/>
        <v>25.893000000000001</v>
      </c>
      <c r="Z806" s="15" t="e">
        <f t="shared" si="427"/>
        <v>#DIV/0!</v>
      </c>
      <c r="AA806" s="22" t="s">
        <v>3992</v>
      </c>
      <c r="AG806" s="94" t="s">
        <v>817</v>
      </c>
      <c r="AH806" s="89" t="str">
        <f>VLOOKUP(AG806,Sheet1!$B$3:$D$36,2,FALSE)</f>
        <v>Kitchen &amp; Dining</v>
      </c>
      <c r="AI806" s="89" t="s">
        <v>2821</v>
      </c>
      <c r="AJ806" s="1" t="str">
        <f t="shared" si="417"/>
        <v>Noel</v>
      </c>
      <c r="AK806" s="1" t="str">
        <f t="shared" si="418"/>
        <v>semi - ø7 x h25- vol. 100 ml</v>
      </c>
      <c r="AL806" s="1" t="str">
        <f t="shared" si="419"/>
        <v>clear glass # 6</v>
      </c>
      <c r="AM806" s="1" t="str">
        <f t="shared" si="420"/>
        <v>clear glass # 6</v>
      </c>
      <c r="AN806" s="1" t="str">
        <f t="shared" si="421"/>
        <v>clear glass # 6</v>
      </c>
      <c r="AQ806" s="1" t="str">
        <f t="shared" si="422"/>
        <v>C</v>
      </c>
      <c r="AR806" s="1" t="str">
        <f>VLOOKUP(TRIM(AI806),Sheet1!$D$3:$E$36,2,FALSE)</f>
        <v>04</v>
      </c>
      <c r="AS806" s="90" t="str">
        <f t="shared" si="423"/>
        <v>01</v>
      </c>
      <c r="AT806" s="1" t="str">
        <f t="shared" si="424"/>
        <v>01</v>
      </c>
      <c r="AU806" s="90" t="s">
        <v>2567</v>
      </c>
      <c r="AV806" s="90"/>
      <c r="AW806" s="90"/>
      <c r="AX806" s="95" t="str">
        <f>AQ806&amp;AR806&amp;AS806&amp;"-"&amp;AT806&amp;AU806&amp;BA806</f>
        <v>C0401-0138</v>
      </c>
      <c r="AY806" s="99" t="str">
        <f>AQ806&amp;AR806&amp;AS806&amp;"-"&amp;AT806&amp;BA806</f>
        <v>C0401-01</v>
      </c>
      <c r="AZ806" s="90"/>
      <c r="BA806" s="1" t="str">
        <f t="shared" si="425"/>
        <v/>
      </c>
      <c r="BC806" s="1">
        <f t="shared" si="396"/>
        <v>1</v>
      </c>
      <c r="BD806" s="90">
        <f t="shared" si="397"/>
        <v>1</v>
      </c>
      <c r="BE806" s="1">
        <f t="shared" si="428"/>
        <v>1</v>
      </c>
      <c r="BF806" s="1">
        <f t="shared" si="429"/>
        <v>1</v>
      </c>
    </row>
    <row r="807" spans="1:58" ht="11.25" customHeight="1">
      <c r="A807" s="26" t="s">
        <v>3993</v>
      </c>
      <c r="B807" s="27" t="s">
        <v>3989</v>
      </c>
      <c r="C807" s="28">
        <v>40.99</v>
      </c>
      <c r="D807" s="28">
        <f t="shared" si="410"/>
        <v>20.495000000000001</v>
      </c>
      <c r="E807" s="22" t="s">
        <v>3901</v>
      </c>
      <c r="F807" s="22" t="s">
        <v>3994</v>
      </c>
      <c r="G807" s="22" t="s">
        <v>577</v>
      </c>
      <c r="H807" s="22" t="s">
        <v>3995</v>
      </c>
      <c r="I807" s="23" t="s">
        <v>3905</v>
      </c>
      <c r="J807" s="22" t="s">
        <v>670</v>
      </c>
      <c r="L807" s="23">
        <v>8</v>
      </c>
      <c r="M807" s="23">
        <v>30</v>
      </c>
      <c r="N807" s="3">
        <f t="shared" si="430"/>
        <v>1.92E-3</v>
      </c>
      <c r="O807" s="4" t="e">
        <f>(C807-(C807*#REF!))-((C807-(C807*#REF!))*#REF!)</f>
        <v>#REF!</v>
      </c>
      <c r="P807" s="7"/>
      <c r="Q807" s="7"/>
      <c r="R807" s="5">
        <f t="shared" si="431"/>
        <v>0</v>
      </c>
      <c r="S807" s="4">
        <f t="shared" si="432"/>
        <v>0</v>
      </c>
      <c r="T807" s="13">
        <f t="shared" si="414"/>
        <v>28.693000000000001</v>
      </c>
      <c r="U807" s="13">
        <f t="shared" si="426"/>
        <v>14.346500000000001</v>
      </c>
      <c r="V807" s="14">
        <f>U807/C807</f>
        <v>0.35</v>
      </c>
      <c r="W807" s="14"/>
      <c r="X807" s="19">
        <f t="shared" si="433"/>
        <v>14.346500000000001</v>
      </c>
      <c r="Y807" s="19">
        <f t="shared" si="434"/>
        <v>28.693000000000001</v>
      </c>
      <c r="Z807" s="15" t="e">
        <f t="shared" si="427"/>
        <v>#DIV/0!</v>
      </c>
      <c r="AA807" s="22" t="s">
        <v>3996</v>
      </c>
      <c r="AG807" s="94" t="s">
        <v>817</v>
      </c>
      <c r="AH807" s="89" t="str">
        <f>VLOOKUP(AG807,Sheet1!$B$3:$D$36,2,FALSE)</f>
        <v>Kitchen &amp; Dining</v>
      </c>
      <c r="AI807" s="89" t="s">
        <v>2821</v>
      </c>
      <c r="AJ807" s="1" t="str">
        <f t="shared" si="417"/>
        <v>Noel</v>
      </c>
      <c r="AK807" s="1" t="str">
        <f t="shared" si="418"/>
        <v>ø8 x h30 - vol. 200 ml</v>
      </c>
      <c r="AL807" s="1" t="str">
        <f t="shared" si="419"/>
        <v>clear glass # 6</v>
      </c>
      <c r="AM807" s="1" t="str">
        <f t="shared" si="420"/>
        <v>clear glass # 6</v>
      </c>
      <c r="AN807" s="1" t="str">
        <f t="shared" si="421"/>
        <v>clear glass # 6</v>
      </c>
      <c r="AQ807" s="1" t="str">
        <f t="shared" si="422"/>
        <v>C</v>
      </c>
      <c r="AR807" s="1" t="str">
        <f>VLOOKUP(TRIM(AI807),Sheet1!$D$3:$E$36,2,FALSE)</f>
        <v>04</v>
      </c>
      <c r="AS807" s="90" t="str">
        <f t="shared" si="423"/>
        <v>02</v>
      </c>
      <c r="AT807" s="1" t="str">
        <f t="shared" si="424"/>
        <v>01</v>
      </c>
      <c r="AU807" s="90" t="s">
        <v>2567</v>
      </c>
      <c r="AV807" s="90"/>
      <c r="AW807" s="90"/>
      <c r="AX807" s="95" t="str">
        <f>AQ807&amp;AR807&amp;AS807&amp;"-"&amp;AT807&amp;AU807&amp;BA807</f>
        <v>C0402-0138</v>
      </c>
      <c r="AY807" s="99" t="str">
        <f>AQ807&amp;AR807&amp;AS807&amp;"-"&amp;AT807&amp;BA807</f>
        <v>C0402-01</v>
      </c>
      <c r="AZ807" s="90"/>
      <c r="BA807" s="1" t="str">
        <f t="shared" si="425"/>
        <v/>
      </c>
      <c r="BC807" s="1" t="str">
        <f t="shared" si="396"/>
        <v/>
      </c>
      <c r="BD807" s="90">
        <f t="shared" si="397"/>
        <v>2</v>
      </c>
      <c r="BE807" s="1">
        <f t="shared" si="428"/>
        <v>1</v>
      </c>
      <c r="BF807" s="1">
        <f t="shared" si="429"/>
        <v>1</v>
      </c>
    </row>
    <row r="808" spans="1:58" ht="11.25" customHeight="1">
      <c r="A808" s="26" t="s">
        <v>3997</v>
      </c>
      <c r="B808" s="27" t="s">
        <v>3998</v>
      </c>
      <c r="C808" s="28">
        <v>27.99</v>
      </c>
      <c r="D808" s="28">
        <f t="shared" si="410"/>
        <v>13.994999999999999</v>
      </c>
      <c r="E808" s="22" t="s">
        <v>3901</v>
      </c>
      <c r="F808" s="22" t="s">
        <v>3999</v>
      </c>
      <c r="G808" s="22" t="s">
        <v>496</v>
      </c>
      <c r="H808" s="22" t="s">
        <v>4000</v>
      </c>
      <c r="I808" s="23" t="s">
        <v>3905</v>
      </c>
      <c r="J808" s="22" t="s">
        <v>670</v>
      </c>
      <c r="L808" s="23">
        <v>12</v>
      </c>
      <c r="M808" s="23">
        <v>10</v>
      </c>
      <c r="N808" s="3">
        <f t="shared" si="430"/>
        <v>1.4400000000000001E-3</v>
      </c>
      <c r="O808" s="4" t="e">
        <f>(C808-(C808*#REF!))-((C808-(C808*#REF!))*#REF!)</f>
        <v>#REF!</v>
      </c>
      <c r="P808" s="7"/>
      <c r="Q808" s="7"/>
      <c r="R808" s="5">
        <f t="shared" si="431"/>
        <v>0</v>
      </c>
      <c r="S808" s="4">
        <f t="shared" si="432"/>
        <v>0</v>
      </c>
      <c r="T808" s="13">
        <f t="shared" si="414"/>
        <v>19.593</v>
      </c>
      <c r="U808" s="13">
        <f t="shared" si="426"/>
        <v>9.7965</v>
      </c>
      <c r="V808" s="14">
        <f>U808/C808</f>
        <v>0.35000000000000003</v>
      </c>
      <c r="W808" s="14"/>
      <c r="X808" s="19">
        <f t="shared" si="433"/>
        <v>9.7965</v>
      </c>
      <c r="Y808" s="19">
        <f t="shared" si="434"/>
        <v>19.593</v>
      </c>
      <c r="Z808" s="15" t="e">
        <f t="shared" si="427"/>
        <v>#DIV/0!</v>
      </c>
      <c r="AA808" s="22" t="s">
        <v>4001</v>
      </c>
      <c r="AG808" s="94" t="s">
        <v>817</v>
      </c>
      <c r="AH808" s="89" t="str">
        <f>VLOOKUP(AG808,Sheet1!$B$3:$D$36,2,FALSE)</f>
        <v>Kitchen &amp; Dining</v>
      </c>
      <c r="AI808" s="89" t="s">
        <v>2821</v>
      </c>
      <c r="AJ808" s="1" t="str">
        <f t="shared" si="417"/>
        <v>Melvin</v>
      </c>
      <c r="AK808" s="1" t="str">
        <f t="shared" si="418"/>
        <v>semi - ø12 x h10 - vol. 600 ml</v>
      </c>
      <c r="AL808" s="1" t="str">
        <f t="shared" si="419"/>
        <v>clear glass # 6</v>
      </c>
      <c r="AM808" s="1" t="str">
        <f t="shared" si="420"/>
        <v>clear glass # 6</v>
      </c>
      <c r="AN808" s="1" t="str">
        <f t="shared" si="421"/>
        <v>clear glass # 6</v>
      </c>
      <c r="AQ808" s="1" t="str">
        <f t="shared" si="422"/>
        <v>C</v>
      </c>
      <c r="AR808" s="1" t="str">
        <f>VLOOKUP(TRIM(AI808),Sheet1!$D$3:$E$36,2,FALSE)</f>
        <v>04</v>
      </c>
      <c r="AS808" s="90" t="str">
        <f t="shared" si="423"/>
        <v>01</v>
      </c>
      <c r="AT808" s="1" t="str">
        <f t="shared" si="424"/>
        <v>01</v>
      </c>
      <c r="AU808" s="90" t="s">
        <v>2567</v>
      </c>
      <c r="AV808" s="90"/>
      <c r="AW808" s="90"/>
      <c r="AX808" s="95" t="str">
        <f>AQ808&amp;AR808&amp;AS808&amp;"-"&amp;AT808&amp;AU808&amp;BA808</f>
        <v>C0401-0138</v>
      </c>
      <c r="AY808" s="99" t="str">
        <f>AQ808&amp;AR808&amp;AS808&amp;"-"&amp;AT808&amp;BA808</f>
        <v>C0401-01</v>
      </c>
      <c r="AZ808" s="90"/>
      <c r="BA808" s="1" t="str">
        <f t="shared" si="425"/>
        <v/>
      </c>
      <c r="BC808" s="1">
        <f t="shared" si="396"/>
        <v>1</v>
      </c>
      <c r="BD808" s="90">
        <f t="shared" si="397"/>
        <v>1</v>
      </c>
      <c r="BE808" s="1">
        <f t="shared" si="428"/>
        <v>1</v>
      </c>
      <c r="BF808" s="1">
        <f t="shared" si="429"/>
        <v>1</v>
      </c>
    </row>
    <row r="809" spans="1:58" ht="11.25" customHeight="1">
      <c r="A809" s="26" t="s">
        <v>4002</v>
      </c>
      <c r="B809" s="27" t="s">
        <v>3998</v>
      </c>
      <c r="C809" s="28">
        <v>31.99</v>
      </c>
      <c r="D809" s="28">
        <f t="shared" si="410"/>
        <v>15.994999999999999</v>
      </c>
      <c r="E809" s="22" t="s">
        <v>3901</v>
      </c>
      <c r="F809" s="22" t="s">
        <v>4003</v>
      </c>
      <c r="G809" s="22" t="s">
        <v>496</v>
      </c>
      <c r="H809" s="22" t="s">
        <v>4004</v>
      </c>
      <c r="I809" s="23" t="s">
        <v>3905</v>
      </c>
      <c r="J809" s="22" t="s">
        <v>670</v>
      </c>
      <c r="L809" s="23">
        <v>12</v>
      </c>
      <c r="M809" s="23">
        <v>14</v>
      </c>
      <c r="N809" s="3">
        <f t="shared" si="430"/>
        <v>2.016E-3</v>
      </c>
      <c r="O809" s="4" t="e">
        <f>(C809-(C809*#REF!))-((C809-(C809*#REF!))*#REF!)</f>
        <v>#REF!</v>
      </c>
      <c r="P809" s="7"/>
      <c r="Q809" s="7"/>
      <c r="R809" s="5">
        <f t="shared" si="431"/>
        <v>0</v>
      </c>
      <c r="S809" s="4">
        <f t="shared" si="432"/>
        <v>0</v>
      </c>
      <c r="T809" s="13">
        <f t="shared" si="414"/>
        <v>22.393000000000001</v>
      </c>
      <c r="U809" s="13">
        <f t="shared" si="426"/>
        <v>11.1965</v>
      </c>
      <c r="V809" s="14">
        <f>U809/C809</f>
        <v>0.35000000000000003</v>
      </c>
      <c r="W809" s="14"/>
      <c r="X809" s="19">
        <f t="shared" si="433"/>
        <v>11.1965</v>
      </c>
      <c r="Y809" s="19">
        <f t="shared" si="434"/>
        <v>22.393000000000001</v>
      </c>
      <c r="Z809" s="15" t="e">
        <f t="shared" si="427"/>
        <v>#DIV/0!</v>
      </c>
      <c r="AA809" s="22" t="s">
        <v>4005</v>
      </c>
      <c r="AG809" s="94" t="s">
        <v>817</v>
      </c>
      <c r="AH809" s="89" t="str">
        <f>VLOOKUP(AG809,Sheet1!$B$3:$D$36,2,FALSE)</f>
        <v>Kitchen &amp; Dining</v>
      </c>
      <c r="AI809" s="89" t="s">
        <v>2821</v>
      </c>
      <c r="AJ809" s="1" t="str">
        <f t="shared" si="417"/>
        <v>Melvin</v>
      </c>
      <c r="AK809" s="1" t="str">
        <f t="shared" si="418"/>
        <v>ø12 x h14 - vol. 550 ml (on foot)</v>
      </c>
      <c r="AL809" s="1" t="str">
        <f t="shared" si="419"/>
        <v>clear glass # 6</v>
      </c>
      <c r="AM809" s="1" t="str">
        <f t="shared" si="420"/>
        <v>clear glass # 6</v>
      </c>
      <c r="AN809" s="1" t="str">
        <f t="shared" si="421"/>
        <v>clear glass # 6</v>
      </c>
      <c r="AQ809" s="1" t="str">
        <f t="shared" si="422"/>
        <v>C</v>
      </c>
      <c r="AR809" s="1" t="str">
        <f>VLOOKUP(TRIM(AI809),Sheet1!$D$3:$E$36,2,FALSE)</f>
        <v>04</v>
      </c>
      <c r="AS809" s="90" t="str">
        <f t="shared" si="423"/>
        <v>02</v>
      </c>
      <c r="AT809" s="1" t="str">
        <f t="shared" si="424"/>
        <v>01</v>
      </c>
      <c r="AU809" s="90" t="s">
        <v>2567</v>
      </c>
      <c r="AV809" s="90"/>
      <c r="AW809" s="90"/>
      <c r="AX809" s="95" t="str">
        <f>AQ809&amp;AR809&amp;AS809&amp;"-"&amp;AT809&amp;AU809&amp;BA809</f>
        <v>C0402-0138</v>
      </c>
      <c r="AY809" s="99" t="str">
        <f>AQ809&amp;AR809&amp;AS809&amp;"-"&amp;AT809&amp;BA809</f>
        <v>C0402-01</v>
      </c>
      <c r="AZ809" s="90"/>
      <c r="BA809" s="1" t="str">
        <f t="shared" si="425"/>
        <v/>
      </c>
      <c r="BC809" s="1" t="str">
        <f t="shared" ref="BC809:BC872" si="435">IF(AJ808&lt;&gt;AJ809,1,"")</f>
        <v/>
      </c>
      <c r="BD809" s="90">
        <f t="shared" ref="BD809:BD872" si="436">IF(BC809=1,1,BD808+1)</f>
        <v>2</v>
      </c>
      <c r="BE809" s="1">
        <f t="shared" si="428"/>
        <v>1</v>
      </c>
      <c r="BF809" s="1">
        <f t="shared" si="429"/>
        <v>1</v>
      </c>
    </row>
    <row r="810" spans="1:58" ht="11.25" customHeight="1">
      <c r="A810" s="26" t="s">
        <v>4006</v>
      </c>
      <c r="B810" s="27" t="s">
        <v>4007</v>
      </c>
      <c r="C810" s="28">
        <v>33.99</v>
      </c>
      <c r="D810" s="28">
        <f t="shared" si="410"/>
        <v>16.995000000000001</v>
      </c>
      <c r="E810" s="22" t="s">
        <v>3901</v>
      </c>
      <c r="F810" s="22" t="s">
        <v>4008</v>
      </c>
      <c r="G810" s="22" t="s">
        <v>104</v>
      </c>
      <c r="H810" s="22" t="s">
        <v>4009</v>
      </c>
      <c r="I810" s="23" t="s">
        <v>3905</v>
      </c>
      <c r="J810" s="22" t="s">
        <v>670</v>
      </c>
      <c r="L810" s="23">
        <v>12</v>
      </c>
      <c r="M810" s="23">
        <v>15</v>
      </c>
      <c r="N810" s="3">
        <f t="shared" si="430"/>
        <v>2.16E-3</v>
      </c>
      <c r="O810" s="4" t="e">
        <f>(C810-(C810*#REF!))-((C810-(C810*#REF!))*#REF!)</f>
        <v>#REF!</v>
      </c>
      <c r="P810" s="7"/>
      <c r="Q810" s="7"/>
      <c r="R810" s="5">
        <f t="shared" si="431"/>
        <v>0</v>
      </c>
      <c r="S810" s="4">
        <f t="shared" si="432"/>
        <v>0</v>
      </c>
      <c r="T810" s="13">
        <f t="shared" si="414"/>
        <v>23.792999999999999</v>
      </c>
      <c r="U810" s="13">
        <f t="shared" si="426"/>
        <v>11.8965</v>
      </c>
      <c r="V810" s="14">
        <f>U810/C810</f>
        <v>0.35</v>
      </c>
      <c r="W810" s="14"/>
      <c r="X810" s="19">
        <f t="shared" si="433"/>
        <v>11.8965</v>
      </c>
      <c r="Y810" s="19">
        <f t="shared" si="434"/>
        <v>23.792999999999999</v>
      </c>
      <c r="Z810" s="15" t="e">
        <f t="shared" si="427"/>
        <v>#DIV/0!</v>
      </c>
      <c r="AA810" s="22" t="s">
        <v>4010</v>
      </c>
      <c r="AG810" s="94" t="s">
        <v>817</v>
      </c>
      <c r="AH810" s="89" t="str">
        <f>VLOOKUP(AG810,Sheet1!$B$3:$D$36,2,FALSE)</f>
        <v>Kitchen &amp; Dining</v>
      </c>
      <c r="AI810" s="89" t="s">
        <v>2821</v>
      </c>
      <c r="AJ810" s="1" t="str">
        <f t="shared" si="417"/>
        <v>Barbera</v>
      </c>
      <c r="AK810" s="1" t="str">
        <f t="shared" si="418"/>
        <v>semi - ø12 x h15 - vol. 700 ml</v>
      </c>
      <c r="AL810" s="1" t="str">
        <f t="shared" si="419"/>
        <v>clear glass # 6</v>
      </c>
      <c r="AM810" s="1" t="str">
        <f t="shared" si="420"/>
        <v>clear glass # 6</v>
      </c>
      <c r="AN810" s="1" t="str">
        <f t="shared" si="421"/>
        <v>clear glass # 6</v>
      </c>
      <c r="AQ810" s="1" t="str">
        <f t="shared" si="422"/>
        <v>C</v>
      </c>
      <c r="AR810" s="1" t="str">
        <f>VLOOKUP(TRIM(AI810),Sheet1!$D$3:$E$36,2,FALSE)</f>
        <v>04</v>
      </c>
      <c r="AS810" s="90" t="str">
        <f t="shared" si="423"/>
        <v>01</v>
      </c>
      <c r="AT810" s="1" t="str">
        <f t="shared" si="424"/>
        <v>01</v>
      </c>
      <c r="AU810" s="90" t="s">
        <v>2567</v>
      </c>
      <c r="AV810" s="90"/>
      <c r="AW810" s="90"/>
      <c r="AX810" s="95" t="str">
        <f>AQ810&amp;AR810&amp;AS810&amp;"-"&amp;AT810&amp;AU810&amp;BA810</f>
        <v>C0401-0138</v>
      </c>
      <c r="AY810" s="99" t="str">
        <f>AQ810&amp;AR810&amp;AS810&amp;"-"&amp;AT810&amp;BA810</f>
        <v>C0401-01</v>
      </c>
      <c r="AZ810" s="90"/>
      <c r="BA810" s="1" t="str">
        <f t="shared" si="425"/>
        <v/>
      </c>
      <c r="BC810" s="1">
        <f t="shared" si="435"/>
        <v>1</v>
      </c>
      <c r="BD810" s="90">
        <f t="shared" si="436"/>
        <v>1</v>
      </c>
      <c r="BE810" s="1">
        <f t="shared" si="428"/>
        <v>1</v>
      </c>
      <c r="BF810" s="1">
        <f t="shared" si="429"/>
        <v>1</v>
      </c>
    </row>
    <row r="811" spans="1:58" ht="11.25" customHeight="1">
      <c r="A811" s="26" t="s">
        <v>4011</v>
      </c>
      <c r="B811" s="27" t="s">
        <v>4007</v>
      </c>
      <c r="C811" s="28">
        <v>44.99</v>
      </c>
      <c r="D811" s="28">
        <f t="shared" si="410"/>
        <v>22.495000000000001</v>
      </c>
      <c r="E811" s="22" t="s">
        <v>3901</v>
      </c>
      <c r="F811" s="22" t="s">
        <v>4012</v>
      </c>
      <c r="G811" s="22" t="s">
        <v>104</v>
      </c>
      <c r="H811" s="22" t="s">
        <v>4013</v>
      </c>
      <c r="I811" s="23" t="s">
        <v>3905</v>
      </c>
      <c r="J811" s="22" t="s">
        <v>670</v>
      </c>
      <c r="L811" s="23">
        <v>14</v>
      </c>
      <c r="M811" s="23">
        <v>17</v>
      </c>
      <c r="N811" s="3">
        <f t="shared" si="430"/>
        <v>3.3319999999999999E-3</v>
      </c>
      <c r="O811" s="4" t="e">
        <f>(C811-(C811*#REF!))-((C811-(C811*#REF!))*#REF!)</f>
        <v>#REF!</v>
      </c>
      <c r="P811" s="7"/>
      <c r="Q811" s="7"/>
      <c r="R811" s="5">
        <f t="shared" si="431"/>
        <v>0</v>
      </c>
      <c r="S811" s="4">
        <f t="shared" si="432"/>
        <v>0</v>
      </c>
      <c r="T811" s="13">
        <f t="shared" si="414"/>
        <v>31.493000000000002</v>
      </c>
      <c r="U811" s="13">
        <f t="shared" si="426"/>
        <v>15.746500000000001</v>
      </c>
      <c r="V811" s="14">
        <f>U811/C811</f>
        <v>0.35000000000000003</v>
      </c>
      <c r="W811" s="14"/>
      <c r="X811" s="19">
        <f t="shared" si="433"/>
        <v>15.746500000000001</v>
      </c>
      <c r="Y811" s="19">
        <f t="shared" si="434"/>
        <v>31.493000000000002</v>
      </c>
      <c r="Z811" s="15" t="e">
        <f t="shared" si="427"/>
        <v>#DIV/0!</v>
      </c>
      <c r="AA811" s="22" t="s">
        <v>4014</v>
      </c>
      <c r="AG811" s="94" t="s">
        <v>817</v>
      </c>
      <c r="AH811" s="89" t="str">
        <f>VLOOKUP(AG811,Sheet1!$B$3:$D$36,2,FALSE)</f>
        <v>Kitchen &amp; Dining</v>
      </c>
      <c r="AI811" s="89" t="s">
        <v>2821</v>
      </c>
      <c r="AJ811" s="1" t="str">
        <f t="shared" si="417"/>
        <v>Barbera</v>
      </c>
      <c r="AK811" s="1" t="str">
        <f t="shared" si="418"/>
        <v>ø14 x h17 - vol. 1.000 ml</v>
      </c>
      <c r="AL811" s="1" t="str">
        <f t="shared" si="419"/>
        <v>clear glass # 6</v>
      </c>
      <c r="AM811" s="1" t="str">
        <f t="shared" si="420"/>
        <v>clear glass # 6</v>
      </c>
      <c r="AN811" s="1" t="str">
        <f t="shared" si="421"/>
        <v>clear glass # 6</v>
      </c>
      <c r="AQ811" s="1" t="str">
        <f t="shared" si="422"/>
        <v>C</v>
      </c>
      <c r="AR811" s="1" t="str">
        <f>VLOOKUP(TRIM(AI811),Sheet1!$D$3:$E$36,2,FALSE)</f>
        <v>04</v>
      </c>
      <c r="AS811" s="90" t="str">
        <f t="shared" si="423"/>
        <v>02</v>
      </c>
      <c r="AT811" s="1" t="str">
        <f t="shared" si="424"/>
        <v>01</v>
      </c>
      <c r="AU811" s="90" t="s">
        <v>2567</v>
      </c>
      <c r="AV811" s="90"/>
      <c r="AW811" s="90"/>
      <c r="AX811" s="95" t="str">
        <f>AQ811&amp;AR811&amp;AS811&amp;"-"&amp;AT811&amp;AU811&amp;BA811</f>
        <v>C0402-0138</v>
      </c>
      <c r="AY811" s="99" t="str">
        <f>AQ811&amp;AR811&amp;AS811&amp;"-"&amp;AT811&amp;BA811</f>
        <v>C0402-01</v>
      </c>
      <c r="AZ811" s="90"/>
      <c r="BA811" s="1" t="str">
        <f t="shared" si="425"/>
        <v/>
      </c>
      <c r="BC811" s="1" t="str">
        <f t="shared" si="435"/>
        <v/>
      </c>
      <c r="BD811" s="90">
        <f t="shared" si="436"/>
        <v>2</v>
      </c>
      <c r="BE811" s="1">
        <f t="shared" si="428"/>
        <v>1</v>
      </c>
      <c r="BF811" s="1">
        <f t="shared" si="429"/>
        <v>1</v>
      </c>
    </row>
    <row r="812" spans="1:58" ht="11.25" customHeight="1">
      <c r="A812" s="26" t="s">
        <v>4015</v>
      </c>
      <c r="B812" s="27" t="s">
        <v>4016</v>
      </c>
      <c r="C812" s="28">
        <v>20.99</v>
      </c>
      <c r="D812" s="28">
        <f t="shared" si="410"/>
        <v>10.494999999999999</v>
      </c>
      <c r="E812" s="22" t="s">
        <v>3901</v>
      </c>
      <c r="F812" s="22" t="s">
        <v>4017</v>
      </c>
      <c r="G812" s="22" t="s">
        <v>998</v>
      </c>
      <c r="H812" s="22" t="s">
        <v>4018</v>
      </c>
      <c r="I812" s="23" t="s">
        <v>3905</v>
      </c>
      <c r="J812" s="22" t="s">
        <v>670</v>
      </c>
      <c r="L812" s="23">
        <v>5</v>
      </c>
      <c r="M812" s="23">
        <v>5</v>
      </c>
      <c r="N812" s="3">
        <f t="shared" si="430"/>
        <v>1.25E-4</v>
      </c>
      <c r="O812" s="4" t="e">
        <f>(C812-(C812*#REF!))-((C812-(C812*#REF!))*#REF!)</f>
        <v>#REF!</v>
      </c>
      <c r="P812" s="7"/>
      <c r="Q812" s="7"/>
      <c r="R812" s="5">
        <f t="shared" si="431"/>
        <v>0</v>
      </c>
      <c r="S812" s="4">
        <f t="shared" si="432"/>
        <v>0</v>
      </c>
      <c r="T812" s="13">
        <f t="shared" si="414"/>
        <v>14.692999999999998</v>
      </c>
      <c r="U812" s="13">
        <f t="shared" si="426"/>
        <v>7.3464999999999989</v>
      </c>
      <c r="V812" s="14">
        <f>U812/C812</f>
        <v>0.35</v>
      </c>
      <c r="W812" s="14"/>
      <c r="X812" s="19">
        <f t="shared" si="433"/>
        <v>7.3464999999999989</v>
      </c>
      <c r="Y812" s="19">
        <f t="shared" si="434"/>
        <v>14.692999999999998</v>
      </c>
      <c r="Z812" s="15" t="e">
        <f t="shared" si="427"/>
        <v>#DIV/0!</v>
      </c>
      <c r="AA812" s="22" t="s">
        <v>4019</v>
      </c>
      <c r="AG812" s="94" t="s">
        <v>817</v>
      </c>
      <c r="AH812" s="89" t="str">
        <f>VLOOKUP(AG812,Sheet1!$B$3:$D$36,2,FALSE)</f>
        <v>Kitchen &amp; Dining</v>
      </c>
      <c r="AI812" s="89" t="s">
        <v>2821</v>
      </c>
      <c r="AJ812" s="1" t="str">
        <f t="shared" si="417"/>
        <v>Yelena shot clear</v>
      </c>
      <c r="AK812" s="1" t="str">
        <f t="shared" si="418"/>
        <v>ø5 x h5 - vol. 20 ml</v>
      </c>
      <c r="AL812" s="1" t="str">
        <f t="shared" si="419"/>
        <v>clear glass # 6</v>
      </c>
      <c r="AM812" s="1" t="str">
        <f t="shared" si="420"/>
        <v>clear glass # 6</v>
      </c>
      <c r="AN812" s="1" t="str">
        <f t="shared" si="421"/>
        <v>clear glass # 6</v>
      </c>
      <c r="AQ812" s="1" t="str">
        <f t="shared" si="422"/>
        <v>C</v>
      </c>
      <c r="AR812" s="1" t="str">
        <f>VLOOKUP(TRIM(AI812),Sheet1!$D$3:$E$36,2,FALSE)</f>
        <v>04</v>
      </c>
      <c r="AS812" s="90" t="str">
        <f t="shared" si="423"/>
        <v>01</v>
      </c>
      <c r="AT812" s="1" t="str">
        <f t="shared" si="424"/>
        <v>01</v>
      </c>
      <c r="AU812" s="90" t="s">
        <v>2567</v>
      </c>
      <c r="AV812" s="90"/>
      <c r="AW812" s="90"/>
      <c r="AX812" s="95" t="str">
        <f>AQ812&amp;AR812&amp;AS812&amp;"-"&amp;AT812&amp;AU812&amp;BA812</f>
        <v>C0401-0138</v>
      </c>
      <c r="AY812" s="99" t="str">
        <f>AQ812&amp;AR812&amp;AS812&amp;"-"&amp;AT812&amp;BA812</f>
        <v>C0401-01</v>
      </c>
      <c r="AZ812" s="90"/>
      <c r="BA812" s="1" t="str">
        <f t="shared" si="425"/>
        <v/>
      </c>
      <c r="BC812" s="1">
        <f t="shared" si="435"/>
        <v>1</v>
      </c>
      <c r="BD812" s="90">
        <f t="shared" si="436"/>
        <v>1</v>
      </c>
      <c r="BE812" s="1">
        <f t="shared" si="428"/>
        <v>1</v>
      </c>
      <c r="BF812" s="1">
        <f t="shared" si="429"/>
        <v>1</v>
      </c>
    </row>
    <row r="813" spans="1:58" ht="11.25" customHeight="1">
      <c r="A813" s="26" t="s">
        <v>4020</v>
      </c>
      <c r="B813" s="27" t="s">
        <v>4016</v>
      </c>
      <c r="C813" s="28">
        <v>22.99</v>
      </c>
      <c r="D813" s="28">
        <f t="shared" si="410"/>
        <v>11.494999999999999</v>
      </c>
      <c r="E813" s="22" t="s">
        <v>3901</v>
      </c>
      <c r="F813" s="22" t="s">
        <v>4021</v>
      </c>
      <c r="G813" s="22" t="s">
        <v>998</v>
      </c>
      <c r="H813" s="22" t="s">
        <v>4022</v>
      </c>
      <c r="I813" s="23" t="s">
        <v>3905</v>
      </c>
      <c r="J813" s="22" t="s">
        <v>670</v>
      </c>
      <c r="L813" s="23">
        <v>6</v>
      </c>
      <c r="M813" s="23">
        <v>7</v>
      </c>
      <c r="N813" s="3">
        <f t="shared" si="430"/>
        <v>2.52E-4</v>
      </c>
      <c r="O813" s="4" t="e">
        <f>(C813-(C813*#REF!))-((C813-(C813*#REF!))*#REF!)</f>
        <v>#REF!</v>
      </c>
      <c r="P813" s="7"/>
      <c r="Q813" s="7"/>
      <c r="R813" s="5">
        <f t="shared" si="431"/>
        <v>0</v>
      </c>
      <c r="S813" s="4">
        <f t="shared" si="432"/>
        <v>0</v>
      </c>
      <c r="T813" s="13">
        <f t="shared" si="414"/>
        <v>16.093</v>
      </c>
      <c r="U813" s="13">
        <f t="shared" si="426"/>
        <v>8.0465</v>
      </c>
      <c r="V813" s="14">
        <f>U813/C813</f>
        <v>0.35000000000000003</v>
      </c>
      <c r="W813" s="14"/>
      <c r="X813" s="19">
        <f t="shared" si="433"/>
        <v>8.0465</v>
      </c>
      <c r="Y813" s="19">
        <f t="shared" si="434"/>
        <v>16.093</v>
      </c>
      <c r="Z813" s="15" t="e">
        <f t="shared" si="427"/>
        <v>#DIV/0!</v>
      </c>
      <c r="AA813" s="22" t="s">
        <v>4023</v>
      </c>
      <c r="AG813" s="94" t="s">
        <v>817</v>
      </c>
      <c r="AH813" s="89" t="str">
        <f>VLOOKUP(AG813,Sheet1!$B$3:$D$36,2,FALSE)</f>
        <v>Kitchen &amp; Dining</v>
      </c>
      <c r="AI813" s="89" t="s">
        <v>2821</v>
      </c>
      <c r="AJ813" s="1" t="str">
        <f t="shared" si="417"/>
        <v>Yelena shot clear</v>
      </c>
      <c r="AK813" s="1" t="str">
        <f t="shared" si="418"/>
        <v>ø6 x h7 - vol. 70 ml - # 6</v>
      </c>
      <c r="AL813" s="1" t="str">
        <f t="shared" si="419"/>
        <v>clear glass # 6</v>
      </c>
      <c r="AM813" s="1" t="str">
        <f t="shared" si="420"/>
        <v>clear glass # 6</v>
      </c>
      <c r="AN813" s="1" t="str">
        <f t="shared" si="421"/>
        <v>clear glass # 6</v>
      </c>
      <c r="AQ813" s="1" t="str">
        <f t="shared" si="422"/>
        <v>C</v>
      </c>
      <c r="AR813" s="1" t="str">
        <f>VLOOKUP(TRIM(AI813),Sheet1!$D$3:$E$36,2,FALSE)</f>
        <v>04</v>
      </c>
      <c r="AS813" s="90" t="str">
        <f t="shared" si="423"/>
        <v>02</v>
      </c>
      <c r="AT813" s="1" t="str">
        <f t="shared" si="424"/>
        <v>01</v>
      </c>
      <c r="AU813" s="90" t="s">
        <v>2567</v>
      </c>
      <c r="AV813" s="90"/>
      <c r="AW813" s="90"/>
      <c r="AX813" s="95" t="str">
        <f>AQ813&amp;AR813&amp;AS813&amp;"-"&amp;AT813&amp;AU813&amp;BA813</f>
        <v>C0402-0138</v>
      </c>
      <c r="AY813" s="99" t="str">
        <f>AQ813&amp;AR813&amp;AS813&amp;"-"&amp;AT813&amp;BA813</f>
        <v>C0402-01</v>
      </c>
      <c r="AZ813" s="90"/>
      <c r="BA813" s="1" t="str">
        <f t="shared" si="425"/>
        <v/>
      </c>
      <c r="BC813" s="1" t="str">
        <f t="shared" si="435"/>
        <v/>
      </c>
      <c r="BD813" s="90">
        <f t="shared" si="436"/>
        <v>2</v>
      </c>
      <c r="BE813" s="1">
        <f t="shared" si="428"/>
        <v>1</v>
      </c>
      <c r="BF813" s="1">
        <f t="shared" si="429"/>
        <v>1</v>
      </c>
    </row>
    <row r="814" spans="1:58" ht="11.25" customHeight="1">
      <c r="A814" s="26" t="s">
        <v>4024</v>
      </c>
      <c r="B814" s="27" t="s">
        <v>4025</v>
      </c>
      <c r="C814" s="28">
        <v>23.99</v>
      </c>
      <c r="D814" s="28">
        <f t="shared" si="410"/>
        <v>11.994999999999999</v>
      </c>
      <c r="E814" s="22" t="s">
        <v>3901</v>
      </c>
      <c r="F814" s="22" t="s">
        <v>4017</v>
      </c>
      <c r="G814" s="22" t="s">
        <v>1004</v>
      </c>
      <c r="H814" s="22" t="s">
        <v>4018</v>
      </c>
      <c r="I814" s="23" t="s">
        <v>3905</v>
      </c>
      <c r="J814" s="22" t="s">
        <v>670</v>
      </c>
      <c r="L814" s="23">
        <v>5</v>
      </c>
      <c r="M814" s="23">
        <v>5</v>
      </c>
      <c r="N814" s="3">
        <f t="shared" si="430"/>
        <v>1.25E-4</v>
      </c>
      <c r="O814" s="4" t="e">
        <f>(C814-(C814*#REF!))-((C814-(C814*#REF!))*#REF!)</f>
        <v>#REF!</v>
      </c>
      <c r="P814" s="7"/>
      <c r="Q814" s="7"/>
      <c r="R814" s="5">
        <f t="shared" si="431"/>
        <v>0</v>
      </c>
      <c r="S814" s="4">
        <f t="shared" si="432"/>
        <v>0</v>
      </c>
      <c r="T814" s="13">
        <f t="shared" si="414"/>
        <v>16.792999999999999</v>
      </c>
      <c r="U814" s="13">
        <f t="shared" si="426"/>
        <v>8.3964999999999996</v>
      </c>
      <c r="V814" s="14">
        <f>U814/C814</f>
        <v>0.35000000000000003</v>
      </c>
      <c r="W814" s="14"/>
      <c r="X814" s="19">
        <f t="shared" si="433"/>
        <v>8.3964999999999996</v>
      </c>
      <c r="Y814" s="19">
        <f t="shared" si="434"/>
        <v>16.792999999999999</v>
      </c>
      <c r="Z814" s="15" t="e">
        <f t="shared" si="427"/>
        <v>#DIV/0!</v>
      </c>
      <c r="AA814" s="22" t="s">
        <v>4026</v>
      </c>
      <c r="AG814" s="94" t="s">
        <v>817</v>
      </c>
      <c r="AH814" s="89" t="str">
        <f>VLOOKUP(AG814,Sheet1!$B$3:$D$36,2,FALSE)</f>
        <v>Kitchen &amp; Dining</v>
      </c>
      <c r="AI814" s="89" t="s">
        <v>2821</v>
      </c>
      <c r="AJ814" s="1" t="str">
        <f t="shared" si="417"/>
        <v>Yelena shot clear matte</v>
      </c>
      <c r="AK814" s="1" t="str">
        <f t="shared" si="418"/>
        <v>ø5 x h5 - vol. 20 ml</v>
      </c>
      <c r="AL814" s="1" t="str">
        <f t="shared" si="419"/>
        <v>clear glass # 6</v>
      </c>
      <c r="AM814" s="1" t="str">
        <f t="shared" si="420"/>
        <v>clear glass # 6</v>
      </c>
      <c r="AN814" s="1" t="str">
        <f t="shared" si="421"/>
        <v>clear glass # 6</v>
      </c>
      <c r="AQ814" s="1" t="str">
        <f t="shared" si="422"/>
        <v>C</v>
      </c>
      <c r="AR814" s="1" t="str">
        <f>VLOOKUP(TRIM(AI814),Sheet1!$D$3:$E$36,2,FALSE)</f>
        <v>04</v>
      </c>
      <c r="AS814" s="90" t="str">
        <f t="shared" si="423"/>
        <v>01</v>
      </c>
      <c r="AT814" s="1" t="str">
        <f t="shared" si="424"/>
        <v>01</v>
      </c>
      <c r="AU814" s="90" t="s">
        <v>2567</v>
      </c>
      <c r="AV814" s="90"/>
      <c r="AW814" s="90"/>
      <c r="AX814" s="95" t="str">
        <f>AQ814&amp;AR814&amp;AS814&amp;"-"&amp;AT814&amp;AU814&amp;BA814</f>
        <v>C0401-0138</v>
      </c>
      <c r="AY814" s="99" t="str">
        <f>AQ814&amp;AR814&amp;AS814&amp;"-"&amp;AT814&amp;BA814</f>
        <v>C0401-01</v>
      </c>
      <c r="AZ814" s="90"/>
      <c r="BA814" s="1" t="str">
        <f t="shared" si="425"/>
        <v/>
      </c>
      <c r="BC814" s="1">
        <f t="shared" si="435"/>
        <v>1</v>
      </c>
      <c r="BD814" s="90">
        <f t="shared" si="436"/>
        <v>1</v>
      </c>
      <c r="BE814" s="1">
        <f t="shared" si="428"/>
        <v>1</v>
      </c>
      <c r="BF814" s="1">
        <f t="shared" si="429"/>
        <v>1</v>
      </c>
    </row>
    <row r="815" spans="1:58" ht="11.25" customHeight="1">
      <c r="A815" s="26" t="s">
        <v>4027</v>
      </c>
      <c r="B815" s="27" t="s">
        <v>4025</v>
      </c>
      <c r="C815" s="28">
        <v>26.99</v>
      </c>
      <c r="D815" s="28">
        <f t="shared" si="410"/>
        <v>13.494999999999999</v>
      </c>
      <c r="E815" s="22" t="s">
        <v>3901</v>
      </c>
      <c r="F815" s="22" t="s">
        <v>4021</v>
      </c>
      <c r="G815" s="22" t="s">
        <v>1004</v>
      </c>
      <c r="H815" s="22" t="s">
        <v>4028</v>
      </c>
      <c r="I815" s="23" t="s">
        <v>3905</v>
      </c>
      <c r="J815" s="22" t="s">
        <v>670</v>
      </c>
      <c r="L815" s="23">
        <v>6</v>
      </c>
      <c r="M815" s="23">
        <v>7</v>
      </c>
      <c r="N815" s="3">
        <f t="shared" si="430"/>
        <v>2.52E-4</v>
      </c>
      <c r="O815" s="4" t="e">
        <f>(C815-(C815*#REF!))-((C815-(C815*#REF!))*#REF!)</f>
        <v>#REF!</v>
      </c>
      <c r="P815" s="7"/>
      <c r="Q815" s="7"/>
      <c r="R815" s="5">
        <f t="shared" si="431"/>
        <v>0</v>
      </c>
      <c r="S815" s="4">
        <f t="shared" si="432"/>
        <v>0</v>
      </c>
      <c r="T815" s="13">
        <f t="shared" si="414"/>
        <v>18.893000000000001</v>
      </c>
      <c r="U815" s="13">
        <f t="shared" si="426"/>
        <v>9.4465000000000003</v>
      </c>
      <c r="V815" s="14">
        <f>U815/C815</f>
        <v>0.35000000000000003</v>
      </c>
      <c r="W815" s="14"/>
      <c r="X815" s="19">
        <f t="shared" si="433"/>
        <v>9.4465000000000003</v>
      </c>
      <c r="Y815" s="19">
        <f t="shared" si="434"/>
        <v>18.893000000000001</v>
      </c>
      <c r="Z815" s="15" t="e">
        <f t="shared" si="427"/>
        <v>#DIV/0!</v>
      </c>
      <c r="AA815" s="22" t="s">
        <v>4029</v>
      </c>
      <c r="AG815" s="94" t="s">
        <v>817</v>
      </c>
      <c r="AH815" s="89" t="str">
        <f>VLOOKUP(AG815,Sheet1!$B$3:$D$36,2,FALSE)</f>
        <v>Kitchen &amp; Dining</v>
      </c>
      <c r="AI815" s="89" t="s">
        <v>2821</v>
      </c>
      <c r="AJ815" s="1" t="str">
        <f t="shared" si="417"/>
        <v>Yelena shot clear matte</v>
      </c>
      <c r="AK815" s="1" t="str">
        <f t="shared" si="418"/>
        <v>ø6 x h7 - vol. 70 ml</v>
      </c>
      <c r="AL815" s="1" t="str">
        <f t="shared" si="419"/>
        <v>clear glass # 6</v>
      </c>
      <c r="AM815" s="1" t="str">
        <f t="shared" si="420"/>
        <v>clear glass # 6</v>
      </c>
      <c r="AN815" s="1" t="str">
        <f t="shared" si="421"/>
        <v>clear glass # 6</v>
      </c>
      <c r="AQ815" s="1" t="str">
        <f t="shared" si="422"/>
        <v>C</v>
      </c>
      <c r="AR815" s="1" t="str">
        <f>VLOOKUP(TRIM(AI815),Sheet1!$D$3:$E$36,2,FALSE)</f>
        <v>04</v>
      </c>
      <c r="AS815" s="90" t="str">
        <f t="shared" si="423"/>
        <v>02</v>
      </c>
      <c r="AT815" s="1" t="str">
        <f t="shared" si="424"/>
        <v>01</v>
      </c>
      <c r="AU815" s="90" t="s">
        <v>2567</v>
      </c>
      <c r="AV815" s="90"/>
      <c r="AW815" s="90"/>
      <c r="AX815" s="95" t="str">
        <f>AQ815&amp;AR815&amp;AS815&amp;"-"&amp;AT815&amp;AU815&amp;BA815</f>
        <v>C0402-0138</v>
      </c>
      <c r="AY815" s="99" t="str">
        <f>AQ815&amp;AR815&amp;AS815&amp;"-"&amp;AT815&amp;BA815</f>
        <v>C0402-01</v>
      </c>
      <c r="AZ815" s="90"/>
      <c r="BA815" s="1" t="str">
        <f t="shared" si="425"/>
        <v/>
      </c>
      <c r="BC815" s="1" t="str">
        <f t="shared" si="435"/>
        <v/>
      </c>
      <c r="BD815" s="90">
        <f t="shared" si="436"/>
        <v>2</v>
      </c>
      <c r="BE815" s="1">
        <f t="shared" si="428"/>
        <v>1</v>
      </c>
      <c r="BF815" s="1">
        <f t="shared" si="429"/>
        <v>1</v>
      </c>
    </row>
    <row r="816" spans="1:58" ht="11.25" customHeight="1">
      <c r="A816" s="26" t="s">
        <v>4030</v>
      </c>
      <c r="B816" s="27" t="s">
        <v>4031</v>
      </c>
      <c r="C816" s="28">
        <v>25.99</v>
      </c>
      <c r="D816" s="28">
        <f t="shared" si="410"/>
        <v>12.994999999999999</v>
      </c>
      <c r="E816" s="22" t="s">
        <v>3901</v>
      </c>
      <c r="F816" s="22" t="s">
        <v>4017</v>
      </c>
      <c r="G816" s="22" t="s">
        <v>1009</v>
      </c>
      <c r="H816" s="22" t="s">
        <v>4032</v>
      </c>
      <c r="I816" s="23" t="s">
        <v>3905</v>
      </c>
      <c r="J816" s="22" t="s">
        <v>670</v>
      </c>
      <c r="L816" s="23">
        <v>5</v>
      </c>
      <c r="M816" s="23">
        <v>5</v>
      </c>
      <c r="N816" s="3">
        <f t="shared" si="430"/>
        <v>1.25E-4</v>
      </c>
      <c r="O816" s="4" t="e">
        <f>(C816-(C816*#REF!))-((C816-(C816*#REF!))*#REF!)</f>
        <v>#REF!</v>
      </c>
      <c r="P816" s="7"/>
      <c r="Q816" s="7"/>
      <c r="R816" s="5">
        <f t="shared" si="431"/>
        <v>0</v>
      </c>
      <c r="S816" s="4">
        <f t="shared" si="432"/>
        <v>0</v>
      </c>
      <c r="T816" s="13">
        <f t="shared" si="414"/>
        <v>18.192999999999998</v>
      </c>
      <c r="U816" s="13">
        <f t="shared" si="426"/>
        <v>9.0964999999999989</v>
      </c>
      <c r="V816" s="14">
        <f>U816/C816</f>
        <v>0.35</v>
      </c>
      <c r="W816" s="14"/>
      <c r="X816" s="19">
        <f t="shared" si="433"/>
        <v>9.0964999999999989</v>
      </c>
      <c r="Y816" s="19">
        <f t="shared" si="434"/>
        <v>18.192999999999998</v>
      </c>
      <c r="Z816" s="15" t="e">
        <f t="shared" si="427"/>
        <v>#DIV/0!</v>
      </c>
      <c r="AA816" s="22" t="s">
        <v>4033</v>
      </c>
      <c r="AG816" s="94" t="s">
        <v>817</v>
      </c>
      <c r="AH816" s="89" t="str">
        <f>VLOOKUP(AG816,Sheet1!$B$3:$D$36,2,FALSE)</f>
        <v>Kitchen &amp; Dining</v>
      </c>
      <c r="AI816" s="89" t="s">
        <v>2821</v>
      </c>
      <c r="AJ816" s="1" t="str">
        <f t="shared" si="417"/>
        <v>Yelena shot clear snow</v>
      </c>
      <c r="AK816" s="1" t="str">
        <f t="shared" si="418"/>
        <v>ø5 x h5 - vol. 20</v>
      </c>
      <c r="AL816" s="1" t="str">
        <f t="shared" si="419"/>
        <v>clear glass # 6</v>
      </c>
      <c r="AM816" s="1" t="str">
        <f t="shared" si="420"/>
        <v>clear glass # 6</v>
      </c>
      <c r="AN816" s="1" t="str">
        <f t="shared" si="421"/>
        <v>clear glass # 6</v>
      </c>
      <c r="AQ816" s="1" t="str">
        <f t="shared" si="422"/>
        <v>C</v>
      </c>
      <c r="AR816" s="1" t="str">
        <f>VLOOKUP(TRIM(AI816),Sheet1!$D$3:$E$36,2,FALSE)</f>
        <v>04</v>
      </c>
      <c r="AS816" s="90" t="str">
        <f t="shared" si="423"/>
        <v>01</v>
      </c>
      <c r="AT816" s="1" t="str">
        <f t="shared" si="424"/>
        <v>01</v>
      </c>
      <c r="AU816" s="90" t="s">
        <v>2567</v>
      </c>
      <c r="AV816" s="90"/>
      <c r="AW816" s="90"/>
      <c r="AX816" s="95" t="str">
        <f>AQ816&amp;AR816&amp;AS816&amp;"-"&amp;AT816&amp;AU816&amp;BA816</f>
        <v>C0401-0138</v>
      </c>
      <c r="AY816" s="99" t="str">
        <f>AQ816&amp;AR816&amp;AS816&amp;"-"&amp;AT816&amp;BA816</f>
        <v>C0401-01</v>
      </c>
      <c r="AZ816" s="90"/>
      <c r="BA816" s="1" t="str">
        <f t="shared" si="425"/>
        <v/>
      </c>
      <c r="BC816" s="1">
        <f t="shared" si="435"/>
        <v>1</v>
      </c>
      <c r="BD816" s="90">
        <f t="shared" si="436"/>
        <v>1</v>
      </c>
      <c r="BE816" s="1">
        <f t="shared" si="428"/>
        <v>1</v>
      </c>
      <c r="BF816" s="1">
        <f t="shared" si="429"/>
        <v>1</v>
      </c>
    </row>
    <row r="817" spans="1:58" ht="11.25" customHeight="1">
      <c r="A817" s="26" t="s">
        <v>4034</v>
      </c>
      <c r="B817" s="27" t="s">
        <v>4031</v>
      </c>
      <c r="C817" s="28">
        <v>26.99</v>
      </c>
      <c r="D817" s="28">
        <f t="shared" si="410"/>
        <v>13.494999999999999</v>
      </c>
      <c r="E817" s="22" t="s">
        <v>3901</v>
      </c>
      <c r="F817" s="22" t="s">
        <v>4021</v>
      </c>
      <c r="G817" s="22" t="s">
        <v>1009</v>
      </c>
      <c r="H817" s="22" t="s">
        <v>4035</v>
      </c>
      <c r="I817" s="23" t="s">
        <v>3905</v>
      </c>
      <c r="J817" s="22" t="s">
        <v>670</v>
      </c>
      <c r="L817" s="23">
        <v>6</v>
      </c>
      <c r="M817" s="23">
        <v>7</v>
      </c>
      <c r="N817" s="3">
        <f t="shared" si="430"/>
        <v>2.52E-4</v>
      </c>
      <c r="O817" s="4" t="e">
        <f>(C817-(C817*#REF!))-((C817-(C817*#REF!))*#REF!)</f>
        <v>#REF!</v>
      </c>
      <c r="P817" s="7"/>
      <c r="Q817" s="7"/>
      <c r="R817" s="5">
        <f t="shared" si="431"/>
        <v>0</v>
      </c>
      <c r="S817" s="4">
        <f t="shared" si="432"/>
        <v>0</v>
      </c>
      <c r="T817" s="13">
        <f t="shared" si="414"/>
        <v>18.893000000000001</v>
      </c>
      <c r="U817" s="13">
        <f t="shared" si="426"/>
        <v>9.4465000000000003</v>
      </c>
      <c r="V817" s="14">
        <f>U817/C817</f>
        <v>0.35000000000000003</v>
      </c>
      <c r="W817" s="14"/>
      <c r="X817" s="19">
        <f t="shared" si="433"/>
        <v>9.4465000000000003</v>
      </c>
      <c r="Y817" s="19">
        <f t="shared" si="434"/>
        <v>18.893000000000001</v>
      </c>
      <c r="Z817" s="15" t="e">
        <f t="shared" si="427"/>
        <v>#DIV/0!</v>
      </c>
      <c r="AA817" s="22" t="s">
        <v>4033</v>
      </c>
      <c r="AG817" s="94" t="s">
        <v>817</v>
      </c>
      <c r="AH817" s="89" t="str">
        <f>VLOOKUP(AG817,Sheet1!$B$3:$D$36,2,FALSE)</f>
        <v>Kitchen &amp; Dining</v>
      </c>
      <c r="AI817" s="89" t="s">
        <v>2821</v>
      </c>
      <c r="AJ817" s="1" t="str">
        <f t="shared" si="417"/>
        <v>Yelena shot clear snow</v>
      </c>
      <c r="AK817" s="1" t="str">
        <f t="shared" si="418"/>
        <v>ø6 x h7 - vol. 70 ml</v>
      </c>
      <c r="AL817" s="1" t="str">
        <f t="shared" si="419"/>
        <v>clear glass # 6</v>
      </c>
      <c r="AM817" s="1" t="str">
        <f t="shared" si="420"/>
        <v>clear glass # 6</v>
      </c>
      <c r="AN817" s="1" t="str">
        <f t="shared" si="421"/>
        <v>clear glass # 6</v>
      </c>
      <c r="AQ817" s="1" t="str">
        <f t="shared" si="422"/>
        <v>C</v>
      </c>
      <c r="AR817" s="1" t="str">
        <f>VLOOKUP(TRIM(AI817),Sheet1!$D$3:$E$36,2,FALSE)</f>
        <v>04</v>
      </c>
      <c r="AS817" s="90" t="str">
        <f t="shared" si="423"/>
        <v>02</v>
      </c>
      <c r="AT817" s="1" t="str">
        <f t="shared" si="424"/>
        <v>01</v>
      </c>
      <c r="AU817" s="90" t="s">
        <v>2567</v>
      </c>
      <c r="AV817" s="90"/>
      <c r="AW817" s="90"/>
      <c r="AX817" s="95" t="str">
        <f>AQ817&amp;AR817&amp;AS817&amp;"-"&amp;AT817&amp;AU817&amp;BA817</f>
        <v>C0402-0138</v>
      </c>
      <c r="AY817" s="99" t="str">
        <f>AQ817&amp;AR817&amp;AS817&amp;"-"&amp;AT817&amp;BA817</f>
        <v>C0402-01</v>
      </c>
      <c r="AZ817" s="90"/>
      <c r="BA817" s="1" t="str">
        <f t="shared" si="425"/>
        <v/>
      </c>
      <c r="BC817" s="1" t="str">
        <f t="shared" si="435"/>
        <v/>
      </c>
      <c r="BD817" s="90">
        <f t="shared" si="436"/>
        <v>2</v>
      </c>
      <c r="BE817" s="1">
        <f t="shared" si="428"/>
        <v>1</v>
      </c>
      <c r="BF817" s="1">
        <f t="shared" si="429"/>
        <v>1</v>
      </c>
    </row>
    <row r="818" spans="1:58" ht="11.25" customHeight="1">
      <c r="A818" s="26" t="s">
        <v>4036</v>
      </c>
      <c r="B818" s="27" t="s">
        <v>4037</v>
      </c>
      <c r="C818" s="28">
        <v>24.99</v>
      </c>
      <c r="D818" s="28">
        <f t="shared" si="410"/>
        <v>12.494999999999999</v>
      </c>
      <c r="E818" s="22" t="s">
        <v>3901</v>
      </c>
      <c r="F818" s="22" t="s">
        <v>4017</v>
      </c>
      <c r="G818" s="22" t="s">
        <v>1017</v>
      </c>
      <c r="H818" s="22" t="s">
        <v>4038</v>
      </c>
      <c r="I818" s="23" t="s">
        <v>4039</v>
      </c>
      <c r="J818" s="22" t="s">
        <v>670</v>
      </c>
      <c r="L818" s="23">
        <v>5</v>
      </c>
      <c r="M818" s="23">
        <v>5</v>
      </c>
      <c r="N818" s="3">
        <f t="shared" si="430"/>
        <v>1.25E-4</v>
      </c>
      <c r="O818" s="4" t="e">
        <f>(C818-(C818*#REF!))-((C818-(C818*#REF!))*#REF!)</f>
        <v>#REF!</v>
      </c>
      <c r="P818" s="7"/>
      <c r="Q818" s="7"/>
      <c r="R818" s="5">
        <f t="shared" si="431"/>
        <v>0</v>
      </c>
      <c r="S818" s="4">
        <f t="shared" si="432"/>
        <v>0</v>
      </c>
      <c r="T818" s="13">
        <f t="shared" si="414"/>
        <v>17.492999999999999</v>
      </c>
      <c r="U818" s="13">
        <f t="shared" si="426"/>
        <v>8.7464999999999993</v>
      </c>
      <c r="V818" s="14">
        <f>U818/C818</f>
        <v>0.35</v>
      </c>
      <c r="W818" s="14"/>
      <c r="X818" s="19">
        <f t="shared" si="433"/>
        <v>8.7464999999999993</v>
      </c>
      <c r="Y818" s="19">
        <f t="shared" si="434"/>
        <v>17.492999999999999</v>
      </c>
      <c r="Z818" s="15" t="e">
        <f t="shared" si="427"/>
        <v>#DIV/0!</v>
      </c>
      <c r="AA818" s="22" t="s">
        <v>4040</v>
      </c>
      <c r="AG818" s="94" t="s">
        <v>817</v>
      </c>
      <c r="AH818" s="89" t="str">
        <f>VLOOKUP(AG818,Sheet1!$B$3:$D$36,2,FALSE)</f>
        <v>Kitchen &amp; Dining</v>
      </c>
      <c r="AI818" s="89" t="s">
        <v>2821</v>
      </c>
      <c r="AJ818" s="1" t="str">
        <f t="shared" si="417"/>
        <v>Yelena shot crackle</v>
      </c>
      <c r="AK818" s="1" t="str">
        <f t="shared" si="418"/>
        <v>ø5 x h5 - vol. 20 m</v>
      </c>
      <c r="AL818" s="1" t="str">
        <f t="shared" si="419"/>
        <v>clear crackle glass #6</v>
      </c>
      <c r="AM818" s="1" t="str">
        <f t="shared" si="420"/>
        <v>clear crackle glass #6</v>
      </c>
      <c r="AN818" s="1" t="str">
        <f t="shared" si="421"/>
        <v>clear crackle glass #6</v>
      </c>
      <c r="AQ818" s="1" t="str">
        <f t="shared" si="422"/>
        <v>C</v>
      </c>
      <c r="AR818" s="1" t="str">
        <f>VLOOKUP(TRIM(AI818),Sheet1!$D$3:$E$36,2,FALSE)</f>
        <v>04</v>
      </c>
      <c r="AS818" s="90" t="str">
        <f t="shared" si="423"/>
        <v>01</v>
      </c>
      <c r="AT818" s="1" t="str">
        <f t="shared" si="424"/>
        <v>01</v>
      </c>
      <c r="AU818" s="90" t="s">
        <v>4041</v>
      </c>
      <c r="AV818" s="90"/>
      <c r="AW818" s="90"/>
      <c r="AX818" s="95" t="str">
        <f>AQ818&amp;AR818&amp;AS818&amp;"-"&amp;AT818&amp;AU818&amp;BA818</f>
        <v>C0401-0137</v>
      </c>
      <c r="AY818" s="99" t="str">
        <f>AQ818&amp;AR818&amp;AS818&amp;"-"&amp;AT818&amp;BA818</f>
        <v>C0401-01</v>
      </c>
      <c r="AZ818" s="90"/>
      <c r="BA818" s="1" t="str">
        <f t="shared" si="425"/>
        <v/>
      </c>
      <c r="BC818" s="1">
        <f t="shared" si="435"/>
        <v>1</v>
      </c>
      <c r="BD818" s="90">
        <f t="shared" si="436"/>
        <v>1</v>
      </c>
      <c r="BE818" s="1">
        <f t="shared" si="428"/>
        <v>1</v>
      </c>
      <c r="BF818" s="1">
        <f t="shared" si="429"/>
        <v>1</v>
      </c>
    </row>
    <row r="819" spans="1:58" ht="11.25" customHeight="1">
      <c r="A819" s="26" t="s">
        <v>4042</v>
      </c>
      <c r="B819" s="27" t="s">
        <v>4037</v>
      </c>
      <c r="C819" s="28">
        <v>26.99</v>
      </c>
      <c r="D819" s="28">
        <f t="shared" si="410"/>
        <v>13.494999999999999</v>
      </c>
      <c r="E819" s="22" t="s">
        <v>3901</v>
      </c>
      <c r="F819" s="22" t="s">
        <v>4021</v>
      </c>
      <c r="G819" s="22" t="s">
        <v>1017</v>
      </c>
      <c r="H819" s="22" t="s">
        <v>4035</v>
      </c>
      <c r="I819" s="23" t="s">
        <v>4039</v>
      </c>
      <c r="J819" s="22" t="s">
        <v>670</v>
      </c>
      <c r="L819" s="23">
        <v>6</v>
      </c>
      <c r="M819" s="23">
        <v>7</v>
      </c>
      <c r="N819" s="3">
        <f t="shared" si="430"/>
        <v>2.52E-4</v>
      </c>
      <c r="O819" s="4" t="e">
        <f>(C819-(C819*#REF!))-((C819-(C819*#REF!))*#REF!)</f>
        <v>#REF!</v>
      </c>
      <c r="P819" s="7"/>
      <c r="Q819" s="7"/>
      <c r="R819" s="5">
        <f t="shared" si="431"/>
        <v>0</v>
      </c>
      <c r="S819" s="4">
        <f t="shared" si="432"/>
        <v>0</v>
      </c>
      <c r="T819" s="13">
        <f t="shared" si="414"/>
        <v>18.893000000000001</v>
      </c>
      <c r="U819" s="13">
        <f t="shared" si="426"/>
        <v>9.4465000000000003</v>
      </c>
      <c r="V819" s="14">
        <f>U819/C819</f>
        <v>0.35000000000000003</v>
      </c>
      <c r="W819" s="14"/>
      <c r="X819" s="19">
        <f t="shared" si="433"/>
        <v>9.4465000000000003</v>
      </c>
      <c r="Y819" s="19">
        <f t="shared" si="434"/>
        <v>18.893000000000001</v>
      </c>
      <c r="Z819" s="15" t="e">
        <f t="shared" si="427"/>
        <v>#DIV/0!</v>
      </c>
      <c r="AA819" s="22" t="s">
        <v>4043</v>
      </c>
      <c r="AG819" s="94" t="s">
        <v>817</v>
      </c>
      <c r="AH819" s="89" t="str">
        <f>VLOOKUP(AG819,Sheet1!$B$3:$D$36,2,FALSE)</f>
        <v>Kitchen &amp; Dining</v>
      </c>
      <c r="AI819" s="89" t="s">
        <v>2821</v>
      </c>
      <c r="AJ819" s="1" t="str">
        <f t="shared" si="417"/>
        <v>Yelena shot crackle</v>
      </c>
      <c r="AK819" s="1" t="str">
        <f t="shared" si="418"/>
        <v>ø6 x h7 - vol. 70 ml</v>
      </c>
      <c r="AL819" s="1" t="str">
        <f t="shared" si="419"/>
        <v>clear crackle glass #6</v>
      </c>
      <c r="AM819" s="1" t="str">
        <f t="shared" si="420"/>
        <v>clear crackle glass #6</v>
      </c>
      <c r="AN819" s="1" t="str">
        <f t="shared" si="421"/>
        <v>clear crackle glass #6</v>
      </c>
      <c r="AQ819" s="1" t="str">
        <f t="shared" si="422"/>
        <v>C</v>
      </c>
      <c r="AR819" s="1" t="str">
        <f>VLOOKUP(TRIM(AI819),Sheet1!$D$3:$E$36,2,FALSE)</f>
        <v>04</v>
      </c>
      <c r="AS819" s="90" t="str">
        <f t="shared" si="423"/>
        <v>02</v>
      </c>
      <c r="AT819" s="1" t="str">
        <f t="shared" si="424"/>
        <v>01</v>
      </c>
      <c r="AU819" s="90" t="s">
        <v>4041</v>
      </c>
      <c r="AV819" s="90"/>
      <c r="AW819" s="90"/>
      <c r="AX819" s="95" t="str">
        <f>AQ819&amp;AR819&amp;AS819&amp;"-"&amp;AT819&amp;AU819&amp;BA819</f>
        <v>C0402-0137</v>
      </c>
      <c r="AY819" s="99" t="str">
        <f>AQ819&amp;AR819&amp;AS819&amp;"-"&amp;AT819&amp;BA819</f>
        <v>C0402-01</v>
      </c>
      <c r="AZ819" s="90"/>
      <c r="BA819" s="1" t="str">
        <f t="shared" si="425"/>
        <v/>
      </c>
      <c r="BC819" s="1" t="str">
        <f t="shared" si="435"/>
        <v/>
      </c>
      <c r="BD819" s="90">
        <f t="shared" si="436"/>
        <v>2</v>
      </c>
      <c r="BE819" s="1">
        <f t="shared" si="428"/>
        <v>1</v>
      </c>
      <c r="BF819" s="1">
        <f t="shared" si="429"/>
        <v>1</v>
      </c>
    </row>
    <row r="820" spans="1:58" ht="11.25" customHeight="1">
      <c r="A820" s="26" t="s">
        <v>4044</v>
      </c>
      <c r="B820" s="27" t="s">
        <v>4045</v>
      </c>
      <c r="C820" s="28">
        <v>24.99</v>
      </c>
      <c r="D820" s="28">
        <f t="shared" si="410"/>
        <v>12.494999999999999</v>
      </c>
      <c r="E820" s="22" t="s">
        <v>3901</v>
      </c>
      <c r="F820" s="22" t="s">
        <v>4046</v>
      </c>
      <c r="G820" s="22" t="s">
        <v>956</v>
      </c>
      <c r="H820" s="22" t="s">
        <v>4047</v>
      </c>
      <c r="I820" s="23" t="s">
        <v>3905</v>
      </c>
      <c r="J820" s="22" t="s">
        <v>670</v>
      </c>
      <c r="L820" s="23">
        <v>8</v>
      </c>
      <c r="M820" s="23">
        <v>8</v>
      </c>
      <c r="N820" s="3">
        <f t="shared" si="430"/>
        <v>5.1199999999999998E-4</v>
      </c>
      <c r="O820" s="4" t="e">
        <f>(C820-(C820*#REF!))-((C820-(C820*#REF!))*#REF!)</f>
        <v>#REF!</v>
      </c>
      <c r="P820" s="7"/>
      <c r="Q820" s="7"/>
      <c r="R820" s="5">
        <f t="shared" si="431"/>
        <v>0</v>
      </c>
      <c r="S820" s="4">
        <f t="shared" si="432"/>
        <v>0</v>
      </c>
      <c r="T820" s="13">
        <f t="shared" si="414"/>
        <v>17.492999999999999</v>
      </c>
      <c r="U820" s="13">
        <f t="shared" si="426"/>
        <v>8.7464999999999993</v>
      </c>
      <c r="V820" s="14">
        <f>U820/C820</f>
        <v>0.35</v>
      </c>
      <c r="W820" s="14"/>
      <c r="X820" s="19">
        <f t="shared" si="433"/>
        <v>8.7464999999999993</v>
      </c>
      <c r="Y820" s="19">
        <f t="shared" si="434"/>
        <v>17.492999999999999</v>
      </c>
      <c r="Z820" s="15" t="e">
        <f t="shared" si="427"/>
        <v>#DIV/0!</v>
      </c>
      <c r="AA820" s="22" t="s">
        <v>4048</v>
      </c>
      <c r="AG820" s="94" t="s">
        <v>817</v>
      </c>
      <c r="AH820" s="89" t="str">
        <f>VLOOKUP(AG820,Sheet1!$B$3:$D$36,2,FALSE)</f>
        <v>Kitchen &amp; Dining</v>
      </c>
      <c r="AI820" s="89" t="s">
        <v>2821</v>
      </c>
      <c r="AJ820" s="1" t="str">
        <f t="shared" si="417"/>
        <v>Yelena cup clear</v>
      </c>
      <c r="AK820" s="1" t="str">
        <f t="shared" si="418"/>
        <v>ø8 x h8 - vol. 200 ml</v>
      </c>
      <c r="AL820" s="1" t="str">
        <f t="shared" si="419"/>
        <v>clear glass # 6</v>
      </c>
      <c r="AM820" s="1" t="str">
        <f t="shared" si="420"/>
        <v>clear glass # 6</v>
      </c>
      <c r="AN820" s="1" t="str">
        <f t="shared" si="421"/>
        <v>clear glass # 6</v>
      </c>
      <c r="AQ820" s="1" t="str">
        <f t="shared" si="422"/>
        <v>C</v>
      </c>
      <c r="AR820" s="1" t="str">
        <f>VLOOKUP(TRIM(AI820),Sheet1!$D$3:$E$36,2,FALSE)</f>
        <v>04</v>
      </c>
      <c r="AS820" s="90" t="str">
        <f t="shared" si="423"/>
        <v>01</v>
      </c>
      <c r="AT820" s="1" t="str">
        <f t="shared" si="424"/>
        <v>01</v>
      </c>
      <c r="AU820" s="90" t="s">
        <v>2567</v>
      </c>
      <c r="AV820" s="90"/>
      <c r="AW820" s="90"/>
      <c r="AX820" s="95" t="str">
        <f>AQ820&amp;AR820&amp;AS820&amp;"-"&amp;AT820&amp;AU820&amp;BA820</f>
        <v>C0401-0138</v>
      </c>
      <c r="AY820" s="99" t="str">
        <f>AQ820&amp;AR820&amp;AS820&amp;"-"&amp;AT820&amp;BA820</f>
        <v>C0401-01</v>
      </c>
      <c r="AZ820" s="90"/>
      <c r="BA820" s="1" t="str">
        <f t="shared" si="425"/>
        <v/>
      </c>
      <c r="BC820" s="1">
        <f t="shared" si="435"/>
        <v>1</v>
      </c>
      <c r="BD820" s="90">
        <f t="shared" si="436"/>
        <v>1</v>
      </c>
      <c r="BE820" s="1">
        <f t="shared" si="428"/>
        <v>1</v>
      </c>
      <c r="BF820" s="1">
        <f t="shared" si="429"/>
        <v>1</v>
      </c>
    </row>
    <row r="821" spans="1:58" ht="11.25" customHeight="1">
      <c r="A821" s="26" t="s">
        <v>4049</v>
      </c>
      <c r="B821" s="27" t="s">
        <v>4045</v>
      </c>
      <c r="C821" s="28">
        <v>38.99</v>
      </c>
      <c r="D821" s="28">
        <f t="shared" si="410"/>
        <v>19.495000000000001</v>
      </c>
      <c r="E821" s="22" t="s">
        <v>3901</v>
      </c>
      <c r="F821" s="22" t="s">
        <v>4050</v>
      </c>
      <c r="G821" s="22" t="s">
        <v>956</v>
      </c>
      <c r="H821" s="22" t="s">
        <v>4051</v>
      </c>
      <c r="I821" s="23" t="s">
        <v>3905</v>
      </c>
      <c r="J821" s="22" t="s">
        <v>670</v>
      </c>
      <c r="L821" s="23">
        <v>8</v>
      </c>
      <c r="M821" s="23">
        <v>12</v>
      </c>
      <c r="N821" s="3">
        <f t="shared" si="430"/>
        <v>7.6800000000000002E-4</v>
      </c>
      <c r="O821" s="4" t="e">
        <f>(C821-(C821*#REF!))-((C821-(C821*#REF!))*#REF!)</f>
        <v>#REF!</v>
      </c>
      <c r="P821" s="7"/>
      <c r="Q821" s="7"/>
      <c r="R821" s="5">
        <f t="shared" si="431"/>
        <v>0</v>
      </c>
      <c r="S821" s="4">
        <f t="shared" si="432"/>
        <v>0</v>
      </c>
      <c r="T821" s="13">
        <f t="shared" si="414"/>
        <v>27.292999999999999</v>
      </c>
      <c r="U821" s="13">
        <f t="shared" si="426"/>
        <v>13.6465</v>
      </c>
      <c r="V821" s="14">
        <f>U821/C821</f>
        <v>0.35</v>
      </c>
      <c r="W821" s="14"/>
      <c r="X821" s="19">
        <f t="shared" si="433"/>
        <v>13.6465</v>
      </c>
      <c r="Y821" s="19">
        <f t="shared" si="434"/>
        <v>27.292999999999999</v>
      </c>
      <c r="Z821" s="15" t="e">
        <f t="shared" si="427"/>
        <v>#DIV/0!</v>
      </c>
      <c r="AA821" s="22" t="s">
        <v>4052</v>
      </c>
      <c r="AG821" s="94" t="s">
        <v>817</v>
      </c>
      <c r="AH821" s="89" t="str">
        <f>VLOOKUP(AG821,Sheet1!$B$3:$D$36,2,FALSE)</f>
        <v>Kitchen &amp; Dining</v>
      </c>
      <c r="AI821" s="89" t="s">
        <v>2821</v>
      </c>
      <c r="AJ821" s="1" t="str">
        <f t="shared" si="417"/>
        <v>Yelena cup clear</v>
      </c>
      <c r="AK821" s="1" t="str">
        <f t="shared" si="418"/>
        <v>ø8 x h12 - vol. 400 ml</v>
      </c>
      <c r="AL821" s="1" t="str">
        <f t="shared" si="419"/>
        <v>clear glass # 6</v>
      </c>
      <c r="AM821" s="1" t="str">
        <f t="shared" si="420"/>
        <v>clear glass # 6</v>
      </c>
      <c r="AN821" s="1" t="str">
        <f t="shared" si="421"/>
        <v>clear glass # 6</v>
      </c>
      <c r="AQ821" s="1" t="str">
        <f t="shared" si="422"/>
        <v>C</v>
      </c>
      <c r="AR821" s="1" t="str">
        <f>VLOOKUP(TRIM(AI821),Sheet1!$D$3:$E$36,2,FALSE)</f>
        <v>04</v>
      </c>
      <c r="AS821" s="90" t="str">
        <f t="shared" si="423"/>
        <v>02</v>
      </c>
      <c r="AT821" s="1" t="str">
        <f t="shared" si="424"/>
        <v>01</v>
      </c>
      <c r="AU821" s="90" t="s">
        <v>2567</v>
      </c>
      <c r="AV821" s="90"/>
      <c r="AW821" s="90"/>
      <c r="AX821" s="95" t="str">
        <f>AQ821&amp;AR821&amp;AS821&amp;"-"&amp;AT821&amp;AU821&amp;BA821</f>
        <v>C0402-0138</v>
      </c>
      <c r="AY821" s="99" t="str">
        <f>AQ821&amp;AR821&amp;AS821&amp;"-"&amp;AT821&amp;BA821</f>
        <v>C0402-01</v>
      </c>
      <c r="AZ821" s="90"/>
      <c r="BA821" s="1" t="str">
        <f t="shared" si="425"/>
        <v/>
      </c>
      <c r="BC821" s="1" t="str">
        <f t="shared" si="435"/>
        <v/>
      </c>
      <c r="BD821" s="90">
        <f t="shared" si="436"/>
        <v>2</v>
      </c>
      <c r="BE821" s="1">
        <f t="shared" si="428"/>
        <v>1</v>
      </c>
      <c r="BF821" s="1">
        <f t="shared" si="429"/>
        <v>1</v>
      </c>
    </row>
    <row r="822" spans="1:58" ht="11.25" customHeight="1">
      <c r="A822" s="26" t="s">
        <v>4053</v>
      </c>
      <c r="B822" s="27" t="s">
        <v>4045</v>
      </c>
      <c r="C822" s="28">
        <v>33.99</v>
      </c>
      <c r="D822" s="28">
        <f t="shared" si="410"/>
        <v>16.995000000000001</v>
      </c>
      <c r="E822" s="22" t="s">
        <v>3901</v>
      </c>
      <c r="F822" s="22" t="s">
        <v>4054</v>
      </c>
      <c r="G822" s="22" t="s">
        <v>956</v>
      </c>
      <c r="H822" s="22" t="s">
        <v>4055</v>
      </c>
      <c r="I822" s="23" t="s">
        <v>3905</v>
      </c>
      <c r="J822" s="22" t="s">
        <v>670</v>
      </c>
      <c r="L822" s="23">
        <v>8</v>
      </c>
      <c r="M822" s="23">
        <v>16</v>
      </c>
      <c r="N822" s="3">
        <f t="shared" si="430"/>
        <v>1.024E-3</v>
      </c>
      <c r="O822" s="4" t="e">
        <f>(C822-(C822*#REF!))-((C822-(C822*#REF!))*#REF!)</f>
        <v>#REF!</v>
      </c>
      <c r="P822" s="7"/>
      <c r="Q822" s="7"/>
      <c r="R822" s="5">
        <f t="shared" si="431"/>
        <v>0</v>
      </c>
      <c r="S822" s="4">
        <f t="shared" si="432"/>
        <v>0</v>
      </c>
      <c r="T822" s="13">
        <f t="shared" si="414"/>
        <v>23.792999999999999</v>
      </c>
      <c r="U822" s="13">
        <f t="shared" si="426"/>
        <v>11.8965</v>
      </c>
      <c r="V822" s="14">
        <f>U822/C822</f>
        <v>0.35</v>
      </c>
      <c r="W822" s="14"/>
      <c r="X822" s="19">
        <f t="shared" si="433"/>
        <v>11.8965</v>
      </c>
      <c r="Y822" s="19">
        <f t="shared" si="434"/>
        <v>23.792999999999999</v>
      </c>
      <c r="Z822" s="15" t="e">
        <f t="shared" si="427"/>
        <v>#DIV/0!</v>
      </c>
      <c r="AA822" s="22" t="s">
        <v>4052</v>
      </c>
      <c r="AG822" s="94" t="s">
        <v>817</v>
      </c>
      <c r="AH822" s="89" t="str">
        <f>VLOOKUP(AG822,Sheet1!$B$3:$D$36,2,FALSE)</f>
        <v>Kitchen &amp; Dining</v>
      </c>
      <c r="AI822" s="89" t="s">
        <v>2821</v>
      </c>
      <c r="AJ822" s="1" t="str">
        <f t="shared" si="417"/>
        <v>Yelena cup clear</v>
      </c>
      <c r="AK822" s="1" t="str">
        <f t="shared" si="418"/>
        <v>ø8 x h16 - vol. 600 ml</v>
      </c>
      <c r="AL822" s="1" t="str">
        <f t="shared" si="419"/>
        <v>clear glass # 6</v>
      </c>
      <c r="AM822" s="1" t="str">
        <f t="shared" si="420"/>
        <v>clear glass # 6</v>
      </c>
      <c r="AN822" s="1" t="str">
        <f t="shared" si="421"/>
        <v>clear glass # 6</v>
      </c>
      <c r="AQ822" s="1" t="str">
        <f t="shared" si="422"/>
        <v>C</v>
      </c>
      <c r="AR822" s="1" t="str">
        <f>VLOOKUP(TRIM(AI822),Sheet1!$D$3:$E$36,2,FALSE)</f>
        <v>04</v>
      </c>
      <c r="AS822" s="90" t="str">
        <f t="shared" si="423"/>
        <v>03</v>
      </c>
      <c r="AT822" s="1" t="str">
        <f t="shared" si="424"/>
        <v>01</v>
      </c>
      <c r="AU822" s="90" t="s">
        <v>2567</v>
      </c>
      <c r="AV822" s="90"/>
      <c r="AW822" s="90"/>
      <c r="AX822" s="95" t="str">
        <f>AQ822&amp;AR822&amp;AS822&amp;"-"&amp;AT822&amp;AU822&amp;BA822</f>
        <v>C0403-0138</v>
      </c>
      <c r="AY822" s="99" t="str">
        <f>AQ822&amp;AR822&amp;AS822&amp;"-"&amp;AT822&amp;BA822</f>
        <v>C0403-01</v>
      </c>
      <c r="AZ822" s="90"/>
      <c r="BA822" s="1" t="str">
        <f t="shared" si="425"/>
        <v/>
      </c>
      <c r="BC822" s="1" t="str">
        <f t="shared" si="435"/>
        <v/>
      </c>
      <c r="BD822" s="90">
        <f t="shared" si="436"/>
        <v>3</v>
      </c>
      <c r="BE822" s="1">
        <f t="shared" si="428"/>
        <v>1</v>
      </c>
      <c r="BF822" s="1">
        <f t="shared" si="429"/>
        <v>1</v>
      </c>
    </row>
    <row r="823" spans="1:58" ht="11.25" customHeight="1">
      <c r="A823" s="26" t="s">
        <v>4056</v>
      </c>
      <c r="B823" s="27" t="s">
        <v>4057</v>
      </c>
      <c r="C823" s="28">
        <v>30.99</v>
      </c>
      <c r="D823" s="28">
        <f t="shared" si="410"/>
        <v>15.494999999999999</v>
      </c>
      <c r="E823" s="22" t="s">
        <v>3901</v>
      </c>
      <c r="F823" s="22" t="s">
        <v>4046</v>
      </c>
      <c r="G823" s="22" t="s">
        <v>959</v>
      </c>
      <c r="H823" s="22" t="s">
        <v>4058</v>
      </c>
      <c r="I823" s="23" t="s">
        <v>4059</v>
      </c>
      <c r="J823" s="22" t="s">
        <v>670</v>
      </c>
      <c r="L823" s="23">
        <v>8</v>
      </c>
      <c r="M823" s="23">
        <v>8</v>
      </c>
      <c r="N823" s="3">
        <f t="shared" si="430"/>
        <v>5.1199999999999998E-4</v>
      </c>
      <c r="O823" s="4" t="e">
        <f>(C823-(C823*#REF!))-((C823-(C823*#REF!))*#REF!)</f>
        <v>#REF!</v>
      </c>
      <c r="P823" s="7"/>
      <c r="Q823" s="7"/>
      <c r="R823" s="5">
        <f t="shared" si="431"/>
        <v>0</v>
      </c>
      <c r="S823" s="4">
        <f t="shared" si="432"/>
        <v>0</v>
      </c>
      <c r="T823" s="13">
        <f t="shared" si="414"/>
        <v>21.692999999999998</v>
      </c>
      <c r="U823" s="13">
        <f t="shared" si="426"/>
        <v>10.846499999999999</v>
      </c>
      <c r="V823" s="14">
        <f>U823/C823</f>
        <v>0.35</v>
      </c>
      <c r="W823" s="14"/>
      <c r="X823" s="19">
        <f t="shared" si="433"/>
        <v>10.846499999999999</v>
      </c>
      <c r="Y823" s="19">
        <f t="shared" si="434"/>
        <v>21.692999999999998</v>
      </c>
      <c r="Z823" s="15" t="e">
        <f t="shared" si="427"/>
        <v>#DIV/0!</v>
      </c>
      <c r="AA823" s="22" t="s">
        <v>4060</v>
      </c>
      <c r="AG823" s="94" t="s">
        <v>817</v>
      </c>
      <c r="AH823" s="89" t="str">
        <f>VLOOKUP(AG823,Sheet1!$B$3:$D$36,2,FALSE)</f>
        <v>Kitchen &amp; Dining</v>
      </c>
      <c r="AI823" s="89" t="s">
        <v>2821</v>
      </c>
      <c r="AJ823" s="1" t="str">
        <f t="shared" si="417"/>
        <v>Yelena cup clear snow</v>
      </c>
      <c r="AK823" s="1" t="str">
        <f t="shared" si="418"/>
        <v>ø8 x h8 - vol. 200 ml</v>
      </c>
      <c r="AL823" s="1" t="str">
        <f t="shared" si="419"/>
        <v>clear snow glass # 6</v>
      </c>
      <c r="AM823" s="1" t="str">
        <f t="shared" si="420"/>
        <v>clear snow glass # 6</v>
      </c>
      <c r="AN823" s="1" t="str">
        <f t="shared" si="421"/>
        <v>clear snow glass # 6</v>
      </c>
      <c r="AQ823" s="1" t="str">
        <f t="shared" si="422"/>
        <v>C</v>
      </c>
      <c r="AR823" s="1" t="str">
        <f>VLOOKUP(TRIM(AI823),Sheet1!$D$3:$E$36,2,FALSE)</f>
        <v>04</v>
      </c>
      <c r="AS823" s="90" t="str">
        <f t="shared" si="423"/>
        <v>01</v>
      </c>
      <c r="AT823" s="1" t="str">
        <f t="shared" si="424"/>
        <v>01</v>
      </c>
      <c r="AU823" s="90" t="s">
        <v>2567</v>
      </c>
      <c r="AV823" s="90"/>
      <c r="AW823" s="90"/>
      <c r="AX823" s="95" t="str">
        <f>AQ823&amp;AR823&amp;AS823&amp;"-"&amp;AT823&amp;AU823&amp;BA823</f>
        <v>C0401-0138</v>
      </c>
      <c r="AY823" s="99" t="str">
        <f>AQ823&amp;AR823&amp;AS823&amp;"-"&amp;AT823&amp;BA823</f>
        <v>C0401-01</v>
      </c>
      <c r="AZ823" s="90"/>
      <c r="BA823" s="1" t="str">
        <f t="shared" si="425"/>
        <v/>
      </c>
      <c r="BC823" s="1">
        <f t="shared" si="435"/>
        <v>1</v>
      </c>
      <c r="BD823" s="90">
        <f t="shared" si="436"/>
        <v>1</v>
      </c>
      <c r="BE823" s="1">
        <f t="shared" si="428"/>
        <v>1</v>
      </c>
      <c r="BF823" s="1">
        <f t="shared" si="429"/>
        <v>1</v>
      </c>
    </row>
    <row r="824" spans="1:58" ht="11.25" customHeight="1">
      <c r="A824" s="26" t="s">
        <v>4061</v>
      </c>
      <c r="B824" s="27" t="s">
        <v>4057</v>
      </c>
      <c r="C824" s="28">
        <v>36.99</v>
      </c>
      <c r="D824" s="28">
        <f t="shared" si="410"/>
        <v>18.495000000000001</v>
      </c>
      <c r="E824" s="22" t="s">
        <v>3901</v>
      </c>
      <c r="F824" s="22" t="s">
        <v>4050</v>
      </c>
      <c r="G824" s="22" t="s">
        <v>959</v>
      </c>
      <c r="H824" s="22" t="s">
        <v>4062</v>
      </c>
      <c r="I824" s="23" t="s">
        <v>4059</v>
      </c>
      <c r="J824" s="22" t="s">
        <v>670</v>
      </c>
      <c r="L824" s="23">
        <v>8</v>
      </c>
      <c r="M824" s="23">
        <v>12</v>
      </c>
      <c r="N824" s="3">
        <f t="shared" si="430"/>
        <v>7.6800000000000002E-4</v>
      </c>
      <c r="O824" s="4" t="e">
        <f>(C824-(C824*#REF!))-((C824-(C824*#REF!))*#REF!)</f>
        <v>#REF!</v>
      </c>
      <c r="P824" s="7"/>
      <c r="Q824" s="7"/>
      <c r="R824" s="5">
        <f t="shared" si="431"/>
        <v>0</v>
      </c>
      <c r="S824" s="4">
        <f t="shared" si="432"/>
        <v>0</v>
      </c>
      <c r="T824" s="13">
        <f t="shared" si="414"/>
        <v>25.893000000000001</v>
      </c>
      <c r="U824" s="13">
        <f t="shared" si="426"/>
        <v>12.9465</v>
      </c>
      <c r="V824" s="14">
        <f>U824/C824</f>
        <v>0.35</v>
      </c>
      <c r="W824" s="14"/>
      <c r="X824" s="19">
        <f t="shared" si="433"/>
        <v>12.9465</v>
      </c>
      <c r="Y824" s="19">
        <f t="shared" si="434"/>
        <v>25.893000000000001</v>
      </c>
      <c r="Z824" s="15" t="e">
        <f t="shared" si="427"/>
        <v>#DIV/0!</v>
      </c>
      <c r="AA824" s="22" t="s">
        <v>4063</v>
      </c>
      <c r="AG824" s="94" t="s">
        <v>817</v>
      </c>
      <c r="AH824" s="89" t="str">
        <f>VLOOKUP(AG824,Sheet1!$B$3:$D$36,2,FALSE)</f>
        <v>Kitchen &amp; Dining</v>
      </c>
      <c r="AI824" s="89" t="s">
        <v>2821</v>
      </c>
      <c r="AJ824" s="1" t="str">
        <f t="shared" si="417"/>
        <v>Yelena cup clear snow</v>
      </c>
      <c r="AK824" s="1" t="str">
        <f t="shared" si="418"/>
        <v>ø8 x h12 - vol. 400 ml</v>
      </c>
      <c r="AL824" s="1" t="str">
        <f t="shared" si="419"/>
        <v>clear snow glass # 6</v>
      </c>
      <c r="AM824" s="1" t="str">
        <f t="shared" si="420"/>
        <v>clear snow glass # 6</v>
      </c>
      <c r="AN824" s="1" t="str">
        <f t="shared" si="421"/>
        <v>clear snow glass # 6</v>
      </c>
      <c r="AQ824" s="1" t="str">
        <f t="shared" si="422"/>
        <v>C</v>
      </c>
      <c r="AR824" s="1" t="str">
        <f>VLOOKUP(TRIM(AI824),Sheet1!$D$3:$E$36,2,FALSE)</f>
        <v>04</v>
      </c>
      <c r="AS824" s="90" t="str">
        <f t="shared" si="423"/>
        <v>02</v>
      </c>
      <c r="AT824" s="1" t="str">
        <f t="shared" si="424"/>
        <v>01</v>
      </c>
      <c r="AU824" s="90" t="s">
        <v>2567</v>
      </c>
      <c r="AV824" s="90"/>
      <c r="AW824" s="90"/>
      <c r="AX824" s="95" t="str">
        <f>AQ824&amp;AR824&amp;AS824&amp;"-"&amp;AT824&amp;AU824&amp;BA824</f>
        <v>C0402-0138</v>
      </c>
      <c r="AY824" s="99" t="str">
        <f>AQ824&amp;AR824&amp;AS824&amp;"-"&amp;AT824&amp;BA824</f>
        <v>C0402-01</v>
      </c>
      <c r="AZ824" s="90"/>
      <c r="BA824" s="1" t="str">
        <f t="shared" si="425"/>
        <v/>
      </c>
      <c r="BC824" s="1" t="str">
        <f t="shared" si="435"/>
        <v/>
      </c>
      <c r="BD824" s="90">
        <f t="shared" si="436"/>
        <v>2</v>
      </c>
      <c r="BE824" s="1">
        <f t="shared" si="428"/>
        <v>1</v>
      </c>
      <c r="BF824" s="1">
        <f t="shared" si="429"/>
        <v>1</v>
      </c>
    </row>
    <row r="825" spans="1:58" ht="11.25" customHeight="1">
      <c r="A825" s="26" t="s">
        <v>4064</v>
      </c>
      <c r="B825" s="27" t="s">
        <v>4057</v>
      </c>
      <c r="C825" s="28">
        <v>41.99</v>
      </c>
      <c r="D825" s="28">
        <f t="shared" si="410"/>
        <v>20.995000000000001</v>
      </c>
      <c r="E825" s="22" t="s">
        <v>3901</v>
      </c>
      <c r="F825" s="22" t="s">
        <v>4054</v>
      </c>
      <c r="G825" s="22" t="s">
        <v>959</v>
      </c>
      <c r="H825" s="22" t="s">
        <v>4055</v>
      </c>
      <c r="I825" s="23" t="s">
        <v>4059</v>
      </c>
      <c r="J825" s="22" t="s">
        <v>670</v>
      </c>
      <c r="L825" s="23">
        <v>8</v>
      </c>
      <c r="M825" s="23">
        <v>16</v>
      </c>
      <c r="N825" s="3">
        <f t="shared" si="430"/>
        <v>1.024E-3</v>
      </c>
      <c r="O825" s="4" t="e">
        <f>(C825-(C825*#REF!))-((C825-(C825*#REF!))*#REF!)</f>
        <v>#REF!</v>
      </c>
      <c r="P825" s="7"/>
      <c r="Q825" s="7"/>
      <c r="R825" s="5">
        <f t="shared" si="431"/>
        <v>0</v>
      </c>
      <c r="S825" s="4">
        <f t="shared" si="432"/>
        <v>0</v>
      </c>
      <c r="T825" s="13">
        <f t="shared" si="414"/>
        <v>29.393000000000001</v>
      </c>
      <c r="U825" s="13">
        <f t="shared" si="426"/>
        <v>14.6965</v>
      </c>
      <c r="V825" s="14">
        <f>U825/C825</f>
        <v>0.35</v>
      </c>
      <c r="W825" s="14"/>
      <c r="X825" s="19">
        <f t="shared" si="433"/>
        <v>14.6965</v>
      </c>
      <c r="Y825" s="19">
        <f t="shared" si="434"/>
        <v>29.393000000000001</v>
      </c>
      <c r="Z825" s="15" t="e">
        <f t="shared" si="427"/>
        <v>#DIV/0!</v>
      </c>
      <c r="AA825" s="22" t="s">
        <v>4065</v>
      </c>
      <c r="AG825" s="94" t="s">
        <v>817</v>
      </c>
      <c r="AH825" s="89" t="str">
        <f>VLOOKUP(AG825,Sheet1!$B$3:$D$36,2,FALSE)</f>
        <v>Kitchen &amp; Dining</v>
      </c>
      <c r="AI825" s="89" t="s">
        <v>2821</v>
      </c>
      <c r="AJ825" s="1" t="str">
        <f t="shared" si="417"/>
        <v>Yelena cup clear snow</v>
      </c>
      <c r="AK825" s="1" t="str">
        <f t="shared" si="418"/>
        <v>ø8 x h16 - vol. 600 ml</v>
      </c>
      <c r="AL825" s="1" t="str">
        <f t="shared" si="419"/>
        <v>clear snow glass # 6</v>
      </c>
      <c r="AM825" s="1" t="str">
        <f t="shared" si="420"/>
        <v>clear snow glass # 6</v>
      </c>
      <c r="AN825" s="1" t="str">
        <f t="shared" si="421"/>
        <v>clear snow glass # 6</v>
      </c>
      <c r="AQ825" s="1" t="str">
        <f t="shared" si="422"/>
        <v>C</v>
      </c>
      <c r="AR825" s="1" t="str">
        <f>VLOOKUP(TRIM(AI825),Sheet1!$D$3:$E$36,2,FALSE)</f>
        <v>04</v>
      </c>
      <c r="AS825" s="90" t="str">
        <f t="shared" si="423"/>
        <v>03</v>
      </c>
      <c r="AT825" s="1" t="str">
        <f t="shared" si="424"/>
        <v>01</v>
      </c>
      <c r="AU825" s="90" t="s">
        <v>2567</v>
      </c>
      <c r="AV825" s="90"/>
      <c r="AW825" s="90"/>
      <c r="AX825" s="95" t="str">
        <f>AQ825&amp;AR825&amp;AS825&amp;"-"&amp;AT825&amp;AU825&amp;BA825</f>
        <v>C0403-0138</v>
      </c>
      <c r="AY825" s="99" t="str">
        <f>AQ825&amp;AR825&amp;AS825&amp;"-"&amp;AT825&amp;BA825</f>
        <v>C0403-01</v>
      </c>
      <c r="AZ825" s="90"/>
      <c r="BA825" s="1" t="str">
        <f t="shared" si="425"/>
        <v/>
      </c>
      <c r="BC825" s="1" t="str">
        <f t="shared" si="435"/>
        <v/>
      </c>
      <c r="BD825" s="90">
        <f t="shared" si="436"/>
        <v>3</v>
      </c>
      <c r="BE825" s="1">
        <f t="shared" si="428"/>
        <v>1</v>
      </c>
      <c r="BF825" s="1">
        <f t="shared" si="429"/>
        <v>1</v>
      </c>
    </row>
    <row r="826" spans="1:58" ht="11.25" customHeight="1">
      <c r="A826" s="26" t="s">
        <v>4066</v>
      </c>
      <c r="B826" s="27" t="s">
        <v>4067</v>
      </c>
      <c r="C826" s="28">
        <v>29.99</v>
      </c>
      <c r="D826" s="28">
        <f t="shared" si="410"/>
        <v>14.994999999999999</v>
      </c>
      <c r="E826" s="22" t="s">
        <v>3901</v>
      </c>
      <c r="F826" s="22" t="s">
        <v>4046</v>
      </c>
      <c r="G826" s="22" t="s">
        <v>968</v>
      </c>
      <c r="H826" s="22" t="s">
        <v>4047</v>
      </c>
      <c r="I826" s="23" t="s">
        <v>4068</v>
      </c>
      <c r="J826" s="22" t="s">
        <v>670</v>
      </c>
      <c r="L826" s="23">
        <v>8</v>
      </c>
      <c r="M826" s="23">
        <v>8</v>
      </c>
      <c r="N826" s="3">
        <f t="shared" si="430"/>
        <v>5.1199999999999998E-4</v>
      </c>
      <c r="O826" s="4" t="e">
        <f>(C826-(C826*#REF!))-((C826-(C826*#REF!))*#REF!)</f>
        <v>#REF!</v>
      </c>
      <c r="P826" s="7"/>
      <c r="Q826" s="7"/>
      <c r="R826" s="5">
        <f t="shared" si="431"/>
        <v>0</v>
      </c>
      <c r="S826" s="4">
        <f t="shared" si="432"/>
        <v>0</v>
      </c>
      <c r="T826" s="13">
        <f t="shared" si="414"/>
        <v>20.992999999999999</v>
      </c>
      <c r="U826" s="13">
        <f t="shared" si="426"/>
        <v>10.496499999999999</v>
      </c>
      <c r="V826" s="14">
        <f>U826/C826</f>
        <v>0.35</v>
      </c>
      <c r="W826" s="14"/>
      <c r="X826" s="19">
        <f t="shared" si="433"/>
        <v>10.496499999999999</v>
      </c>
      <c r="Y826" s="19">
        <f t="shared" si="434"/>
        <v>20.992999999999999</v>
      </c>
      <c r="Z826" s="15" t="e">
        <f t="shared" si="427"/>
        <v>#DIV/0!</v>
      </c>
      <c r="AA826" s="22" t="s">
        <v>4069</v>
      </c>
      <c r="AG826" s="94" t="s">
        <v>817</v>
      </c>
      <c r="AH826" s="89" t="str">
        <f>VLOOKUP(AG826,Sheet1!$B$3:$D$36,2,FALSE)</f>
        <v>Kitchen &amp; Dining</v>
      </c>
      <c r="AI826" s="89" t="s">
        <v>2821</v>
      </c>
      <c r="AJ826" s="1" t="str">
        <f t="shared" si="417"/>
        <v>Yelena cup crackle</v>
      </c>
      <c r="AK826" s="1" t="str">
        <f t="shared" si="418"/>
        <v>ø8 x h8 - vol. 200 ml</v>
      </c>
      <c r="AL826" s="1" t="str">
        <f t="shared" si="419"/>
        <v>clear crackle glass # 6</v>
      </c>
      <c r="AM826" s="1" t="str">
        <f t="shared" si="420"/>
        <v>clear crackle glass # 6</v>
      </c>
      <c r="AN826" s="1" t="str">
        <f t="shared" si="421"/>
        <v>clear crackle glass # 6</v>
      </c>
      <c r="AQ826" s="1" t="str">
        <f t="shared" si="422"/>
        <v>C</v>
      </c>
      <c r="AR826" s="1" t="str">
        <f>VLOOKUP(TRIM(AI826),Sheet1!$D$3:$E$36,2,FALSE)</f>
        <v>04</v>
      </c>
      <c r="AS826" s="90" t="str">
        <f t="shared" si="423"/>
        <v>01</v>
      </c>
      <c r="AT826" s="1" t="str">
        <f t="shared" si="424"/>
        <v>01</v>
      </c>
      <c r="AU826" s="90" t="s">
        <v>4041</v>
      </c>
      <c r="AV826" s="90"/>
      <c r="AW826" s="90"/>
      <c r="AX826" s="95" t="str">
        <f>AQ826&amp;AR826&amp;AS826&amp;"-"&amp;AT826&amp;AU826&amp;BA826</f>
        <v>C0401-0137</v>
      </c>
      <c r="AY826" s="99" t="str">
        <f>AQ826&amp;AR826&amp;AS826&amp;"-"&amp;AT826&amp;BA826</f>
        <v>C0401-01</v>
      </c>
      <c r="AZ826" s="90"/>
      <c r="BA826" s="1" t="str">
        <f t="shared" si="425"/>
        <v/>
      </c>
      <c r="BC826" s="1">
        <f t="shared" si="435"/>
        <v>1</v>
      </c>
      <c r="BD826" s="90">
        <f t="shared" si="436"/>
        <v>1</v>
      </c>
      <c r="BE826" s="1">
        <f t="shared" si="428"/>
        <v>1</v>
      </c>
      <c r="BF826" s="1">
        <f t="shared" si="429"/>
        <v>1</v>
      </c>
    </row>
    <row r="827" spans="1:58" ht="11.25" customHeight="1">
      <c r="A827" s="26" t="s">
        <v>4070</v>
      </c>
      <c r="B827" s="27" t="s">
        <v>4067</v>
      </c>
      <c r="C827" s="28">
        <v>38.99</v>
      </c>
      <c r="D827" s="28">
        <f t="shared" si="410"/>
        <v>19.495000000000001</v>
      </c>
      <c r="E827" s="22" t="s">
        <v>3901</v>
      </c>
      <c r="F827" s="22" t="s">
        <v>4050</v>
      </c>
      <c r="G827" s="22" t="s">
        <v>968</v>
      </c>
      <c r="H827" s="22" t="s">
        <v>4051</v>
      </c>
      <c r="I827" s="23" t="s">
        <v>4068</v>
      </c>
      <c r="J827" s="22" t="s">
        <v>670</v>
      </c>
      <c r="L827" s="23">
        <v>8</v>
      </c>
      <c r="M827" s="23">
        <v>12</v>
      </c>
      <c r="N827" s="3">
        <f t="shared" si="430"/>
        <v>7.6800000000000002E-4</v>
      </c>
      <c r="O827" s="4" t="e">
        <f>(C827-(C827*#REF!))-((C827-(C827*#REF!))*#REF!)</f>
        <v>#REF!</v>
      </c>
      <c r="P827" s="7"/>
      <c r="Q827" s="7"/>
      <c r="R827" s="5">
        <f t="shared" si="431"/>
        <v>0</v>
      </c>
      <c r="S827" s="4">
        <f t="shared" si="432"/>
        <v>0</v>
      </c>
      <c r="T827" s="13">
        <f t="shared" si="414"/>
        <v>27.292999999999999</v>
      </c>
      <c r="U827" s="13">
        <f t="shared" si="426"/>
        <v>13.6465</v>
      </c>
      <c r="V827" s="14">
        <f>U827/C827</f>
        <v>0.35</v>
      </c>
      <c r="W827" s="14"/>
      <c r="X827" s="19">
        <f t="shared" si="433"/>
        <v>13.6465</v>
      </c>
      <c r="Y827" s="19">
        <f t="shared" si="434"/>
        <v>27.292999999999999</v>
      </c>
      <c r="Z827" s="15" t="e">
        <f t="shared" si="427"/>
        <v>#DIV/0!</v>
      </c>
      <c r="AA827" s="22" t="s">
        <v>4069</v>
      </c>
      <c r="AG827" s="94" t="s">
        <v>817</v>
      </c>
      <c r="AH827" s="89" t="str">
        <f>VLOOKUP(AG827,Sheet1!$B$3:$D$36,2,FALSE)</f>
        <v>Kitchen &amp; Dining</v>
      </c>
      <c r="AI827" s="89" t="s">
        <v>2821</v>
      </c>
      <c r="AJ827" s="1" t="str">
        <f t="shared" si="417"/>
        <v>Yelena cup crackle</v>
      </c>
      <c r="AK827" s="1" t="str">
        <f t="shared" si="418"/>
        <v>ø8 x h12 - vol. 400 ml</v>
      </c>
      <c r="AL827" s="1" t="str">
        <f t="shared" si="419"/>
        <v>clear crackle glass # 6</v>
      </c>
      <c r="AM827" s="1" t="str">
        <f t="shared" si="420"/>
        <v>clear crackle glass # 6</v>
      </c>
      <c r="AN827" s="1" t="str">
        <f t="shared" si="421"/>
        <v>clear crackle glass # 6</v>
      </c>
      <c r="AQ827" s="1" t="str">
        <f t="shared" si="422"/>
        <v>C</v>
      </c>
      <c r="AR827" s="1" t="str">
        <f>VLOOKUP(TRIM(AI827),Sheet1!$D$3:$E$36,2,FALSE)</f>
        <v>04</v>
      </c>
      <c r="AS827" s="90" t="str">
        <f t="shared" si="423"/>
        <v>02</v>
      </c>
      <c r="AT827" s="1" t="str">
        <f t="shared" si="424"/>
        <v>01</v>
      </c>
      <c r="AU827" s="90" t="s">
        <v>4041</v>
      </c>
      <c r="AV827" s="90"/>
      <c r="AW827" s="90"/>
      <c r="AX827" s="95" t="str">
        <f>AQ827&amp;AR827&amp;AS827&amp;"-"&amp;AT827&amp;AU827&amp;BA827</f>
        <v>C0402-0137</v>
      </c>
      <c r="AY827" s="99" t="str">
        <f>AQ827&amp;AR827&amp;AS827&amp;"-"&amp;AT827&amp;BA827</f>
        <v>C0402-01</v>
      </c>
      <c r="AZ827" s="90"/>
      <c r="BA827" s="1" t="str">
        <f t="shared" si="425"/>
        <v/>
      </c>
      <c r="BC827" s="1" t="str">
        <f t="shared" si="435"/>
        <v/>
      </c>
      <c r="BD827" s="90">
        <f t="shared" si="436"/>
        <v>2</v>
      </c>
      <c r="BE827" s="1">
        <f t="shared" si="428"/>
        <v>1</v>
      </c>
      <c r="BF827" s="1">
        <f t="shared" si="429"/>
        <v>1</v>
      </c>
    </row>
    <row r="828" spans="1:58" ht="11.25" customHeight="1">
      <c r="A828" s="26" t="s">
        <v>4071</v>
      </c>
      <c r="B828" s="27" t="s">
        <v>4067</v>
      </c>
      <c r="C828" s="28">
        <v>40.99</v>
      </c>
      <c r="D828" s="28">
        <f t="shared" si="410"/>
        <v>20.495000000000001</v>
      </c>
      <c r="E828" s="22" t="s">
        <v>3901</v>
      </c>
      <c r="F828" s="22" t="s">
        <v>4054</v>
      </c>
      <c r="G828" s="22" t="s">
        <v>968</v>
      </c>
      <c r="H828" s="22" t="s">
        <v>4072</v>
      </c>
      <c r="I828" s="23" t="s">
        <v>4068</v>
      </c>
      <c r="J828" s="22" t="s">
        <v>670</v>
      </c>
      <c r="L828" s="23">
        <v>8</v>
      </c>
      <c r="M828" s="23">
        <v>16</v>
      </c>
      <c r="N828" s="3">
        <f t="shared" si="430"/>
        <v>1.024E-3</v>
      </c>
      <c r="O828" s="4" t="e">
        <f>(C828-(C828*#REF!))-((C828-(C828*#REF!))*#REF!)</f>
        <v>#REF!</v>
      </c>
      <c r="P828" s="7"/>
      <c r="Q828" s="7"/>
      <c r="R828" s="5">
        <f t="shared" si="431"/>
        <v>0</v>
      </c>
      <c r="S828" s="4">
        <f t="shared" si="432"/>
        <v>0</v>
      </c>
      <c r="T828" s="13">
        <f t="shared" si="414"/>
        <v>28.693000000000001</v>
      </c>
      <c r="U828" s="13">
        <f t="shared" si="426"/>
        <v>14.346500000000001</v>
      </c>
      <c r="V828" s="14">
        <f>U828/C828</f>
        <v>0.35</v>
      </c>
      <c r="W828" s="14"/>
      <c r="X828" s="19">
        <f t="shared" si="433"/>
        <v>14.346500000000001</v>
      </c>
      <c r="Y828" s="19">
        <f t="shared" si="434"/>
        <v>28.693000000000001</v>
      </c>
      <c r="Z828" s="15" t="e">
        <f t="shared" si="427"/>
        <v>#DIV/0!</v>
      </c>
      <c r="AA828" s="22" t="s">
        <v>4073</v>
      </c>
      <c r="AG828" s="94" t="s">
        <v>817</v>
      </c>
      <c r="AH828" s="89" t="str">
        <f>VLOOKUP(AG828,Sheet1!$B$3:$D$36,2,FALSE)</f>
        <v>Kitchen &amp; Dining</v>
      </c>
      <c r="AI828" s="89" t="s">
        <v>2821</v>
      </c>
      <c r="AJ828" s="1" t="str">
        <f t="shared" si="417"/>
        <v>Yelena cup crackle</v>
      </c>
      <c r="AK828" s="1" t="str">
        <f t="shared" si="418"/>
        <v>ø8 x h16 - vol. 600 ml</v>
      </c>
      <c r="AL828" s="1" t="str">
        <f t="shared" si="419"/>
        <v>clear crackle glass # 6</v>
      </c>
      <c r="AM828" s="1" t="str">
        <f t="shared" si="420"/>
        <v>clear crackle glass # 6</v>
      </c>
      <c r="AN828" s="1" t="str">
        <f t="shared" si="421"/>
        <v>clear crackle glass # 6</v>
      </c>
      <c r="AQ828" s="1" t="str">
        <f t="shared" si="422"/>
        <v>C</v>
      </c>
      <c r="AR828" s="1" t="str">
        <f>VLOOKUP(TRIM(AI828),Sheet1!$D$3:$E$36,2,FALSE)</f>
        <v>04</v>
      </c>
      <c r="AS828" s="90" t="str">
        <f t="shared" si="423"/>
        <v>03</v>
      </c>
      <c r="AT828" s="1" t="str">
        <f t="shared" si="424"/>
        <v>01</v>
      </c>
      <c r="AU828" s="90" t="s">
        <v>4041</v>
      </c>
      <c r="AV828" s="90"/>
      <c r="AW828" s="90"/>
      <c r="AX828" s="95" t="str">
        <f>AQ828&amp;AR828&amp;AS828&amp;"-"&amp;AT828&amp;AU828&amp;BA828</f>
        <v>C0403-0137</v>
      </c>
      <c r="AY828" s="99" t="str">
        <f>AQ828&amp;AR828&amp;AS828&amp;"-"&amp;AT828&amp;BA828</f>
        <v>C0403-01</v>
      </c>
      <c r="AZ828" s="90"/>
      <c r="BA828" s="1" t="str">
        <f t="shared" si="425"/>
        <v/>
      </c>
      <c r="BC828" s="1" t="str">
        <f t="shared" si="435"/>
        <v/>
      </c>
      <c r="BD828" s="90">
        <f t="shared" si="436"/>
        <v>3</v>
      </c>
      <c r="BE828" s="1">
        <f t="shared" si="428"/>
        <v>1</v>
      </c>
      <c r="BF828" s="1">
        <f t="shared" si="429"/>
        <v>1</v>
      </c>
    </row>
    <row r="829" spans="1:58" ht="11.25" customHeight="1">
      <c r="A829" s="26" t="s">
        <v>4074</v>
      </c>
      <c r="B829" s="27" t="s">
        <v>4075</v>
      </c>
      <c r="C829" s="28">
        <v>22.99</v>
      </c>
      <c r="D829" s="28">
        <f t="shared" si="410"/>
        <v>11.494999999999999</v>
      </c>
      <c r="E829" s="22" t="s">
        <v>3901</v>
      </c>
      <c r="F829" s="22" t="s">
        <v>4076</v>
      </c>
      <c r="G829" s="22" t="s">
        <v>456</v>
      </c>
      <c r="H829" s="22" t="s">
        <v>4077</v>
      </c>
      <c r="I829" s="23" t="s">
        <v>4068</v>
      </c>
      <c r="J829" s="22" t="s">
        <v>670</v>
      </c>
      <c r="L829" s="23">
        <v>7</v>
      </c>
      <c r="M829" s="23">
        <v>8</v>
      </c>
      <c r="N829" s="3">
        <f t="shared" si="430"/>
        <v>3.9199999999999999E-4</v>
      </c>
      <c r="O829" s="4" t="e">
        <f>(C829-(C829*#REF!))-((C829-(C829*#REF!))*#REF!)</f>
        <v>#REF!</v>
      </c>
      <c r="P829" s="7"/>
      <c r="Q829" s="7"/>
      <c r="R829" s="5">
        <f t="shared" si="431"/>
        <v>0</v>
      </c>
      <c r="S829" s="4">
        <f t="shared" si="432"/>
        <v>0</v>
      </c>
      <c r="T829" s="13">
        <f t="shared" si="414"/>
        <v>16.093</v>
      </c>
      <c r="U829" s="13">
        <f t="shared" si="426"/>
        <v>8.0465</v>
      </c>
      <c r="V829" s="14">
        <f>U829/C829</f>
        <v>0.35000000000000003</v>
      </c>
      <c r="W829" s="14"/>
      <c r="X829" s="19">
        <f t="shared" si="433"/>
        <v>8.0465</v>
      </c>
      <c r="Y829" s="19">
        <f t="shared" si="434"/>
        <v>16.093</v>
      </c>
      <c r="Z829" s="15" t="e">
        <f t="shared" si="427"/>
        <v>#DIV/0!</v>
      </c>
      <c r="AA829" s="22" t="s">
        <v>4078</v>
      </c>
      <c r="AG829" s="94" t="s">
        <v>817</v>
      </c>
      <c r="AH829" s="89" t="str">
        <f>VLOOKUP(AG829,Sheet1!$B$3:$D$36,2,FALSE)</f>
        <v>Kitchen &amp; Dining</v>
      </c>
      <c r="AI829" s="89" t="s">
        <v>2821</v>
      </c>
      <c r="AJ829" s="1" t="str">
        <f t="shared" si="417"/>
        <v>Looney cracked</v>
      </c>
      <c r="AK829" s="1" t="str">
        <f t="shared" si="418"/>
        <v>semi - ø7 x h8 - vol. 100 ml</v>
      </c>
      <c r="AL829" s="1" t="str">
        <f t="shared" si="419"/>
        <v>clear crackle glass # 6</v>
      </c>
      <c r="AM829" s="1" t="str">
        <f t="shared" si="420"/>
        <v>clear crackle glass # 6</v>
      </c>
      <c r="AN829" s="1" t="str">
        <f t="shared" si="421"/>
        <v>clear crackle glass # 6</v>
      </c>
      <c r="AQ829" s="1" t="str">
        <f t="shared" si="422"/>
        <v>C</v>
      </c>
      <c r="AR829" s="1" t="str">
        <f>VLOOKUP(TRIM(AI829),Sheet1!$D$3:$E$36,2,FALSE)</f>
        <v>04</v>
      </c>
      <c r="AS829" s="90" t="str">
        <f t="shared" si="423"/>
        <v>01</v>
      </c>
      <c r="AT829" s="1" t="str">
        <f t="shared" si="424"/>
        <v>01</v>
      </c>
      <c r="AU829" s="90" t="s">
        <v>4041</v>
      </c>
      <c r="AV829" s="90"/>
      <c r="AW829" s="90"/>
      <c r="AX829" s="95" t="str">
        <f>AQ829&amp;AR829&amp;AS829&amp;"-"&amp;AT829&amp;AU829&amp;BA829</f>
        <v>C0401-0137</v>
      </c>
      <c r="AY829" s="99" t="str">
        <f>AQ829&amp;AR829&amp;AS829&amp;"-"&amp;AT829&amp;BA829</f>
        <v>C0401-01</v>
      </c>
      <c r="AZ829" s="90"/>
      <c r="BA829" s="1" t="str">
        <f t="shared" si="425"/>
        <v/>
      </c>
      <c r="BC829" s="1">
        <f t="shared" si="435"/>
        <v>1</v>
      </c>
      <c r="BD829" s="90">
        <f t="shared" si="436"/>
        <v>1</v>
      </c>
      <c r="BE829" s="1">
        <f t="shared" si="428"/>
        <v>1</v>
      </c>
      <c r="BF829" s="1">
        <f t="shared" si="429"/>
        <v>1</v>
      </c>
    </row>
    <row r="830" spans="1:58" ht="11.25" customHeight="1">
      <c r="A830" s="26" t="s">
        <v>4079</v>
      </c>
      <c r="B830" s="27" t="s">
        <v>4075</v>
      </c>
      <c r="C830" s="28">
        <v>26.99</v>
      </c>
      <c r="D830" s="28">
        <f t="shared" si="410"/>
        <v>13.494999999999999</v>
      </c>
      <c r="E830" s="22" t="s">
        <v>3901</v>
      </c>
      <c r="F830" s="22" t="s">
        <v>4080</v>
      </c>
      <c r="G830" s="22" t="s">
        <v>456</v>
      </c>
      <c r="H830" s="22" t="s">
        <v>4081</v>
      </c>
      <c r="I830" s="23" t="s">
        <v>4068</v>
      </c>
      <c r="J830" s="22" t="s">
        <v>670</v>
      </c>
      <c r="L830" s="23">
        <v>8</v>
      </c>
      <c r="M830" s="23">
        <v>9</v>
      </c>
      <c r="N830" s="3">
        <f t="shared" si="430"/>
        <v>5.7600000000000001E-4</v>
      </c>
      <c r="O830" s="4" t="e">
        <f>(C830-(C830*#REF!))-((C830-(C830*#REF!))*#REF!)</f>
        <v>#REF!</v>
      </c>
      <c r="P830" s="7"/>
      <c r="Q830" s="7"/>
      <c r="R830" s="5">
        <f t="shared" si="431"/>
        <v>0</v>
      </c>
      <c r="S830" s="4">
        <f t="shared" si="432"/>
        <v>0</v>
      </c>
      <c r="T830" s="13">
        <f t="shared" si="414"/>
        <v>18.893000000000001</v>
      </c>
      <c r="U830" s="13">
        <f t="shared" si="426"/>
        <v>9.4465000000000003</v>
      </c>
      <c r="V830" s="14">
        <f>U830/C830</f>
        <v>0.35000000000000003</v>
      </c>
      <c r="W830" s="14"/>
      <c r="X830" s="19">
        <f t="shared" si="433"/>
        <v>9.4465000000000003</v>
      </c>
      <c r="Y830" s="19">
        <f t="shared" si="434"/>
        <v>18.893000000000001</v>
      </c>
      <c r="Z830" s="15" t="e">
        <f t="shared" si="427"/>
        <v>#DIV/0!</v>
      </c>
      <c r="AA830" s="22" t="s">
        <v>4082</v>
      </c>
      <c r="AG830" s="94" t="s">
        <v>817</v>
      </c>
      <c r="AH830" s="89" t="str">
        <f>VLOOKUP(AG830,Sheet1!$B$3:$D$36,2,FALSE)</f>
        <v>Kitchen &amp; Dining</v>
      </c>
      <c r="AI830" s="89" t="s">
        <v>2821</v>
      </c>
      <c r="AJ830" s="1" t="str">
        <f t="shared" si="417"/>
        <v>Looney cracked</v>
      </c>
      <c r="AK830" s="1" t="str">
        <f t="shared" si="418"/>
        <v>ø8 x h9 - vol. 200 ml</v>
      </c>
      <c r="AL830" s="1" t="str">
        <f t="shared" si="419"/>
        <v>clear crackle glass # 6</v>
      </c>
      <c r="AM830" s="1" t="str">
        <f t="shared" si="420"/>
        <v>clear crackle glass # 6</v>
      </c>
      <c r="AN830" s="1" t="str">
        <f t="shared" si="421"/>
        <v>clear crackle glass # 6</v>
      </c>
      <c r="AQ830" s="1" t="str">
        <f t="shared" si="422"/>
        <v>C</v>
      </c>
      <c r="AR830" s="1" t="str">
        <f>VLOOKUP(TRIM(AI830),Sheet1!$D$3:$E$36,2,FALSE)</f>
        <v>04</v>
      </c>
      <c r="AS830" s="90" t="str">
        <f t="shared" si="423"/>
        <v>02</v>
      </c>
      <c r="AT830" s="1" t="str">
        <f t="shared" si="424"/>
        <v>01</v>
      </c>
      <c r="AU830" s="90" t="s">
        <v>4041</v>
      </c>
      <c r="AV830" s="90"/>
      <c r="AW830" s="90"/>
      <c r="AX830" s="95" t="str">
        <f>AQ830&amp;AR830&amp;AS830&amp;"-"&amp;AT830&amp;AU830&amp;BA830</f>
        <v>C0402-0137</v>
      </c>
      <c r="AY830" s="99" t="str">
        <f>AQ830&amp;AR830&amp;AS830&amp;"-"&amp;AT830&amp;BA830</f>
        <v>C0402-01</v>
      </c>
      <c r="AZ830" s="90"/>
      <c r="BA830" s="1" t="str">
        <f t="shared" si="425"/>
        <v/>
      </c>
      <c r="BC830" s="1" t="str">
        <f t="shared" si="435"/>
        <v/>
      </c>
      <c r="BD830" s="90">
        <f t="shared" si="436"/>
        <v>2</v>
      </c>
      <c r="BE830" s="1">
        <f t="shared" si="428"/>
        <v>1</v>
      </c>
      <c r="BF830" s="1">
        <f t="shared" si="429"/>
        <v>1</v>
      </c>
    </row>
    <row r="831" spans="1:58" ht="11.25" customHeight="1">
      <c r="A831" s="26" t="s">
        <v>4083</v>
      </c>
      <c r="B831" s="27" t="s">
        <v>4075</v>
      </c>
      <c r="C831" s="28">
        <v>30.99</v>
      </c>
      <c r="D831" s="28">
        <f t="shared" si="410"/>
        <v>15.494999999999999</v>
      </c>
      <c r="E831" s="22" t="s">
        <v>3901</v>
      </c>
      <c r="F831" s="22" t="s">
        <v>4084</v>
      </c>
      <c r="G831" s="22" t="s">
        <v>456</v>
      </c>
      <c r="H831" s="22" t="s">
        <v>4085</v>
      </c>
      <c r="I831" s="23" t="s">
        <v>4068</v>
      </c>
      <c r="J831" s="22" t="s">
        <v>670</v>
      </c>
      <c r="L831" s="23">
        <v>9</v>
      </c>
      <c r="M831" s="23">
        <v>8</v>
      </c>
      <c r="N831" s="3">
        <f t="shared" si="430"/>
        <v>6.4800000000000003E-4</v>
      </c>
      <c r="O831" s="4" t="e">
        <f>(C831-(C831*#REF!))-((C831-(C831*#REF!))*#REF!)</f>
        <v>#REF!</v>
      </c>
      <c r="P831" s="7"/>
      <c r="Q831" s="7"/>
      <c r="R831" s="5">
        <f t="shared" si="431"/>
        <v>0</v>
      </c>
      <c r="S831" s="4">
        <f t="shared" si="432"/>
        <v>0</v>
      </c>
      <c r="T831" s="13">
        <f t="shared" si="414"/>
        <v>21.692999999999998</v>
      </c>
      <c r="U831" s="13">
        <f t="shared" si="426"/>
        <v>10.846499999999999</v>
      </c>
      <c r="V831" s="14">
        <f>U831/C831</f>
        <v>0.35</v>
      </c>
      <c r="W831" s="14"/>
      <c r="X831" s="19">
        <f t="shared" si="433"/>
        <v>10.846499999999999</v>
      </c>
      <c r="Y831" s="19">
        <f t="shared" si="434"/>
        <v>21.692999999999998</v>
      </c>
      <c r="Z831" s="15" t="e">
        <f t="shared" si="427"/>
        <v>#DIV/0!</v>
      </c>
      <c r="AA831" s="22" t="s">
        <v>4086</v>
      </c>
      <c r="AG831" s="94" t="s">
        <v>817</v>
      </c>
      <c r="AH831" s="89" t="str">
        <f>VLOOKUP(AG831,Sheet1!$B$3:$D$36,2,FALSE)</f>
        <v>Kitchen &amp; Dining</v>
      </c>
      <c r="AI831" s="89" t="s">
        <v>2821</v>
      </c>
      <c r="AJ831" s="1" t="str">
        <f t="shared" si="417"/>
        <v>Looney cracked</v>
      </c>
      <c r="AK831" s="1" t="str">
        <f t="shared" si="418"/>
        <v>ø9 x h8 - vol. 250 ml</v>
      </c>
      <c r="AL831" s="1" t="str">
        <f t="shared" si="419"/>
        <v>clear crackle glass # 6</v>
      </c>
      <c r="AM831" s="1" t="str">
        <f t="shared" si="420"/>
        <v>clear crackle glass # 6</v>
      </c>
      <c r="AN831" s="1" t="str">
        <f t="shared" si="421"/>
        <v>clear crackle glass # 6</v>
      </c>
      <c r="AQ831" s="1" t="str">
        <f t="shared" si="422"/>
        <v>C</v>
      </c>
      <c r="AR831" s="1" t="str">
        <f>VLOOKUP(TRIM(AI831),Sheet1!$D$3:$E$36,2,FALSE)</f>
        <v>04</v>
      </c>
      <c r="AS831" s="90" t="str">
        <f t="shared" si="423"/>
        <v>03</v>
      </c>
      <c r="AT831" s="1" t="str">
        <f t="shared" si="424"/>
        <v>01</v>
      </c>
      <c r="AU831" s="90" t="s">
        <v>4041</v>
      </c>
      <c r="AV831" s="90"/>
      <c r="AW831" s="90"/>
      <c r="AX831" s="95" t="str">
        <f>AQ831&amp;AR831&amp;AS831&amp;"-"&amp;AT831&amp;AU831&amp;BA831</f>
        <v>C0403-0137</v>
      </c>
      <c r="AY831" s="99" t="str">
        <f>AQ831&amp;AR831&amp;AS831&amp;"-"&amp;AT831&amp;BA831</f>
        <v>C0403-01</v>
      </c>
      <c r="AZ831" s="90"/>
      <c r="BA831" s="1" t="str">
        <f t="shared" si="425"/>
        <v/>
      </c>
      <c r="BC831" s="1" t="str">
        <f t="shared" si="435"/>
        <v/>
      </c>
      <c r="BD831" s="90">
        <f t="shared" si="436"/>
        <v>3</v>
      </c>
      <c r="BE831" s="1">
        <f t="shared" si="428"/>
        <v>1</v>
      </c>
      <c r="BF831" s="1">
        <f t="shared" si="429"/>
        <v>1</v>
      </c>
    </row>
    <row r="832" spans="1:58" ht="11.25" customHeight="1">
      <c r="A832" s="26" t="s">
        <v>4087</v>
      </c>
      <c r="B832" s="27" t="s">
        <v>4088</v>
      </c>
      <c r="C832" s="28">
        <v>39.99</v>
      </c>
      <c r="D832" s="28">
        <f t="shared" si="410"/>
        <v>19.995000000000001</v>
      </c>
      <c r="E832" s="22" t="s">
        <v>3901</v>
      </c>
      <c r="F832" s="22" t="s">
        <v>4089</v>
      </c>
      <c r="G832" s="22" t="s">
        <v>398</v>
      </c>
      <c r="H832" s="22" t="s">
        <v>4090</v>
      </c>
      <c r="I832" s="23" t="s">
        <v>3905</v>
      </c>
      <c r="J832" s="22" t="s">
        <v>670</v>
      </c>
      <c r="L832" s="23">
        <v>8.5</v>
      </c>
      <c r="M832" s="23">
        <v>11</v>
      </c>
      <c r="N832" s="3">
        <f t="shared" si="430"/>
        <v>7.9474999999999999E-4</v>
      </c>
      <c r="O832" s="4" t="e">
        <f>(C832-(C832*#REF!))-((C832-(C832*#REF!))*#REF!)</f>
        <v>#REF!</v>
      </c>
      <c r="P832" s="7"/>
      <c r="Q832" s="7"/>
      <c r="R832" s="5">
        <f t="shared" si="431"/>
        <v>0</v>
      </c>
      <c r="S832" s="4">
        <f t="shared" si="432"/>
        <v>0</v>
      </c>
      <c r="T832" s="13">
        <f t="shared" si="414"/>
        <v>27.993000000000002</v>
      </c>
      <c r="U832" s="13">
        <f t="shared" si="426"/>
        <v>13.996500000000001</v>
      </c>
      <c r="V832" s="14">
        <f>U832/C832</f>
        <v>0.35000000000000003</v>
      </c>
      <c r="W832" s="14"/>
      <c r="X832" s="19">
        <f t="shared" si="433"/>
        <v>13.996500000000001</v>
      </c>
      <c r="Y832" s="19">
        <f t="shared" si="434"/>
        <v>27.993000000000002</v>
      </c>
      <c r="Z832" s="15" t="e">
        <f t="shared" si="427"/>
        <v>#DIV/0!</v>
      </c>
      <c r="AA832" s="22" t="s">
        <v>4091</v>
      </c>
      <c r="AG832" s="94" t="s">
        <v>817</v>
      </c>
      <c r="AH832" s="89" t="str">
        <f>VLOOKUP(AG832,Sheet1!$B$3:$D$36,2,FALSE)</f>
        <v>Kitchen &amp; Dining</v>
      </c>
      <c r="AI832" s="89" t="s">
        <v>2821</v>
      </c>
      <c r="AJ832" s="1" t="str">
        <f t="shared" si="417"/>
        <v>Hena cup on foot</v>
      </c>
      <c r="AK832" s="1" t="str">
        <f t="shared" si="418"/>
        <v>semi - ø8.5 x h11 - vol. 50 ml</v>
      </c>
      <c r="AL832" s="1" t="str">
        <f t="shared" si="419"/>
        <v>clear glass # 6</v>
      </c>
      <c r="AM832" s="1" t="str">
        <f t="shared" si="420"/>
        <v>clear glass # 6</v>
      </c>
      <c r="AN832" s="1" t="str">
        <f t="shared" si="421"/>
        <v>clear glass # 6</v>
      </c>
      <c r="AQ832" s="1" t="str">
        <f t="shared" si="422"/>
        <v>C</v>
      </c>
      <c r="AR832" s="1" t="str">
        <f>VLOOKUP(TRIM(AI832),Sheet1!$D$3:$E$36,2,FALSE)</f>
        <v>04</v>
      </c>
      <c r="AS832" s="90" t="str">
        <f t="shared" si="423"/>
        <v>01</v>
      </c>
      <c r="AT832" s="1" t="str">
        <f t="shared" si="424"/>
        <v>01</v>
      </c>
      <c r="AU832" s="90" t="s">
        <v>2567</v>
      </c>
      <c r="AV832" s="90"/>
      <c r="AW832" s="90"/>
      <c r="AX832" s="95" t="str">
        <f>AQ832&amp;AR832&amp;AS832&amp;"-"&amp;AT832&amp;AU832&amp;BA832</f>
        <v>C0401-0138</v>
      </c>
      <c r="AY832" s="99" t="str">
        <f>AQ832&amp;AR832&amp;AS832&amp;"-"&amp;AT832&amp;BA832</f>
        <v>C0401-01</v>
      </c>
      <c r="AZ832" s="90"/>
      <c r="BA832" s="1" t="str">
        <f t="shared" si="425"/>
        <v/>
      </c>
      <c r="BC832" s="1">
        <f t="shared" si="435"/>
        <v>1</v>
      </c>
      <c r="BD832" s="90">
        <f t="shared" si="436"/>
        <v>1</v>
      </c>
      <c r="BE832" s="1">
        <f t="shared" si="428"/>
        <v>1</v>
      </c>
      <c r="BF832" s="1">
        <f t="shared" si="429"/>
        <v>1</v>
      </c>
    </row>
    <row r="833" spans="1:58" ht="11.25" customHeight="1">
      <c r="A833" s="26" t="s">
        <v>4092</v>
      </c>
      <c r="B833" s="27" t="s">
        <v>4088</v>
      </c>
      <c r="C833" s="28">
        <v>41.99</v>
      </c>
      <c r="D833" s="28">
        <f t="shared" si="410"/>
        <v>20.995000000000001</v>
      </c>
      <c r="E833" s="22" t="s">
        <v>3901</v>
      </c>
      <c r="F833" s="22" t="s">
        <v>4093</v>
      </c>
      <c r="G833" s="22" t="s">
        <v>398</v>
      </c>
      <c r="H833" s="22" t="s">
        <v>4094</v>
      </c>
      <c r="I833" s="23" t="s">
        <v>3905</v>
      </c>
      <c r="J833" s="22" t="s">
        <v>670</v>
      </c>
      <c r="L833" s="23">
        <v>8.5</v>
      </c>
      <c r="M833" s="23">
        <v>15</v>
      </c>
      <c r="N833" s="3">
        <f t="shared" si="430"/>
        <v>1.0837500000000001E-3</v>
      </c>
      <c r="O833" s="4" t="e">
        <f>(C833-(C833*#REF!))-((C833-(C833*#REF!))*#REF!)</f>
        <v>#REF!</v>
      </c>
      <c r="P833" s="7"/>
      <c r="Q833" s="7"/>
      <c r="R833" s="5">
        <f t="shared" si="431"/>
        <v>0</v>
      </c>
      <c r="S833" s="4">
        <f t="shared" si="432"/>
        <v>0</v>
      </c>
      <c r="T833" s="13">
        <f t="shared" si="414"/>
        <v>29.393000000000001</v>
      </c>
      <c r="U833" s="13">
        <f t="shared" si="426"/>
        <v>14.6965</v>
      </c>
      <c r="V833" s="14">
        <f>U833/C833</f>
        <v>0.35</v>
      </c>
      <c r="W833" s="14"/>
      <c r="X833" s="19">
        <f t="shared" si="433"/>
        <v>14.6965</v>
      </c>
      <c r="Y833" s="19">
        <f t="shared" si="434"/>
        <v>29.393000000000001</v>
      </c>
      <c r="Z833" s="15" t="e">
        <f t="shared" si="427"/>
        <v>#DIV/0!</v>
      </c>
      <c r="AA833" s="22" t="s">
        <v>4091</v>
      </c>
      <c r="AG833" s="94" t="s">
        <v>817</v>
      </c>
      <c r="AH833" s="89" t="str">
        <f>VLOOKUP(AG833,Sheet1!$B$3:$D$36,2,FALSE)</f>
        <v>Kitchen &amp; Dining</v>
      </c>
      <c r="AI833" s="89" t="s">
        <v>2821</v>
      </c>
      <c r="AJ833" s="1" t="str">
        <f t="shared" si="417"/>
        <v>Hena cup on foot</v>
      </c>
      <c r="AK833" s="1" t="str">
        <f t="shared" si="418"/>
        <v>ø8.5 x h15 - vol. 75 ml</v>
      </c>
      <c r="AL833" s="1" t="str">
        <f t="shared" si="419"/>
        <v>clear glass # 6</v>
      </c>
      <c r="AM833" s="1" t="str">
        <f t="shared" si="420"/>
        <v>clear glass # 6</v>
      </c>
      <c r="AN833" s="1" t="str">
        <f t="shared" si="421"/>
        <v>clear glass # 6</v>
      </c>
      <c r="AQ833" s="1" t="str">
        <f t="shared" si="422"/>
        <v>C</v>
      </c>
      <c r="AR833" s="1" t="str">
        <f>VLOOKUP(TRIM(AI833),Sheet1!$D$3:$E$36,2,FALSE)</f>
        <v>04</v>
      </c>
      <c r="AS833" s="90" t="str">
        <f t="shared" si="423"/>
        <v>02</v>
      </c>
      <c r="AT833" s="1" t="str">
        <f t="shared" si="424"/>
        <v>01</v>
      </c>
      <c r="AU833" s="90" t="s">
        <v>2567</v>
      </c>
      <c r="AV833" s="90"/>
      <c r="AW833" s="90"/>
      <c r="AX833" s="95" t="str">
        <f>AQ833&amp;AR833&amp;AS833&amp;"-"&amp;AT833&amp;AU833&amp;BA833</f>
        <v>C0402-0138</v>
      </c>
      <c r="AY833" s="99" t="str">
        <f>AQ833&amp;AR833&amp;AS833&amp;"-"&amp;AT833&amp;BA833</f>
        <v>C0402-01</v>
      </c>
      <c r="AZ833" s="90"/>
      <c r="BA833" s="1" t="str">
        <f t="shared" si="425"/>
        <v/>
      </c>
      <c r="BC833" s="1" t="str">
        <f t="shared" si="435"/>
        <v/>
      </c>
      <c r="BD833" s="90">
        <f t="shared" si="436"/>
        <v>2</v>
      </c>
      <c r="BE833" s="1">
        <f t="shared" si="428"/>
        <v>1</v>
      </c>
      <c r="BF833" s="1">
        <f t="shared" si="429"/>
        <v>1</v>
      </c>
    </row>
    <row r="834" spans="1:58" ht="11.25" customHeight="1">
      <c r="A834" s="26" t="s">
        <v>4095</v>
      </c>
      <c r="B834" s="27" t="s">
        <v>4088</v>
      </c>
      <c r="C834" s="28">
        <v>32.99</v>
      </c>
      <c r="D834" s="28">
        <f t="shared" si="410"/>
        <v>16.495000000000001</v>
      </c>
      <c r="E834" s="22" t="s">
        <v>3901</v>
      </c>
      <c r="F834" s="22" t="s">
        <v>4096</v>
      </c>
      <c r="G834" s="22" t="s">
        <v>398</v>
      </c>
      <c r="H834" s="22" t="s">
        <v>4097</v>
      </c>
      <c r="I834" s="23" t="s">
        <v>3905</v>
      </c>
      <c r="J834" s="22" t="s">
        <v>670</v>
      </c>
      <c r="L834" s="23">
        <v>7</v>
      </c>
      <c r="M834" s="23">
        <v>17</v>
      </c>
      <c r="N834" s="3">
        <f t="shared" si="430"/>
        <v>8.3299999999999997E-4</v>
      </c>
      <c r="O834" s="4" t="e">
        <f>(C834-(C834*#REF!))-((C834-(C834*#REF!))*#REF!)</f>
        <v>#REF!</v>
      </c>
      <c r="P834" s="7"/>
      <c r="Q834" s="7"/>
      <c r="R834" s="5">
        <f t="shared" si="431"/>
        <v>0</v>
      </c>
      <c r="S834" s="4">
        <f t="shared" si="432"/>
        <v>0</v>
      </c>
      <c r="T834" s="13">
        <f t="shared" si="414"/>
        <v>23.093000000000004</v>
      </c>
      <c r="U834" s="13">
        <f t="shared" si="426"/>
        <v>11.546500000000002</v>
      </c>
      <c r="V834" s="14">
        <f>U834/C834</f>
        <v>0.35000000000000003</v>
      </c>
      <c r="W834" s="14"/>
      <c r="X834" s="19">
        <f t="shared" si="433"/>
        <v>11.546500000000002</v>
      </c>
      <c r="Y834" s="19">
        <f t="shared" si="434"/>
        <v>23.093000000000004</v>
      </c>
      <c r="Z834" s="15" t="e">
        <f t="shared" si="427"/>
        <v>#DIV/0!</v>
      </c>
      <c r="AA834" s="22" t="s">
        <v>4098</v>
      </c>
      <c r="AG834" s="94" t="s">
        <v>817</v>
      </c>
      <c r="AH834" s="89" t="str">
        <f>VLOOKUP(AG834,Sheet1!$B$3:$D$36,2,FALSE)</f>
        <v>Kitchen &amp; Dining</v>
      </c>
      <c r="AI834" s="89" t="s">
        <v>2821</v>
      </c>
      <c r="AJ834" s="1" t="str">
        <f t="shared" si="417"/>
        <v>Hena cup on foot</v>
      </c>
      <c r="AK834" s="1" t="str">
        <f t="shared" si="418"/>
        <v>ø7 x h17 - vol. 75 ml</v>
      </c>
      <c r="AL834" s="1" t="str">
        <f t="shared" si="419"/>
        <v>clear glass # 6</v>
      </c>
      <c r="AM834" s="1" t="str">
        <f t="shared" si="420"/>
        <v>clear glass # 6</v>
      </c>
      <c r="AN834" s="1" t="str">
        <f t="shared" si="421"/>
        <v>clear glass # 6</v>
      </c>
      <c r="AQ834" s="1" t="str">
        <f t="shared" si="422"/>
        <v>C</v>
      </c>
      <c r="AR834" s="1" t="str">
        <f>VLOOKUP(TRIM(AI834),Sheet1!$D$3:$E$36,2,FALSE)</f>
        <v>04</v>
      </c>
      <c r="AS834" s="90" t="str">
        <f t="shared" si="423"/>
        <v>03</v>
      </c>
      <c r="AT834" s="1" t="str">
        <f t="shared" si="424"/>
        <v>01</v>
      </c>
      <c r="AU834" s="90" t="s">
        <v>2567</v>
      </c>
      <c r="AV834" s="90"/>
      <c r="AW834" s="90"/>
      <c r="AX834" s="95" t="str">
        <f>AQ834&amp;AR834&amp;AS834&amp;"-"&amp;AT834&amp;AU834&amp;BA834</f>
        <v>C0403-0138</v>
      </c>
      <c r="AY834" s="99" t="str">
        <f>AQ834&amp;AR834&amp;AS834&amp;"-"&amp;AT834&amp;BA834</f>
        <v>C0403-01</v>
      </c>
      <c r="AZ834" s="90"/>
      <c r="BA834" s="1" t="str">
        <f t="shared" si="425"/>
        <v/>
      </c>
      <c r="BC834" s="1" t="str">
        <f t="shared" si="435"/>
        <v/>
      </c>
      <c r="BD834" s="90">
        <f t="shared" si="436"/>
        <v>3</v>
      </c>
      <c r="BE834" s="1">
        <f t="shared" si="428"/>
        <v>1</v>
      </c>
      <c r="BF834" s="1">
        <f t="shared" si="429"/>
        <v>1</v>
      </c>
    </row>
    <row r="835" spans="1:58" ht="11.25" customHeight="1">
      <c r="A835" s="26" t="s">
        <v>4099</v>
      </c>
      <c r="B835" s="27" t="s">
        <v>4088</v>
      </c>
      <c r="C835" s="28">
        <v>41.99</v>
      </c>
      <c r="D835" s="28">
        <f t="shared" si="410"/>
        <v>20.995000000000001</v>
      </c>
      <c r="E835" s="22" t="s">
        <v>3901</v>
      </c>
      <c r="F835" s="22" t="s">
        <v>4100</v>
      </c>
      <c r="G835" s="22" t="s">
        <v>398</v>
      </c>
      <c r="H835" s="22" t="s">
        <v>4101</v>
      </c>
      <c r="I835" s="23" t="s">
        <v>3905</v>
      </c>
      <c r="J835" s="22" t="s">
        <v>670</v>
      </c>
      <c r="L835" s="23">
        <v>7</v>
      </c>
      <c r="M835" s="23">
        <v>19</v>
      </c>
      <c r="N835" s="3">
        <f t="shared" si="430"/>
        <v>9.3099999999999997E-4</v>
      </c>
      <c r="O835" s="4" t="e">
        <f>(C835-(C835*#REF!))-((C835-(C835*#REF!))*#REF!)</f>
        <v>#REF!</v>
      </c>
      <c r="P835" s="7"/>
      <c r="Q835" s="7"/>
      <c r="R835" s="5">
        <f t="shared" si="431"/>
        <v>0</v>
      </c>
      <c r="S835" s="4">
        <f t="shared" si="432"/>
        <v>0</v>
      </c>
      <c r="T835" s="13">
        <f t="shared" si="414"/>
        <v>29.393000000000001</v>
      </c>
      <c r="U835" s="13">
        <f t="shared" si="426"/>
        <v>14.6965</v>
      </c>
      <c r="V835" s="14">
        <f>U835/C835</f>
        <v>0.35</v>
      </c>
      <c r="W835" s="14"/>
      <c r="X835" s="19">
        <f t="shared" si="433"/>
        <v>14.6965</v>
      </c>
      <c r="Y835" s="19">
        <f t="shared" si="434"/>
        <v>29.393000000000001</v>
      </c>
      <c r="Z835" s="15" t="e">
        <f t="shared" si="427"/>
        <v>#DIV/0!</v>
      </c>
      <c r="AA835" s="22" t="s">
        <v>4091</v>
      </c>
      <c r="AG835" s="94" t="s">
        <v>817</v>
      </c>
      <c r="AH835" s="89" t="str">
        <f>VLOOKUP(AG835,Sheet1!$B$3:$D$36,2,FALSE)</f>
        <v>Kitchen &amp; Dining</v>
      </c>
      <c r="AI835" s="89" t="s">
        <v>2821</v>
      </c>
      <c r="AJ835" s="1" t="str">
        <f t="shared" si="417"/>
        <v>Hena cup on foot</v>
      </c>
      <c r="AK835" s="1" t="str">
        <f t="shared" si="418"/>
        <v>ø7 x h19 - vol. 100 ml</v>
      </c>
      <c r="AL835" s="1" t="str">
        <f t="shared" si="419"/>
        <v>clear glass # 6</v>
      </c>
      <c r="AM835" s="1" t="str">
        <f t="shared" si="420"/>
        <v>clear glass # 6</v>
      </c>
      <c r="AN835" s="1" t="str">
        <f t="shared" si="421"/>
        <v>clear glass # 6</v>
      </c>
      <c r="AQ835" s="1" t="str">
        <f t="shared" si="422"/>
        <v>C</v>
      </c>
      <c r="AR835" s="1" t="str">
        <f>VLOOKUP(TRIM(AI835),Sheet1!$D$3:$E$36,2,FALSE)</f>
        <v>04</v>
      </c>
      <c r="AS835" s="90" t="str">
        <f t="shared" si="423"/>
        <v>04</v>
      </c>
      <c r="AT835" s="1" t="str">
        <f t="shared" si="424"/>
        <v>01</v>
      </c>
      <c r="AU835" s="90" t="s">
        <v>2567</v>
      </c>
      <c r="AV835" s="90"/>
      <c r="AW835" s="90"/>
      <c r="AX835" s="95" t="str">
        <f>AQ835&amp;AR835&amp;AS835&amp;"-"&amp;AT835&amp;AU835&amp;BA835</f>
        <v>C0404-0138</v>
      </c>
      <c r="AY835" s="99" t="str">
        <f>AQ835&amp;AR835&amp;AS835&amp;"-"&amp;AT835&amp;BA835</f>
        <v>C0404-01</v>
      </c>
      <c r="AZ835" s="90"/>
      <c r="BA835" s="1" t="str">
        <f t="shared" si="425"/>
        <v/>
      </c>
      <c r="BC835" s="1" t="str">
        <f t="shared" si="435"/>
        <v/>
      </c>
      <c r="BD835" s="90">
        <f t="shared" si="436"/>
        <v>4</v>
      </c>
      <c r="BE835" s="1">
        <f t="shared" si="428"/>
        <v>1</v>
      </c>
      <c r="BF835" s="1">
        <f t="shared" si="429"/>
        <v>1</v>
      </c>
    </row>
    <row r="836" spans="1:58" ht="11.25" customHeight="1">
      <c r="A836" s="26" t="s">
        <v>4102</v>
      </c>
      <c r="B836" s="27" t="s">
        <v>4103</v>
      </c>
      <c r="C836" s="28">
        <v>38.99</v>
      </c>
      <c r="D836" s="28">
        <f t="shared" si="410"/>
        <v>19.495000000000001</v>
      </c>
      <c r="E836" s="22" t="s">
        <v>3901</v>
      </c>
      <c r="F836" s="22" t="s">
        <v>4104</v>
      </c>
      <c r="G836" s="22" t="s">
        <v>4105</v>
      </c>
      <c r="H836" s="22" t="s">
        <v>4106</v>
      </c>
      <c r="I836" s="23" t="s">
        <v>4107</v>
      </c>
      <c r="J836" s="22" t="s">
        <v>670</v>
      </c>
      <c r="L836" s="23">
        <v>10</v>
      </c>
      <c r="M836" s="23">
        <v>15</v>
      </c>
      <c r="N836" s="3">
        <f t="shared" si="430"/>
        <v>1.5E-3</v>
      </c>
      <c r="O836" s="4" t="e">
        <f>(C836-(C836*#REF!))-((C836-(C836*#REF!))*#REF!)</f>
        <v>#REF!</v>
      </c>
      <c r="P836" s="7"/>
      <c r="Q836" s="7"/>
      <c r="R836" s="5">
        <f t="shared" si="431"/>
        <v>0</v>
      </c>
      <c r="S836" s="4">
        <f t="shared" si="432"/>
        <v>0</v>
      </c>
      <c r="T836" s="13">
        <f t="shared" si="414"/>
        <v>27.292999999999999</v>
      </c>
      <c r="U836" s="13">
        <f t="shared" si="426"/>
        <v>13.6465</v>
      </c>
      <c r="V836" s="14">
        <f>U836/C836</f>
        <v>0.35</v>
      </c>
      <c r="W836" s="14"/>
      <c r="X836" s="19">
        <f t="shared" si="433"/>
        <v>13.6465</v>
      </c>
      <c r="Y836" s="19">
        <f t="shared" si="434"/>
        <v>27.292999999999999</v>
      </c>
      <c r="Z836" s="15" t="e">
        <f t="shared" si="427"/>
        <v>#DIV/0!</v>
      </c>
      <c r="AA836" s="22" t="s">
        <v>4108</v>
      </c>
      <c r="AG836" s="94" t="s">
        <v>817</v>
      </c>
      <c r="AH836" s="89" t="str">
        <f>VLOOKUP(AG836,Sheet1!$B$3:$D$36,2,FALSE)</f>
        <v>Kitchen &amp; Dining</v>
      </c>
      <c r="AI836" s="89" t="s">
        <v>2821</v>
      </c>
      <c r="AJ836" s="1" t="str">
        <f t="shared" si="417"/>
        <v>Pablo</v>
      </c>
      <c r="AK836" s="1" t="str">
        <f t="shared" si="418"/>
        <v>semi - ø10 x h15 - vol. 330 ml</v>
      </c>
      <c r="AL836" s="1" t="str">
        <f t="shared" si="419"/>
        <v>clear glass</v>
      </c>
      <c r="AM836" s="1" t="str">
        <f t="shared" si="420"/>
        <v>clear glass</v>
      </c>
      <c r="AN836" s="1" t="str">
        <f t="shared" si="421"/>
        <v>clear glass</v>
      </c>
      <c r="AQ836" s="1" t="str">
        <f t="shared" si="422"/>
        <v>C</v>
      </c>
      <c r="AR836" s="1" t="str">
        <f>VLOOKUP(TRIM(AI836),Sheet1!$D$3:$E$36,2,FALSE)</f>
        <v>04</v>
      </c>
      <c r="AS836" s="90" t="str">
        <f t="shared" si="423"/>
        <v>01</v>
      </c>
      <c r="AT836" s="1" t="str">
        <f t="shared" si="424"/>
        <v>01</v>
      </c>
      <c r="AU836" s="90" t="s">
        <v>2567</v>
      </c>
      <c r="AV836" s="90"/>
      <c r="AW836" s="90"/>
      <c r="AX836" s="95" t="str">
        <f>AQ836&amp;AR836&amp;AS836&amp;"-"&amp;AT836&amp;AU836&amp;BA836</f>
        <v>C0401-0138</v>
      </c>
      <c r="AY836" s="99" t="str">
        <f>AQ836&amp;AR836&amp;AS836&amp;"-"&amp;AT836&amp;BA836</f>
        <v>C0401-01</v>
      </c>
      <c r="AZ836" s="90"/>
      <c r="BA836" s="1" t="str">
        <f t="shared" si="425"/>
        <v/>
      </c>
      <c r="BC836" s="1">
        <f t="shared" si="435"/>
        <v>1</v>
      </c>
      <c r="BD836" s="90">
        <f t="shared" si="436"/>
        <v>1</v>
      </c>
      <c r="BE836" s="1">
        <f t="shared" si="428"/>
        <v>1</v>
      </c>
      <c r="BF836" s="1">
        <f t="shared" si="429"/>
        <v>1</v>
      </c>
    </row>
    <row r="837" spans="1:58" ht="11.25" customHeight="1">
      <c r="A837" s="26" t="s">
        <v>4109</v>
      </c>
      <c r="B837" s="27" t="s">
        <v>4110</v>
      </c>
      <c r="C837" s="28">
        <v>20.99</v>
      </c>
      <c r="D837" s="28">
        <f t="shared" ref="D837:D900" si="437">C837*$D$1</f>
        <v>10.494999999999999</v>
      </c>
      <c r="E837" s="22" t="s">
        <v>3901</v>
      </c>
      <c r="F837" s="22" t="s">
        <v>4111</v>
      </c>
      <c r="G837" s="22" t="s">
        <v>561</v>
      </c>
      <c r="H837" s="22" t="s">
        <v>4112</v>
      </c>
      <c r="I837" s="23" t="s">
        <v>4113</v>
      </c>
      <c r="J837" s="22" t="s">
        <v>670</v>
      </c>
      <c r="L837" s="23">
        <v>6</v>
      </c>
      <c r="M837" s="23">
        <v>6</v>
      </c>
      <c r="N837" s="3">
        <f t="shared" si="430"/>
        <v>2.1599999999999999E-4</v>
      </c>
      <c r="O837" s="4" t="e">
        <f>(C837-(C837*#REF!))-((C837-(C837*#REF!))*#REF!)</f>
        <v>#REF!</v>
      </c>
      <c r="P837" s="7"/>
      <c r="Q837" s="7"/>
      <c r="R837" s="5">
        <f t="shared" si="431"/>
        <v>0</v>
      </c>
      <c r="S837" s="4">
        <f t="shared" si="432"/>
        <v>0</v>
      </c>
      <c r="T837" s="13">
        <f t="shared" ref="T837:T900" si="438">C837-(C837*$T$1)</f>
        <v>14.692999999999998</v>
      </c>
      <c r="U837" s="13">
        <f t="shared" si="426"/>
        <v>7.3464999999999989</v>
      </c>
      <c r="V837" s="14">
        <f>U837/C837</f>
        <v>0.35</v>
      </c>
      <c r="W837" s="14"/>
      <c r="X837" s="19">
        <f t="shared" si="433"/>
        <v>7.3464999999999989</v>
      </c>
      <c r="Y837" s="19">
        <f t="shared" si="434"/>
        <v>14.692999999999998</v>
      </c>
      <c r="Z837" s="15" t="e">
        <f t="shared" si="427"/>
        <v>#DIV/0!</v>
      </c>
      <c r="AA837" s="22" t="s">
        <v>4114</v>
      </c>
      <c r="AG837" s="94" t="s">
        <v>817</v>
      </c>
      <c r="AH837" s="89" t="str">
        <f>VLOOKUP(AG837,Sheet1!$B$3:$D$36,2,FALSE)</f>
        <v>Kitchen &amp; Dining</v>
      </c>
      <c r="AI837" s="89" t="s">
        <v>2821</v>
      </c>
      <c r="AJ837" s="1" t="str">
        <f t="shared" ref="AJ837:AJ900" si="439">G837</f>
        <v>Ness</v>
      </c>
      <c r="AK837" s="1" t="str">
        <f t="shared" ref="AK837:AK900" si="440">TRIM(H837)</f>
        <v>semi - ø6 x h6 - vol. 50 ml</v>
      </c>
      <c r="AL837" s="1" t="str">
        <f t="shared" ref="AL837:AL900" si="441">I837</f>
        <v>clear glass - stackable # 6</v>
      </c>
      <c r="AM837" s="1" t="str">
        <f t="shared" ref="AM837:AM900" si="442">I837</f>
        <v>clear glass - stackable # 6</v>
      </c>
      <c r="AN837" s="1" t="str">
        <f t="shared" ref="AN837:AN900" si="443">SUBSTITUTE(AL837,"indoor","")</f>
        <v>clear glass - stackable # 6</v>
      </c>
      <c r="AQ837" s="1" t="str">
        <f t="shared" ref="AQ837:AQ900" si="444">IF(TRIM(AG837)="01","A",IF(TRIM(AG837)="02","B",IF(TRIM(AG837)="03","C",IF(TRIM(AG837)="04","D",IF(TRIM(AG837)="05","E","F")))))</f>
        <v>C</v>
      </c>
      <c r="AR837" s="1" t="str">
        <f>VLOOKUP(TRIM(AI837),Sheet1!$D$3:$E$36,2,FALSE)</f>
        <v>04</v>
      </c>
      <c r="AS837" s="90" t="str">
        <f t="shared" ref="AS837:AS900" si="445">IF(LEN(BD837)=1,"0"&amp;BD837,BD837)</f>
        <v>01</v>
      </c>
      <c r="AT837" s="1" t="str">
        <f t="shared" ref="AT837:AT900" si="446">IF(LEN(BF837)=1,"0"&amp;BF837,BF837)</f>
        <v>01</v>
      </c>
      <c r="AU837" s="90" t="s">
        <v>2567</v>
      </c>
      <c r="AV837" s="90"/>
      <c r="AW837" s="90"/>
      <c r="AX837" s="95" t="str">
        <f>AQ837&amp;AR837&amp;AS837&amp;"-"&amp;AT837&amp;AU837&amp;BA837</f>
        <v>C0401-0138</v>
      </c>
      <c r="AY837" s="99" t="str">
        <f>AQ837&amp;AR837&amp;AS837&amp;"-"&amp;AT837&amp;BA837</f>
        <v>C0401-01</v>
      </c>
      <c r="AZ837" s="90"/>
      <c r="BA837" s="1" t="str">
        <f t="shared" ref="BA837:BA900" si="447">IF(AO837="","",UPPER(LEFT(AO837,3)))</f>
        <v/>
      </c>
      <c r="BC837" s="1">
        <f t="shared" si="435"/>
        <v>1</v>
      </c>
      <c r="BD837" s="90">
        <f t="shared" si="436"/>
        <v>1</v>
      </c>
      <c r="BE837" s="1">
        <f t="shared" si="428"/>
        <v>1</v>
      </c>
      <c r="BF837" s="1">
        <f t="shared" si="429"/>
        <v>1</v>
      </c>
    </row>
    <row r="838" spans="1:58" ht="11.25" customHeight="1">
      <c r="A838" s="26" t="s">
        <v>4115</v>
      </c>
      <c r="B838" s="27" t="s">
        <v>4110</v>
      </c>
      <c r="C838" s="28">
        <v>21.99</v>
      </c>
      <c r="D838" s="28">
        <f t="shared" si="437"/>
        <v>10.994999999999999</v>
      </c>
      <c r="E838" s="22" t="s">
        <v>3901</v>
      </c>
      <c r="F838" s="22" t="s">
        <v>4116</v>
      </c>
      <c r="G838" s="22" t="s">
        <v>561</v>
      </c>
      <c r="H838" s="22" t="s">
        <v>4117</v>
      </c>
      <c r="I838" s="23" t="s">
        <v>4113</v>
      </c>
      <c r="J838" s="22" t="s">
        <v>670</v>
      </c>
      <c r="L838" s="23">
        <v>6</v>
      </c>
      <c r="M838" s="23">
        <v>8</v>
      </c>
      <c r="N838" s="3">
        <f t="shared" si="430"/>
        <v>2.8800000000000001E-4</v>
      </c>
      <c r="O838" s="4" t="e">
        <f>(C838-(C838*#REF!))-((C838-(C838*#REF!))*#REF!)</f>
        <v>#REF!</v>
      </c>
      <c r="P838" s="7"/>
      <c r="Q838" s="7"/>
      <c r="R838" s="5">
        <f t="shared" si="431"/>
        <v>0</v>
      </c>
      <c r="S838" s="4">
        <f t="shared" si="432"/>
        <v>0</v>
      </c>
      <c r="T838" s="13">
        <f t="shared" si="438"/>
        <v>15.392999999999999</v>
      </c>
      <c r="U838" s="13">
        <f t="shared" ref="U838:U901" si="448">T838-(T838*$U$1)</f>
        <v>7.6964999999999995</v>
      </c>
      <c r="V838" s="14">
        <f>U838/C838</f>
        <v>0.35</v>
      </c>
      <c r="W838" s="14"/>
      <c r="X838" s="19">
        <f t="shared" si="433"/>
        <v>7.6964999999999995</v>
      </c>
      <c r="Y838" s="19">
        <f t="shared" si="434"/>
        <v>15.392999999999999</v>
      </c>
      <c r="Z838" s="15" t="e">
        <f t="shared" si="427"/>
        <v>#DIV/0!</v>
      </c>
      <c r="AA838" s="22" t="s">
        <v>4118</v>
      </c>
      <c r="AG838" s="94" t="s">
        <v>817</v>
      </c>
      <c r="AH838" s="89" t="str">
        <f>VLOOKUP(AG838,Sheet1!$B$3:$D$36,2,FALSE)</f>
        <v>Kitchen &amp; Dining</v>
      </c>
      <c r="AI838" s="89" t="s">
        <v>2821</v>
      </c>
      <c r="AJ838" s="1" t="str">
        <f t="shared" si="439"/>
        <v>Ness</v>
      </c>
      <c r="AK838" s="1" t="str">
        <f t="shared" si="440"/>
        <v>ø6 x h8 - vol. 100 ml</v>
      </c>
      <c r="AL838" s="1" t="str">
        <f t="shared" si="441"/>
        <v>clear glass - stackable # 6</v>
      </c>
      <c r="AM838" s="1" t="str">
        <f t="shared" si="442"/>
        <v>clear glass - stackable # 6</v>
      </c>
      <c r="AN838" s="1" t="str">
        <f t="shared" si="443"/>
        <v>clear glass - stackable # 6</v>
      </c>
      <c r="AQ838" s="1" t="str">
        <f t="shared" si="444"/>
        <v>C</v>
      </c>
      <c r="AR838" s="1" t="str">
        <f>VLOOKUP(TRIM(AI838),Sheet1!$D$3:$E$36,2,FALSE)</f>
        <v>04</v>
      </c>
      <c r="AS838" s="90" t="str">
        <f t="shared" si="445"/>
        <v>02</v>
      </c>
      <c r="AT838" s="1" t="str">
        <f t="shared" si="446"/>
        <v>01</v>
      </c>
      <c r="AU838" s="90" t="s">
        <v>2567</v>
      </c>
      <c r="AV838" s="90"/>
      <c r="AW838" s="90"/>
      <c r="AX838" s="95" t="str">
        <f>AQ838&amp;AR838&amp;AS838&amp;"-"&amp;AT838&amp;AU838&amp;BA838</f>
        <v>C0402-0138</v>
      </c>
      <c r="AY838" s="99" t="str">
        <f>AQ838&amp;AR838&amp;AS838&amp;"-"&amp;AT838&amp;BA838</f>
        <v>C0402-01</v>
      </c>
      <c r="AZ838" s="90"/>
      <c r="BA838" s="1" t="str">
        <f t="shared" si="447"/>
        <v/>
      </c>
      <c r="BC838" s="1" t="str">
        <f t="shared" si="435"/>
        <v/>
      </c>
      <c r="BD838" s="90">
        <f t="shared" si="436"/>
        <v>2</v>
      </c>
      <c r="BE838" s="1">
        <f t="shared" si="428"/>
        <v>1</v>
      </c>
      <c r="BF838" s="1">
        <f t="shared" si="429"/>
        <v>1</v>
      </c>
    </row>
    <row r="839" spans="1:58" ht="11.25" customHeight="1">
      <c r="A839" s="26" t="s">
        <v>4119</v>
      </c>
      <c r="B839" s="27" t="s">
        <v>4110</v>
      </c>
      <c r="C839" s="28">
        <v>22.99</v>
      </c>
      <c r="D839" s="28">
        <f t="shared" si="437"/>
        <v>11.494999999999999</v>
      </c>
      <c r="E839" s="22" t="s">
        <v>3901</v>
      </c>
      <c r="F839" s="22" t="s">
        <v>4120</v>
      </c>
      <c r="G839" s="22" t="s">
        <v>561</v>
      </c>
      <c r="H839" s="22" t="s">
        <v>4121</v>
      </c>
      <c r="I839" s="23" t="s">
        <v>4113</v>
      </c>
      <c r="J839" s="22" t="s">
        <v>670</v>
      </c>
      <c r="L839" s="23">
        <v>6</v>
      </c>
      <c r="M839" s="23">
        <v>10</v>
      </c>
      <c r="N839" s="3">
        <f t="shared" si="430"/>
        <v>3.6000000000000002E-4</v>
      </c>
      <c r="O839" s="4" t="e">
        <f>(C839-(C839*#REF!))-((C839-(C839*#REF!))*#REF!)</f>
        <v>#REF!</v>
      </c>
      <c r="P839" s="7"/>
      <c r="Q839" s="7"/>
      <c r="R839" s="5">
        <f t="shared" si="431"/>
        <v>0</v>
      </c>
      <c r="S839" s="4">
        <f t="shared" si="432"/>
        <v>0</v>
      </c>
      <c r="T839" s="13">
        <f t="shared" si="438"/>
        <v>16.093</v>
      </c>
      <c r="U839" s="13">
        <f t="shared" si="448"/>
        <v>8.0465</v>
      </c>
      <c r="V839" s="14">
        <f>U839/C839</f>
        <v>0.35000000000000003</v>
      </c>
      <c r="W839" s="14"/>
      <c r="X839" s="19">
        <f t="shared" si="433"/>
        <v>8.0465</v>
      </c>
      <c r="Y839" s="19">
        <f t="shared" si="434"/>
        <v>16.093</v>
      </c>
      <c r="Z839" s="15" t="e">
        <f t="shared" si="427"/>
        <v>#DIV/0!</v>
      </c>
      <c r="AA839" s="22" t="s">
        <v>4122</v>
      </c>
      <c r="AG839" s="94" t="s">
        <v>817</v>
      </c>
      <c r="AH839" s="89" t="str">
        <f>VLOOKUP(AG839,Sheet1!$B$3:$D$36,2,FALSE)</f>
        <v>Kitchen &amp; Dining</v>
      </c>
      <c r="AI839" s="89" t="s">
        <v>2821</v>
      </c>
      <c r="AJ839" s="1" t="str">
        <f t="shared" si="439"/>
        <v>Ness</v>
      </c>
      <c r="AK839" s="1" t="str">
        <f t="shared" si="440"/>
        <v>ø6 x h10 - vol. 100 ml</v>
      </c>
      <c r="AL839" s="1" t="str">
        <f t="shared" si="441"/>
        <v>clear glass - stackable # 6</v>
      </c>
      <c r="AM839" s="1" t="str">
        <f t="shared" si="442"/>
        <v>clear glass - stackable # 6</v>
      </c>
      <c r="AN839" s="1" t="str">
        <f t="shared" si="443"/>
        <v>clear glass - stackable # 6</v>
      </c>
      <c r="AQ839" s="1" t="str">
        <f t="shared" si="444"/>
        <v>C</v>
      </c>
      <c r="AR839" s="1" t="str">
        <f>VLOOKUP(TRIM(AI839),Sheet1!$D$3:$E$36,2,FALSE)</f>
        <v>04</v>
      </c>
      <c r="AS839" s="90" t="str">
        <f t="shared" si="445"/>
        <v>03</v>
      </c>
      <c r="AT839" s="1" t="str">
        <f t="shared" si="446"/>
        <v>01</v>
      </c>
      <c r="AU839" s="90" t="s">
        <v>2567</v>
      </c>
      <c r="AV839" s="90"/>
      <c r="AW839" s="90"/>
      <c r="AX839" s="95" t="str">
        <f>AQ839&amp;AR839&amp;AS839&amp;"-"&amp;AT839&amp;AU839&amp;BA839</f>
        <v>C0403-0138</v>
      </c>
      <c r="AY839" s="99" t="str">
        <f>AQ839&amp;AR839&amp;AS839&amp;"-"&amp;AT839&amp;BA839</f>
        <v>C0403-01</v>
      </c>
      <c r="AZ839" s="90"/>
      <c r="BA839" s="1" t="str">
        <f t="shared" si="447"/>
        <v/>
      </c>
      <c r="BC839" s="1" t="str">
        <f t="shared" si="435"/>
        <v/>
      </c>
      <c r="BD839" s="90">
        <f t="shared" si="436"/>
        <v>3</v>
      </c>
      <c r="BE839" s="1">
        <f t="shared" si="428"/>
        <v>1</v>
      </c>
      <c r="BF839" s="1">
        <f t="shared" si="429"/>
        <v>1</v>
      </c>
    </row>
    <row r="840" spans="1:58" ht="11.25" customHeight="1">
      <c r="A840" s="26" t="s">
        <v>4123</v>
      </c>
      <c r="B840" s="27" t="s">
        <v>4110</v>
      </c>
      <c r="C840" s="28">
        <v>25.99</v>
      </c>
      <c r="D840" s="28">
        <f t="shared" si="437"/>
        <v>12.994999999999999</v>
      </c>
      <c r="E840" s="22" t="s">
        <v>3901</v>
      </c>
      <c r="F840" s="22" t="s">
        <v>4124</v>
      </c>
      <c r="G840" s="22" t="s">
        <v>561</v>
      </c>
      <c r="H840" s="22" t="s">
        <v>4125</v>
      </c>
      <c r="I840" s="23" t="s">
        <v>4113</v>
      </c>
      <c r="J840" s="22" t="s">
        <v>670</v>
      </c>
      <c r="L840" s="23">
        <v>6</v>
      </c>
      <c r="M840" s="23">
        <v>11</v>
      </c>
      <c r="N840" s="3">
        <f t="shared" si="430"/>
        <v>3.9599999999999998E-4</v>
      </c>
      <c r="O840" s="4" t="e">
        <f>(C840-(C840*#REF!))-((C840-(C840*#REF!))*#REF!)</f>
        <v>#REF!</v>
      </c>
      <c r="P840" s="7"/>
      <c r="Q840" s="7"/>
      <c r="R840" s="5">
        <f t="shared" si="431"/>
        <v>0</v>
      </c>
      <c r="S840" s="4">
        <f t="shared" si="432"/>
        <v>0</v>
      </c>
      <c r="T840" s="13">
        <f t="shared" si="438"/>
        <v>18.192999999999998</v>
      </c>
      <c r="U840" s="13">
        <f t="shared" si="448"/>
        <v>9.0964999999999989</v>
      </c>
      <c r="V840" s="14">
        <f>U840/C840</f>
        <v>0.35</v>
      </c>
      <c r="W840" s="14"/>
      <c r="X840" s="19">
        <f t="shared" si="433"/>
        <v>9.0964999999999989</v>
      </c>
      <c r="Y840" s="19">
        <f t="shared" si="434"/>
        <v>18.192999999999998</v>
      </c>
      <c r="Z840" s="15" t="e">
        <f t="shared" si="427"/>
        <v>#DIV/0!</v>
      </c>
      <c r="AA840" s="22" t="s">
        <v>4122</v>
      </c>
      <c r="AG840" s="94" t="s">
        <v>817</v>
      </c>
      <c r="AH840" s="89" t="str">
        <f>VLOOKUP(AG840,Sheet1!$B$3:$D$36,2,FALSE)</f>
        <v>Kitchen &amp; Dining</v>
      </c>
      <c r="AI840" s="89" t="s">
        <v>2821</v>
      </c>
      <c r="AJ840" s="1" t="str">
        <f t="shared" si="439"/>
        <v>Ness</v>
      </c>
      <c r="AK840" s="1" t="str">
        <f t="shared" si="440"/>
        <v>ø6 x h11 - vol. 250 ml</v>
      </c>
      <c r="AL840" s="1" t="str">
        <f t="shared" si="441"/>
        <v>clear glass - stackable # 6</v>
      </c>
      <c r="AM840" s="1" t="str">
        <f t="shared" si="442"/>
        <v>clear glass - stackable # 6</v>
      </c>
      <c r="AN840" s="1" t="str">
        <f t="shared" si="443"/>
        <v>clear glass - stackable # 6</v>
      </c>
      <c r="AQ840" s="1" t="str">
        <f t="shared" si="444"/>
        <v>C</v>
      </c>
      <c r="AR840" s="1" t="str">
        <f>VLOOKUP(TRIM(AI840),Sheet1!$D$3:$E$36,2,FALSE)</f>
        <v>04</v>
      </c>
      <c r="AS840" s="90" t="str">
        <f t="shared" si="445"/>
        <v>04</v>
      </c>
      <c r="AT840" s="1" t="str">
        <f t="shared" si="446"/>
        <v>01</v>
      </c>
      <c r="AU840" s="90" t="s">
        <v>2567</v>
      </c>
      <c r="AV840" s="90"/>
      <c r="AW840" s="90"/>
      <c r="AX840" s="95" t="str">
        <f>AQ840&amp;AR840&amp;AS840&amp;"-"&amp;AT840&amp;AU840&amp;BA840</f>
        <v>C0404-0138</v>
      </c>
      <c r="AY840" s="99" t="str">
        <f>AQ840&amp;AR840&amp;AS840&amp;"-"&amp;AT840&amp;BA840</f>
        <v>C0404-01</v>
      </c>
      <c r="AZ840" s="90"/>
      <c r="BA840" s="1" t="str">
        <f t="shared" si="447"/>
        <v/>
      </c>
      <c r="BC840" s="1" t="str">
        <f t="shared" si="435"/>
        <v/>
      </c>
      <c r="BD840" s="90">
        <f t="shared" si="436"/>
        <v>4</v>
      </c>
      <c r="BE840" s="1">
        <f t="shared" si="428"/>
        <v>1</v>
      </c>
      <c r="BF840" s="1">
        <f t="shared" si="429"/>
        <v>1</v>
      </c>
    </row>
    <row r="841" spans="1:58" ht="11.25" customHeight="1">
      <c r="A841" s="26" t="s">
        <v>4126</v>
      </c>
      <c r="B841" s="27" t="s">
        <v>4110</v>
      </c>
      <c r="C841" s="28">
        <v>30.99</v>
      </c>
      <c r="D841" s="28">
        <f t="shared" si="437"/>
        <v>15.494999999999999</v>
      </c>
      <c r="E841" s="22" t="s">
        <v>3901</v>
      </c>
      <c r="F841" s="22" t="s">
        <v>4127</v>
      </c>
      <c r="G841" s="22" t="s">
        <v>561</v>
      </c>
      <c r="H841" s="22" t="s">
        <v>4128</v>
      </c>
      <c r="I841" s="23" t="s">
        <v>4113</v>
      </c>
      <c r="J841" s="22" t="s">
        <v>670</v>
      </c>
      <c r="L841" s="23">
        <v>6</v>
      </c>
      <c r="M841" s="23">
        <v>14</v>
      </c>
      <c r="N841" s="3">
        <f t="shared" si="430"/>
        <v>5.04E-4</v>
      </c>
      <c r="O841" s="4" t="e">
        <f>(C841-(C841*#REF!))-((C841-(C841*#REF!))*#REF!)</f>
        <v>#REF!</v>
      </c>
      <c r="P841" s="7"/>
      <c r="Q841" s="7"/>
      <c r="R841" s="5">
        <f t="shared" si="431"/>
        <v>0</v>
      </c>
      <c r="S841" s="4">
        <f t="shared" si="432"/>
        <v>0</v>
      </c>
      <c r="T841" s="13">
        <f t="shared" si="438"/>
        <v>21.692999999999998</v>
      </c>
      <c r="U841" s="13">
        <f t="shared" si="448"/>
        <v>10.846499999999999</v>
      </c>
      <c r="V841" s="14">
        <f>U841/C841</f>
        <v>0.35</v>
      </c>
      <c r="W841" s="14"/>
      <c r="X841" s="19">
        <f t="shared" si="433"/>
        <v>10.846499999999999</v>
      </c>
      <c r="Y841" s="19">
        <f t="shared" si="434"/>
        <v>21.692999999999998</v>
      </c>
      <c r="Z841" s="15" t="e">
        <f t="shared" si="427"/>
        <v>#DIV/0!</v>
      </c>
      <c r="AA841" s="22" t="s">
        <v>4129</v>
      </c>
      <c r="AG841" s="94" t="s">
        <v>817</v>
      </c>
      <c r="AH841" s="89" t="str">
        <f>VLOOKUP(AG841,Sheet1!$B$3:$D$36,2,FALSE)</f>
        <v>Kitchen &amp; Dining</v>
      </c>
      <c r="AI841" s="89" t="s">
        <v>2821</v>
      </c>
      <c r="AJ841" s="1" t="str">
        <f t="shared" si="439"/>
        <v>Ness</v>
      </c>
      <c r="AK841" s="1" t="str">
        <f t="shared" si="440"/>
        <v>ø6 x h14 - vol. 500 ml</v>
      </c>
      <c r="AL841" s="1" t="str">
        <f t="shared" si="441"/>
        <v>clear glass - stackable # 6</v>
      </c>
      <c r="AM841" s="1" t="str">
        <f t="shared" si="442"/>
        <v>clear glass - stackable # 6</v>
      </c>
      <c r="AN841" s="1" t="str">
        <f t="shared" si="443"/>
        <v>clear glass - stackable # 6</v>
      </c>
      <c r="AQ841" s="1" t="str">
        <f t="shared" si="444"/>
        <v>C</v>
      </c>
      <c r="AR841" s="1" t="str">
        <f>VLOOKUP(TRIM(AI841),Sheet1!$D$3:$E$36,2,FALSE)</f>
        <v>04</v>
      </c>
      <c r="AS841" s="90" t="str">
        <f t="shared" si="445"/>
        <v>05</v>
      </c>
      <c r="AT841" s="1" t="str">
        <f t="shared" si="446"/>
        <v>01</v>
      </c>
      <c r="AU841" s="90" t="s">
        <v>2567</v>
      </c>
      <c r="AV841" s="90"/>
      <c r="AW841" s="90"/>
      <c r="AX841" s="95" t="str">
        <f>AQ841&amp;AR841&amp;AS841&amp;"-"&amp;AT841&amp;AU841&amp;BA841</f>
        <v>C0405-0138</v>
      </c>
      <c r="AY841" s="99" t="str">
        <f>AQ841&amp;AR841&amp;AS841&amp;"-"&amp;AT841&amp;BA841</f>
        <v>C0405-01</v>
      </c>
      <c r="AZ841" s="90"/>
      <c r="BA841" s="1" t="str">
        <f t="shared" si="447"/>
        <v/>
      </c>
      <c r="BC841" s="1" t="str">
        <f t="shared" si="435"/>
        <v/>
      </c>
      <c r="BD841" s="90">
        <f t="shared" si="436"/>
        <v>5</v>
      </c>
      <c r="BE841" s="1">
        <f t="shared" si="428"/>
        <v>1</v>
      </c>
      <c r="BF841" s="1">
        <f t="shared" si="429"/>
        <v>1</v>
      </c>
    </row>
    <row r="842" spans="1:58" ht="11.25" customHeight="1">
      <c r="A842" s="26" t="s">
        <v>4130</v>
      </c>
      <c r="B842" s="27" t="s">
        <v>4131</v>
      </c>
      <c r="C842" s="28">
        <v>21.99</v>
      </c>
      <c r="D842" s="28">
        <f t="shared" si="437"/>
        <v>10.994999999999999</v>
      </c>
      <c r="E842" s="22" t="s">
        <v>3901</v>
      </c>
      <c r="F842" s="22" t="s">
        <v>4132</v>
      </c>
      <c r="G842" s="22" t="s">
        <v>742</v>
      </c>
      <c r="H842" s="22" t="s">
        <v>4133</v>
      </c>
      <c r="I842" s="23" t="s">
        <v>3905</v>
      </c>
      <c r="J842" s="22" t="s">
        <v>670</v>
      </c>
      <c r="L842" s="23">
        <v>5</v>
      </c>
      <c r="M842" s="23">
        <v>5</v>
      </c>
      <c r="N842" s="3">
        <f t="shared" si="430"/>
        <v>1.25E-4</v>
      </c>
      <c r="O842" s="4" t="e">
        <f>(C842-(C842*#REF!))-((C842-(C842*#REF!))*#REF!)</f>
        <v>#REF!</v>
      </c>
      <c r="P842" s="7"/>
      <c r="Q842" s="7"/>
      <c r="R842" s="5">
        <f t="shared" si="431"/>
        <v>0</v>
      </c>
      <c r="S842" s="4">
        <f t="shared" si="432"/>
        <v>0</v>
      </c>
      <c r="T842" s="13">
        <f t="shared" si="438"/>
        <v>15.392999999999999</v>
      </c>
      <c r="U842" s="13">
        <f t="shared" si="448"/>
        <v>7.6964999999999995</v>
      </c>
      <c r="V842" s="14">
        <f>U842/C842</f>
        <v>0.35</v>
      </c>
      <c r="W842" s="14"/>
      <c r="X842" s="19">
        <f t="shared" si="433"/>
        <v>7.6964999999999995</v>
      </c>
      <c r="Y842" s="19">
        <f t="shared" si="434"/>
        <v>15.392999999999999</v>
      </c>
      <c r="Z842" s="15" t="e">
        <f t="shared" si="427"/>
        <v>#DIV/0!</v>
      </c>
      <c r="AA842" s="22" t="s">
        <v>4134</v>
      </c>
      <c r="AG842" s="94" t="s">
        <v>817</v>
      </c>
      <c r="AH842" s="89" t="str">
        <f>VLOOKUP(AG842,Sheet1!$B$3:$D$36,2,FALSE)</f>
        <v>Kitchen &amp; Dining</v>
      </c>
      <c r="AI842" s="89" t="s">
        <v>2821</v>
      </c>
      <c r="AJ842" s="1" t="str">
        <f t="shared" si="439"/>
        <v>Sam</v>
      </c>
      <c r="AK842" s="1" t="str">
        <f t="shared" si="440"/>
        <v>semi - ø5 x h5 - vol. 50 ml</v>
      </c>
      <c r="AL842" s="1" t="str">
        <f t="shared" si="441"/>
        <v>clear glass # 6</v>
      </c>
      <c r="AM842" s="1" t="str">
        <f t="shared" si="442"/>
        <v>clear glass # 6</v>
      </c>
      <c r="AN842" s="1" t="str">
        <f t="shared" si="443"/>
        <v>clear glass # 6</v>
      </c>
      <c r="AQ842" s="1" t="str">
        <f t="shared" si="444"/>
        <v>C</v>
      </c>
      <c r="AR842" s="1" t="str">
        <f>VLOOKUP(TRIM(AI842),Sheet1!$D$3:$E$36,2,FALSE)</f>
        <v>04</v>
      </c>
      <c r="AS842" s="90" t="str">
        <f t="shared" si="445"/>
        <v>01</v>
      </c>
      <c r="AT842" s="1" t="str">
        <f t="shared" si="446"/>
        <v>01</v>
      </c>
      <c r="AU842" s="90" t="s">
        <v>2567</v>
      </c>
      <c r="AV842" s="90"/>
      <c r="AW842" s="90"/>
      <c r="AX842" s="95" t="str">
        <f>AQ842&amp;AR842&amp;AS842&amp;"-"&amp;AT842&amp;AU842&amp;BA842</f>
        <v>C0401-0138</v>
      </c>
      <c r="AY842" s="99" t="str">
        <f>AQ842&amp;AR842&amp;AS842&amp;"-"&amp;AT842&amp;BA842</f>
        <v>C0401-01</v>
      </c>
      <c r="AZ842" s="90"/>
      <c r="BA842" s="1" t="str">
        <f t="shared" si="447"/>
        <v/>
      </c>
      <c r="BC842" s="1">
        <f t="shared" si="435"/>
        <v>1</v>
      </c>
      <c r="BD842" s="90">
        <f t="shared" si="436"/>
        <v>1</v>
      </c>
      <c r="BE842" s="1">
        <f t="shared" si="428"/>
        <v>1</v>
      </c>
      <c r="BF842" s="1">
        <f t="shared" si="429"/>
        <v>1</v>
      </c>
    </row>
    <row r="843" spans="1:58" ht="11.25" customHeight="1">
      <c r="A843" s="26" t="s">
        <v>4135</v>
      </c>
      <c r="B843" s="27" t="s">
        <v>4131</v>
      </c>
      <c r="C843" s="28">
        <v>29.99</v>
      </c>
      <c r="D843" s="28">
        <f t="shared" si="437"/>
        <v>14.994999999999999</v>
      </c>
      <c r="E843" s="22" t="s">
        <v>3901</v>
      </c>
      <c r="F843" s="22" t="s">
        <v>4136</v>
      </c>
      <c r="G843" s="22" t="s">
        <v>742</v>
      </c>
      <c r="H843" s="22" t="s">
        <v>4137</v>
      </c>
      <c r="I843" s="23" t="s">
        <v>3905</v>
      </c>
      <c r="J843" s="22" t="s">
        <v>670</v>
      </c>
      <c r="L843" s="23">
        <v>8</v>
      </c>
      <c r="M843" s="23">
        <v>8</v>
      </c>
      <c r="N843" s="3">
        <f t="shared" si="430"/>
        <v>5.1199999999999998E-4</v>
      </c>
      <c r="O843" s="4" t="e">
        <f>(C843-(C843*#REF!))-((C843-(C843*#REF!))*#REF!)</f>
        <v>#REF!</v>
      </c>
      <c r="P843" s="7"/>
      <c r="Q843" s="7"/>
      <c r="R843" s="5">
        <f t="shared" si="431"/>
        <v>0</v>
      </c>
      <c r="S843" s="4">
        <f t="shared" si="432"/>
        <v>0</v>
      </c>
      <c r="T843" s="13">
        <f t="shared" si="438"/>
        <v>20.992999999999999</v>
      </c>
      <c r="U843" s="13">
        <f t="shared" si="448"/>
        <v>10.496499999999999</v>
      </c>
      <c r="V843" s="14">
        <f>U843/C843</f>
        <v>0.35</v>
      </c>
      <c r="W843" s="14"/>
      <c r="X843" s="19">
        <f t="shared" si="433"/>
        <v>10.496499999999999</v>
      </c>
      <c r="Y843" s="19">
        <f t="shared" si="434"/>
        <v>20.992999999999999</v>
      </c>
      <c r="Z843" s="15" t="e">
        <f t="shared" si="427"/>
        <v>#DIV/0!</v>
      </c>
      <c r="AA843" s="22" t="s">
        <v>4138</v>
      </c>
      <c r="AG843" s="94" t="s">
        <v>817</v>
      </c>
      <c r="AH843" s="89" t="str">
        <f>VLOOKUP(AG843,Sheet1!$B$3:$D$36,2,FALSE)</f>
        <v>Kitchen &amp; Dining</v>
      </c>
      <c r="AI843" s="89" t="s">
        <v>2821</v>
      </c>
      <c r="AJ843" s="1" t="str">
        <f t="shared" si="439"/>
        <v>Sam</v>
      </c>
      <c r="AK843" s="1" t="str">
        <f t="shared" si="440"/>
        <v>ø8 x h8 - vol. 100 ml</v>
      </c>
      <c r="AL843" s="1" t="str">
        <f t="shared" si="441"/>
        <v>clear glass # 6</v>
      </c>
      <c r="AM843" s="1" t="str">
        <f t="shared" si="442"/>
        <v>clear glass # 6</v>
      </c>
      <c r="AN843" s="1" t="str">
        <f t="shared" si="443"/>
        <v>clear glass # 6</v>
      </c>
      <c r="AQ843" s="1" t="str">
        <f t="shared" si="444"/>
        <v>C</v>
      </c>
      <c r="AR843" s="1" t="str">
        <f>VLOOKUP(TRIM(AI843),Sheet1!$D$3:$E$36,2,FALSE)</f>
        <v>04</v>
      </c>
      <c r="AS843" s="90" t="str">
        <f t="shared" si="445"/>
        <v>02</v>
      </c>
      <c r="AT843" s="1" t="str">
        <f t="shared" si="446"/>
        <v>01</v>
      </c>
      <c r="AU843" s="90" t="s">
        <v>2567</v>
      </c>
      <c r="AV843" s="90"/>
      <c r="AW843" s="90"/>
      <c r="AX843" s="95" t="str">
        <f>AQ843&amp;AR843&amp;AS843&amp;"-"&amp;AT843&amp;AU843&amp;BA843</f>
        <v>C0402-0138</v>
      </c>
      <c r="AY843" s="99" t="str">
        <f>AQ843&amp;AR843&amp;AS843&amp;"-"&amp;AT843&amp;BA843</f>
        <v>C0402-01</v>
      </c>
      <c r="AZ843" s="90"/>
      <c r="BA843" s="1" t="str">
        <f t="shared" si="447"/>
        <v/>
      </c>
      <c r="BC843" s="1" t="str">
        <f t="shared" si="435"/>
        <v/>
      </c>
      <c r="BD843" s="90">
        <f t="shared" si="436"/>
        <v>2</v>
      </c>
      <c r="BE843" s="1">
        <f t="shared" si="428"/>
        <v>1</v>
      </c>
      <c r="BF843" s="1">
        <f t="shared" si="429"/>
        <v>1</v>
      </c>
    </row>
    <row r="844" spans="1:58" ht="11.25" customHeight="1">
      <c r="A844" s="26" t="s">
        <v>4139</v>
      </c>
      <c r="B844" s="27" t="s">
        <v>4131</v>
      </c>
      <c r="C844" s="28">
        <v>24.99</v>
      </c>
      <c r="D844" s="28">
        <f t="shared" si="437"/>
        <v>12.494999999999999</v>
      </c>
      <c r="E844" s="22" t="s">
        <v>3901</v>
      </c>
      <c r="F844" s="22" t="s">
        <v>4140</v>
      </c>
      <c r="G844" s="22" t="s">
        <v>742</v>
      </c>
      <c r="H844" s="22" t="s">
        <v>4141</v>
      </c>
      <c r="I844" s="23" t="s">
        <v>3905</v>
      </c>
      <c r="J844" s="22" t="s">
        <v>670</v>
      </c>
      <c r="L844" s="23">
        <v>5</v>
      </c>
      <c r="M844" s="23">
        <v>11</v>
      </c>
      <c r="N844" s="3">
        <f t="shared" si="430"/>
        <v>2.7500000000000002E-4</v>
      </c>
      <c r="O844" s="4" t="e">
        <f>(C844-(C844*#REF!))-((C844-(C844*#REF!))*#REF!)</f>
        <v>#REF!</v>
      </c>
      <c r="P844" s="7"/>
      <c r="Q844" s="7"/>
      <c r="R844" s="5">
        <f t="shared" si="431"/>
        <v>0</v>
      </c>
      <c r="S844" s="4">
        <f t="shared" si="432"/>
        <v>0</v>
      </c>
      <c r="T844" s="13">
        <f t="shared" si="438"/>
        <v>17.492999999999999</v>
      </c>
      <c r="U844" s="13">
        <f t="shared" si="448"/>
        <v>8.7464999999999993</v>
      </c>
      <c r="V844" s="14">
        <f>U844/C844</f>
        <v>0.35</v>
      </c>
      <c r="W844" s="14"/>
      <c r="X844" s="19">
        <f t="shared" si="433"/>
        <v>8.7464999999999993</v>
      </c>
      <c r="Y844" s="19">
        <f t="shared" si="434"/>
        <v>17.492999999999999</v>
      </c>
      <c r="Z844" s="15" t="e">
        <f t="shared" si="427"/>
        <v>#DIV/0!</v>
      </c>
      <c r="AA844" s="22" t="s">
        <v>4142</v>
      </c>
      <c r="AG844" s="94" t="s">
        <v>817</v>
      </c>
      <c r="AH844" s="89" t="str">
        <f>VLOOKUP(AG844,Sheet1!$B$3:$D$36,2,FALSE)</f>
        <v>Kitchen &amp; Dining</v>
      </c>
      <c r="AI844" s="89" t="s">
        <v>2821</v>
      </c>
      <c r="AJ844" s="1" t="str">
        <f t="shared" si="439"/>
        <v>Sam</v>
      </c>
      <c r="AK844" s="1" t="str">
        <f t="shared" si="440"/>
        <v>ø5 x h11 - vol. 100 ml</v>
      </c>
      <c r="AL844" s="1" t="str">
        <f t="shared" si="441"/>
        <v>clear glass # 6</v>
      </c>
      <c r="AM844" s="1" t="str">
        <f t="shared" si="442"/>
        <v>clear glass # 6</v>
      </c>
      <c r="AN844" s="1" t="str">
        <f t="shared" si="443"/>
        <v>clear glass # 6</v>
      </c>
      <c r="AQ844" s="1" t="str">
        <f t="shared" si="444"/>
        <v>C</v>
      </c>
      <c r="AR844" s="1" t="str">
        <f>VLOOKUP(TRIM(AI844),Sheet1!$D$3:$E$36,2,FALSE)</f>
        <v>04</v>
      </c>
      <c r="AS844" s="90" t="str">
        <f t="shared" si="445"/>
        <v>03</v>
      </c>
      <c r="AT844" s="1" t="str">
        <f t="shared" si="446"/>
        <v>01</v>
      </c>
      <c r="AU844" s="90" t="s">
        <v>2567</v>
      </c>
      <c r="AV844" s="90"/>
      <c r="AW844" s="90"/>
      <c r="AX844" s="95" t="str">
        <f>AQ844&amp;AR844&amp;AS844&amp;"-"&amp;AT844&amp;AU844&amp;BA844</f>
        <v>C0403-0138</v>
      </c>
      <c r="AY844" s="99" t="str">
        <f>AQ844&amp;AR844&amp;AS844&amp;"-"&amp;AT844&amp;BA844</f>
        <v>C0403-01</v>
      </c>
      <c r="AZ844" s="90"/>
      <c r="BA844" s="1" t="str">
        <f t="shared" si="447"/>
        <v/>
      </c>
      <c r="BC844" s="1" t="str">
        <f t="shared" si="435"/>
        <v/>
      </c>
      <c r="BD844" s="90">
        <f t="shared" si="436"/>
        <v>3</v>
      </c>
      <c r="BE844" s="1">
        <f t="shared" si="428"/>
        <v>1</v>
      </c>
      <c r="BF844" s="1">
        <f t="shared" si="429"/>
        <v>1</v>
      </c>
    </row>
    <row r="845" spans="1:58" ht="11.25" customHeight="1">
      <c r="A845" s="26" t="s">
        <v>4143</v>
      </c>
      <c r="B845" s="27" t="s">
        <v>4131</v>
      </c>
      <c r="C845" s="28">
        <v>33.99</v>
      </c>
      <c r="D845" s="28">
        <f t="shared" si="437"/>
        <v>16.995000000000001</v>
      </c>
      <c r="E845" s="22" t="s">
        <v>3901</v>
      </c>
      <c r="F845" s="22" t="s">
        <v>4144</v>
      </c>
      <c r="G845" s="22" t="s">
        <v>742</v>
      </c>
      <c r="H845" s="22" t="s">
        <v>4145</v>
      </c>
      <c r="I845" s="23" t="s">
        <v>3905</v>
      </c>
      <c r="J845" s="22" t="s">
        <v>670</v>
      </c>
      <c r="L845" s="23">
        <v>9</v>
      </c>
      <c r="M845" s="23">
        <v>11</v>
      </c>
      <c r="N845" s="3">
        <f t="shared" si="430"/>
        <v>8.9099999999999997E-4</v>
      </c>
      <c r="O845" s="4" t="e">
        <f>(C845-(C845*#REF!))-((C845-(C845*#REF!))*#REF!)</f>
        <v>#REF!</v>
      </c>
      <c r="P845" s="7"/>
      <c r="Q845" s="7"/>
      <c r="R845" s="5">
        <f t="shared" si="431"/>
        <v>0</v>
      </c>
      <c r="S845" s="4">
        <f t="shared" si="432"/>
        <v>0</v>
      </c>
      <c r="T845" s="13">
        <f t="shared" si="438"/>
        <v>23.792999999999999</v>
      </c>
      <c r="U845" s="13">
        <f t="shared" si="448"/>
        <v>11.8965</v>
      </c>
      <c r="V845" s="14">
        <f>U845/C845</f>
        <v>0.35</v>
      </c>
      <c r="W845" s="14"/>
      <c r="X845" s="19">
        <f t="shared" si="433"/>
        <v>11.8965</v>
      </c>
      <c r="Y845" s="19">
        <f t="shared" si="434"/>
        <v>23.792999999999999</v>
      </c>
      <c r="Z845" s="15" t="e">
        <f t="shared" ref="Z845:Z908" si="449">U845/S845</f>
        <v>#DIV/0!</v>
      </c>
      <c r="AA845" s="22" t="s">
        <v>4142</v>
      </c>
      <c r="AG845" s="94" t="s">
        <v>817</v>
      </c>
      <c r="AH845" s="89" t="str">
        <f>VLOOKUP(AG845,Sheet1!$B$3:$D$36,2,FALSE)</f>
        <v>Kitchen &amp; Dining</v>
      </c>
      <c r="AI845" s="89" t="s">
        <v>2821</v>
      </c>
      <c r="AJ845" s="1" t="str">
        <f t="shared" si="439"/>
        <v>Sam</v>
      </c>
      <c r="AK845" s="1" t="str">
        <f t="shared" si="440"/>
        <v>ø9 x h11 - vol. 250 ml</v>
      </c>
      <c r="AL845" s="1" t="str">
        <f t="shared" si="441"/>
        <v>clear glass # 6</v>
      </c>
      <c r="AM845" s="1" t="str">
        <f t="shared" si="442"/>
        <v>clear glass # 6</v>
      </c>
      <c r="AN845" s="1" t="str">
        <f t="shared" si="443"/>
        <v>clear glass # 6</v>
      </c>
      <c r="AQ845" s="1" t="str">
        <f t="shared" si="444"/>
        <v>C</v>
      </c>
      <c r="AR845" s="1" t="str">
        <f>VLOOKUP(TRIM(AI845),Sheet1!$D$3:$E$36,2,FALSE)</f>
        <v>04</v>
      </c>
      <c r="AS845" s="90" t="str">
        <f t="shared" si="445"/>
        <v>04</v>
      </c>
      <c r="AT845" s="1" t="str">
        <f t="shared" si="446"/>
        <v>01</v>
      </c>
      <c r="AU845" s="90" t="s">
        <v>2567</v>
      </c>
      <c r="AV845" s="90"/>
      <c r="AW845" s="90"/>
      <c r="AX845" s="95" t="str">
        <f>AQ845&amp;AR845&amp;AS845&amp;"-"&amp;AT845&amp;AU845&amp;BA845</f>
        <v>C0404-0138</v>
      </c>
      <c r="AY845" s="99" t="str">
        <f>AQ845&amp;AR845&amp;AS845&amp;"-"&amp;AT845&amp;BA845</f>
        <v>C0404-01</v>
      </c>
      <c r="AZ845" s="90"/>
      <c r="BA845" s="1" t="str">
        <f t="shared" si="447"/>
        <v/>
      </c>
      <c r="BC845" s="1" t="str">
        <f t="shared" si="435"/>
        <v/>
      </c>
      <c r="BD845" s="90">
        <f t="shared" si="436"/>
        <v>4</v>
      </c>
      <c r="BE845" s="1">
        <f t="shared" ref="BE845:BE908" si="450">IF(AK844&lt;&gt;AK845,1,"")</f>
        <v>1</v>
      </c>
      <c r="BF845" s="1">
        <f t="shared" ref="BF845:BF908" si="451">IF(BE845=1,1,BF844+1)</f>
        <v>1</v>
      </c>
    </row>
    <row r="846" spans="1:58" ht="11.25" customHeight="1">
      <c r="A846" s="26" t="s">
        <v>4146</v>
      </c>
      <c r="B846" s="27" t="s">
        <v>4131</v>
      </c>
      <c r="C846" s="28">
        <v>36.99</v>
      </c>
      <c r="D846" s="28">
        <f t="shared" si="437"/>
        <v>18.495000000000001</v>
      </c>
      <c r="E846" s="22" t="s">
        <v>3901</v>
      </c>
      <c r="F846" s="22" t="s">
        <v>4147</v>
      </c>
      <c r="G846" s="22" t="s">
        <v>742</v>
      </c>
      <c r="H846" s="22" t="s">
        <v>4148</v>
      </c>
      <c r="I846" s="23" t="s">
        <v>3905</v>
      </c>
      <c r="J846" s="22" t="s">
        <v>670</v>
      </c>
      <c r="L846" s="23">
        <v>9</v>
      </c>
      <c r="M846" s="23">
        <v>13</v>
      </c>
      <c r="N846" s="3">
        <f t="shared" si="430"/>
        <v>1.0529999999999999E-3</v>
      </c>
      <c r="O846" s="4" t="e">
        <f>(C846-(C846*#REF!))-((C846-(C846*#REF!))*#REF!)</f>
        <v>#REF!</v>
      </c>
      <c r="P846" s="7"/>
      <c r="Q846" s="7"/>
      <c r="R846" s="5">
        <f t="shared" si="431"/>
        <v>0</v>
      </c>
      <c r="S846" s="4">
        <f t="shared" si="432"/>
        <v>0</v>
      </c>
      <c r="T846" s="13">
        <f t="shared" si="438"/>
        <v>25.893000000000001</v>
      </c>
      <c r="U846" s="13">
        <f t="shared" si="448"/>
        <v>12.9465</v>
      </c>
      <c r="V846" s="14">
        <f>U846/C846</f>
        <v>0.35</v>
      </c>
      <c r="W846" s="14"/>
      <c r="X846" s="19">
        <f t="shared" si="433"/>
        <v>12.9465</v>
      </c>
      <c r="Y846" s="19">
        <f t="shared" si="434"/>
        <v>25.893000000000001</v>
      </c>
      <c r="Z846" s="15" t="e">
        <f t="shared" si="449"/>
        <v>#DIV/0!</v>
      </c>
      <c r="AA846" s="22" t="s">
        <v>4138</v>
      </c>
      <c r="AG846" s="94" t="s">
        <v>817</v>
      </c>
      <c r="AH846" s="89" t="str">
        <f>VLOOKUP(AG846,Sheet1!$B$3:$D$36,2,FALSE)</f>
        <v>Kitchen &amp; Dining</v>
      </c>
      <c r="AI846" s="89" t="s">
        <v>2821</v>
      </c>
      <c r="AJ846" s="1" t="str">
        <f t="shared" si="439"/>
        <v>Sam</v>
      </c>
      <c r="AK846" s="1" t="str">
        <f t="shared" si="440"/>
        <v>ø9 x h13 - vol. 500 ml</v>
      </c>
      <c r="AL846" s="1" t="str">
        <f t="shared" si="441"/>
        <v>clear glass # 6</v>
      </c>
      <c r="AM846" s="1" t="str">
        <f t="shared" si="442"/>
        <v>clear glass # 6</v>
      </c>
      <c r="AN846" s="1" t="str">
        <f t="shared" si="443"/>
        <v>clear glass # 6</v>
      </c>
      <c r="AQ846" s="1" t="str">
        <f t="shared" si="444"/>
        <v>C</v>
      </c>
      <c r="AR846" s="1" t="str">
        <f>VLOOKUP(TRIM(AI846),Sheet1!$D$3:$E$36,2,FALSE)</f>
        <v>04</v>
      </c>
      <c r="AS846" s="90" t="str">
        <f t="shared" si="445"/>
        <v>05</v>
      </c>
      <c r="AT846" s="1" t="str">
        <f t="shared" si="446"/>
        <v>01</v>
      </c>
      <c r="AU846" s="90" t="s">
        <v>2567</v>
      </c>
      <c r="AV846" s="90"/>
      <c r="AW846" s="90"/>
      <c r="AX846" s="95" t="str">
        <f>AQ846&amp;AR846&amp;AS846&amp;"-"&amp;AT846&amp;AU846&amp;BA846</f>
        <v>C0405-0138</v>
      </c>
      <c r="AY846" s="99" t="str">
        <f>AQ846&amp;AR846&amp;AS846&amp;"-"&amp;AT846&amp;BA846</f>
        <v>C0405-01</v>
      </c>
      <c r="AZ846" s="90"/>
      <c r="BA846" s="1" t="str">
        <f t="shared" si="447"/>
        <v/>
      </c>
      <c r="BC846" s="1" t="str">
        <f t="shared" si="435"/>
        <v/>
      </c>
      <c r="BD846" s="90">
        <f t="shared" si="436"/>
        <v>5</v>
      </c>
      <c r="BE846" s="1">
        <f t="shared" si="450"/>
        <v>1</v>
      </c>
      <c r="BF846" s="1">
        <f t="shared" si="451"/>
        <v>1</v>
      </c>
    </row>
    <row r="847" spans="1:58" ht="11.25" customHeight="1">
      <c r="A847" s="26" t="s">
        <v>4149</v>
      </c>
      <c r="B847" s="27" t="s">
        <v>4150</v>
      </c>
      <c r="D847" s="28">
        <f t="shared" si="437"/>
        <v>0</v>
      </c>
      <c r="E847" s="22" t="s">
        <v>3901</v>
      </c>
      <c r="F847" s="22" t="s">
        <v>4151</v>
      </c>
      <c r="G847" s="22" t="s">
        <v>368</v>
      </c>
      <c r="H847" s="22" t="s">
        <v>4152</v>
      </c>
      <c r="I847" s="23" t="s">
        <v>4153</v>
      </c>
      <c r="J847" s="22" t="s">
        <v>670</v>
      </c>
      <c r="L847" s="23">
        <v>5</v>
      </c>
      <c r="M847" s="23">
        <v>55</v>
      </c>
      <c r="N847" s="3">
        <f t="shared" si="430"/>
        <v>1.3749999999999999E-3</v>
      </c>
      <c r="O847" s="4" t="e">
        <f>(C847-(C847*#REF!))-((C847-(C847*#REF!))*#REF!)</f>
        <v>#REF!</v>
      </c>
      <c r="P847" s="7"/>
      <c r="Q847" s="7"/>
      <c r="R847" s="5">
        <f t="shared" si="431"/>
        <v>0</v>
      </c>
      <c r="S847" s="4">
        <f t="shared" si="432"/>
        <v>0</v>
      </c>
      <c r="T847" s="13">
        <f t="shared" si="438"/>
        <v>0</v>
      </c>
      <c r="U847" s="13">
        <f t="shared" si="448"/>
        <v>0</v>
      </c>
      <c r="V847" s="14" t="e">
        <f>U847/C847</f>
        <v>#DIV/0!</v>
      </c>
      <c r="W847" s="14"/>
      <c r="X847" s="19">
        <f t="shared" si="433"/>
        <v>0</v>
      </c>
      <c r="Y847" s="19">
        <f t="shared" si="434"/>
        <v>0</v>
      </c>
      <c r="Z847" s="15" t="e">
        <f t="shared" si="449"/>
        <v>#DIV/0!</v>
      </c>
      <c r="AA847" s="22" t="s">
        <v>4154</v>
      </c>
      <c r="AG847" s="94" t="s">
        <v>817</v>
      </c>
      <c r="AH847" s="89" t="str">
        <f>VLOOKUP(AG847,Sheet1!$B$3:$D$36,2,FALSE)</f>
        <v>Kitchen &amp; Dining</v>
      </c>
      <c r="AI847" s="89" t="s">
        <v>2821</v>
      </c>
      <c r="AJ847" s="1" t="str">
        <f t="shared" si="439"/>
        <v>Hena cup clear</v>
      </c>
      <c r="AK847" s="1" t="str">
        <f t="shared" si="440"/>
        <v>semi - ø5 x h55 - vol. 45 ml</v>
      </c>
      <c r="AL847" s="1" t="str">
        <f t="shared" si="441"/>
        <v>clear glass
# 6</v>
      </c>
      <c r="AM847" s="1" t="str">
        <f t="shared" si="442"/>
        <v>clear glass
# 6</v>
      </c>
      <c r="AN847" s="1" t="str">
        <f t="shared" si="443"/>
        <v>clear glass
# 6</v>
      </c>
      <c r="AQ847" s="1" t="str">
        <f t="shared" si="444"/>
        <v>C</v>
      </c>
      <c r="AR847" s="1" t="str">
        <f>VLOOKUP(TRIM(AI847),Sheet1!$D$3:$E$36,2,FALSE)</f>
        <v>04</v>
      </c>
      <c r="AS847" s="90" t="str">
        <f t="shared" si="445"/>
        <v>01</v>
      </c>
      <c r="AT847" s="1" t="str">
        <f t="shared" si="446"/>
        <v>01</v>
      </c>
      <c r="AU847" s="90" t="s">
        <v>2567</v>
      </c>
      <c r="AV847" s="90"/>
      <c r="AW847" s="90"/>
      <c r="AX847" s="95" t="str">
        <f>AQ847&amp;AR847&amp;AS847&amp;"-"&amp;AT847&amp;AU847&amp;BA847</f>
        <v>C0401-0138</v>
      </c>
      <c r="AY847" s="99" t="str">
        <f>AQ847&amp;AR847&amp;AS847&amp;"-"&amp;AT847&amp;BA847</f>
        <v>C0401-01</v>
      </c>
      <c r="AZ847" s="90"/>
      <c r="BA847" s="1" t="str">
        <f t="shared" si="447"/>
        <v/>
      </c>
      <c r="BC847" s="1">
        <f t="shared" si="435"/>
        <v>1</v>
      </c>
      <c r="BD847" s="90">
        <f t="shared" si="436"/>
        <v>1</v>
      </c>
      <c r="BE847" s="1">
        <f t="shared" si="450"/>
        <v>1</v>
      </c>
      <c r="BF847" s="1">
        <f t="shared" si="451"/>
        <v>1</v>
      </c>
    </row>
    <row r="848" spans="1:58" ht="11.25" customHeight="1">
      <c r="A848" s="26" t="s">
        <v>4155</v>
      </c>
      <c r="B848" s="27" t="s">
        <v>4150</v>
      </c>
      <c r="C848" s="28">
        <v>18.989999999999998</v>
      </c>
      <c r="D848" s="28">
        <f t="shared" si="437"/>
        <v>9.4949999999999992</v>
      </c>
      <c r="E848" s="22" t="s">
        <v>3901</v>
      </c>
      <c r="F848" s="22" t="s">
        <v>4156</v>
      </c>
      <c r="G848" s="22" t="s">
        <v>368</v>
      </c>
      <c r="H848" s="22" t="s">
        <v>4157</v>
      </c>
      <c r="I848" s="23" t="s">
        <v>3905</v>
      </c>
      <c r="J848" s="22" t="s">
        <v>670</v>
      </c>
      <c r="L848" s="23">
        <v>6</v>
      </c>
      <c r="M848" s="23">
        <v>6</v>
      </c>
      <c r="N848" s="3">
        <f t="shared" si="430"/>
        <v>2.1599999999999999E-4</v>
      </c>
      <c r="O848" s="4" t="e">
        <f>(C848-(C848*#REF!))-((C848-(C848*#REF!))*#REF!)</f>
        <v>#REF!</v>
      </c>
      <c r="P848" s="7"/>
      <c r="Q848" s="7"/>
      <c r="R848" s="5">
        <f t="shared" si="431"/>
        <v>0</v>
      </c>
      <c r="S848" s="4">
        <f t="shared" si="432"/>
        <v>0</v>
      </c>
      <c r="T848" s="13">
        <f t="shared" si="438"/>
        <v>13.292999999999999</v>
      </c>
      <c r="U848" s="13">
        <f t="shared" si="448"/>
        <v>6.6464999999999996</v>
      </c>
      <c r="V848" s="14">
        <f>U848/C848</f>
        <v>0.35000000000000003</v>
      </c>
      <c r="W848" s="14"/>
      <c r="X848" s="19">
        <f t="shared" si="433"/>
        <v>6.6464999999999996</v>
      </c>
      <c r="Y848" s="19">
        <f t="shared" si="434"/>
        <v>13.292999999999999</v>
      </c>
      <c r="Z848" s="15" t="e">
        <f t="shared" si="449"/>
        <v>#DIV/0!</v>
      </c>
      <c r="AA848" s="22" t="s">
        <v>4154</v>
      </c>
      <c r="AG848" s="94" t="s">
        <v>817</v>
      </c>
      <c r="AH848" s="89" t="str">
        <f>VLOOKUP(AG848,Sheet1!$B$3:$D$36,2,FALSE)</f>
        <v>Kitchen &amp; Dining</v>
      </c>
      <c r="AI848" s="89" t="s">
        <v>2821</v>
      </c>
      <c r="AJ848" s="1" t="str">
        <f t="shared" si="439"/>
        <v>Hena cup clear</v>
      </c>
      <c r="AK848" s="1" t="str">
        <f t="shared" si="440"/>
        <v>ø6 x h6 - vol. 50 ml</v>
      </c>
      <c r="AL848" s="1" t="str">
        <f t="shared" si="441"/>
        <v>clear glass # 6</v>
      </c>
      <c r="AM848" s="1" t="str">
        <f t="shared" si="442"/>
        <v>clear glass # 6</v>
      </c>
      <c r="AN848" s="1" t="str">
        <f t="shared" si="443"/>
        <v>clear glass # 6</v>
      </c>
      <c r="AQ848" s="1" t="str">
        <f t="shared" si="444"/>
        <v>C</v>
      </c>
      <c r="AR848" s="1" t="str">
        <f>VLOOKUP(TRIM(AI848),Sheet1!$D$3:$E$36,2,FALSE)</f>
        <v>04</v>
      </c>
      <c r="AS848" s="90" t="str">
        <f t="shared" si="445"/>
        <v>02</v>
      </c>
      <c r="AT848" s="1" t="str">
        <f t="shared" si="446"/>
        <v>01</v>
      </c>
      <c r="AU848" s="90" t="s">
        <v>2567</v>
      </c>
      <c r="AV848" s="90"/>
      <c r="AW848" s="90"/>
      <c r="AX848" s="95" t="str">
        <f>AQ848&amp;AR848&amp;AS848&amp;"-"&amp;AT848&amp;AU848&amp;BA848</f>
        <v>C0402-0138</v>
      </c>
      <c r="AY848" s="99" t="str">
        <f>AQ848&amp;AR848&amp;AS848&amp;"-"&amp;AT848&amp;BA848</f>
        <v>C0402-01</v>
      </c>
      <c r="AZ848" s="90"/>
      <c r="BA848" s="1" t="str">
        <f t="shared" si="447"/>
        <v/>
      </c>
      <c r="BC848" s="1" t="str">
        <f t="shared" si="435"/>
        <v/>
      </c>
      <c r="BD848" s="90">
        <f t="shared" si="436"/>
        <v>2</v>
      </c>
      <c r="BE848" s="1">
        <f t="shared" si="450"/>
        <v>1</v>
      </c>
      <c r="BF848" s="1">
        <f t="shared" si="451"/>
        <v>1</v>
      </c>
    </row>
    <row r="849" spans="1:58" ht="11.25" customHeight="1">
      <c r="A849" s="26" t="s">
        <v>4158</v>
      </c>
      <c r="B849" s="27" t="s">
        <v>4150</v>
      </c>
      <c r="C849" s="28">
        <v>21.99</v>
      </c>
      <c r="D849" s="28">
        <f t="shared" si="437"/>
        <v>10.994999999999999</v>
      </c>
      <c r="E849" s="22" t="s">
        <v>3901</v>
      </c>
      <c r="F849" s="22" t="s">
        <v>4159</v>
      </c>
      <c r="G849" s="22" t="s">
        <v>368</v>
      </c>
      <c r="H849" s="22" t="s">
        <v>4160</v>
      </c>
      <c r="I849" s="23" t="s">
        <v>3905</v>
      </c>
      <c r="J849" s="22" t="s">
        <v>670</v>
      </c>
      <c r="L849" s="23">
        <v>8</v>
      </c>
      <c r="M849" s="23">
        <v>6</v>
      </c>
      <c r="N849" s="3">
        <f t="shared" si="430"/>
        <v>3.8400000000000001E-4</v>
      </c>
      <c r="O849" s="4" t="e">
        <f>(C849-(C849*#REF!))-((C849-(C849*#REF!))*#REF!)</f>
        <v>#REF!</v>
      </c>
      <c r="P849" s="7"/>
      <c r="Q849" s="7"/>
      <c r="R849" s="5">
        <f t="shared" si="431"/>
        <v>0</v>
      </c>
      <c r="S849" s="4">
        <f t="shared" si="432"/>
        <v>0</v>
      </c>
      <c r="T849" s="13">
        <f t="shared" si="438"/>
        <v>15.392999999999999</v>
      </c>
      <c r="U849" s="13">
        <f t="shared" si="448"/>
        <v>7.6964999999999995</v>
      </c>
      <c r="V849" s="14">
        <f>U849/C849</f>
        <v>0.35</v>
      </c>
      <c r="W849" s="14"/>
      <c r="X849" s="19">
        <f t="shared" si="433"/>
        <v>7.6964999999999995</v>
      </c>
      <c r="Y849" s="19">
        <f t="shared" si="434"/>
        <v>15.392999999999999</v>
      </c>
      <c r="Z849" s="15" t="e">
        <f t="shared" si="449"/>
        <v>#DIV/0!</v>
      </c>
      <c r="AA849" s="22" t="s">
        <v>4161</v>
      </c>
      <c r="AG849" s="94" t="s">
        <v>817</v>
      </c>
      <c r="AH849" s="89" t="str">
        <f>VLOOKUP(AG849,Sheet1!$B$3:$D$36,2,FALSE)</f>
        <v>Kitchen &amp; Dining</v>
      </c>
      <c r="AI849" s="89" t="s">
        <v>2821</v>
      </c>
      <c r="AJ849" s="1" t="str">
        <f t="shared" si="439"/>
        <v>Hena cup clear</v>
      </c>
      <c r="AK849" s="1" t="str">
        <f t="shared" si="440"/>
        <v>ø8 x h6 - vol. 100 ml</v>
      </c>
      <c r="AL849" s="1" t="str">
        <f t="shared" si="441"/>
        <v>clear glass # 6</v>
      </c>
      <c r="AM849" s="1" t="str">
        <f t="shared" si="442"/>
        <v>clear glass # 6</v>
      </c>
      <c r="AN849" s="1" t="str">
        <f t="shared" si="443"/>
        <v>clear glass # 6</v>
      </c>
      <c r="AQ849" s="1" t="str">
        <f t="shared" si="444"/>
        <v>C</v>
      </c>
      <c r="AR849" s="1" t="str">
        <f>VLOOKUP(TRIM(AI849),Sheet1!$D$3:$E$36,2,FALSE)</f>
        <v>04</v>
      </c>
      <c r="AS849" s="90" t="str">
        <f t="shared" si="445"/>
        <v>03</v>
      </c>
      <c r="AT849" s="1" t="str">
        <f t="shared" si="446"/>
        <v>01</v>
      </c>
      <c r="AU849" s="90" t="s">
        <v>2567</v>
      </c>
      <c r="AV849" s="90"/>
      <c r="AW849" s="90"/>
      <c r="AX849" s="95" t="str">
        <f>AQ849&amp;AR849&amp;AS849&amp;"-"&amp;AT849&amp;AU849&amp;BA849</f>
        <v>C0403-0138</v>
      </c>
      <c r="AY849" s="99" t="str">
        <f>AQ849&amp;AR849&amp;AS849&amp;"-"&amp;AT849&amp;BA849</f>
        <v>C0403-01</v>
      </c>
      <c r="AZ849" s="90"/>
      <c r="BA849" s="1" t="str">
        <f t="shared" si="447"/>
        <v/>
      </c>
      <c r="BC849" s="1" t="str">
        <f t="shared" si="435"/>
        <v/>
      </c>
      <c r="BD849" s="90">
        <f t="shared" si="436"/>
        <v>3</v>
      </c>
      <c r="BE849" s="1">
        <f t="shared" si="450"/>
        <v>1</v>
      </c>
      <c r="BF849" s="1">
        <f t="shared" si="451"/>
        <v>1</v>
      </c>
    </row>
    <row r="850" spans="1:58" ht="11.25" customHeight="1">
      <c r="A850" s="26" t="s">
        <v>4162</v>
      </c>
      <c r="B850" s="27" t="s">
        <v>4150</v>
      </c>
      <c r="C850" s="28">
        <v>21.99</v>
      </c>
      <c r="D850" s="28">
        <f t="shared" si="437"/>
        <v>10.994999999999999</v>
      </c>
      <c r="E850" s="22" t="s">
        <v>3901</v>
      </c>
      <c r="F850" s="22" t="s">
        <v>4163</v>
      </c>
      <c r="G850" s="22" t="s">
        <v>368</v>
      </c>
      <c r="H850" s="22" t="s">
        <v>4164</v>
      </c>
      <c r="I850" s="23" t="s">
        <v>3905</v>
      </c>
      <c r="J850" s="22" t="s">
        <v>670</v>
      </c>
      <c r="L850" s="23">
        <v>6.5</v>
      </c>
      <c r="M850" s="23">
        <v>7</v>
      </c>
      <c r="N850" s="3">
        <f t="shared" ref="N850:N913" si="452">(IF(ISBLANK(K850),(L850*L850*M850),(K850*L850*M850)))/1000000</f>
        <v>2.9575000000000001E-4</v>
      </c>
      <c r="O850" s="4" t="e">
        <f>(C850-(C850*#REF!))-((C850-(C850*#REF!))*#REF!)</f>
        <v>#REF!</v>
      </c>
      <c r="P850" s="7"/>
      <c r="Q850" s="7"/>
      <c r="R850" s="5">
        <f t="shared" ref="R850:R913" si="453">P850+Q850</f>
        <v>0</v>
      </c>
      <c r="S850" s="4">
        <f t="shared" ref="S850:S913" si="454">R850/15000</f>
        <v>0</v>
      </c>
      <c r="T850" s="13">
        <f t="shared" si="438"/>
        <v>15.392999999999999</v>
      </c>
      <c r="U850" s="13">
        <f t="shared" si="448"/>
        <v>7.6964999999999995</v>
      </c>
      <c r="V850" s="14">
        <f>U850/C850</f>
        <v>0.35</v>
      </c>
      <c r="W850" s="14"/>
      <c r="X850" s="19">
        <f t="shared" ref="X850:X913" si="455">IF(ISBLANK(W850),U850, W850)</f>
        <v>7.6964999999999995</v>
      </c>
      <c r="Y850" s="19">
        <f t="shared" ref="Y850:Y913" si="456">X850*2</f>
        <v>15.392999999999999</v>
      </c>
      <c r="Z850" s="15" t="e">
        <f t="shared" si="449"/>
        <v>#DIV/0!</v>
      </c>
      <c r="AA850" s="22" t="s">
        <v>4165</v>
      </c>
      <c r="AG850" s="94" t="s">
        <v>817</v>
      </c>
      <c r="AH850" s="89" t="str">
        <f>VLOOKUP(AG850,Sheet1!$B$3:$D$36,2,FALSE)</f>
        <v>Kitchen &amp; Dining</v>
      </c>
      <c r="AI850" s="89" t="s">
        <v>2821</v>
      </c>
      <c r="AJ850" s="1" t="str">
        <f t="shared" si="439"/>
        <v>Hena cup clear</v>
      </c>
      <c r="AK850" s="1" t="str">
        <f t="shared" si="440"/>
        <v>ø6,5 x h7 - vol. 120 ml</v>
      </c>
      <c r="AL850" s="1" t="str">
        <f t="shared" si="441"/>
        <v>clear glass # 6</v>
      </c>
      <c r="AM850" s="1" t="str">
        <f t="shared" si="442"/>
        <v>clear glass # 6</v>
      </c>
      <c r="AN850" s="1" t="str">
        <f t="shared" si="443"/>
        <v>clear glass # 6</v>
      </c>
      <c r="AQ850" s="1" t="str">
        <f t="shared" si="444"/>
        <v>C</v>
      </c>
      <c r="AR850" s="1" t="str">
        <f>VLOOKUP(TRIM(AI850),Sheet1!$D$3:$E$36,2,FALSE)</f>
        <v>04</v>
      </c>
      <c r="AS850" s="90" t="str">
        <f t="shared" si="445"/>
        <v>04</v>
      </c>
      <c r="AT850" s="1" t="str">
        <f t="shared" si="446"/>
        <v>01</v>
      </c>
      <c r="AU850" s="90" t="s">
        <v>2567</v>
      </c>
      <c r="AV850" s="90"/>
      <c r="AW850" s="90"/>
      <c r="AX850" s="95" t="str">
        <f>AQ850&amp;AR850&amp;AS850&amp;"-"&amp;AT850&amp;AU850&amp;BA850</f>
        <v>C0404-0138</v>
      </c>
      <c r="AY850" s="99" t="str">
        <f>AQ850&amp;AR850&amp;AS850&amp;"-"&amp;AT850&amp;BA850</f>
        <v>C0404-01</v>
      </c>
      <c r="AZ850" s="90"/>
      <c r="BA850" s="1" t="str">
        <f t="shared" si="447"/>
        <v/>
      </c>
      <c r="BC850" s="1" t="str">
        <f t="shared" si="435"/>
        <v/>
      </c>
      <c r="BD850" s="90">
        <f t="shared" si="436"/>
        <v>4</v>
      </c>
      <c r="BE850" s="1">
        <f t="shared" si="450"/>
        <v>1</v>
      </c>
      <c r="BF850" s="1">
        <f t="shared" si="451"/>
        <v>1</v>
      </c>
    </row>
    <row r="851" spans="1:58" ht="11.25" customHeight="1">
      <c r="A851" s="26" t="s">
        <v>4166</v>
      </c>
      <c r="B851" s="27" t="s">
        <v>4150</v>
      </c>
      <c r="C851" s="28">
        <v>24.99</v>
      </c>
      <c r="D851" s="28">
        <f t="shared" si="437"/>
        <v>12.494999999999999</v>
      </c>
      <c r="E851" s="22" t="s">
        <v>3901</v>
      </c>
      <c r="F851" s="22" t="s">
        <v>4167</v>
      </c>
      <c r="G851" s="22" t="s">
        <v>368</v>
      </c>
      <c r="H851" s="22" t="s">
        <v>4168</v>
      </c>
      <c r="I851" s="23" t="s">
        <v>3905</v>
      </c>
      <c r="J851" s="22" t="s">
        <v>670</v>
      </c>
      <c r="L851" s="23">
        <v>8</v>
      </c>
      <c r="M851" s="23">
        <v>8</v>
      </c>
      <c r="N851" s="3">
        <f t="shared" si="452"/>
        <v>5.1199999999999998E-4</v>
      </c>
      <c r="O851" s="4" t="e">
        <f>(C851-(C851*#REF!))-((C851-(C851*#REF!))*#REF!)</f>
        <v>#REF!</v>
      </c>
      <c r="P851" s="7"/>
      <c r="Q851" s="7"/>
      <c r="R851" s="5">
        <f t="shared" si="453"/>
        <v>0</v>
      </c>
      <c r="S851" s="4">
        <f t="shared" si="454"/>
        <v>0</v>
      </c>
      <c r="T851" s="13">
        <f t="shared" si="438"/>
        <v>17.492999999999999</v>
      </c>
      <c r="U851" s="13">
        <f t="shared" si="448"/>
        <v>8.7464999999999993</v>
      </c>
      <c r="V851" s="14">
        <f>U851/C851</f>
        <v>0.35</v>
      </c>
      <c r="W851" s="14"/>
      <c r="X851" s="19">
        <f t="shared" si="455"/>
        <v>8.7464999999999993</v>
      </c>
      <c r="Y851" s="19">
        <f t="shared" si="456"/>
        <v>17.492999999999999</v>
      </c>
      <c r="Z851" s="15" t="e">
        <f t="shared" si="449"/>
        <v>#DIV/0!</v>
      </c>
      <c r="AA851" s="22" t="s">
        <v>4161</v>
      </c>
      <c r="AG851" s="94" t="s">
        <v>817</v>
      </c>
      <c r="AH851" s="89" t="str">
        <f>VLOOKUP(AG851,Sheet1!$B$3:$D$36,2,FALSE)</f>
        <v>Kitchen &amp; Dining</v>
      </c>
      <c r="AI851" s="89" t="s">
        <v>2821</v>
      </c>
      <c r="AJ851" s="1" t="str">
        <f t="shared" si="439"/>
        <v>Hena cup clear</v>
      </c>
      <c r="AK851" s="1" t="str">
        <f t="shared" si="440"/>
        <v>ø8 x h8 - vol. 150 ml</v>
      </c>
      <c r="AL851" s="1" t="str">
        <f t="shared" si="441"/>
        <v>clear glass # 6</v>
      </c>
      <c r="AM851" s="1" t="str">
        <f t="shared" si="442"/>
        <v>clear glass # 6</v>
      </c>
      <c r="AN851" s="1" t="str">
        <f t="shared" si="443"/>
        <v>clear glass # 6</v>
      </c>
      <c r="AQ851" s="1" t="str">
        <f t="shared" si="444"/>
        <v>C</v>
      </c>
      <c r="AR851" s="1" t="str">
        <f>VLOOKUP(TRIM(AI851),Sheet1!$D$3:$E$36,2,FALSE)</f>
        <v>04</v>
      </c>
      <c r="AS851" s="90" t="str">
        <f t="shared" si="445"/>
        <v>05</v>
      </c>
      <c r="AT851" s="1" t="str">
        <f t="shared" si="446"/>
        <v>01</v>
      </c>
      <c r="AU851" s="90" t="s">
        <v>2567</v>
      </c>
      <c r="AV851" s="90"/>
      <c r="AW851" s="90"/>
      <c r="AX851" s="95" t="str">
        <f>AQ851&amp;AR851&amp;AS851&amp;"-"&amp;AT851&amp;AU851&amp;BA851</f>
        <v>C0405-0138</v>
      </c>
      <c r="AY851" s="99" t="str">
        <f>AQ851&amp;AR851&amp;AS851&amp;"-"&amp;AT851&amp;BA851</f>
        <v>C0405-01</v>
      </c>
      <c r="AZ851" s="90"/>
      <c r="BA851" s="1" t="str">
        <f t="shared" si="447"/>
        <v/>
      </c>
      <c r="BC851" s="1" t="str">
        <f t="shared" si="435"/>
        <v/>
      </c>
      <c r="BD851" s="90">
        <f t="shared" si="436"/>
        <v>5</v>
      </c>
      <c r="BE851" s="1">
        <f t="shared" si="450"/>
        <v>1</v>
      </c>
      <c r="BF851" s="1">
        <f t="shared" si="451"/>
        <v>1</v>
      </c>
    </row>
    <row r="852" spans="1:58" ht="11.25" customHeight="1">
      <c r="A852" s="26" t="s">
        <v>4169</v>
      </c>
      <c r="B852" s="27" t="s">
        <v>4150</v>
      </c>
      <c r="C852" s="28">
        <v>20.99</v>
      </c>
      <c r="D852" s="28">
        <f t="shared" si="437"/>
        <v>10.494999999999999</v>
      </c>
      <c r="E852" s="22" t="s">
        <v>3901</v>
      </c>
      <c r="F852" s="22" t="s">
        <v>4170</v>
      </c>
      <c r="G852" s="22" t="s">
        <v>368</v>
      </c>
      <c r="H852" s="22" t="s">
        <v>4171</v>
      </c>
      <c r="I852" s="23" t="s">
        <v>3905</v>
      </c>
      <c r="J852" s="22" t="s">
        <v>670</v>
      </c>
      <c r="L852" s="23">
        <v>6.5</v>
      </c>
      <c r="M852" s="23">
        <v>10</v>
      </c>
      <c r="N852" s="3">
        <f t="shared" si="452"/>
        <v>4.2250000000000002E-4</v>
      </c>
      <c r="O852" s="4" t="e">
        <f>(C852-(C852*#REF!))-((C852-(C852*#REF!))*#REF!)</f>
        <v>#REF!</v>
      </c>
      <c r="P852" s="7"/>
      <c r="Q852" s="7"/>
      <c r="R852" s="5">
        <f t="shared" si="453"/>
        <v>0</v>
      </c>
      <c r="S852" s="4">
        <f t="shared" si="454"/>
        <v>0</v>
      </c>
      <c r="T852" s="13">
        <f t="shared" si="438"/>
        <v>14.692999999999998</v>
      </c>
      <c r="U852" s="13">
        <f t="shared" si="448"/>
        <v>7.3464999999999989</v>
      </c>
      <c r="V852" s="14">
        <f>U852/C852</f>
        <v>0.35</v>
      </c>
      <c r="W852" s="14"/>
      <c r="X852" s="19">
        <f t="shared" si="455"/>
        <v>7.3464999999999989</v>
      </c>
      <c r="Y852" s="19">
        <f t="shared" si="456"/>
        <v>14.692999999999998</v>
      </c>
      <c r="Z852" s="15" t="e">
        <f t="shared" si="449"/>
        <v>#DIV/0!</v>
      </c>
      <c r="AA852" s="22" t="s">
        <v>4172</v>
      </c>
      <c r="AG852" s="94" t="s">
        <v>817</v>
      </c>
      <c r="AH852" s="89" t="str">
        <f>VLOOKUP(AG852,Sheet1!$B$3:$D$36,2,FALSE)</f>
        <v>Kitchen &amp; Dining</v>
      </c>
      <c r="AI852" s="89" t="s">
        <v>2821</v>
      </c>
      <c r="AJ852" s="1" t="str">
        <f t="shared" si="439"/>
        <v>Hena cup clear</v>
      </c>
      <c r="AK852" s="1" t="str">
        <f t="shared" si="440"/>
        <v>ø6,5 x h10 - vol. 100 ml</v>
      </c>
      <c r="AL852" s="1" t="str">
        <f t="shared" si="441"/>
        <v>clear glass # 6</v>
      </c>
      <c r="AM852" s="1" t="str">
        <f t="shared" si="442"/>
        <v>clear glass # 6</v>
      </c>
      <c r="AN852" s="1" t="str">
        <f t="shared" si="443"/>
        <v>clear glass # 6</v>
      </c>
      <c r="AQ852" s="1" t="str">
        <f t="shared" si="444"/>
        <v>C</v>
      </c>
      <c r="AR852" s="1" t="str">
        <f>VLOOKUP(TRIM(AI852),Sheet1!$D$3:$E$36,2,FALSE)</f>
        <v>04</v>
      </c>
      <c r="AS852" s="90" t="str">
        <f t="shared" si="445"/>
        <v>06</v>
      </c>
      <c r="AT852" s="1" t="str">
        <f t="shared" si="446"/>
        <v>01</v>
      </c>
      <c r="AU852" s="90" t="s">
        <v>2567</v>
      </c>
      <c r="AV852" s="90"/>
      <c r="AW852" s="90"/>
      <c r="AX852" s="95" t="str">
        <f>AQ852&amp;AR852&amp;AS852&amp;"-"&amp;AT852&amp;AU852&amp;BA852</f>
        <v>C0406-0138</v>
      </c>
      <c r="AY852" s="99" t="str">
        <f>AQ852&amp;AR852&amp;AS852&amp;"-"&amp;AT852&amp;BA852</f>
        <v>C0406-01</v>
      </c>
      <c r="AZ852" s="90"/>
      <c r="BA852" s="1" t="str">
        <f t="shared" si="447"/>
        <v/>
      </c>
      <c r="BC852" s="1" t="str">
        <f t="shared" si="435"/>
        <v/>
      </c>
      <c r="BD852" s="90">
        <f t="shared" si="436"/>
        <v>6</v>
      </c>
      <c r="BE852" s="1">
        <f t="shared" si="450"/>
        <v>1</v>
      </c>
      <c r="BF852" s="1">
        <f t="shared" si="451"/>
        <v>1</v>
      </c>
    </row>
    <row r="853" spans="1:58" ht="11.25" customHeight="1">
      <c r="A853" s="26" t="s">
        <v>4173</v>
      </c>
      <c r="B853" s="27" t="s">
        <v>4150</v>
      </c>
      <c r="C853" s="28">
        <v>25.99</v>
      </c>
      <c r="D853" s="28">
        <f t="shared" si="437"/>
        <v>12.994999999999999</v>
      </c>
      <c r="E853" s="22" t="s">
        <v>3901</v>
      </c>
      <c r="F853" s="22" t="s">
        <v>4174</v>
      </c>
      <c r="G853" s="22" t="s">
        <v>368</v>
      </c>
      <c r="H853" s="22" t="s">
        <v>4175</v>
      </c>
      <c r="I853" s="23" t="s">
        <v>3905</v>
      </c>
      <c r="J853" s="22" t="s">
        <v>670</v>
      </c>
      <c r="L853" s="23">
        <v>8</v>
      </c>
      <c r="M853" s="23">
        <v>12</v>
      </c>
      <c r="N853" s="3">
        <f t="shared" si="452"/>
        <v>7.6800000000000002E-4</v>
      </c>
      <c r="O853" s="4" t="e">
        <f>(C853-(C853*#REF!))-((C853-(C853*#REF!))*#REF!)</f>
        <v>#REF!</v>
      </c>
      <c r="P853" s="7"/>
      <c r="Q853" s="7"/>
      <c r="R853" s="5">
        <f t="shared" si="453"/>
        <v>0</v>
      </c>
      <c r="S853" s="4">
        <f t="shared" si="454"/>
        <v>0</v>
      </c>
      <c r="T853" s="13">
        <f t="shared" si="438"/>
        <v>18.192999999999998</v>
      </c>
      <c r="U853" s="13">
        <f t="shared" si="448"/>
        <v>9.0964999999999989</v>
      </c>
      <c r="V853" s="14">
        <f>U853/C853</f>
        <v>0.35</v>
      </c>
      <c r="W853" s="14"/>
      <c r="X853" s="19">
        <f t="shared" si="455"/>
        <v>9.0964999999999989</v>
      </c>
      <c r="Y853" s="19">
        <f t="shared" si="456"/>
        <v>18.192999999999998</v>
      </c>
      <c r="Z853" s="15" t="e">
        <f t="shared" si="449"/>
        <v>#DIV/0!</v>
      </c>
      <c r="AA853" s="22" t="s">
        <v>4161</v>
      </c>
      <c r="AG853" s="94" t="s">
        <v>817</v>
      </c>
      <c r="AH853" s="89" t="str">
        <f>VLOOKUP(AG853,Sheet1!$B$3:$D$36,2,FALSE)</f>
        <v>Kitchen &amp; Dining</v>
      </c>
      <c r="AI853" s="89" t="s">
        <v>2821</v>
      </c>
      <c r="AJ853" s="1" t="str">
        <f t="shared" si="439"/>
        <v>Hena cup clear</v>
      </c>
      <c r="AK853" s="1" t="str">
        <f t="shared" si="440"/>
        <v>ø8 x h12 - vol. 250 ml</v>
      </c>
      <c r="AL853" s="1" t="str">
        <f t="shared" si="441"/>
        <v>clear glass # 6</v>
      </c>
      <c r="AM853" s="1" t="str">
        <f t="shared" si="442"/>
        <v>clear glass # 6</v>
      </c>
      <c r="AN853" s="1" t="str">
        <f t="shared" si="443"/>
        <v>clear glass # 6</v>
      </c>
      <c r="AQ853" s="1" t="str">
        <f t="shared" si="444"/>
        <v>C</v>
      </c>
      <c r="AR853" s="1" t="str">
        <f>VLOOKUP(TRIM(AI853),Sheet1!$D$3:$E$36,2,FALSE)</f>
        <v>04</v>
      </c>
      <c r="AS853" s="90" t="str">
        <f t="shared" si="445"/>
        <v>07</v>
      </c>
      <c r="AT853" s="1" t="str">
        <f t="shared" si="446"/>
        <v>01</v>
      </c>
      <c r="AU853" s="90" t="s">
        <v>2567</v>
      </c>
      <c r="AV853" s="90"/>
      <c r="AW853" s="90"/>
      <c r="AX853" s="95" t="str">
        <f>AQ853&amp;AR853&amp;AS853&amp;"-"&amp;AT853&amp;AU853&amp;BA853</f>
        <v>C0407-0138</v>
      </c>
      <c r="AY853" s="99" t="str">
        <f>AQ853&amp;AR853&amp;AS853&amp;"-"&amp;AT853&amp;BA853</f>
        <v>C0407-01</v>
      </c>
      <c r="AZ853" s="90"/>
      <c r="BA853" s="1" t="str">
        <f t="shared" si="447"/>
        <v/>
      </c>
      <c r="BC853" s="1" t="str">
        <f t="shared" si="435"/>
        <v/>
      </c>
      <c r="BD853" s="90">
        <f t="shared" si="436"/>
        <v>7</v>
      </c>
      <c r="BE853" s="1">
        <f t="shared" si="450"/>
        <v>1</v>
      </c>
      <c r="BF853" s="1">
        <f t="shared" si="451"/>
        <v>1</v>
      </c>
    </row>
    <row r="854" spans="1:58" ht="11.25" customHeight="1">
      <c r="A854" s="26" t="s">
        <v>4176</v>
      </c>
      <c r="B854" s="27" t="s">
        <v>4150</v>
      </c>
      <c r="C854" s="28">
        <v>27.99</v>
      </c>
      <c r="D854" s="28">
        <f t="shared" si="437"/>
        <v>13.994999999999999</v>
      </c>
      <c r="E854" s="22" t="s">
        <v>3901</v>
      </c>
      <c r="F854" s="22" t="s">
        <v>4177</v>
      </c>
      <c r="G854" s="22" t="s">
        <v>368</v>
      </c>
      <c r="H854" s="22" t="s">
        <v>4178</v>
      </c>
      <c r="I854" s="23" t="s">
        <v>3905</v>
      </c>
      <c r="J854" s="22" t="s">
        <v>670</v>
      </c>
      <c r="L854" s="23">
        <v>7</v>
      </c>
      <c r="M854" s="23">
        <v>13</v>
      </c>
      <c r="N854" s="3">
        <f t="shared" si="452"/>
        <v>6.3699999999999998E-4</v>
      </c>
      <c r="O854" s="4" t="e">
        <f>(C854-(C854*#REF!))-((C854-(C854*#REF!))*#REF!)</f>
        <v>#REF!</v>
      </c>
      <c r="P854" s="7"/>
      <c r="Q854" s="7"/>
      <c r="R854" s="5">
        <f t="shared" si="453"/>
        <v>0</v>
      </c>
      <c r="S854" s="4">
        <f t="shared" si="454"/>
        <v>0</v>
      </c>
      <c r="T854" s="13">
        <f t="shared" si="438"/>
        <v>19.593</v>
      </c>
      <c r="U854" s="13">
        <f t="shared" si="448"/>
        <v>9.7965</v>
      </c>
      <c r="V854" s="14">
        <f>U854/C854</f>
        <v>0.35000000000000003</v>
      </c>
      <c r="W854" s="14"/>
      <c r="X854" s="19">
        <f t="shared" si="455"/>
        <v>9.7965</v>
      </c>
      <c r="Y854" s="19">
        <f t="shared" si="456"/>
        <v>19.593</v>
      </c>
      <c r="Z854" s="15" t="e">
        <f t="shared" si="449"/>
        <v>#DIV/0!</v>
      </c>
      <c r="AA854" s="22" t="s">
        <v>4172</v>
      </c>
      <c r="AG854" s="94" t="s">
        <v>817</v>
      </c>
      <c r="AH854" s="89" t="str">
        <f>VLOOKUP(AG854,Sheet1!$B$3:$D$36,2,FALSE)</f>
        <v>Kitchen &amp; Dining</v>
      </c>
      <c r="AI854" s="89" t="s">
        <v>2821</v>
      </c>
      <c r="AJ854" s="1" t="str">
        <f t="shared" si="439"/>
        <v>Hena cup clear</v>
      </c>
      <c r="AK854" s="1" t="str">
        <f t="shared" si="440"/>
        <v>ø7 x h13 - vol. 400 ml</v>
      </c>
      <c r="AL854" s="1" t="str">
        <f t="shared" si="441"/>
        <v>clear glass # 6</v>
      </c>
      <c r="AM854" s="1" t="str">
        <f t="shared" si="442"/>
        <v>clear glass # 6</v>
      </c>
      <c r="AN854" s="1" t="str">
        <f t="shared" si="443"/>
        <v>clear glass # 6</v>
      </c>
      <c r="AQ854" s="1" t="str">
        <f t="shared" si="444"/>
        <v>C</v>
      </c>
      <c r="AR854" s="1" t="str">
        <f>VLOOKUP(TRIM(AI854),Sheet1!$D$3:$E$36,2,FALSE)</f>
        <v>04</v>
      </c>
      <c r="AS854" s="90" t="str">
        <f t="shared" si="445"/>
        <v>08</v>
      </c>
      <c r="AT854" s="1" t="str">
        <f t="shared" si="446"/>
        <v>01</v>
      </c>
      <c r="AU854" s="90" t="s">
        <v>2567</v>
      </c>
      <c r="AV854" s="90"/>
      <c r="AW854" s="90"/>
      <c r="AX854" s="95" t="str">
        <f>AQ854&amp;AR854&amp;AS854&amp;"-"&amp;AT854&amp;AU854&amp;BA854</f>
        <v>C0408-0138</v>
      </c>
      <c r="AY854" s="99" t="str">
        <f>AQ854&amp;AR854&amp;AS854&amp;"-"&amp;AT854&amp;BA854</f>
        <v>C0408-01</v>
      </c>
      <c r="AZ854" s="90"/>
      <c r="BA854" s="1" t="str">
        <f t="shared" si="447"/>
        <v/>
      </c>
      <c r="BC854" s="1" t="str">
        <f t="shared" si="435"/>
        <v/>
      </c>
      <c r="BD854" s="90">
        <f t="shared" si="436"/>
        <v>8</v>
      </c>
      <c r="BE854" s="1">
        <f t="shared" si="450"/>
        <v>1</v>
      </c>
      <c r="BF854" s="1">
        <f t="shared" si="451"/>
        <v>1</v>
      </c>
    </row>
    <row r="855" spans="1:58" ht="11.25" customHeight="1">
      <c r="A855" s="26" t="s">
        <v>4179</v>
      </c>
      <c r="B855" s="27" t="s">
        <v>4150</v>
      </c>
      <c r="C855" s="28">
        <v>28.99</v>
      </c>
      <c r="D855" s="28">
        <f t="shared" si="437"/>
        <v>14.494999999999999</v>
      </c>
      <c r="E855" s="22" t="s">
        <v>3901</v>
      </c>
      <c r="F855" s="22" t="s">
        <v>4180</v>
      </c>
      <c r="G855" s="22" t="s">
        <v>368</v>
      </c>
      <c r="H855" s="22" t="s">
        <v>4181</v>
      </c>
      <c r="I855" s="23" t="s">
        <v>3905</v>
      </c>
      <c r="J855" s="22" t="s">
        <v>670</v>
      </c>
      <c r="L855" s="23">
        <v>8</v>
      </c>
      <c r="M855" s="23">
        <v>16</v>
      </c>
      <c r="N855" s="3">
        <f t="shared" si="452"/>
        <v>1.024E-3</v>
      </c>
      <c r="O855" s="4" t="e">
        <f>(C855-(C855*#REF!))-((C855-(C855*#REF!))*#REF!)</f>
        <v>#REF!</v>
      </c>
      <c r="P855" s="7"/>
      <c r="Q855" s="7"/>
      <c r="R855" s="5">
        <f t="shared" si="453"/>
        <v>0</v>
      </c>
      <c r="S855" s="4">
        <f t="shared" si="454"/>
        <v>0</v>
      </c>
      <c r="T855" s="13">
        <f t="shared" si="438"/>
        <v>20.292999999999999</v>
      </c>
      <c r="U855" s="13">
        <f t="shared" si="448"/>
        <v>10.1465</v>
      </c>
      <c r="V855" s="14">
        <f>U855/C855</f>
        <v>0.35000000000000003</v>
      </c>
      <c r="W855" s="14"/>
      <c r="X855" s="19">
        <f t="shared" si="455"/>
        <v>10.1465</v>
      </c>
      <c r="Y855" s="19">
        <f t="shared" si="456"/>
        <v>20.292999999999999</v>
      </c>
      <c r="Z855" s="15" t="e">
        <f t="shared" si="449"/>
        <v>#DIV/0!</v>
      </c>
      <c r="AA855" s="22" t="s">
        <v>4165</v>
      </c>
      <c r="AG855" s="94" t="s">
        <v>817</v>
      </c>
      <c r="AH855" s="89" t="str">
        <f>VLOOKUP(AG855,Sheet1!$B$3:$D$36,2,FALSE)</f>
        <v>Kitchen &amp; Dining</v>
      </c>
      <c r="AI855" s="89" t="s">
        <v>2821</v>
      </c>
      <c r="AJ855" s="1" t="str">
        <f t="shared" si="439"/>
        <v>Hena cup clear</v>
      </c>
      <c r="AK855" s="1" t="str">
        <f t="shared" si="440"/>
        <v>ø8 x h16 - vol. 370 ml</v>
      </c>
      <c r="AL855" s="1" t="str">
        <f t="shared" si="441"/>
        <v>clear glass # 6</v>
      </c>
      <c r="AM855" s="1" t="str">
        <f t="shared" si="442"/>
        <v>clear glass # 6</v>
      </c>
      <c r="AN855" s="1" t="str">
        <f t="shared" si="443"/>
        <v>clear glass # 6</v>
      </c>
      <c r="AQ855" s="1" t="str">
        <f t="shared" si="444"/>
        <v>C</v>
      </c>
      <c r="AR855" s="1" t="str">
        <f>VLOOKUP(TRIM(AI855),Sheet1!$D$3:$E$36,2,FALSE)</f>
        <v>04</v>
      </c>
      <c r="AS855" s="90" t="str">
        <f t="shared" si="445"/>
        <v>09</v>
      </c>
      <c r="AT855" s="1" t="str">
        <f t="shared" si="446"/>
        <v>01</v>
      </c>
      <c r="AU855" s="90" t="s">
        <v>2567</v>
      </c>
      <c r="AV855" s="90"/>
      <c r="AW855" s="90"/>
      <c r="AX855" s="95" t="str">
        <f>AQ855&amp;AR855&amp;AS855&amp;"-"&amp;AT855&amp;AU855&amp;BA855</f>
        <v>C0409-0138</v>
      </c>
      <c r="AY855" s="99" t="str">
        <f>AQ855&amp;AR855&amp;AS855&amp;"-"&amp;AT855&amp;BA855</f>
        <v>C0409-01</v>
      </c>
      <c r="AZ855" s="90"/>
      <c r="BA855" s="1" t="str">
        <f t="shared" si="447"/>
        <v/>
      </c>
      <c r="BC855" s="1" t="str">
        <f t="shared" si="435"/>
        <v/>
      </c>
      <c r="BD855" s="90">
        <f t="shared" si="436"/>
        <v>9</v>
      </c>
      <c r="BE855" s="1">
        <f t="shared" si="450"/>
        <v>1</v>
      </c>
      <c r="BF855" s="1">
        <f t="shared" si="451"/>
        <v>1</v>
      </c>
    </row>
    <row r="856" spans="1:58" ht="11.25" customHeight="1">
      <c r="A856" s="26" t="s">
        <v>4182</v>
      </c>
      <c r="B856" s="27" t="s">
        <v>4183</v>
      </c>
      <c r="D856" s="28">
        <f t="shared" si="437"/>
        <v>0</v>
      </c>
      <c r="E856" s="22" t="s">
        <v>3901</v>
      </c>
      <c r="F856" s="22" t="s">
        <v>4184</v>
      </c>
      <c r="G856" s="22" t="s">
        <v>373</v>
      </c>
      <c r="H856" s="22" t="s">
        <v>4152</v>
      </c>
      <c r="I856" s="23" t="s">
        <v>4185</v>
      </c>
      <c r="J856" s="22" t="s">
        <v>670</v>
      </c>
      <c r="L856" s="23">
        <v>5</v>
      </c>
      <c r="M856" s="23">
        <v>55</v>
      </c>
      <c r="N856" s="3">
        <f t="shared" si="452"/>
        <v>1.3749999999999999E-3</v>
      </c>
      <c r="O856" s="4" t="e">
        <f>(C856-(C856*#REF!))-((C856-(C856*#REF!))*#REF!)</f>
        <v>#REF!</v>
      </c>
      <c r="P856" s="7"/>
      <c r="Q856" s="7"/>
      <c r="R856" s="5">
        <f t="shared" si="453"/>
        <v>0</v>
      </c>
      <c r="S856" s="4">
        <f t="shared" si="454"/>
        <v>0</v>
      </c>
      <c r="T856" s="13">
        <f t="shared" si="438"/>
        <v>0</v>
      </c>
      <c r="U856" s="13">
        <f t="shared" si="448"/>
        <v>0</v>
      </c>
      <c r="V856" s="14" t="e">
        <f>U856/C856</f>
        <v>#DIV/0!</v>
      </c>
      <c r="W856" s="14"/>
      <c r="X856" s="19">
        <f t="shared" si="455"/>
        <v>0</v>
      </c>
      <c r="Y856" s="19">
        <f t="shared" si="456"/>
        <v>0</v>
      </c>
      <c r="Z856" s="15" t="e">
        <f t="shared" si="449"/>
        <v>#DIV/0!</v>
      </c>
      <c r="AA856" s="22" t="s">
        <v>4186</v>
      </c>
      <c r="AG856" s="94" t="s">
        <v>817</v>
      </c>
      <c r="AH856" s="89" t="str">
        <f>VLOOKUP(AG856,Sheet1!$B$3:$D$36,2,FALSE)</f>
        <v>Kitchen &amp; Dining</v>
      </c>
      <c r="AI856" s="89" t="s">
        <v>2821</v>
      </c>
      <c r="AJ856" s="1" t="str">
        <f t="shared" si="439"/>
        <v>Hena cup clear matte</v>
      </c>
      <c r="AK856" s="1" t="str">
        <f t="shared" si="440"/>
        <v>semi - ø5 x h55 - vol. 45 ml</v>
      </c>
      <c r="AL856" s="1" t="str">
        <f t="shared" si="441"/>
        <v>clear matte glass
# 6</v>
      </c>
      <c r="AM856" s="1" t="str">
        <f t="shared" si="442"/>
        <v>clear matte glass
# 6</v>
      </c>
      <c r="AN856" s="1" t="str">
        <f t="shared" si="443"/>
        <v>clear matte glass
# 6</v>
      </c>
      <c r="AQ856" s="1" t="str">
        <f t="shared" si="444"/>
        <v>C</v>
      </c>
      <c r="AR856" s="1" t="str">
        <f>VLOOKUP(TRIM(AI856),Sheet1!$D$3:$E$36,2,FALSE)</f>
        <v>04</v>
      </c>
      <c r="AS856" s="90" t="str">
        <f t="shared" si="445"/>
        <v>01</v>
      </c>
      <c r="AT856" s="1" t="str">
        <f t="shared" si="446"/>
        <v>01</v>
      </c>
      <c r="AU856" s="90" t="s">
        <v>2567</v>
      </c>
      <c r="AV856" s="90"/>
      <c r="AW856" s="90"/>
      <c r="AX856" s="95" t="str">
        <f>AQ856&amp;AR856&amp;AS856&amp;"-"&amp;AT856&amp;AU856&amp;BA856</f>
        <v>C0401-0138</v>
      </c>
      <c r="AY856" s="99" t="str">
        <f>AQ856&amp;AR856&amp;AS856&amp;"-"&amp;AT856&amp;BA856</f>
        <v>C0401-01</v>
      </c>
      <c r="AZ856" s="90"/>
      <c r="BA856" s="1" t="str">
        <f t="shared" si="447"/>
        <v/>
      </c>
      <c r="BC856" s="1">
        <f t="shared" si="435"/>
        <v>1</v>
      </c>
      <c r="BD856" s="90">
        <f t="shared" si="436"/>
        <v>1</v>
      </c>
      <c r="BE856" s="1">
        <f t="shared" si="450"/>
        <v>1</v>
      </c>
      <c r="BF856" s="1">
        <f t="shared" si="451"/>
        <v>1</v>
      </c>
    </row>
    <row r="857" spans="1:58" ht="11.25" customHeight="1">
      <c r="A857" s="26" t="s">
        <v>4187</v>
      </c>
      <c r="B857" s="27" t="s">
        <v>4183</v>
      </c>
      <c r="C857" s="28">
        <v>20.99</v>
      </c>
      <c r="D857" s="28">
        <f t="shared" si="437"/>
        <v>10.494999999999999</v>
      </c>
      <c r="E857" s="22" t="s">
        <v>3901</v>
      </c>
      <c r="F857" s="22" t="s">
        <v>4188</v>
      </c>
      <c r="G857" s="22" t="s">
        <v>373</v>
      </c>
      <c r="H857" s="22" t="s">
        <v>4157</v>
      </c>
      <c r="I857" s="23" t="s">
        <v>4189</v>
      </c>
      <c r="J857" s="22" t="s">
        <v>670</v>
      </c>
      <c r="L857" s="23">
        <v>6</v>
      </c>
      <c r="M857" s="23">
        <v>6</v>
      </c>
      <c r="N857" s="3">
        <f t="shared" si="452"/>
        <v>2.1599999999999999E-4</v>
      </c>
      <c r="O857" s="4" t="e">
        <f>(C857-(C857*#REF!))-((C857-(C857*#REF!))*#REF!)</f>
        <v>#REF!</v>
      </c>
      <c r="P857" s="7"/>
      <c r="Q857" s="7"/>
      <c r="R857" s="5">
        <f t="shared" si="453"/>
        <v>0</v>
      </c>
      <c r="S857" s="4">
        <f t="shared" si="454"/>
        <v>0</v>
      </c>
      <c r="T857" s="13">
        <f t="shared" si="438"/>
        <v>14.692999999999998</v>
      </c>
      <c r="U857" s="13">
        <f t="shared" si="448"/>
        <v>7.3464999999999989</v>
      </c>
      <c r="V857" s="14">
        <f>U857/C857</f>
        <v>0.35</v>
      </c>
      <c r="W857" s="14"/>
      <c r="X857" s="19">
        <f t="shared" si="455"/>
        <v>7.3464999999999989</v>
      </c>
      <c r="Y857" s="19">
        <f t="shared" si="456"/>
        <v>14.692999999999998</v>
      </c>
      <c r="Z857" s="15" t="e">
        <f t="shared" si="449"/>
        <v>#DIV/0!</v>
      </c>
      <c r="AA857" s="22" t="s">
        <v>4190</v>
      </c>
      <c r="AG857" s="94" t="s">
        <v>817</v>
      </c>
      <c r="AH857" s="89" t="str">
        <f>VLOOKUP(AG857,Sheet1!$B$3:$D$36,2,FALSE)</f>
        <v>Kitchen &amp; Dining</v>
      </c>
      <c r="AI857" s="89" t="s">
        <v>2821</v>
      </c>
      <c r="AJ857" s="1" t="str">
        <f t="shared" si="439"/>
        <v>Hena cup clear matte</v>
      </c>
      <c r="AK857" s="1" t="str">
        <f t="shared" si="440"/>
        <v>ø6 x h6 - vol. 50 ml</v>
      </c>
      <c r="AL857" s="1" t="str">
        <f t="shared" si="441"/>
        <v>clear matte glass # 6</v>
      </c>
      <c r="AM857" s="1" t="str">
        <f t="shared" si="442"/>
        <v>clear matte glass # 6</v>
      </c>
      <c r="AN857" s="1" t="str">
        <f t="shared" si="443"/>
        <v>clear matte glass # 6</v>
      </c>
      <c r="AQ857" s="1" t="str">
        <f t="shared" si="444"/>
        <v>C</v>
      </c>
      <c r="AR857" s="1" t="str">
        <f>VLOOKUP(TRIM(AI857),Sheet1!$D$3:$E$36,2,FALSE)</f>
        <v>04</v>
      </c>
      <c r="AS857" s="90" t="str">
        <f t="shared" si="445"/>
        <v>02</v>
      </c>
      <c r="AT857" s="1" t="str">
        <f t="shared" si="446"/>
        <v>01</v>
      </c>
      <c r="AU857" s="90" t="s">
        <v>2567</v>
      </c>
      <c r="AV857" s="90"/>
      <c r="AW857" s="90"/>
      <c r="AX857" s="95" t="str">
        <f>AQ857&amp;AR857&amp;AS857&amp;"-"&amp;AT857&amp;AU857&amp;BA857</f>
        <v>C0402-0138</v>
      </c>
      <c r="AY857" s="99" t="str">
        <f>AQ857&amp;AR857&amp;AS857&amp;"-"&amp;AT857&amp;BA857</f>
        <v>C0402-01</v>
      </c>
      <c r="AZ857" s="90"/>
      <c r="BA857" s="1" t="str">
        <f t="shared" si="447"/>
        <v/>
      </c>
      <c r="BC857" s="1" t="str">
        <f t="shared" si="435"/>
        <v/>
      </c>
      <c r="BD857" s="90">
        <f t="shared" si="436"/>
        <v>2</v>
      </c>
      <c r="BE857" s="1">
        <f t="shared" si="450"/>
        <v>1</v>
      </c>
      <c r="BF857" s="1">
        <f t="shared" si="451"/>
        <v>1</v>
      </c>
    </row>
    <row r="858" spans="1:58" ht="11.25" customHeight="1">
      <c r="A858" s="26" t="s">
        <v>4191</v>
      </c>
      <c r="B858" s="27" t="s">
        <v>4183</v>
      </c>
      <c r="C858" s="28">
        <v>24.99</v>
      </c>
      <c r="D858" s="28">
        <f t="shared" si="437"/>
        <v>12.494999999999999</v>
      </c>
      <c r="E858" s="22" t="s">
        <v>3901</v>
      </c>
      <c r="F858" s="22" t="s">
        <v>4192</v>
      </c>
      <c r="G858" s="22" t="s">
        <v>373</v>
      </c>
      <c r="H858" s="22" t="s">
        <v>4160</v>
      </c>
      <c r="I858" s="23" t="s">
        <v>4189</v>
      </c>
      <c r="J858" s="22" t="s">
        <v>670</v>
      </c>
      <c r="L858" s="23">
        <v>8</v>
      </c>
      <c r="M858" s="23">
        <v>6</v>
      </c>
      <c r="N858" s="3">
        <f t="shared" si="452"/>
        <v>3.8400000000000001E-4</v>
      </c>
      <c r="O858" s="4" t="e">
        <f>(C858-(C858*#REF!))-((C858-(C858*#REF!))*#REF!)</f>
        <v>#REF!</v>
      </c>
      <c r="P858" s="7"/>
      <c r="Q858" s="7"/>
      <c r="R858" s="5">
        <f t="shared" si="453"/>
        <v>0</v>
      </c>
      <c r="S858" s="4">
        <f t="shared" si="454"/>
        <v>0</v>
      </c>
      <c r="T858" s="13">
        <f t="shared" si="438"/>
        <v>17.492999999999999</v>
      </c>
      <c r="U858" s="13">
        <f t="shared" si="448"/>
        <v>8.7464999999999993</v>
      </c>
      <c r="V858" s="14">
        <f>U858/C858</f>
        <v>0.35</v>
      </c>
      <c r="W858" s="14"/>
      <c r="X858" s="19">
        <f t="shared" si="455"/>
        <v>8.7464999999999993</v>
      </c>
      <c r="Y858" s="19">
        <f t="shared" si="456"/>
        <v>17.492999999999999</v>
      </c>
      <c r="Z858" s="15" t="e">
        <f t="shared" si="449"/>
        <v>#DIV/0!</v>
      </c>
      <c r="AA858" s="22" t="s">
        <v>4193</v>
      </c>
      <c r="AG858" s="94" t="s">
        <v>817</v>
      </c>
      <c r="AH858" s="89" t="str">
        <f>VLOOKUP(AG858,Sheet1!$B$3:$D$36,2,FALSE)</f>
        <v>Kitchen &amp; Dining</v>
      </c>
      <c r="AI858" s="89" t="s">
        <v>2821</v>
      </c>
      <c r="AJ858" s="1" t="str">
        <f t="shared" si="439"/>
        <v>Hena cup clear matte</v>
      </c>
      <c r="AK858" s="1" t="str">
        <f t="shared" si="440"/>
        <v>ø8 x h6 - vol. 100 ml</v>
      </c>
      <c r="AL858" s="1" t="str">
        <f t="shared" si="441"/>
        <v>clear matte glass # 6</v>
      </c>
      <c r="AM858" s="1" t="str">
        <f t="shared" si="442"/>
        <v>clear matte glass # 6</v>
      </c>
      <c r="AN858" s="1" t="str">
        <f t="shared" si="443"/>
        <v>clear matte glass # 6</v>
      </c>
      <c r="AQ858" s="1" t="str">
        <f t="shared" si="444"/>
        <v>C</v>
      </c>
      <c r="AR858" s="1" t="str">
        <f>VLOOKUP(TRIM(AI858),Sheet1!$D$3:$E$36,2,FALSE)</f>
        <v>04</v>
      </c>
      <c r="AS858" s="90" t="str">
        <f t="shared" si="445"/>
        <v>03</v>
      </c>
      <c r="AT858" s="1" t="str">
        <f t="shared" si="446"/>
        <v>01</v>
      </c>
      <c r="AU858" s="90" t="s">
        <v>2567</v>
      </c>
      <c r="AV858" s="90"/>
      <c r="AW858" s="90"/>
      <c r="AX858" s="95" t="str">
        <f>AQ858&amp;AR858&amp;AS858&amp;"-"&amp;AT858&amp;AU858&amp;BA858</f>
        <v>C0403-0138</v>
      </c>
      <c r="AY858" s="99" t="str">
        <f>AQ858&amp;AR858&amp;AS858&amp;"-"&amp;AT858&amp;BA858</f>
        <v>C0403-01</v>
      </c>
      <c r="AZ858" s="90"/>
      <c r="BA858" s="1" t="str">
        <f t="shared" si="447"/>
        <v/>
      </c>
      <c r="BC858" s="1" t="str">
        <f t="shared" si="435"/>
        <v/>
      </c>
      <c r="BD858" s="90">
        <f t="shared" si="436"/>
        <v>3</v>
      </c>
      <c r="BE858" s="1">
        <f t="shared" si="450"/>
        <v>1</v>
      </c>
      <c r="BF858" s="1">
        <f t="shared" si="451"/>
        <v>1</v>
      </c>
    </row>
    <row r="859" spans="1:58" ht="11.25" customHeight="1">
      <c r="A859" s="26" t="s">
        <v>4194</v>
      </c>
      <c r="B859" s="27" t="s">
        <v>4183</v>
      </c>
      <c r="C859" s="28">
        <v>23.99</v>
      </c>
      <c r="D859" s="28">
        <f t="shared" si="437"/>
        <v>11.994999999999999</v>
      </c>
      <c r="E859" s="22" t="s">
        <v>3901</v>
      </c>
      <c r="F859" s="22" t="s">
        <v>4195</v>
      </c>
      <c r="G859" s="22" t="s">
        <v>373</v>
      </c>
      <c r="H859" s="22" t="s">
        <v>4164</v>
      </c>
      <c r="I859" s="23" t="s">
        <v>4189</v>
      </c>
      <c r="J859" s="22" t="s">
        <v>670</v>
      </c>
      <c r="L859" s="23">
        <v>6.5</v>
      </c>
      <c r="M859" s="23">
        <v>7</v>
      </c>
      <c r="N859" s="3">
        <f t="shared" si="452"/>
        <v>2.9575000000000001E-4</v>
      </c>
      <c r="O859" s="4" t="e">
        <f>(C859-(C859*#REF!))-((C859-(C859*#REF!))*#REF!)</f>
        <v>#REF!</v>
      </c>
      <c r="P859" s="7"/>
      <c r="Q859" s="7"/>
      <c r="R859" s="5">
        <f t="shared" si="453"/>
        <v>0</v>
      </c>
      <c r="S859" s="4">
        <f t="shared" si="454"/>
        <v>0</v>
      </c>
      <c r="T859" s="13">
        <f t="shared" si="438"/>
        <v>16.792999999999999</v>
      </c>
      <c r="U859" s="13">
        <f t="shared" si="448"/>
        <v>8.3964999999999996</v>
      </c>
      <c r="V859" s="14">
        <f>U859/C859</f>
        <v>0.35000000000000003</v>
      </c>
      <c r="W859" s="14"/>
      <c r="X859" s="19">
        <f t="shared" si="455"/>
        <v>8.3964999999999996</v>
      </c>
      <c r="Y859" s="19">
        <f t="shared" si="456"/>
        <v>16.792999999999999</v>
      </c>
      <c r="Z859" s="15" t="e">
        <f t="shared" si="449"/>
        <v>#DIV/0!</v>
      </c>
      <c r="AA859" s="22" t="s">
        <v>4196</v>
      </c>
      <c r="AG859" s="94" t="s">
        <v>817</v>
      </c>
      <c r="AH859" s="89" t="str">
        <f>VLOOKUP(AG859,Sheet1!$B$3:$D$36,2,FALSE)</f>
        <v>Kitchen &amp; Dining</v>
      </c>
      <c r="AI859" s="89" t="s">
        <v>2821</v>
      </c>
      <c r="AJ859" s="1" t="str">
        <f t="shared" si="439"/>
        <v>Hena cup clear matte</v>
      </c>
      <c r="AK859" s="1" t="str">
        <f t="shared" si="440"/>
        <v>ø6,5 x h7 - vol. 120 ml</v>
      </c>
      <c r="AL859" s="1" t="str">
        <f t="shared" si="441"/>
        <v>clear matte glass # 6</v>
      </c>
      <c r="AM859" s="1" t="str">
        <f t="shared" si="442"/>
        <v>clear matte glass # 6</v>
      </c>
      <c r="AN859" s="1" t="str">
        <f t="shared" si="443"/>
        <v>clear matte glass # 6</v>
      </c>
      <c r="AQ859" s="1" t="str">
        <f t="shared" si="444"/>
        <v>C</v>
      </c>
      <c r="AR859" s="1" t="str">
        <f>VLOOKUP(TRIM(AI859),Sheet1!$D$3:$E$36,2,FALSE)</f>
        <v>04</v>
      </c>
      <c r="AS859" s="90" t="str">
        <f t="shared" si="445"/>
        <v>04</v>
      </c>
      <c r="AT859" s="1" t="str">
        <f t="shared" si="446"/>
        <v>01</v>
      </c>
      <c r="AU859" s="90" t="s">
        <v>2567</v>
      </c>
      <c r="AV859" s="90"/>
      <c r="AW859" s="90"/>
      <c r="AX859" s="95" t="str">
        <f>AQ859&amp;AR859&amp;AS859&amp;"-"&amp;AT859&amp;AU859&amp;BA859</f>
        <v>C0404-0138</v>
      </c>
      <c r="AY859" s="99" t="str">
        <f>AQ859&amp;AR859&amp;AS859&amp;"-"&amp;AT859&amp;BA859</f>
        <v>C0404-01</v>
      </c>
      <c r="AZ859" s="90"/>
      <c r="BA859" s="1" t="str">
        <f t="shared" si="447"/>
        <v/>
      </c>
      <c r="BC859" s="1" t="str">
        <f t="shared" si="435"/>
        <v/>
      </c>
      <c r="BD859" s="90">
        <f t="shared" si="436"/>
        <v>4</v>
      </c>
      <c r="BE859" s="1">
        <f t="shared" si="450"/>
        <v>1</v>
      </c>
      <c r="BF859" s="1">
        <f t="shared" si="451"/>
        <v>1</v>
      </c>
    </row>
    <row r="860" spans="1:58" ht="11.25" customHeight="1">
      <c r="A860" s="26" t="s">
        <v>4197</v>
      </c>
      <c r="B860" s="27" t="s">
        <v>4183</v>
      </c>
      <c r="C860" s="28">
        <v>25.99</v>
      </c>
      <c r="D860" s="28">
        <f t="shared" si="437"/>
        <v>12.994999999999999</v>
      </c>
      <c r="E860" s="22" t="s">
        <v>3901</v>
      </c>
      <c r="F860" s="22" t="s">
        <v>4198</v>
      </c>
      <c r="G860" s="22" t="s">
        <v>373</v>
      </c>
      <c r="H860" s="22" t="s">
        <v>4168</v>
      </c>
      <c r="I860" s="23" t="s">
        <v>4189</v>
      </c>
      <c r="J860" s="22" t="s">
        <v>670</v>
      </c>
      <c r="L860" s="23">
        <v>8</v>
      </c>
      <c r="M860" s="23">
        <v>8</v>
      </c>
      <c r="N860" s="3">
        <f t="shared" si="452"/>
        <v>5.1199999999999998E-4</v>
      </c>
      <c r="O860" s="4" t="e">
        <f>(C860-(C860*#REF!))-((C860-(C860*#REF!))*#REF!)</f>
        <v>#REF!</v>
      </c>
      <c r="P860" s="7"/>
      <c r="Q860" s="7"/>
      <c r="R860" s="5">
        <f t="shared" si="453"/>
        <v>0</v>
      </c>
      <c r="S860" s="4">
        <f t="shared" si="454"/>
        <v>0</v>
      </c>
      <c r="T860" s="13">
        <f t="shared" si="438"/>
        <v>18.192999999999998</v>
      </c>
      <c r="U860" s="13">
        <f t="shared" si="448"/>
        <v>9.0964999999999989</v>
      </c>
      <c r="V860" s="14">
        <f>U860/C860</f>
        <v>0.35</v>
      </c>
      <c r="W860" s="14"/>
      <c r="X860" s="19">
        <f t="shared" si="455"/>
        <v>9.0964999999999989</v>
      </c>
      <c r="Y860" s="19">
        <f t="shared" si="456"/>
        <v>18.192999999999998</v>
      </c>
      <c r="Z860" s="15" t="e">
        <f t="shared" si="449"/>
        <v>#DIV/0!</v>
      </c>
      <c r="AA860" s="22" t="s">
        <v>4193</v>
      </c>
      <c r="AG860" s="94" t="s">
        <v>817</v>
      </c>
      <c r="AH860" s="89" t="str">
        <f>VLOOKUP(AG860,Sheet1!$B$3:$D$36,2,FALSE)</f>
        <v>Kitchen &amp; Dining</v>
      </c>
      <c r="AI860" s="89" t="s">
        <v>2821</v>
      </c>
      <c r="AJ860" s="1" t="str">
        <f t="shared" si="439"/>
        <v>Hena cup clear matte</v>
      </c>
      <c r="AK860" s="1" t="str">
        <f t="shared" si="440"/>
        <v>ø8 x h8 - vol. 150 ml</v>
      </c>
      <c r="AL860" s="1" t="str">
        <f t="shared" si="441"/>
        <v>clear matte glass # 6</v>
      </c>
      <c r="AM860" s="1" t="str">
        <f t="shared" si="442"/>
        <v>clear matte glass # 6</v>
      </c>
      <c r="AN860" s="1" t="str">
        <f t="shared" si="443"/>
        <v>clear matte glass # 6</v>
      </c>
      <c r="AQ860" s="1" t="str">
        <f t="shared" si="444"/>
        <v>C</v>
      </c>
      <c r="AR860" s="1" t="str">
        <f>VLOOKUP(TRIM(AI860),Sheet1!$D$3:$E$36,2,FALSE)</f>
        <v>04</v>
      </c>
      <c r="AS860" s="90" t="str">
        <f t="shared" si="445"/>
        <v>05</v>
      </c>
      <c r="AT860" s="1" t="str">
        <f t="shared" si="446"/>
        <v>01</v>
      </c>
      <c r="AU860" s="90" t="s">
        <v>2567</v>
      </c>
      <c r="AV860" s="90"/>
      <c r="AW860" s="90"/>
      <c r="AX860" s="95" t="str">
        <f>AQ860&amp;AR860&amp;AS860&amp;"-"&amp;AT860&amp;AU860&amp;BA860</f>
        <v>C0405-0138</v>
      </c>
      <c r="AY860" s="99" t="str">
        <f>AQ860&amp;AR860&amp;AS860&amp;"-"&amp;AT860&amp;BA860</f>
        <v>C0405-01</v>
      </c>
      <c r="AZ860" s="90"/>
      <c r="BA860" s="1" t="str">
        <f t="shared" si="447"/>
        <v/>
      </c>
      <c r="BC860" s="1" t="str">
        <f t="shared" si="435"/>
        <v/>
      </c>
      <c r="BD860" s="90">
        <f t="shared" si="436"/>
        <v>5</v>
      </c>
      <c r="BE860" s="1">
        <f t="shared" si="450"/>
        <v>1</v>
      </c>
      <c r="BF860" s="1">
        <f t="shared" si="451"/>
        <v>1</v>
      </c>
    </row>
    <row r="861" spans="1:58" ht="11.25" customHeight="1">
      <c r="A861" s="26" t="s">
        <v>4199</v>
      </c>
      <c r="B861" s="27" t="s">
        <v>4183</v>
      </c>
      <c r="C861" s="28">
        <v>23.99</v>
      </c>
      <c r="D861" s="28">
        <f t="shared" si="437"/>
        <v>11.994999999999999</v>
      </c>
      <c r="E861" s="22" t="s">
        <v>3901</v>
      </c>
      <c r="F861" s="22" t="s">
        <v>4200</v>
      </c>
      <c r="G861" s="22" t="s">
        <v>373</v>
      </c>
      <c r="H861" s="22" t="s">
        <v>4171</v>
      </c>
      <c r="I861" s="23" t="s">
        <v>4189</v>
      </c>
      <c r="J861" s="22" t="s">
        <v>670</v>
      </c>
      <c r="L861" s="23">
        <v>6.5</v>
      </c>
      <c r="M861" s="23">
        <v>10</v>
      </c>
      <c r="N861" s="3">
        <f t="shared" si="452"/>
        <v>4.2250000000000002E-4</v>
      </c>
      <c r="O861" s="4" t="e">
        <f>(C861-(C861*#REF!))-((C861-(C861*#REF!))*#REF!)</f>
        <v>#REF!</v>
      </c>
      <c r="P861" s="7"/>
      <c r="Q861" s="7"/>
      <c r="R861" s="5">
        <f t="shared" si="453"/>
        <v>0</v>
      </c>
      <c r="S861" s="4">
        <f t="shared" si="454"/>
        <v>0</v>
      </c>
      <c r="T861" s="13">
        <f t="shared" si="438"/>
        <v>16.792999999999999</v>
      </c>
      <c r="U861" s="13">
        <f t="shared" si="448"/>
        <v>8.3964999999999996</v>
      </c>
      <c r="V861" s="14">
        <f>U861/C861</f>
        <v>0.35000000000000003</v>
      </c>
      <c r="W861" s="14"/>
      <c r="X861" s="19">
        <f t="shared" si="455"/>
        <v>8.3964999999999996</v>
      </c>
      <c r="Y861" s="19">
        <f t="shared" si="456"/>
        <v>16.792999999999999</v>
      </c>
      <c r="Z861" s="15" t="e">
        <f t="shared" si="449"/>
        <v>#DIV/0!</v>
      </c>
      <c r="AA861" s="22" t="s">
        <v>4201</v>
      </c>
      <c r="AG861" s="94" t="s">
        <v>817</v>
      </c>
      <c r="AH861" s="89" t="str">
        <f>VLOOKUP(AG861,Sheet1!$B$3:$D$36,2,FALSE)</f>
        <v>Kitchen &amp; Dining</v>
      </c>
      <c r="AI861" s="89" t="s">
        <v>2821</v>
      </c>
      <c r="AJ861" s="1" t="str">
        <f t="shared" si="439"/>
        <v>Hena cup clear matte</v>
      </c>
      <c r="AK861" s="1" t="str">
        <f t="shared" si="440"/>
        <v>ø6,5 x h10 - vol. 100 ml</v>
      </c>
      <c r="AL861" s="1" t="str">
        <f t="shared" si="441"/>
        <v>clear matte glass # 6</v>
      </c>
      <c r="AM861" s="1" t="str">
        <f t="shared" si="442"/>
        <v>clear matte glass # 6</v>
      </c>
      <c r="AN861" s="1" t="str">
        <f t="shared" si="443"/>
        <v>clear matte glass # 6</v>
      </c>
      <c r="AQ861" s="1" t="str">
        <f t="shared" si="444"/>
        <v>C</v>
      </c>
      <c r="AR861" s="1" t="str">
        <f>VLOOKUP(TRIM(AI861),Sheet1!$D$3:$E$36,2,FALSE)</f>
        <v>04</v>
      </c>
      <c r="AS861" s="90" t="str">
        <f t="shared" si="445"/>
        <v>06</v>
      </c>
      <c r="AT861" s="1" t="str">
        <f t="shared" si="446"/>
        <v>01</v>
      </c>
      <c r="AU861" s="90" t="s">
        <v>2567</v>
      </c>
      <c r="AV861" s="90"/>
      <c r="AW861" s="90"/>
      <c r="AX861" s="95" t="str">
        <f>AQ861&amp;AR861&amp;AS861&amp;"-"&amp;AT861&amp;AU861&amp;BA861</f>
        <v>C0406-0138</v>
      </c>
      <c r="AY861" s="99" t="str">
        <f>AQ861&amp;AR861&amp;AS861&amp;"-"&amp;AT861&amp;BA861</f>
        <v>C0406-01</v>
      </c>
      <c r="AZ861" s="90"/>
      <c r="BA861" s="1" t="str">
        <f t="shared" si="447"/>
        <v/>
      </c>
      <c r="BC861" s="1" t="str">
        <f t="shared" si="435"/>
        <v/>
      </c>
      <c r="BD861" s="90">
        <f t="shared" si="436"/>
        <v>6</v>
      </c>
      <c r="BE861" s="1">
        <f t="shared" si="450"/>
        <v>1</v>
      </c>
      <c r="BF861" s="1">
        <f t="shared" si="451"/>
        <v>1</v>
      </c>
    </row>
    <row r="862" spans="1:58" ht="11.25" customHeight="1">
      <c r="A862" s="26" t="s">
        <v>4202</v>
      </c>
      <c r="B862" s="27" t="s">
        <v>4183</v>
      </c>
      <c r="C862" s="28">
        <v>27.99</v>
      </c>
      <c r="D862" s="28">
        <f t="shared" si="437"/>
        <v>13.994999999999999</v>
      </c>
      <c r="E862" s="22" t="s">
        <v>3901</v>
      </c>
      <c r="F862" s="22" t="s">
        <v>4203</v>
      </c>
      <c r="G862" s="22" t="s">
        <v>373</v>
      </c>
      <c r="H862" s="22" t="s">
        <v>4175</v>
      </c>
      <c r="I862" s="23" t="s">
        <v>4189</v>
      </c>
      <c r="J862" s="22" t="s">
        <v>670</v>
      </c>
      <c r="L862" s="23">
        <v>8</v>
      </c>
      <c r="M862" s="23">
        <v>12</v>
      </c>
      <c r="N862" s="3">
        <f t="shared" si="452"/>
        <v>7.6800000000000002E-4</v>
      </c>
      <c r="O862" s="4" t="e">
        <f>(C862-(C862*#REF!))-((C862-(C862*#REF!))*#REF!)</f>
        <v>#REF!</v>
      </c>
      <c r="P862" s="7"/>
      <c r="Q862" s="7"/>
      <c r="R862" s="5">
        <f t="shared" si="453"/>
        <v>0</v>
      </c>
      <c r="S862" s="4">
        <f t="shared" si="454"/>
        <v>0</v>
      </c>
      <c r="T862" s="13">
        <f t="shared" si="438"/>
        <v>19.593</v>
      </c>
      <c r="U862" s="13">
        <f t="shared" si="448"/>
        <v>9.7965</v>
      </c>
      <c r="V862" s="14">
        <f>U862/C862</f>
        <v>0.35000000000000003</v>
      </c>
      <c r="W862" s="14"/>
      <c r="X862" s="19">
        <f t="shared" si="455"/>
        <v>9.7965</v>
      </c>
      <c r="Y862" s="19">
        <f t="shared" si="456"/>
        <v>19.593</v>
      </c>
      <c r="Z862" s="15" t="e">
        <f t="shared" si="449"/>
        <v>#DIV/0!</v>
      </c>
      <c r="AA862" s="22" t="s">
        <v>4196</v>
      </c>
      <c r="AG862" s="94" t="s">
        <v>817</v>
      </c>
      <c r="AH862" s="89" t="str">
        <f>VLOOKUP(AG862,Sheet1!$B$3:$D$36,2,FALSE)</f>
        <v>Kitchen &amp; Dining</v>
      </c>
      <c r="AI862" s="89" t="s">
        <v>2821</v>
      </c>
      <c r="AJ862" s="1" t="str">
        <f t="shared" si="439"/>
        <v>Hena cup clear matte</v>
      </c>
      <c r="AK862" s="1" t="str">
        <f t="shared" si="440"/>
        <v>ø8 x h12 - vol. 250 ml</v>
      </c>
      <c r="AL862" s="1" t="str">
        <f t="shared" si="441"/>
        <v>clear matte glass # 6</v>
      </c>
      <c r="AM862" s="1" t="str">
        <f t="shared" si="442"/>
        <v>clear matte glass # 6</v>
      </c>
      <c r="AN862" s="1" t="str">
        <f t="shared" si="443"/>
        <v>clear matte glass # 6</v>
      </c>
      <c r="AQ862" s="1" t="str">
        <f t="shared" si="444"/>
        <v>C</v>
      </c>
      <c r="AR862" s="1" t="str">
        <f>VLOOKUP(TRIM(AI862),Sheet1!$D$3:$E$36,2,FALSE)</f>
        <v>04</v>
      </c>
      <c r="AS862" s="90" t="str">
        <f t="shared" si="445"/>
        <v>07</v>
      </c>
      <c r="AT862" s="1" t="str">
        <f t="shared" si="446"/>
        <v>01</v>
      </c>
      <c r="AU862" s="90" t="s">
        <v>2567</v>
      </c>
      <c r="AV862" s="90"/>
      <c r="AW862" s="90"/>
      <c r="AX862" s="95" t="str">
        <f>AQ862&amp;AR862&amp;AS862&amp;"-"&amp;AT862&amp;AU862&amp;BA862</f>
        <v>C0407-0138</v>
      </c>
      <c r="AY862" s="99" t="str">
        <f>AQ862&amp;AR862&amp;AS862&amp;"-"&amp;AT862&amp;BA862</f>
        <v>C0407-01</v>
      </c>
      <c r="AZ862" s="90"/>
      <c r="BA862" s="1" t="str">
        <f t="shared" si="447"/>
        <v/>
      </c>
      <c r="BC862" s="1" t="str">
        <f t="shared" si="435"/>
        <v/>
      </c>
      <c r="BD862" s="90">
        <f t="shared" si="436"/>
        <v>7</v>
      </c>
      <c r="BE862" s="1">
        <f t="shared" si="450"/>
        <v>1</v>
      </c>
      <c r="BF862" s="1">
        <f t="shared" si="451"/>
        <v>1</v>
      </c>
    </row>
    <row r="863" spans="1:58" ht="11.25" customHeight="1">
      <c r="A863" s="26" t="s">
        <v>4204</v>
      </c>
      <c r="B863" s="27" t="s">
        <v>4183</v>
      </c>
      <c r="C863" s="28">
        <v>32.99</v>
      </c>
      <c r="D863" s="28">
        <f t="shared" si="437"/>
        <v>16.495000000000001</v>
      </c>
      <c r="E863" s="22" t="s">
        <v>3901</v>
      </c>
      <c r="F863" s="22" t="s">
        <v>4205</v>
      </c>
      <c r="G863" s="22" t="s">
        <v>373</v>
      </c>
      <c r="H863" s="22" t="s">
        <v>4178</v>
      </c>
      <c r="I863" s="23" t="s">
        <v>4189</v>
      </c>
      <c r="J863" s="22" t="s">
        <v>670</v>
      </c>
      <c r="L863" s="23">
        <v>7</v>
      </c>
      <c r="M863" s="23">
        <v>13</v>
      </c>
      <c r="N863" s="3">
        <f t="shared" si="452"/>
        <v>6.3699999999999998E-4</v>
      </c>
      <c r="O863" s="4" t="e">
        <f>(C863-(C863*#REF!))-((C863-(C863*#REF!))*#REF!)</f>
        <v>#REF!</v>
      </c>
      <c r="P863" s="7"/>
      <c r="Q863" s="7"/>
      <c r="R863" s="5">
        <f t="shared" si="453"/>
        <v>0</v>
      </c>
      <c r="S863" s="4">
        <f t="shared" si="454"/>
        <v>0</v>
      </c>
      <c r="T863" s="13">
        <f t="shared" si="438"/>
        <v>23.093000000000004</v>
      </c>
      <c r="U863" s="13">
        <f t="shared" si="448"/>
        <v>11.546500000000002</v>
      </c>
      <c r="V863" s="14">
        <f>U863/C863</f>
        <v>0.35000000000000003</v>
      </c>
      <c r="W863" s="14"/>
      <c r="X863" s="19">
        <f t="shared" si="455"/>
        <v>11.546500000000002</v>
      </c>
      <c r="Y863" s="19">
        <f t="shared" si="456"/>
        <v>23.093000000000004</v>
      </c>
      <c r="Z863" s="15" t="e">
        <f t="shared" si="449"/>
        <v>#DIV/0!</v>
      </c>
      <c r="AA863" s="22" t="s">
        <v>4193</v>
      </c>
      <c r="AG863" s="94" t="s">
        <v>817</v>
      </c>
      <c r="AH863" s="89" t="str">
        <f>VLOOKUP(AG863,Sheet1!$B$3:$D$36,2,FALSE)</f>
        <v>Kitchen &amp; Dining</v>
      </c>
      <c r="AI863" s="89" t="s">
        <v>2821</v>
      </c>
      <c r="AJ863" s="1" t="str">
        <f t="shared" si="439"/>
        <v>Hena cup clear matte</v>
      </c>
      <c r="AK863" s="1" t="str">
        <f t="shared" si="440"/>
        <v>ø7 x h13 - vol. 400 ml</v>
      </c>
      <c r="AL863" s="1" t="str">
        <f t="shared" si="441"/>
        <v>clear matte glass # 6</v>
      </c>
      <c r="AM863" s="1" t="str">
        <f t="shared" si="442"/>
        <v>clear matte glass # 6</v>
      </c>
      <c r="AN863" s="1" t="str">
        <f t="shared" si="443"/>
        <v>clear matte glass # 6</v>
      </c>
      <c r="AQ863" s="1" t="str">
        <f t="shared" si="444"/>
        <v>C</v>
      </c>
      <c r="AR863" s="1" t="str">
        <f>VLOOKUP(TRIM(AI863),Sheet1!$D$3:$E$36,2,FALSE)</f>
        <v>04</v>
      </c>
      <c r="AS863" s="90" t="str">
        <f t="shared" si="445"/>
        <v>08</v>
      </c>
      <c r="AT863" s="1" t="str">
        <f t="shared" si="446"/>
        <v>01</v>
      </c>
      <c r="AU863" s="90" t="s">
        <v>2567</v>
      </c>
      <c r="AV863" s="90"/>
      <c r="AW863" s="90"/>
      <c r="AX863" s="95" t="str">
        <f>AQ863&amp;AR863&amp;AS863&amp;"-"&amp;AT863&amp;AU863&amp;BA863</f>
        <v>C0408-0138</v>
      </c>
      <c r="AY863" s="99" t="str">
        <f>AQ863&amp;AR863&amp;AS863&amp;"-"&amp;AT863&amp;BA863</f>
        <v>C0408-01</v>
      </c>
      <c r="AZ863" s="90"/>
      <c r="BA863" s="1" t="str">
        <f t="shared" si="447"/>
        <v/>
      </c>
      <c r="BC863" s="1" t="str">
        <f t="shared" si="435"/>
        <v/>
      </c>
      <c r="BD863" s="90">
        <f t="shared" si="436"/>
        <v>8</v>
      </c>
      <c r="BE863" s="1">
        <f t="shared" si="450"/>
        <v>1</v>
      </c>
      <c r="BF863" s="1">
        <f t="shared" si="451"/>
        <v>1</v>
      </c>
    </row>
    <row r="864" spans="1:58" ht="11.25" customHeight="1">
      <c r="A864" s="26" t="s">
        <v>4206</v>
      </c>
      <c r="B864" s="27" t="s">
        <v>4183</v>
      </c>
      <c r="C864" s="28">
        <v>28.99</v>
      </c>
      <c r="D864" s="28">
        <f t="shared" si="437"/>
        <v>14.494999999999999</v>
      </c>
      <c r="E864" s="22" t="s">
        <v>3901</v>
      </c>
      <c r="F864" s="22" t="s">
        <v>4207</v>
      </c>
      <c r="G864" s="22" t="s">
        <v>373</v>
      </c>
      <c r="H864" s="22" t="s">
        <v>4181</v>
      </c>
      <c r="I864" s="23" t="s">
        <v>4189</v>
      </c>
      <c r="J864" s="22" t="s">
        <v>670</v>
      </c>
      <c r="L864" s="23">
        <v>8</v>
      </c>
      <c r="M864" s="23">
        <v>16</v>
      </c>
      <c r="N864" s="3">
        <f t="shared" si="452"/>
        <v>1.024E-3</v>
      </c>
      <c r="O864" s="4" t="e">
        <f>(C864-(C864*#REF!))-((C864-(C864*#REF!))*#REF!)</f>
        <v>#REF!</v>
      </c>
      <c r="P864" s="7"/>
      <c r="Q864" s="7"/>
      <c r="R864" s="5">
        <f t="shared" si="453"/>
        <v>0</v>
      </c>
      <c r="S864" s="4">
        <f t="shared" si="454"/>
        <v>0</v>
      </c>
      <c r="T864" s="13">
        <f t="shared" si="438"/>
        <v>20.292999999999999</v>
      </c>
      <c r="U864" s="13">
        <f t="shared" si="448"/>
        <v>10.1465</v>
      </c>
      <c r="V864" s="14">
        <f>U864/C864</f>
        <v>0.35000000000000003</v>
      </c>
      <c r="W864" s="14"/>
      <c r="X864" s="19">
        <f t="shared" si="455"/>
        <v>10.1465</v>
      </c>
      <c r="Y864" s="19">
        <f t="shared" si="456"/>
        <v>20.292999999999999</v>
      </c>
      <c r="Z864" s="15" t="e">
        <f t="shared" si="449"/>
        <v>#DIV/0!</v>
      </c>
      <c r="AA864" s="22" t="s">
        <v>4201</v>
      </c>
      <c r="AG864" s="94" t="s">
        <v>817</v>
      </c>
      <c r="AH864" s="89" t="str">
        <f>VLOOKUP(AG864,Sheet1!$B$3:$D$36,2,FALSE)</f>
        <v>Kitchen &amp; Dining</v>
      </c>
      <c r="AI864" s="89" t="s">
        <v>2821</v>
      </c>
      <c r="AJ864" s="1" t="str">
        <f t="shared" si="439"/>
        <v>Hena cup clear matte</v>
      </c>
      <c r="AK864" s="1" t="str">
        <f t="shared" si="440"/>
        <v>ø8 x h16 - vol. 370 ml</v>
      </c>
      <c r="AL864" s="1" t="str">
        <f t="shared" si="441"/>
        <v>clear matte glass # 6</v>
      </c>
      <c r="AM864" s="1" t="str">
        <f t="shared" si="442"/>
        <v>clear matte glass # 6</v>
      </c>
      <c r="AN864" s="1" t="str">
        <f t="shared" si="443"/>
        <v>clear matte glass # 6</v>
      </c>
      <c r="AQ864" s="1" t="str">
        <f t="shared" si="444"/>
        <v>C</v>
      </c>
      <c r="AR864" s="1" t="str">
        <f>VLOOKUP(TRIM(AI864),Sheet1!$D$3:$E$36,2,FALSE)</f>
        <v>04</v>
      </c>
      <c r="AS864" s="90" t="str">
        <f t="shared" si="445"/>
        <v>09</v>
      </c>
      <c r="AT864" s="1" t="str">
        <f t="shared" si="446"/>
        <v>01</v>
      </c>
      <c r="AU864" s="90" t="s">
        <v>2567</v>
      </c>
      <c r="AV864" s="90"/>
      <c r="AW864" s="90"/>
      <c r="AX864" s="95" t="str">
        <f>AQ864&amp;AR864&amp;AS864&amp;"-"&amp;AT864&amp;AU864&amp;BA864</f>
        <v>C0409-0138</v>
      </c>
      <c r="AY864" s="99" t="str">
        <f>AQ864&amp;AR864&amp;AS864&amp;"-"&amp;AT864&amp;BA864</f>
        <v>C0409-01</v>
      </c>
      <c r="AZ864" s="90"/>
      <c r="BA864" s="1" t="str">
        <f t="shared" si="447"/>
        <v/>
      </c>
      <c r="BC864" s="1" t="str">
        <f t="shared" si="435"/>
        <v/>
      </c>
      <c r="BD864" s="90">
        <f t="shared" si="436"/>
        <v>9</v>
      </c>
      <c r="BE864" s="1">
        <f t="shared" si="450"/>
        <v>1</v>
      </c>
      <c r="BF864" s="1">
        <f t="shared" si="451"/>
        <v>1</v>
      </c>
    </row>
    <row r="865" spans="1:58" ht="11.25" customHeight="1">
      <c r="A865" s="26" t="s">
        <v>4208</v>
      </c>
      <c r="B865" s="27" t="s">
        <v>4209</v>
      </c>
      <c r="D865" s="28">
        <f t="shared" si="437"/>
        <v>0</v>
      </c>
      <c r="E865" s="22" t="s">
        <v>3901</v>
      </c>
      <c r="F865" s="22" t="s">
        <v>4210</v>
      </c>
      <c r="G865" s="22" t="s">
        <v>377</v>
      </c>
      <c r="H865" s="22" t="s">
        <v>4152</v>
      </c>
      <c r="I865" s="23" t="s">
        <v>4211</v>
      </c>
      <c r="J865" s="22" t="s">
        <v>670</v>
      </c>
      <c r="L865" s="23">
        <v>5</v>
      </c>
      <c r="M865" s="23">
        <v>55</v>
      </c>
      <c r="N865" s="3">
        <f t="shared" si="452"/>
        <v>1.3749999999999999E-3</v>
      </c>
      <c r="O865" s="4" t="e">
        <f>(C865-(C865*#REF!))-((C865-(C865*#REF!))*#REF!)</f>
        <v>#REF!</v>
      </c>
      <c r="P865" s="7"/>
      <c r="Q865" s="7"/>
      <c r="R865" s="5">
        <f t="shared" si="453"/>
        <v>0</v>
      </c>
      <c r="S865" s="4">
        <f t="shared" si="454"/>
        <v>0</v>
      </c>
      <c r="T865" s="13">
        <f t="shared" si="438"/>
        <v>0</v>
      </c>
      <c r="U865" s="13">
        <f t="shared" si="448"/>
        <v>0</v>
      </c>
      <c r="V865" s="14" t="e">
        <f>U865/C865</f>
        <v>#DIV/0!</v>
      </c>
      <c r="W865" s="14"/>
      <c r="X865" s="19">
        <f t="shared" si="455"/>
        <v>0</v>
      </c>
      <c r="Y865" s="19">
        <f t="shared" si="456"/>
        <v>0</v>
      </c>
      <c r="Z865" s="15" t="e">
        <f t="shared" si="449"/>
        <v>#DIV/0!</v>
      </c>
      <c r="AA865" s="22" t="s">
        <v>4212</v>
      </c>
      <c r="AG865" s="94" t="s">
        <v>817</v>
      </c>
      <c r="AH865" s="89" t="str">
        <f>VLOOKUP(AG865,Sheet1!$B$3:$D$36,2,FALSE)</f>
        <v>Kitchen &amp; Dining</v>
      </c>
      <c r="AI865" s="89" t="s">
        <v>2821</v>
      </c>
      <c r="AJ865" s="1" t="str">
        <f t="shared" si="439"/>
        <v>Hena cup clear snow</v>
      </c>
      <c r="AK865" s="1" t="str">
        <f t="shared" si="440"/>
        <v>semi - ø5 x h55 - vol. 45 ml</v>
      </c>
      <c r="AL865" s="1" t="str">
        <f t="shared" si="441"/>
        <v>clear snow glass
# 6</v>
      </c>
      <c r="AM865" s="1" t="str">
        <f t="shared" si="442"/>
        <v>clear snow glass
# 6</v>
      </c>
      <c r="AN865" s="1" t="str">
        <f t="shared" si="443"/>
        <v>clear snow glass
# 6</v>
      </c>
      <c r="AQ865" s="1" t="str">
        <f t="shared" si="444"/>
        <v>C</v>
      </c>
      <c r="AR865" s="1" t="str">
        <f>VLOOKUP(TRIM(AI865),Sheet1!$D$3:$E$36,2,FALSE)</f>
        <v>04</v>
      </c>
      <c r="AS865" s="90" t="str">
        <f t="shared" si="445"/>
        <v>01</v>
      </c>
      <c r="AT865" s="1" t="str">
        <f t="shared" si="446"/>
        <v>01</v>
      </c>
      <c r="AU865" s="90" t="s">
        <v>2567</v>
      </c>
      <c r="AV865" s="90"/>
      <c r="AW865" s="90"/>
      <c r="AX865" s="95" t="str">
        <f>AQ865&amp;AR865&amp;AS865&amp;"-"&amp;AT865&amp;AU865&amp;BA865</f>
        <v>C0401-0138</v>
      </c>
      <c r="AY865" s="99" t="str">
        <f>AQ865&amp;AR865&amp;AS865&amp;"-"&amp;AT865&amp;BA865</f>
        <v>C0401-01</v>
      </c>
      <c r="AZ865" s="90"/>
      <c r="BA865" s="1" t="str">
        <f t="shared" si="447"/>
        <v/>
      </c>
      <c r="BC865" s="1">
        <f t="shared" si="435"/>
        <v>1</v>
      </c>
      <c r="BD865" s="90">
        <f t="shared" si="436"/>
        <v>1</v>
      </c>
      <c r="BE865" s="1">
        <f t="shared" si="450"/>
        <v>1</v>
      </c>
      <c r="BF865" s="1">
        <f t="shared" si="451"/>
        <v>1</v>
      </c>
    </row>
    <row r="866" spans="1:58" ht="11.25" customHeight="1">
      <c r="A866" s="26" t="s">
        <v>4213</v>
      </c>
      <c r="B866" s="27" t="s">
        <v>4209</v>
      </c>
      <c r="C866" s="28">
        <v>23.99</v>
      </c>
      <c r="D866" s="28">
        <f t="shared" si="437"/>
        <v>11.994999999999999</v>
      </c>
      <c r="E866" s="22" t="s">
        <v>3901</v>
      </c>
      <c r="F866" s="22" t="s">
        <v>4214</v>
      </c>
      <c r="G866" s="22" t="s">
        <v>377</v>
      </c>
      <c r="H866" s="22" t="s">
        <v>4157</v>
      </c>
      <c r="I866" s="23" t="s">
        <v>4059</v>
      </c>
      <c r="J866" s="22" t="s">
        <v>670</v>
      </c>
      <c r="L866" s="23">
        <v>6</v>
      </c>
      <c r="M866" s="23">
        <v>6</v>
      </c>
      <c r="N866" s="3">
        <f t="shared" si="452"/>
        <v>2.1599999999999999E-4</v>
      </c>
      <c r="O866" s="4" t="e">
        <f>(C866-(C866*#REF!))-((C866-(C866*#REF!))*#REF!)</f>
        <v>#REF!</v>
      </c>
      <c r="P866" s="7"/>
      <c r="Q866" s="7"/>
      <c r="R866" s="5">
        <f t="shared" si="453"/>
        <v>0</v>
      </c>
      <c r="S866" s="4">
        <f t="shared" si="454"/>
        <v>0</v>
      </c>
      <c r="T866" s="13">
        <f t="shared" si="438"/>
        <v>16.792999999999999</v>
      </c>
      <c r="U866" s="13">
        <f t="shared" si="448"/>
        <v>8.3964999999999996</v>
      </c>
      <c r="V866" s="14">
        <f>U866/C866</f>
        <v>0.35000000000000003</v>
      </c>
      <c r="W866" s="14"/>
      <c r="X866" s="19">
        <f t="shared" si="455"/>
        <v>8.3964999999999996</v>
      </c>
      <c r="Y866" s="19">
        <f t="shared" si="456"/>
        <v>16.792999999999999</v>
      </c>
      <c r="Z866" s="15" t="e">
        <f t="shared" si="449"/>
        <v>#DIV/0!</v>
      </c>
      <c r="AA866" s="22" t="s">
        <v>4215</v>
      </c>
      <c r="AG866" s="94" t="s">
        <v>817</v>
      </c>
      <c r="AH866" s="89" t="str">
        <f>VLOOKUP(AG866,Sheet1!$B$3:$D$36,2,FALSE)</f>
        <v>Kitchen &amp; Dining</v>
      </c>
      <c r="AI866" s="89" t="s">
        <v>2821</v>
      </c>
      <c r="AJ866" s="1" t="str">
        <f t="shared" si="439"/>
        <v>Hena cup clear snow</v>
      </c>
      <c r="AK866" s="1" t="str">
        <f t="shared" si="440"/>
        <v>ø6 x h6 - vol. 50 ml</v>
      </c>
      <c r="AL866" s="1" t="str">
        <f t="shared" si="441"/>
        <v>clear snow glass # 6</v>
      </c>
      <c r="AM866" s="1" t="str">
        <f t="shared" si="442"/>
        <v>clear snow glass # 6</v>
      </c>
      <c r="AN866" s="1" t="str">
        <f t="shared" si="443"/>
        <v>clear snow glass # 6</v>
      </c>
      <c r="AQ866" s="1" t="str">
        <f t="shared" si="444"/>
        <v>C</v>
      </c>
      <c r="AR866" s="1" t="str">
        <f>VLOOKUP(TRIM(AI866),Sheet1!$D$3:$E$36,2,FALSE)</f>
        <v>04</v>
      </c>
      <c r="AS866" s="90" t="str">
        <f t="shared" si="445"/>
        <v>02</v>
      </c>
      <c r="AT866" s="1" t="str">
        <f t="shared" si="446"/>
        <v>01</v>
      </c>
      <c r="AU866" s="90" t="s">
        <v>2567</v>
      </c>
      <c r="AV866" s="90"/>
      <c r="AW866" s="90"/>
      <c r="AX866" s="95" t="str">
        <f>AQ866&amp;AR866&amp;AS866&amp;"-"&amp;AT866&amp;AU866&amp;BA866</f>
        <v>C0402-0138</v>
      </c>
      <c r="AY866" s="99" t="str">
        <f>AQ866&amp;AR866&amp;AS866&amp;"-"&amp;AT866&amp;BA866</f>
        <v>C0402-01</v>
      </c>
      <c r="AZ866" s="90"/>
      <c r="BA866" s="1" t="str">
        <f t="shared" si="447"/>
        <v/>
      </c>
      <c r="BC866" s="1" t="str">
        <f t="shared" si="435"/>
        <v/>
      </c>
      <c r="BD866" s="90">
        <f t="shared" si="436"/>
        <v>2</v>
      </c>
      <c r="BE866" s="1">
        <f t="shared" si="450"/>
        <v>1</v>
      </c>
      <c r="BF866" s="1">
        <f t="shared" si="451"/>
        <v>1</v>
      </c>
    </row>
    <row r="867" spans="1:58" ht="11.25" customHeight="1">
      <c r="A867" s="26" t="s">
        <v>4216</v>
      </c>
      <c r="B867" s="27" t="s">
        <v>4209</v>
      </c>
      <c r="C867" s="28">
        <v>26.99</v>
      </c>
      <c r="D867" s="28">
        <f t="shared" si="437"/>
        <v>13.494999999999999</v>
      </c>
      <c r="E867" s="22" t="s">
        <v>3901</v>
      </c>
      <c r="F867" s="22" t="s">
        <v>4217</v>
      </c>
      <c r="G867" s="22" t="s">
        <v>377</v>
      </c>
      <c r="H867" s="22" t="s">
        <v>4160</v>
      </c>
      <c r="I867" s="23" t="s">
        <v>4059</v>
      </c>
      <c r="J867" s="22" t="s">
        <v>670</v>
      </c>
      <c r="L867" s="23">
        <v>8</v>
      </c>
      <c r="M867" s="23">
        <v>6</v>
      </c>
      <c r="N867" s="3">
        <f t="shared" si="452"/>
        <v>3.8400000000000001E-4</v>
      </c>
      <c r="O867" s="4" t="e">
        <f>(C867-(C867*#REF!))-((C867-(C867*#REF!))*#REF!)</f>
        <v>#REF!</v>
      </c>
      <c r="P867" s="7"/>
      <c r="Q867" s="7"/>
      <c r="R867" s="5">
        <f t="shared" si="453"/>
        <v>0</v>
      </c>
      <c r="S867" s="4">
        <f t="shared" si="454"/>
        <v>0</v>
      </c>
      <c r="T867" s="13">
        <f t="shared" si="438"/>
        <v>18.893000000000001</v>
      </c>
      <c r="U867" s="13">
        <f t="shared" si="448"/>
        <v>9.4465000000000003</v>
      </c>
      <c r="V867" s="14">
        <f>U867/C867</f>
        <v>0.35000000000000003</v>
      </c>
      <c r="W867" s="14"/>
      <c r="X867" s="19">
        <f t="shared" si="455"/>
        <v>9.4465000000000003</v>
      </c>
      <c r="Y867" s="19">
        <f t="shared" si="456"/>
        <v>18.893000000000001</v>
      </c>
      <c r="Z867" s="15" t="e">
        <f t="shared" si="449"/>
        <v>#DIV/0!</v>
      </c>
      <c r="AA867" s="22" t="s">
        <v>4212</v>
      </c>
      <c r="AG867" s="94" t="s">
        <v>817</v>
      </c>
      <c r="AH867" s="89" t="str">
        <f>VLOOKUP(AG867,Sheet1!$B$3:$D$36,2,FALSE)</f>
        <v>Kitchen &amp; Dining</v>
      </c>
      <c r="AI867" s="89" t="s">
        <v>2821</v>
      </c>
      <c r="AJ867" s="1" t="str">
        <f t="shared" si="439"/>
        <v>Hena cup clear snow</v>
      </c>
      <c r="AK867" s="1" t="str">
        <f t="shared" si="440"/>
        <v>ø8 x h6 - vol. 100 ml</v>
      </c>
      <c r="AL867" s="1" t="str">
        <f t="shared" si="441"/>
        <v>clear snow glass # 6</v>
      </c>
      <c r="AM867" s="1" t="str">
        <f t="shared" si="442"/>
        <v>clear snow glass # 6</v>
      </c>
      <c r="AN867" s="1" t="str">
        <f t="shared" si="443"/>
        <v>clear snow glass # 6</v>
      </c>
      <c r="AQ867" s="1" t="str">
        <f t="shared" si="444"/>
        <v>C</v>
      </c>
      <c r="AR867" s="1" t="str">
        <f>VLOOKUP(TRIM(AI867),Sheet1!$D$3:$E$36,2,FALSE)</f>
        <v>04</v>
      </c>
      <c r="AS867" s="90" t="str">
        <f t="shared" si="445"/>
        <v>03</v>
      </c>
      <c r="AT867" s="1" t="str">
        <f t="shared" si="446"/>
        <v>01</v>
      </c>
      <c r="AU867" s="90" t="s">
        <v>2567</v>
      </c>
      <c r="AV867" s="90"/>
      <c r="AW867" s="90"/>
      <c r="AX867" s="95" t="str">
        <f>AQ867&amp;AR867&amp;AS867&amp;"-"&amp;AT867&amp;AU867&amp;BA867</f>
        <v>C0403-0138</v>
      </c>
      <c r="AY867" s="99" t="str">
        <f>AQ867&amp;AR867&amp;AS867&amp;"-"&amp;AT867&amp;BA867</f>
        <v>C0403-01</v>
      </c>
      <c r="AZ867" s="90"/>
      <c r="BA867" s="1" t="str">
        <f t="shared" si="447"/>
        <v/>
      </c>
      <c r="BC867" s="1" t="str">
        <f t="shared" si="435"/>
        <v/>
      </c>
      <c r="BD867" s="90">
        <f t="shared" si="436"/>
        <v>3</v>
      </c>
      <c r="BE867" s="1">
        <f t="shared" si="450"/>
        <v>1</v>
      </c>
      <c r="BF867" s="1">
        <f t="shared" si="451"/>
        <v>1</v>
      </c>
    </row>
    <row r="868" spans="1:58" ht="11.25" customHeight="1">
      <c r="A868" s="26" t="s">
        <v>4218</v>
      </c>
      <c r="B868" s="27" t="s">
        <v>4209</v>
      </c>
      <c r="C868" s="28">
        <v>24.99</v>
      </c>
      <c r="D868" s="28">
        <f t="shared" si="437"/>
        <v>12.494999999999999</v>
      </c>
      <c r="E868" s="22" t="s">
        <v>3901</v>
      </c>
      <c r="F868" s="22" t="s">
        <v>4219</v>
      </c>
      <c r="G868" s="22" t="s">
        <v>377</v>
      </c>
      <c r="H868" s="22" t="s">
        <v>4164</v>
      </c>
      <c r="I868" s="23" t="s">
        <v>4059</v>
      </c>
      <c r="J868" s="22" t="s">
        <v>670</v>
      </c>
      <c r="L868" s="23">
        <v>6.5</v>
      </c>
      <c r="M868" s="23">
        <v>7</v>
      </c>
      <c r="N868" s="3">
        <f t="shared" si="452"/>
        <v>2.9575000000000001E-4</v>
      </c>
      <c r="O868" s="4" t="e">
        <f>(C868-(C868*#REF!))-((C868-(C868*#REF!))*#REF!)</f>
        <v>#REF!</v>
      </c>
      <c r="P868" s="7"/>
      <c r="Q868" s="7"/>
      <c r="R868" s="5">
        <f t="shared" si="453"/>
        <v>0</v>
      </c>
      <c r="S868" s="4">
        <f t="shared" si="454"/>
        <v>0</v>
      </c>
      <c r="T868" s="13">
        <f t="shared" si="438"/>
        <v>17.492999999999999</v>
      </c>
      <c r="U868" s="13">
        <f t="shared" si="448"/>
        <v>8.7464999999999993</v>
      </c>
      <c r="V868" s="14">
        <f>U868/C868</f>
        <v>0.35</v>
      </c>
      <c r="W868" s="14"/>
      <c r="X868" s="19">
        <f t="shared" si="455"/>
        <v>8.7464999999999993</v>
      </c>
      <c r="Y868" s="19">
        <f t="shared" si="456"/>
        <v>17.492999999999999</v>
      </c>
      <c r="Z868" s="15" t="e">
        <f t="shared" si="449"/>
        <v>#DIV/0!</v>
      </c>
      <c r="AA868" s="22" t="s">
        <v>4212</v>
      </c>
      <c r="AG868" s="94" t="s">
        <v>817</v>
      </c>
      <c r="AH868" s="89" t="str">
        <f>VLOOKUP(AG868,Sheet1!$B$3:$D$36,2,FALSE)</f>
        <v>Kitchen &amp; Dining</v>
      </c>
      <c r="AI868" s="89" t="s">
        <v>2821</v>
      </c>
      <c r="AJ868" s="1" t="str">
        <f t="shared" si="439"/>
        <v>Hena cup clear snow</v>
      </c>
      <c r="AK868" s="1" t="str">
        <f t="shared" si="440"/>
        <v>ø6,5 x h7 - vol. 120 ml</v>
      </c>
      <c r="AL868" s="1" t="str">
        <f t="shared" si="441"/>
        <v>clear snow glass # 6</v>
      </c>
      <c r="AM868" s="1" t="str">
        <f t="shared" si="442"/>
        <v>clear snow glass # 6</v>
      </c>
      <c r="AN868" s="1" t="str">
        <f t="shared" si="443"/>
        <v>clear snow glass # 6</v>
      </c>
      <c r="AQ868" s="1" t="str">
        <f t="shared" si="444"/>
        <v>C</v>
      </c>
      <c r="AR868" s="1" t="str">
        <f>VLOOKUP(TRIM(AI868),Sheet1!$D$3:$E$36,2,FALSE)</f>
        <v>04</v>
      </c>
      <c r="AS868" s="90" t="str">
        <f t="shared" si="445"/>
        <v>04</v>
      </c>
      <c r="AT868" s="1" t="str">
        <f t="shared" si="446"/>
        <v>01</v>
      </c>
      <c r="AU868" s="90" t="s">
        <v>2567</v>
      </c>
      <c r="AV868" s="90"/>
      <c r="AW868" s="90"/>
      <c r="AX868" s="95" t="str">
        <f>AQ868&amp;AR868&amp;AS868&amp;"-"&amp;AT868&amp;AU868&amp;BA868</f>
        <v>C0404-0138</v>
      </c>
      <c r="AY868" s="99" t="str">
        <f>AQ868&amp;AR868&amp;AS868&amp;"-"&amp;AT868&amp;BA868</f>
        <v>C0404-01</v>
      </c>
      <c r="AZ868" s="90"/>
      <c r="BA868" s="1" t="str">
        <f t="shared" si="447"/>
        <v/>
      </c>
      <c r="BC868" s="1" t="str">
        <f t="shared" si="435"/>
        <v/>
      </c>
      <c r="BD868" s="90">
        <f t="shared" si="436"/>
        <v>4</v>
      </c>
      <c r="BE868" s="1">
        <f t="shared" si="450"/>
        <v>1</v>
      </c>
      <c r="BF868" s="1">
        <f t="shared" si="451"/>
        <v>1</v>
      </c>
    </row>
    <row r="869" spans="1:58" ht="11.25" customHeight="1">
      <c r="A869" s="26" t="s">
        <v>4220</v>
      </c>
      <c r="B869" s="27" t="s">
        <v>4209</v>
      </c>
      <c r="C869" s="28">
        <v>26.99</v>
      </c>
      <c r="D869" s="28">
        <f t="shared" si="437"/>
        <v>13.494999999999999</v>
      </c>
      <c r="E869" s="22" t="s">
        <v>3901</v>
      </c>
      <c r="F869" s="22" t="s">
        <v>4221</v>
      </c>
      <c r="G869" s="22" t="s">
        <v>377</v>
      </c>
      <c r="H869" s="22" t="s">
        <v>4168</v>
      </c>
      <c r="I869" s="23" t="s">
        <v>4059</v>
      </c>
      <c r="J869" s="22" t="s">
        <v>670</v>
      </c>
      <c r="L869" s="23">
        <v>8</v>
      </c>
      <c r="M869" s="23">
        <v>8</v>
      </c>
      <c r="N869" s="3">
        <f t="shared" si="452"/>
        <v>5.1199999999999998E-4</v>
      </c>
      <c r="O869" s="4" t="e">
        <f>(C869-(C869*#REF!))-((C869-(C869*#REF!))*#REF!)</f>
        <v>#REF!</v>
      </c>
      <c r="P869" s="7"/>
      <c r="Q869" s="7"/>
      <c r="R869" s="5">
        <f t="shared" si="453"/>
        <v>0</v>
      </c>
      <c r="S869" s="4">
        <f t="shared" si="454"/>
        <v>0</v>
      </c>
      <c r="T869" s="13">
        <f t="shared" si="438"/>
        <v>18.893000000000001</v>
      </c>
      <c r="U869" s="13">
        <f t="shared" si="448"/>
        <v>9.4465000000000003</v>
      </c>
      <c r="V869" s="14">
        <f>U869/C869</f>
        <v>0.35000000000000003</v>
      </c>
      <c r="W869" s="14"/>
      <c r="X869" s="19">
        <f t="shared" si="455"/>
        <v>9.4465000000000003</v>
      </c>
      <c r="Y869" s="19">
        <f t="shared" si="456"/>
        <v>18.893000000000001</v>
      </c>
      <c r="Z869" s="15" t="e">
        <f t="shared" si="449"/>
        <v>#DIV/0!</v>
      </c>
      <c r="AA869" s="22" t="s">
        <v>4222</v>
      </c>
      <c r="AG869" s="94" t="s">
        <v>817</v>
      </c>
      <c r="AH869" s="89" t="str">
        <f>VLOOKUP(AG869,Sheet1!$B$3:$D$36,2,FALSE)</f>
        <v>Kitchen &amp; Dining</v>
      </c>
      <c r="AI869" s="89" t="s">
        <v>2821</v>
      </c>
      <c r="AJ869" s="1" t="str">
        <f t="shared" si="439"/>
        <v>Hena cup clear snow</v>
      </c>
      <c r="AK869" s="1" t="str">
        <f t="shared" si="440"/>
        <v>ø8 x h8 - vol. 150 ml</v>
      </c>
      <c r="AL869" s="1" t="str">
        <f t="shared" si="441"/>
        <v>clear snow glass # 6</v>
      </c>
      <c r="AM869" s="1" t="str">
        <f t="shared" si="442"/>
        <v>clear snow glass # 6</v>
      </c>
      <c r="AN869" s="1" t="str">
        <f t="shared" si="443"/>
        <v>clear snow glass # 6</v>
      </c>
      <c r="AQ869" s="1" t="str">
        <f t="shared" si="444"/>
        <v>C</v>
      </c>
      <c r="AR869" s="1" t="str">
        <f>VLOOKUP(TRIM(AI869),Sheet1!$D$3:$E$36,2,FALSE)</f>
        <v>04</v>
      </c>
      <c r="AS869" s="90" t="str">
        <f t="shared" si="445"/>
        <v>05</v>
      </c>
      <c r="AT869" s="1" t="str">
        <f t="shared" si="446"/>
        <v>01</v>
      </c>
      <c r="AU869" s="90" t="s">
        <v>2567</v>
      </c>
      <c r="AV869" s="90"/>
      <c r="AW869" s="90"/>
      <c r="AX869" s="95" t="str">
        <f>AQ869&amp;AR869&amp;AS869&amp;"-"&amp;AT869&amp;AU869&amp;BA869</f>
        <v>C0405-0138</v>
      </c>
      <c r="AY869" s="99" t="str">
        <f>AQ869&amp;AR869&amp;AS869&amp;"-"&amp;AT869&amp;BA869</f>
        <v>C0405-01</v>
      </c>
      <c r="AZ869" s="90"/>
      <c r="BA869" s="1" t="str">
        <f t="shared" si="447"/>
        <v/>
      </c>
      <c r="BC869" s="1" t="str">
        <f t="shared" si="435"/>
        <v/>
      </c>
      <c r="BD869" s="90">
        <f t="shared" si="436"/>
        <v>5</v>
      </c>
      <c r="BE869" s="1">
        <f t="shared" si="450"/>
        <v>1</v>
      </c>
      <c r="BF869" s="1">
        <f t="shared" si="451"/>
        <v>1</v>
      </c>
    </row>
    <row r="870" spans="1:58" ht="11.25" customHeight="1">
      <c r="A870" s="26" t="s">
        <v>4223</v>
      </c>
      <c r="B870" s="27" t="s">
        <v>4209</v>
      </c>
      <c r="C870" s="28">
        <v>24.99</v>
      </c>
      <c r="D870" s="28">
        <f t="shared" si="437"/>
        <v>12.494999999999999</v>
      </c>
      <c r="E870" s="22" t="s">
        <v>3901</v>
      </c>
      <c r="F870" s="22" t="s">
        <v>4224</v>
      </c>
      <c r="G870" s="22" t="s">
        <v>377</v>
      </c>
      <c r="H870" s="22" t="s">
        <v>4171</v>
      </c>
      <c r="I870" s="23" t="s">
        <v>4059</v>
      </c>
      <c r="J870" s="22" t="s">
        <v>670</v>
      </c>
      <c r="L870" s="23">
        <v>6.5</v>
      </c>
      <c r="M870" s="23">
        <v>10</v>
      </c>
      <c r="N870" s="3">
        <f t="shared" si="452"/>
        <v>4.2250000000000002E-4</v>
      </c>
      <c r="O870" s="4" t="e">
        <f>(C870-(C870*#REF!))-((C870-(C870*#REF!))*#REF!)</f>
        <v>#REF!</v>
      </c>
      <c r="P870" s="7"/>
      <c r="Q870" s="7"/>
      <c r="R870" s="5">
        <f t="shared" si="453"/>
        <v>0</v>
      </c>
      <c r="S870" s="4">
        <f t="shared" si="454"/>
        <v>0</v>
      </c>
      <c r="T870" s="13">
        <f t="shared" si="438"/>
        <v>17.492999999999999</v>
      </c>
      <c r="U870" s="13">
        <f t="shared" si="448"/>
        <v>8.7464999999999993</v>
      </c>
      <c r="V870" s="14">
        <f>U870/C870</f>
        <v>0.35</v>
      </c>
      <c r="W870" s="14"/>
      <c r="X870" s="19">
        <f t="shared" si="455"/>
        <v>8.7464999999999993</v>
      </c>
      <c r="Y870" s="19">
        <f t="shared" si="456"/>
        <v>17.492999999999999</v>
      </c>
      <c r="Z870" s="15" t="e">
        <f t="shared" si="449"/>
        <v>#DIV/0!</v>
      </c>
      <c r="AA870" s="22" t="s">
        <v>4222</v>
      </c>
      <c r="AG870" s="94" t="s">
        <v>817</v>
      </c>
      <c r="AH870" s="89" t="str">
        <f>VLOOKUP(AG870,Sheet1!$B$3:$D$36,2,FALSE)</f>
        <v>Kitchen &amp; Dining</v>
      </c>
      <c r="AI870" s="89" t="s">
        <v>2821</v>
      </c>
      <c r="AJ870" s="1" t="str">
        <f t="shared" si="439"/>
        <v>Hena cup clear snow</v>
      </c>
      <c r="AK870" s="1" t="str">
        <f t="shared" si="440"/>
        <v>ø6,5 x h10 - vol. 100 ml</v>
      </c>
      <c r="AL870" s="1" t="str">
        <f t="shared" si="441"/>
        <v>clear snow glass # 6</v>
      </c>
      <c r="AM870" s="1" t="str">
        <f t="shared" si="442"/>
        <v>clear snow glass # 6</v>
      </c>
      <c r="AN870" s="1" t="str">
        <f t="shared" si="443"/>
        <v>clear snow glass # 6</v>
      </c>
      <c r="AQ870" s="1" t="str">
        <f t="shared" si="444"/>
        <v>C</v>
      </c>
      <c r="AR870" s="1" t="str">
        <f>VLOOKUP(TRIM(AI870),Sheet1!$D$3:$E$36,2,FALSE)</f>
        <v>04</v>
      </c>
      <c r="AS870" s="90" t="str">
        <f t="shared" si="445"/>
        <v>06</v>
      </c>
      <c r="AT870" s="1" t="str">
        <f t="shared" si="446"/>
        <v>01</v>
      </c>
      <c r="AU870" s="90" t="s">
        <v>2567</v>
      </c>
      <c r="AV870" s="90"/>
      <c r="AW870" s="90"/>
      <c r="AX870" s="95" t="str">
        <f>AQ870&amp;AR870&amp;AS870&amp;"-"&amp;AT870&amp;AU870&amp;BA870</f>
        <v>C0406-0138</v>
      </c>
      <c r="AY870" s="99" t="str">
        <f>AQ870&amp;AR870&amp;AS870&amp;"-"&amp;AT870&amp;BA870</f>
        <v>C0406-01</v>
      </c>
      <c r="AZ870" s="90"/>
      <c r="BA870" s="1" t="str">
        <f t="shared" si="447"/>
        <v/>
      </c>
      <c r="BC870" s="1" t="str">
        <f t="shared" si="435"/>
        <v/>
      </c>
      <c r="BD870" s="90">
        <f t="shared" si="436"/>
        <v>6</v>
      </c>
      <c r="BE870" s="1">
        <f t="shared" si="450"/>
        <v>1</v>
      </c>
      <c r="BF870" s="1">
        <f t="shared" si="451"/>
        <v>1</v>
      </c>
    </row>
    <row r="871" spans="1:58" ht="11.25" customHeight="1">
      <c r="A871" s="26" t="s">
        <v>4225</v>
      </c>
      <c r="B871" s="27" t="s">
        <v>4209</v>
      </c>
      <c r="C871" s="28">
        <v>28.99</v>
      </c>
      <c r="D871" s="28">
        <f t="shared" si="437"/>
        <v>14.494999999999999</v>
      </c>
      <c r="E871" s="22" t="s">
        <v>3901</v>
      </c>
      <c r="F871" s="22" t="s">
        <v>4226</v>
      </c>
      <c r="G871" s="22" t="s">
        <v>377</v>
      </c>
      <c r="H871" s="22" t="s">
        <v>4175</v>
      </c>
      <c r="I871" s="23" t="s">
        <v>4059</v>
      </c>
      <c r="J871" s="22" t="s">
        <v>670</v>
      </c>
      <c r="L871" s="23">
        <v>8</v>
      </c>
      <c r="M871" s="23">
        <v>12</v>
      </c>
      <c r="N871" s="3">
        <f t="shared" si="452"/>
        <v>7.6800000000000002E-4</v>
      </c>
      <c r="O871" s="4" t="e">
        <f>(C871-(C871*#REF!))-((C871-(C871*#REF!))*#REF!)</f>
        <v>#REF!</v>
      </c>
      <c r="P871" s="7"/>
      <c r="Q871" s="7"/>
      <c r="R871" s="5">
        <f t="shared" si="453"/>
        <v>0</v>
      </c>
      <c r="S871" s="4">
        <f t="shared" si="454"/>
        <v>0</v>
      </c>
      <c r="T871" s="13">
        <f t="shared" si="438"/>
        <v>20.292999999999999</v>
      </c>
      <c r="U871" s="13">
        <f t="shared" si="448"/>
        <v>10.1465</v>
      </c>
      <c r="V871" s="14">
        <f>U871/C871</f>
        <v>0.35000000000000003</v>
      </c>
      <c r="W871" s="14"/>
      <c r="X871" s="19">
        <f t="shared" si="455"/>
        <v>10.1465</v>
      </c>
      <c r="Y871" s="19">
        <f t="shared" si="456"/>
        <v>20.292999999999999</v>
      </c>
      <c r="Z871" s="15" t="e">
        <f t="shared" si="449"/>
        <v>#DIV/0!</v>
      </c>
      <c r="AA871" s="22" t="s">
        <v>4212</v>
      </c>
      <c r="AG871" s="94" t="s">
        <v>817</v>
      </c>
      <c r="AH871" s="89" t="str">
        <f>VLOOKUP(AG871,Sheet1!$B$3:$D$36,2,FALSE)</f>
        <v>Kitchen &amp; Dining</v>
      </c>
      <c r="AI871" s="89" t="s">
        <v>2821</v>
      </c>
      <c r="AJ871" s="1" t="str">
        <f t="shared" si="439"/>
        <v>Hena cup clear snow</v>
      </c>
      <c r="AK871" s="1" t="str">
        <f t="shared" si="440"/>
        <v>ø8 x h12 - vol. 250 ml</v>
      </c>
      <c r="AL871" s="1" t="str">
        <f t="shared" si="441"/>
        <v>clear snow glass # 6</v>
      </c>
      <c r="AM871" s="1" t="str">
        <f t="shared" si="442"/>
        <v>clear snow glass # 6</v>
      </c>
      <c r="AN871" s="1" t="str">
        <f t="shared" si="443"/>
        <v>clear snow glass # 6</v>
      </c>
      <c r="AQ871" s="1" t="str">
        <f t="shared" si="444"/>
        <v>C</v>
      </c>
      <c r="AR871" s="1" t="str">
        <f>VLOOKUP(TRIM(AI871),Sheet1!$D$3:$E$36,2,FALSE)</f>
        <v>04</v>
      </c>
      <c r="AS871" s="90" t="str">
        <f t="shared" si="445"/>
        <v>07</v>
      </c>
      <c r="AT871" s="1" t="str">
        <f t="shared" si="446"/>
        <v>01</v>
      </c>
      <c r="AU871" s="90" t="s">
        <v>2567</v>
      </c>
      <c r="AV871" s="90"/>
      <c r="AW871" s="90"/>
      <c r="AX871" s="95" t="str">
        <f>AQ871&amp;AR871&amp;AS871&amp;"-"&amp;AT871&amp;AU871&amp;BA871</f>
        <v>C0407-0138</v>
      </c>
      <c r="AY871" s="99" t="str">
        <f>AQ871&amp;AR871&amp;AS871&amp;"-"&amp;AT871&amp;BA871</f>
        <v>C0407-01</v>
      </c>
      <c r="AZ871" s="90"/>
      <c r="BA871" s="1" t="str">
        <f t="shared" si="447"/>
        <v/>
      </c>
      <c r="BC871" s="1" t="str">
        <f t="shared" si="435"/>
        <v/>
      </c>
      <c r="BD871" s="90">
        <f t="shared" si="436"/>
        <v>7</v>
      </c>
      <c r="BE871" s="1">
        <f t="shared" si="450"/>
        <v>1</v>
      </c>
      <c r="BF871" s="1">
        <f t="shared" si="451"/>
        <v>1</v>
      </c>
    </row>
    <row r="872" spans="1:58" ht="11.25" customHeight="1">
      <c r="A872" s="26" t="s">
        <v>4227</v>
      </c>
      <c r="B872" s="27" t="s">
        <v>4209</v>
      </c>
      <c r="C872" s="28">
        <v>34.99</v>
      </c>
      <c r="D872" s="28">
        <f t="shared" si="437"/>
        <v>17.495000000000001</v>
      </c>
      <c r="E872" s="22" t="s">
        <v>3901</v>
      </c>
      <c r="F872" s="22" t="s">
        <v>4228</v>
      </c>
      <c r="G872" s="22" t="s">
        <v>377</v>
      </c>
      <c r="H872" s="22" t="s">
        <v>4178</v>
      </c>
      <c r="I872" s="23" t="s">
        <v>4059</v>
      </c>
      <c r="J872" s="22" t="s">
        <v>670</v>
      </c>
      <c r="L872" s="23">
        <v>7</v>
      </c>
      <c r="M872" s="23">
        <v>13</v>
      </c>
      <c r="N872" s="3">
        <f t="shared" si="452"/>
        <v>6.3699999999999998E-4</v>
      </c>
      <c r="O872" s="4" t="e">
        <f>(C872-(C872*#REF!))-((C872-(C872*#REF!))*#REF!)</f>
        <v>#REF!</v>
      </c>
      <c r="P872" s="7"/>
      <c r="Q872" s="7"/>
      <c r="R872" s="5">
        <f t="shared" si="453"/>
        <v>0</v>
      </c>
      <c r="S872" s="4">
        <f t="shared" si="454"/>
        <v>0</v>
      </c>
      <c r="T872" s="13">
        <f t="shared" si="438"/>
        <v>24.493000000000002</v>
      </c>
      <c r="U872" s="13">
        <f t="shared" si="448"/>
        <v>12.246500000000001</v>
      </c>
      <c r="V872" s="14">
        <f>U872/C872</f>
        <v>0.35000000000000003</v>
      </c>
      <c r="W872" s="14"/>
      <c r="X872" s="19">
        <f t="shared" si="455"/>
        <v>12.246500000000001</v>
      </c>
      <c r="Y872" s="19">
        <f t="shared" si="456"/>
        <v>24.493000000000002</v>
      </c>
      <c r="Z872" s="15" t="e">
        <f t="shared" si="449"/>
        <v>#DIV/0!</v>
      </c>
      <c r="AA872" s="22" t="s">
        <v>4212</v>
      </c>
      <c r="AG872" s="94" t="s">
        <v>817</v>
      </c>
      <c r="AH872" s="89" t="str">
        <f>VLOOKUP(AG872,Sheet1!$B$3:$D$36,2,FALSE)</f>
        <v>Kitchen &amp; Dining</v>
      </c>
      <c r="AI872" s="89" t="s">
        <v>2821</v>
      </c>
      <c r="AJ872" s="1" t="str">
        <f t="shared" si="439"/>
        <v>Hena cup clear snow</v>
      </c>
      <c r="AK872" s="1" t="str">
        <f t="shared" si="440"/>
        <v>ø7 x h13 - vol. 400 ml</v>
      </c>
      <c r="AL872" s="1" t="str">
        <f t="shared" si="441"/>
        <v>clear snow glass # 6</v>
      </c>
      <c r="AM872" s="1" t="str">
        <f t="shared" si="442"/>
        <v>clear snow glass # 6</v>
      </c>
      <c r="AN872" s="1" t="str">
        <f t="shared" si="443"/>
        <v>clear snow glass # 6</v>
      </c>
      <c r="AQ872" s="1" t="str">
        <f t="shared" si="444"/>
        <v>C</v>
      </c>
      <c r="AR872" s="1" t="str">
        <f>VLOOKUP(TRIM(AI872),Sheet1!$D$3:$E$36,2,FALSE)</f>
        <v>04</v>
      </c>
      <c r="AS872" s="90" t="str">
        <f t="shared" si="445"/>
        <v>08</v>
      </c>
      <c r="AT872" s="1" t="str">
        <f t="shared" si="446"/>
        <v>01</v>
      </c>
      <c r="AU872" s="90" t="s">
        <v>2567</v>
      </c>
      <c r="AV872" s="90"/>
      <c r="AW872" s="90"/>
      <c r="AX872" s="95" t="str">
        <f>AQ872&amp;AR872&amp;AS872&amp;"-"&amp;AT872&amp;AU872&amp;BA872</f>
        <v>C0408-0138</v>
      </c>
      <c r="AY872" s="99" t="str">
        <f>AQ872&amp;AR872&amp;AS872&amp;"-"&amp;AT872&amp;BA872</f>
        <v>C0408-01</v>
      </c>
      <c r="AZ872" s="90"/>
      <c r="BA872" s="1" t="str">
        <f t="shared" si="447"/>
        <v/>
      </c>
      <c r="BC872" s="1" t="str">
        <f t="shared" si="435"/>
        <v/>
      </c>
      <c r="BD872" s="90">
        <f t="shared" si="436"/>
        <v>8</v>
      </c>
      <c r="BE872" s="1">
        <f t="shared" si="450"/>
        <v>1</v>
      </c>
      <c r="BF872" s="1">
        <f t="shared" si="451"/>
        <v>1</v>
      </c>
    </row>
    <row r="873" spans="1:58" ht="11.25" customHeight="1">
      <c r="A873" s="26" t="s">
        <v>4229</v>
      </c>
      <c r="B873" s="27" t="s">
        <v>4209</v>
      </c>
      <c r="C873" s="28">
        <v>31.99</v>
      </c>
      <c r="D873" s="28">
        <f t="shared" si="437"/>
        <v>15.994999999999999</v>
      </c>
      <c r="E873" s="22" t="s">
        <v>3901</v>
      </c>
      <c r="F873" s="22" t="s">
        <v>4230</v>
      </c>
      <c r="G873" s="22" t="s">
        <v>377</v>
      </c>
      <c r="H873" s="22" t="s">
        <v>4181</v>
      </c>
      <c r="I873" s="23" t="s">
        <v>4059</v>
      </c>
      <c r="J873" s="22" t="s">
        <v>670</v>
      </c>
      <c r="L873" s="23">
        <v>8</v>
      </c>
      <c r="M873" s="23">
        <v>16</v>
      </c>
      <c r="N873" s="3">
        <f t="shared" si="452"/>
        <v>1.024E-3</v>
      </c>
      <c r="O873" s="4" t="e">
        <f>(C873-(C873*#REF!))-((C873-(C873*#REF!))*#REF!)</f>
        <v>#REF!</v>
      </c>
      <c r="P873" s="7"/>
      <c r="Q873" s="7"/>
      <c r="R873" s="5">
        <f t="shared" si="453"/>
        <v>0</v>
      </c>
      <c r="S873" s="4">
        <f t="shared" si="454"/>
        <v>0</v>
      </c>
      <c r="T873" s="13">
        <f t="shared" si="438"/>
        <v>22.393000000000001</v>
      </c>
      <c r="U873" s="13">
        <f t="shared" si="448"/>
        <v>11.1965</v>
      </c>
      <c r="V873" s="14">
        <f>U873/C873</f>
        <v>0.35000000000000003</v>
      </c>
      <c r="W873" s="14"/>
      <c r="X873" s="19">
        <f t="shared" si="455"/>
        <v>11.1965</v>
      </c>
      <c r="Y873" s="19">
        <f t="shared" si="456"/>
        <v>22.393000000000001</v>
      </c>
      <c r="Z873" s="15" t="e">
        <f t="shared" si="449"/>
        <v>#DIV/0!</v>
      </c>
      <c r="AA873" s="22" t="s">
        <v>4212</v>
      </c>
      <c r="AG873" s="94" t="s">
        <v>817</v>
      </c>
      <c r="AH873" s="89" t="str">
        <f>VLOOKUP(AG873,Sheet1!$B$3:$D$36,2,FALSE)</f>
        <v>Kitchen &amp; Dining</v>
      </c>
      <c r="AI873" s="89" t="s">
        <v>2821</v>
      </c>
      <c r="AJ873" s="1" t="str">
        <f t="shared" si="439"/>
        <v>Hena cup clear snow</v>
      </c>
      <c r="AK873" s="1" t="str">
        <f t="shared" si="440"/>
        <v>ø8 x h16 - vol. 370 ml</v>
      </c>
      <c r="AL873" s="1" t="str">
        <f t="shared" si="441"/>
        <v>clear snow glass # 6</v>
      </c>
      <c r="AM873" s="1" t="str">
        <f t="shared" si="442"/>
        <v>clear snow glass # 6</v>
      </c>
      <c r="AN873" s="1" t="str">
        <f t="shared" si="443"/>
        <v>clear snow glass # 6</v>
      </c>
      <c r="AQ873" s="1" t="str">
        <f t="shared" si="444"/>
        <v>C</v>
      </c>
      <c r="AR873" s="1" t="str">
        <f>VLOOKUP(TRIM(AI873),Sheet1!$D$3:$E$36,2,FALSE)</f>
        <v>04</v>
      </c>
      <c r="AS873" s="90" t="str">
        <f t="shared" si="445"/>
        <v>09</v>
      </c>
      <c r="AT873" s="1" t="str">
        <f t="shared" si="446"/>
        <v>01</v>
      </c>
      <c r="AU873" s="90" t="s">
        <v>2567</v>
      </c>
      <c r="AV873" s="90"/>
      <c r="AW873" s="90"/>
      <c r="AX873" s="95" t="str">
        <f>AQ873&amp;AR873&amp;AS873&amp;"-"&amp;AT873&amp;AU873&amp;BA873</f>
        <v>C0409-0138</v>
      </c>
      <c r="AY873" s="99" t="str">
        <f>AQ873&amp;AR873&amp;AS873&amp;"-"&amp;AT873&amp;BA873</f>
        <v>C0409-01</v>
      </c>
      <c r="AZ873" s="90"/>
      <c r="BA873" s="1" t="str">
        <f t="shared" si="447"/>
        <v/>
      </c>
      <c r="BC873" s="1" t="str">
        <f t="shared" ref="BC873:BC936" si="457">IF(AJ872&lt;&gt;AJ873,1,"")</f>
        <v/>
      </c>
      <c r="BD873" s="90">
        <f t="shared" ref="BD873:BD936" si="458">IF(BC873=1,1,BD872+1)</f>
        <v>9</v>
      </c>
      <c r="BE873" s="1">
        <f t="shared" si="450"/>
        <v>1</v>
      </c>
      <c r="BF873" s="1">
        <f t="shared" si="451"/>
        <v>1</v>
      </c>
    </row>
    <row r="874" spans="1:58" ht="11.25" customHeight="1">
      <c r="A874" s="26" t="s">
        <v>4231</v>
      </c>
      <c r="B874" s="27" t="s">
        <v>4232</v>
      </c>
      <c r="D874" s="28">
        <f t="shared" si="437"/>
        <v>0</v>
      </c>
      <c r="E874" s="22" t="s">
        <v>3901</v>
      </c>
      <c r="F874" s="22" t="s">
        <v>4233</v>
      </c>
      <c r="G874" s="22" t="s">
        <v>381</v>
      </c>
      <c r="H874" s="22" t="s">
        <v>4152</v>
      </c>
      <c r="I874" s="23" t="s">
        <v>4234</v>
      </c>
      <c r="J874" s="22" t="s">
        <v>670</v>
      </c>
      <c r="L874" s="23">
        <v>5</v>
      </c>
      <c r="M874" s="23">
        <v>55</v>
      </c>
      <c r="N874" s="3">
        <f t="shared" si="452"/>
        <v>1.3749999999999999E-3</v>
      </c>
      <c r="O874" s="4" t="e">
        <f>(C874-(C874*#REF!))-((C874-(C874*#REF!))*#REF!)</f>
        <v>#REF!</v>
      </c>
      <c r="P874" s="7"/>
      <c r="Q874" s="7"/>
      <c r="R874" s="5">
        <f t="shared" si="453"/>
        <v>0</v>
      </c>
      <c r="S874" s="4">
        <f t="shared" si="454"/>
        <v>0</v>
      </c>
      <c r="T874" s="13">
        <f t="shared" si="438"/>
        <v>0</v>
      </c>
      <c r="U874" s="13">
        <f t="shared" si="448"/>
        <v>0</v>
      </c>
      <c r="V874" s="14" t="e">
        <f>U874/C874</f>
        <v>#DIV/0!</v>
      </c>
      <c r="W874" s="14"/>
      <c r="X874" s="19">
        <f t="shared" si="455"/>
        <v>0</v>
      </c>
      <c r="Y874" s="19">
        <f t="shared" si="456"/>
        <v>0</v>
      </c>
      <c r="Z874" s="15" t="e">
        <f t="shared" si="449"/>
        <v>#DIV/0!</v>
      </c>
      <c r="AA874" s="22" t="s">
        <v>4235</v>
      </c>
      <c r="AG874" s="94" t="s">
        <v>817</v>
      </c>
      <c r="AH874" s="89" t="str">
        <f>VLOOKUP(AG874,Sheet1!$B$3:$D$36,2,FALSE)</f>
        <v>Kitchen &amp; Dining</v>
      </c>
      <c r="AI874" s="89" t="s">
        <v>2821</v>
      </c>
      <c r="AJ874" s="1" t="str">
        <f t="shared" si="439"/>
        <v>Hena cup crackle</v>
      </c>
      <c r="AK874" s="1" t="str">
        <f t="shared" si="440"/>
        <v>semi - ø5 x h55 - vol. 45 ml</v>
      </c>
      <c r="AL874" s="1" t="str">
        <f t="shared" si="441"/>
        <v>clear crackled glass
# 6</v>
      </c>
      <c r="AM874" s="1" t="str">
        <f t="shared" si="442"/>
        <v>clear crackled glass
# 6</v>
      </c>
      <c r="AN874" s="1" t="str">
        <f t="shared" si="443"/>
        <v>clear crackled glass
# 6</v>
      </c>
      <c r="AQ874" s="1" t="str">
        <f t="shared" si="444"/>
        <v>C</v>
      </c>
      <c r="AR874" s="1" t="str">
        <f>VLOOKUP(TRIM(AI874),Sheet1!$D$3:$E$36,2,FALSE)</f>
        <v>04</v>
      </c>
      <c r="AS874" s="90" t="str">
        <f t="shared" si="445"/>
        <v>01</v>
      </c>
      <c r="AT874" s="1" t="str">
        <f t="shared" si="446"/>
        <v>01</v>
      </c>
      <c r="AU874" s="90" t="s">
        <v>4041</v>
      </c>
      <c r="AV874" s="90"/>
      <c r="AW874" s="90"/>
      <c r="AX874" s="95" t="str">
        <f>AQ874&amp;AR874&amp;AS874&amp;"-"&amp;AT874&amp;AU874&amp;BA874</f>
        <v>C0401-0137</v>
      </c>
      <c r="AY874" s="99" t="str">
        <f>AQ874&amp;AR874&amp;AS874&amp;"-"&amp;AT874&amp;BA874</f>
        <v>C0401-01</v>
      </c>
      <c r="AZ874" s="90"/>
      <c r="BA874" s="1" t="str">
        <f t="shared" si="447"/>
        <v/>
      </c>
      <c r="BC874" s="1">
        <f t="shared" si="457"/>
        <v>1</v>
      </c>
      <c r="BD874" s="90">
        <f t="shared" si="458"/>
        <v>1</v>
      </c>
      <c r="BE874" s="1">
        <f t="shared" si="450"/>
        <v>1</v>
      </c>
      <c r="BF874" s="1">
        <f t="shared" si="451"/>
        <v>1</v>
      </c>
    </row>
    <row r="875" spans="1:58" ht="11.25" customHeight="1">
      <c r="A875" s="26" t="s">
        <v>4236</v>
      </c>
      <c r="B875" s="27" t="s">
        <v>4232</v>
      </c>
      <c r="C875" s="28">
        <v>21.99</v>
      </c>
      <c r="D875" s="28">
        <f t="shared" si="437"/>
        <v>10.994999999999999</v>
      </c>
      <c r="E875" s="22" t="s">
        <v>3901</v>
      </c>
      <c r="F875" s="22" t="s">
        <v>4237</v>
      </c>
      <c r="G875" s="22" t="s">
        <v>381</v>
      </c>
      <c r="H875" s="22" t="s">
        <v>4157</v>
      </c>
      <c r="I875" s="23" t="s">
        <v>4068</v>
      </c>
      <c r="J875" s="22" t="s">
        <v>670</v>
      </c>
      <c r="L875" s="23">
        <v>6</v>
      </c>
      <c r="M875" s="23">
        <v>6</v>
      </c>
      <c r="N875" s="3">
        <f t="shared" si="452"/>
        <v>2.1599999999999999E-4</v>
      </c>
      <c r="O875" s="4" t="e">
        <f>(C875-(C875*#REF!))-((C875-(C875*#REF!))*#REF!)</f>
        <v>#REF!</v>
      </c>
      <c r="P875" s="7"/>
      <c r="Q875" s="7"/>
      <c r="R875" s="5">
        <f t="shared" si="453"/>
        <v>0</v>
      </c>
      <c r="S875" s="4">
        <f t="shared" si="454"/>
        <v>0</v>
      </c>
      <c r="T875" s="13">
        <f t="shared" si="438"/>
        <v>15.392999999999999</v>
      </c>
      <c r="U875" s="13">
        <f t="shared" si="448"/>
        <v>7.6964999999999995</v>
      </c>
      <c r="V875" s="14">
        <f>U875/C875</f>
        <v>0.35</v>
      </c>
      <c r="W875" s="14"/>
      <c r="X875" s="19">
        <f t="shared" si="455"/>
        <v>7.6964999999999995</v>
      </c>
      <c r="Y875" s="19">
        <f t="shared" si="456"/>
        <v>15.392999999999999</v>
      </c>
      <c r="Z875" s="15" t="e">
        <f t="shared" si="449"/>
        <v>#DIV/0!</v>
      </c>
      <c r="AA875" s="22" t="s">
        <v>4238</v>
      </c>
      <c r="AG875" s="94" t="s">
        <v>817</v>
      </c>
      <c r="AH875" s="89" t="str">
        <f>VLOOKUP(AG875,Sheet1!$B$3:$D$36,2,FALSE)</f>
        <v>Kitchen &amp; Dining</v>
      </c>
      <c r="AI875" s="89" t="s">
        <v>2821</v>
      </c>
      <c r="AJ875" s="1" t="str">
        <f t="shared" si="439"/>
        <v>Hena cup crackle</v>
      </c>
      <c r="AK875" s="1" t="str">
        <f t="shared" si="440"/>
        <v>ø6 x h6 - vol. 50 ml</v>
      </c>
      <c r="AL875" s="1" t="str">
        <f t="shared" si="441"/>
        <v>clear crackle glass # 6</v>
      </c>
      <c r="AM875" s="1" t="str">
        <f t="shared" si="442"/>
        <v>clear crackle glass # 6</v>
      </c>
      <c r="AN875" s="1" t="str">
        <f t="shared" si="443"/>
        <v>clear crackle glass # 6</v>
      </c>
      <c r="AQ875" s="1" t="str">
        <f t="shared" si="444"/>
        <v>C</v>
      </c>
      <c r="AR875" s="1" t="str">
        <f>VLOOKUP(TRIM(AI875),Sheet1!$D$3:$E$36,2,FALSE)</f>
        <v>04</v>
      </c>
      <c r="AS875" s="90" t="str">
        <f t="shared" si="445"/>
        <v>02</v>
      </c>
      <c r="AT875" s="1" t="str">
        <f t="shared" si="446"/>
        <v>01</v>
      </c>
      <c r="AU875" s="90" t="s">
        <v>4041</v>
      </c>
      <c r="AV875" s="90"/>
      <c r="AW875" s="90"/>
      <c r="AX875" s="95" t="str">
        <f>AQ875&amp;AR875&amp;AS875&amp;"-"&amp;AT875&amp;AU875&amp;BA875</f>
        <v>C0402-0137</v>
      </c>
      <c r="AY875" s="99" t="str">
        <f>AQ875&amp;AR875&amp;AS875&amp;"-"&amp;AT875&amp;BA875</f>
        <v>C0402-01</v>
      </c>
      <c r="AZ875" s="90"/>
      <c r="BA875" s="1" t="str">
        <f t="shared" si="447"/>
        <v/>
      </c>
      <c r="BC875" s="1" t="str">
        <f t="shared" si="457"/>
        <v/>
      </c>
      <c r="BD875" s="90">
        <f t="shared" si="458"/>
        <v>2</v>
      </c>
      <c r="BE875" s="1">
        <f t="shared" si="450"/>
        <v>1</v>
      </c>
      <c r="BF875" s="1">
        <f t="shared" si="451"/>
        <v>1</v>
      </c>
    </row>
    <row r="876" spans="1:58" ht="11.25" customHeight="1">
      <c r="A876" s="26" t="s">
        <v>4239</v>
      </c>
      <c r="B876" s="27" t="s">
        <v>4232</v>
      </c>
      <c r="C876" s="28">
        <v>25.99</v>
      </c>
      <c r="D876" s="28">
        <f t="shared" si="437"/>
        <v>12.994999999999999</v>
      </c>
      <c r="E876" s="22" t="s">
        <v>3901</v>
      </c>
      <c r="F876" s="22" t="s">
        <v>4240</v>
      </c>
      <c r="G876" s="22" t="s">
        <v>381</v>
      </c>
      <c r="H876" s="22" t="s">
        <v>4160</v>
      </c>
      <c r="I876" s="23" t="s">
        <v>4068</v>
      </c>
      <c r="J876" s="22" t="s">
        <v>670</v>
      </c>
      <c r="L876" s="23">
        <v>8</v>
      </c>
      <c r="M876" s="23">
        <v>6</v>
      </c>
      <c r="N876" s="3">
        <f t="shared" si="452"/>
        <v>3.8400000000000001E-4</v>
      </c>
      <c r="O876" s="4" t="e">
        <f>(C876-(C876*#REF!))-((C876-(C876*#REF!))*#REF!)</f>
        <v>#REF!</v>
      </c>
      <c r="P876" s="7"/>
      <c r="Q876" s="7"/>
      <c r="R876" s="5">
        <f t="shared" si="453"/>
        <v>0</v>
      </c>
      <c r="S876" s="4">
        <f t="shared" si="454"/>
        <v>0</v>
      </c>
      <c r="T876" s="13">
        <f t="shared" si="438"/>
        <v>18.192999999999998</v>
      </c>
      <c r="U876" s="13">
        <f t="shared" si="448"/>
        <v>9.0964999999999989</v>
      </c>
      <c r="V876" s="14">
        <f>U876/C876</f>
        <v>0.35</v>
      </c>
      <c r="W876" s="14"/>
      <c r="X876" s="19">
        <f t="shared" si="455"/>
        <v>9.0964999999999989</v>
      </c>
      <c r="Y876" s="19">
        <f t="shared" si="456"/>
        <v>18.192999999999998</v>
      </c>
      <c r="Z876" s="15" t="e">
        <f t="shared" si="449"/>
        <v>#DIV/0!</v>
      </c>
      <c r="AA876" s="22" t="s">
        <v>4238</v>
      </c>
      <c r="AG876" s="94" t="s">
        <v>817</v>
      </c>
      <c r="AH876" s="89" t="str">
        <f>VLOOKUP(AG876,Sheet1!$B$3:$D$36,2,FALSE)</f>
        <v>Kitchen &amp; Dining</v>
      </c>
      <c r="AI876" s="89" t="s">
        <v>2821</v>
      </c>
      <c r="AJ876" s="1" t="str">
        <f t="shared" si="439"/>
        <v>Hena cup crackle</v>
      </c>
      <c r="AK876" s="1" t="str">
        <f t="shared" si="440"/>
        <v>ø8 x h6 - vol. 100 ml</v>
      </c>
      <c r="AL876" s="1" t="str">
        <f t="shared" si="441"/>
        <v>clear crackle glass # 6</v>
      </c>
      <c r="AM876" s="1" t="str">
        <f t="shared" si="442"/>
        <v>clear crackle glass # 6</v>
      </c>
      <c r="AN876" s="1" t="str">
        <f t="shared" si="443"/>
        <v>clear crackle glass # 6</v>
      </c>
      <c r="AQ876" s="1" t="str">
        <f t="shared" si="444"/>
        <v>C</v>
      </c>
      <c r="AR876" s="1" t="str">
        <f>VLOOKUP(TRIM(AI876),Sheet1!$D$3:$E$36,2,FALSE)</f>
        <v>04</v>
      </c>
      <c r="AS876" s="90" t="str">
        <f t="shared" si="445"/>
        <v>03</v>
      </c>
      <c r="AT876" s="1" t="str">
        <f t="shared" si="446"/>
        <v>01</v>
      </c>
      <c r="AU876" s="90" t="s">
        <v>4041</v>
      </c>
      <c r="AV876" s="90"/>
      <c r="AW876" s="90"/>
      <c r="AX876" s="95" t="str">
        <f>AQ876&amp;AR876&amp;AS876&amp;"-"&amp;AT876&amp;AU876&amp;BA876</f>
        <v>C0403-0137</v>
      </c>
      <c r="AY876" s="99" t="str">
        <f>AQ876&amp;AR876&amp;AS876&amp;"-"&amp;AT876&amp;BA876</f>
        <v>C0403-01</v>
      </c>
      <c r="AZ876" s="90"/>
      <c r="BA876" s="1" t="str">
        <f t="shared" si="447"/>
        <v/>
      </c>
      <c r="BC876" s="1" t="str">
        <f t="shared" si="457"/>
        <v/>
      </c>
      <c r="BD876" s="90">
        <f t="shared" si="458"/>
        <v>3</v>
      </c>
      <c r="BE876" s="1">
        <f t="shared" si="450"/>
        <v>1</v>
      </c>
      <c r="BF876" s="1">
        <f t="shared" si="451"/>
        <v>1</v>
      </c>
    </row>
    <row r="877" spans="1:58" ht="11.25" customHeight="1">
      <c r="A877" s="26" t="s">
        <v>4241</v>
      </c>
      <c r="B877" s="27" t="s">
        <v>4232</v>
      </c>
      <c r="C877" s="28">
        <v>23.99</v>
      </c>
      <c r="D877" s="28">
        <f t="shared" si="437"/>
        <v>11.994999999999999</v>
      </c>
      <c r="E877" s="22" t="s">
        <v>3901</v>
      </c>
      <c r="F877" s="22" t="s">
        <v>4242</v>
      </c>
      <c r="G877" s="22" t="s">
        <v>381</v>
      </c>
      <c r="H877" s="22" t="s">
        <v>4164</v>
      </c>
      <c r="I877" s="23" t="s">
        <v>4068</v>
      </c>
      <c r="J877" s="22" t="s">
        <v>670</v>
      </c>
      <c r="L877" s="23">
        <v>6.5</v>
      </c>
      <c r="M877" s="23">
        <v>7</v>
      </c>
      <c r="N877" s="3">
        <f t="shared" si="452"/>
        <v>2.9575000000000001E-4</v>
      </c>
      <c r="O877" s="4" t="e">
        <f>(C877-(C877*#REF!))-((C877-(C877*#REF!))*#REF!)</f>
        <v>#REF!</v>
      </c>
      <c r="P877" s="7"/>
      <c r="Q877" s="7"/>
      <c r="R877" s="5">
        <f t="shared" si="453"/>
        <v>0</v>
      </c>
      <c r="S877" s="4">
        <f t="shared" si="454"/>
        <v>0</v>
      </c>
      <c r="T877" s="13">
        <f t="shared" si="438"/>
        <v>16.792999999999999</v>
      </c>
      <c r="U877" s="13">
        <f t="shared" si="448"/>
        <v>8.3964999999999996</v>
      </c>
      <c r="V877" s="14">
        <f>U877/C877</f>
        <v>0.35000000000000003</v>
      </c>
      <c r="W877" s="14"/>
      <c r="X877" s="19">
        <f t="shared" si="455"/>
        <v>8.3964999999999996</v>
      </c>
      <c r="Y877" s="19">
        <f t="shared" si="456"/>
        <v>16.792999999999999</v>
      </c>
      <c r="Z877" s="15" t="e">
        <f t="shared" si="449"/>
        <v>#DIV/0!</v>
      </c>
      <c r="AA877" s="22" t="s">
        <v>4243</v>
      </c>
      <c r="AG877" s="94" t="s">
        <v>817</v>
      </c>
      <c r="AH877" s="89" t="str">
        <f>VLOOKUP(AG877,Sheet1!$B$3:$D$36,2,FALSE)</f>
        <v>Kitchen &amp; Dining</v>
      </c>
      <c r="AI877" s="89" t="s">
        <v>2821</v>
      </c>
      <c r="AJ877" s="1" t="str">
        <f t="shared" si="439"/>
        <v>Hena cup crackle</v>
      </c>
      <c r="AK877" s="1" t="str">
        <f t="shared" si="440"/>
        <v>ø6,5 x h7 - vol. 120 ml</v>
      </c>
      <c r="AL877" s="1" t="str">
        <f t="shared" si="441"/>
        <v>clear crackle glass # 6</v>
      </c>
      <c r="AM877" s="1" t="str">
        <f t="shared" si="442"/>
        <v>clear crackle glass # 6</v>
      </c>
      <c r="AN877" s="1" t="str">
        <f t="shared" si="443"/>
        <v>clear crackle glass # 6</v>
      </c>
      <c r="AQ877" s="1" t="str">
        <f t="shared" si="444"/>
        <v>C</v>
      </c>
      <c r="AR877" s="1" t="str">
        <f>VLOOKUP(TRIM(AI877),Sheet1!$D$3:$E$36,2,FALSE)</f>
        <v>04</v>
      </c>
      <c r="AS877" s="90" t="str">
        <f t="shared" si="445"/>
        <v>04</v>
      </c>
      <c r="AT877" s="1" t="str">
        <f t="shared" si="446"/>
        <v>01</v>
      </c>
      <c r="AU877" s="90" t="s">
        <v>4041</v>
      </c>
      <c r="AV877" s="90"/>
      <c r="AW877" s="90"/>
      <c r="AX877" s="95" t="str">
        <f>AQ877&amp;AR877&amp;AS877&amp;"-"&amp;AT877&amp;AU877&amp;BA877</f>
        <v>C0404-0137</v>
      </c>
      <c r="AY877" s="99" t="str">
        <f>AQ877&amp;AR877&amp;AS877&amp;"-"&amp;AT877&amp;BA877</f>
        <v>C0404-01</v>
      </c>
      <c r="AZ877" s="90"/>
      <c r="BA877" s="1" t="str">
        <f t="shared" si="447"/>
        <v/>
      </c>
      <c r="BC877" s="1" t="str">
        <f t="shared" si="457"/>
        <v/>
      </c>
      <c r="BD877" s="90">
        <f t="shared" si="458"/>
        <v>4</v>
      </c>
      <c r="BE877" s="1">
        <f t="shared" si="450"/>
        <v>1</v>
      </c>
      <c r="BF877" s="1">
        <f t="shared" si="451"/>
        <v>1</v>
      </c>
    </row>
    <row r="878" spans="1:58" ht="11.25" customHeight="1">
      <c r="A878" s="26" t="s">
        <v>4244</v>
      </c>
      <c r="B878" s="27" t="s">
        <v>4232</v>
      </c>
      <c r="C878" s="28">
        <v>25.99</v>
      </c>
      <c r="D878" s="28">
        <f t="shared" si="437"/>
        <v>12.994999999999999</v>
      </c>
      <c r="E878" s="22" t="s">
        <v>3901</v>
      </c>
      <c r="F878" s="22" t="s">
        <v>4245</v>
      </c>
      <c r="G878" s="22" t="s">
        <v>381</v>
      </c>
      <c r="H878" s="22" t="s">
        <v>4168</v>
      </c>
      <c r="I878" s="23" t="s">
        <v>4068</v>
      </c>
      <c r="J878" s="22" t="s">
        <v>670</v>
      </c>
      <c r="L878" s="23">
        <v>8</v>
      </c>
      <c r="M878" s="23">
        <v>8</v>
      </c>
      <c r="N878" s="3">
        <f t="shared" si="452"/>
        <v>5.1199999999999998E-4</v>
      </c>
      <c r="O878" s="4" t="e">
        <f>(C878-(C878*#REF!))-((C878-(C878*#REF!))*#REF!)</f>
        <v>#REF!</v>
      </c>
      <c r="P878" s="7"/>
      <c r="Q878" s="7"/>
      <c r="R878" s="5">
        <f t="shared" si="453"/>
        <v>0</v>
      </c>
      <c r="S878" s="4">
        <f t="shared" si="454"/>
        <v>0</v>
      </c>
      <c r="T878" s="13">
        <f t="shared" si="438"/>
        <v>18.192999999999998</v>
      </c>
      <c r="U878" s="13">
        <f t="shared" si="448"/>
        <v>9.0964999999999989</v>
      </c>
      <c r="V878" s="14">
        <f>U878/C878</f>
        <v>0.35</v>
      </c>
      <c r="W878" s="14"/>
      <c r="X878" s="19">
        <f t="shared" si="455"/>
        <v>9.0964999999999989</v>
      </c>
      <c r="Y878" s="19">
        <f t="shared" si="456"/>
        <v>18.192999999999998</v>
      </c>
      <c r="Z878" s="15" t="e">
        <f t="shared" si="449"/>
        <v>#DIV/0!</v>
      </c>
      <c r="AA878" s="22" t="s">
        <v>4235</v>
      </c>
      <c r="AG878" s="94" t="s">
        <v>817</v>
      </c>
      <c r="AH878" s="89" t="str">
        <f>VLOOKUP(AG878,Sheet1!$B$3:$D$36,2,FALSE)</f>
        <v>Kitchen &amp; Dining</v>
      </c>
      <c r="AI878" s="89" t="s">
        <v>2821</v>
      </c>
      <c r="AJ878" s="1" t="str">
        <f t="shared" si="439"/>
        <v>Hena cup crackle</v>
      </c>
      <c r="AK878" s="1" t="str">
        <f t="shared" si="440"/>
        <v>ø8 x h8 - vol. 150 ml</v>
      </c>
      <c r="AL878" s="1" t="str">
        <f t="shared" si="441"/>
        <v>clear crackle glass # 6</v>
      </c>
      <c r="AM878" s="1" t="str">
        <f t="shared" si="442"/>
        <v>clear crackle glass # 6</v>
      </c>
      <c r="AN878" s="1" t="str">
        <f t="shared" si="443"/>
        <v>clear crackle glass # 6</v>
      </c>
      <c r="AQ878" s="1" t="str">
        <f t="shared" si="444"/>
        <v>C</v>
      </c>
      <c r="AR878" s="1" t="str">
        <f>VLOOKUP(TRIM(AI878),Sheet1!$D$3:$E$36,2,FALSE)</f>
        <v>04</v>
      </c>
      <c r="AS878" s="90" t="str">
        <f t="shared" si="445"/>
        <v>05</v>
      </c>
      <c r="AT878" s="1" t="str">
        <f t="shared" si="446"/>
        <v>01</v>
      </c>
      <c r="AU878" s="90" t="s">
        <v>4041</v>
      </c>
      <c r="AV878" s="90"/>
      <c r="AW878" s="90"/>
      <c r="AX878" s="95" t="str">
        <f>AQ878&amp;AR878&amp;AS878&amp;"-"&amp;AT878&amp;AU878&amp;BA878</f>
        <v>C0405-0137</v>
      </c>
      <c r="AY878" s="99" t="str">
        <f>AQ878&amp;AR878&amp;AS878&amp;"-"&amp;AT878&amp;BA878</f>
        <v>C0405-01</v>
      </c>
      <c r="AZ878" s="90"/>
      <c r="BA878" s="1" t="str">
        <f t="shared" si="447"/>
        <v/>
      </c>
      <c r="BC878" s="1" t="str">
        <f t="shared" si="457"/>
        <v/>
      </c>
      <c r="BD878" s="90">
        <f t="shared" si="458"/>
        <v>5</v>
      </c>
      <c r="BE878" s="1">
        <f t="shared" si="450"/>
        <v>1</v>
      </c>
      <c r="BF878" s="1">
        <f t="shared" si="451"/>
        <v>1</v>
      </c>
    </row>
    <row r="879" spans="1:58" ht="11.25" customHeight="1">
      <c r="A879" s="26" t="s">
        <v>4246</v>
      </c>
      <c r="B879" s="27" t="s">
        <v>4232</v>
      </c>
      <c r="C879" s="28">
        <v>21.99</v>
      </c>
      <c r="D879" s="28">
        <f t="shared" si="437"/>
        <v>10.994999999999999</v>
      </c>
      <c r="E879" s="22" t="s">
        <v>3901</v>
      </c>
      <c r="F879" s="22" t="s">
        <v>4247</v>
      </c>
      <c r="G879" s="22" t="s">
        <v>381</v>
      </c>
      <c r="H879" s="22" t="s">
        <v>4171</v>
      </c>
      <c r="I879" s="23" t="s">
        <v>4068</v>
      </c>
      <c r="J879" s="22" t="s">
        <v>670</v>
      </c>
      <c r="L879" s="23">
        <v>6.5</v>
      </c>
      <c r="M879" s="23">
        <v>10</v>
      </c>
      <c r="N879" s="3">
        <f t="shared" si="452"/>
        <v>4.2250000000000002E-4</v>
      </c>
      <c r="O879" s="4" t="e">
        <f>(C879-(C879*#REF!))-((C879-(C879*#REF!))*#REF!)</f>
        <v>#REF!</v>
      </c>
      <c r="P879" s="7"/>
      <c r="Q879" s="7"/>
      <c r="R879" s="5">
        <f t="shared" si="453"/>
        <v>0</v>
      </c>
      <c r="S879" s="4">
        <f t="shared" si="454"/>
        <v>0</v>
      </c>
      <c r="T879" s="13">
        <f t="shared" si="438"/>
        <v>15.392999999999999</v>
      </c>
      <c r="U879" s="13">
        <f t="shared" si="448"/>
        <v>7.6964999999999995</v>
      </c>
      <c r="V879" s="14">
        <f>U879/C879</f>
        <v>0.35</v>
      </c>
      <c r="W879" s="14"/>
      <c r="X879" s="19">
        <f t="shared" si="455"/>
        <v>7.6964999999999995</v>
      </c>
      <c r="Y879" s="19">
        <f t="shared" si="456"/>
        <v>15.392999999999999</v>
      </c>
      <c r="Z879" s="15" t="e">
        <f t="shared" si="449"/>
        <v>#DIV/0!</v>
      </c>
      <c r="AA879" s="22" t="s">
        <v>4248</v>
      </c>
      <c r="AG879" s="94" t="s">
        <v>817</v>
      </c>
      <c r="AH879" s="89" t="str">
        <f>VLOOKUP(AG879,Sheet1!$B$3:$D$36,2,FALSE)</f>
        <v>Kitchen &amp; Dining</v>
      </c>
      <c r="AI879" s="89" t="s">
        <v>2821</v>
      </c>
      <c r="AJ879" s="1" t="str">
        <f t="shared" si="439"/>
        <v>Hena cup crackle</v>
      </c>
      <c r="AK879" s="1" t="str">
        <f t="shared" si="440"/>
        <v>ø6,5 x h10 - vol. 100 ml</v>
      </c>
      <c r="AL879" s="1" t="str">
        <f t="shared" si="441"/>
        <v>clear crackle glass # 6</v>
      </c>
      <c r="AM879" s="1" t="str">
        <f t="shared" si="442"/>
        <v>clear crackle glass # 6</v>
      </c>
      <c r="AN879" s="1" t="str">
        <f t="shared" si="443"/>
        <v>clear crackle glass # 6</v>
      </c>
      <c r="AQ879" s="1" t="str">
        <f t="shared" si="444"/>
        <v>C</v>
      </c>
      <c r="AR879" s="1" t="str">
        <f>VLOOKUP(TRIM(AI879),Sheet1!$D$3:$E$36,2,FALSE)</f>
        <v>04</v>
      </c>
      <c r="AS879" s="90" t="str">
        <f t="shared" si="445"/>
        <v>06</v>
      </c>
      <c r="AT879" s="1" t="str">
        <f t="shared" si="446"/>
        <v>01</v>
      </c>
      <c r="AU879" s="90" t="s">
        <v>4041</v>
      </c>
      <c r="AV879" s="90"/>
      <c r="AW879" s="90"/>
      <c r="AX879" s="95" t="str">
        <f>AQ879&amp;AR879&amp;AS879&amp;"-"&amp;AT879&amp;AU879&amp;BA879</f>
        <v>C0406-0137</v>
      </c>
      <c r="AY879" s="99" t="str">
        <f>AQ879&amp;AR879&amp;AS879&amp;"-"&amp;AT879&amp;BA879</f>
        <v>C0406-01</v>
      </c>
      <c r="AZ879" s="90"/>
      <c r="BA879" s="1" t="str">
        <f t="shared" si="447"/>
        <v/>
      </c>
      <c r="BC879" s="1" t="str">
        <f t="shared" si="457"/>
        <v/>
      </c>
      <c r="BD879" s="90">
        <f t="shared" si="458"/>
        <v>6</v>
      </c>
      <c r="BE879" s="1">
        <f t="shared" si="450"/>
        <v>1</v>
      </c>
      <c r="BF879" s="1">
        <f t="shared" si="451"/>
        <v>1</v>
      </c>
    </row>
    <row r="880" spans="1:58" ht="11.25" customHeight="1">
      <c r="A880" s="26" t="s">
        <v>4249</v>
      </c>
      <c r="B880" s="27" t="s">
        <v>4232</v>
      </c>
      <c r="C880" s="28">
        <v>27.99</v>
      </c>
      <c r="D880" s="28">
        <f t="shared" si="437"/>
        <v>13.994999999999999</v>
      </c>
      <c r="E880" s="22" t="s">
        <v>3901</v>
      </c>
      <c r="F880" s="22" t="s">
        <v>4250</v>
      </c>
      <c r="G880" s="22" t="s">
        <v>381</v>
      </c>
      <c r="H880" s="22" t="s">
        <v>4175</v>
      </c>
      <c r="I880" s="23" t="s">
        <v>4068</v>
      </c>
      <c r="J880" s="22" t="s">
        <v>670</v>
      </c>
      <c r="L880" s="23">
        <v>8</v>
      </c>
      <c r="M880" s="23">
        <v>12</v>
      </c>
      <c r="N880" s="3">
        <f t="shared" si="452"/>
        <v>7.6800000000000002E-4</v>
      </c>
      <c r="O880" s="4" t="e">
        <f>(C880-(C880*#REF!))-((C880-(C880*#REF!))*#REF!)</f>
        <v>#REF!</v>
      </c>
      <c r="P880" s="7"/>
      <c r="Q880" s="7"/>
      <c r="R880" s="5">
        <f t="shared" si="453"/>
        <v>0</v>
      </c>
      <c r="S880" s="4">
        <f t="shared" si="454"/>
        <v>0</v>
      </c>
      <c r="T880" s="13">
        <f t="shared" si="438"/>
        <v>19.593</v>
      </c>
      <c r="U880" s="13">
        <f t="shared" si="448"/>
        <v>9.7965</v>
      </c>
      <c r="V880" s="14">
        <f>U880/C880</f>
        <v>0.35000000000000003</v>
      </c>
      <c r="W880" s="14"/>
      <c r="X880" s="19">
        <f t="shared" si="455"/>
        <v>9.7965</v>
      </c>
      <c r="Y880" s="19">
        <f t="shared" si="456"/>
        <v>19.593</v>
      </c>
      <c r="Z880" s="15" t="e">
        <f t="shared" si="449"/>
        <v>#DIV/0!</v>
      </c>
      <c r="AA880" s="22" t="s">
        <v>4235</v>
      </c>
      <c r="AG880" s="94" t="s">
        <v>817</v>
      </c>
      <c r="AH880" s="89" t="str">
        <f>VLOOKUP(AG880,Sheet1!$B$3:$D$36,2,FALSE)</f>
        <v>Kitchen &amp; Dining</v>
      </c>
      <c r="AI880" s="89" t="s">
        <v>2821</v>
      </c>
      <c r="AJ880" s="1" t="str">
        <f t="shared" si="439"/>
        <v>Hena cup crackle</v>
      </c>
      <c r="AK880" s="1" t="str">
        <f t="shared" si="440"/>
        <v>ø8 x h12 - vol. 250 ml</v>
      </c>
      <c r="AL880" s="1" t="str">
        <f t="shared" si="441"/>
        <v>clear crackle glass # 6</v>
      </c>
      <c r="AM880" s="1" t="str">
        <f t="shared" si="442"/>
        <v>clear crackle glass # 6</v>
      </c>
      <c r="AN880" s="1" t="str">
        <f t="shared" si="443"/>
        <v>clear crackle glass # 6</v>
      </c>
      <c r="AQ880" s="1" t="str">
        <f t="shared" si="444"/>
        <v>C</v>
      </c>
      <c r="AR880" s="1" t="str">
        <f>VLOOKUP(TRIM(AI880),Sheet1!$D$3:$E$36,2,FALSE)</f>
        <v>04</v>
      </c>
      <c r="AS880" s="90" t="str">
        <f t="shared" si="445"/>
        <v>07</v>
      </c>
      <c r="AT880" s="1" t="str">
        <f t="shared" si="446"/>
        <v>01</v>
      </c>
      <c r="AU880" s="90" t="s">
        <v>4041</v>
      </c>
      <c r="AV880" s="90"/>
      <c r="AW880" s="90"/>
      <c r="AX880" s="95" t="str">
        <f>AQ880&amp;AR880&amp;AS880&amp;"-"&amp;AT880&amp;AU880&amp;BA880</f>
        <v>C0407-0137</v>
      </c>
      <c r="AY880" s="99" t="str">
        <f>AQ880&amp;AR880&amp;AS880&amp;"-"&amp;AT880&amp;BA880</f>
        <v>C0407-01</v>
      </c>
      <c r="AZ880" s="90"/>
      <c r="BA880" s="1" t="str">
        <f t="shared" si="447"/>
        <v/>
      </c>
      <c r="BC880" s="1" t="str">
        <f t="shared" si="457"/>
        <v/>
      </c>
      <c r="BD880" s="90">
        <f t="shared" si="458"/>
        <v>7</v>
      </c>
      <c r="BE880" s="1">
        <f t="shared" si="450"/>
        <v>1</v>
      </c>
      <c r="BF880" s="1">
        <f t="shared" si="451"/>
        <v>1</v>
      </c>
    </row>
    <row r="881" spans="1:58" ht="11.25" customHeight="1">
      <c r="A881" s="26" t="s">
        <v>4251</v>
      </c>
      <c r="B881" s="27" t="s">
        <v>4232</v>
      </c>
      <c r="C881" s="28">
        <v>32.99</v>
      </c>
      <c r="D881" s="28">
        <f t="shared" si="437"/>
        <v>16.495000000000001</v>
      </c>
      <c r="E881" s="22" t="s">
        <v>3901</v>
      </c>
      <c r="F881" s="22" t="s">
        <v>4252</v>
      </c>
      <c r="G881" s="22" t="s">
        <v>381</v>
      </c>
      <c r="H881" s="22" t="s">
        <v>4178</v>
      </c>
      <c r="I881" s="23" t="s">
        <v>4068</v>
      </c>
      <c r="J881" s="22" t="s">
        <v>670</v>
      </c>
      <c r="L881" s="23">
        <v>7</v>
      </c>
      <c r="M881" s="23">
        <v>13</v>
      </c>
      <c r="N881" s="3">
        <f t="shared" si="452"/>
        <v>6.3699999999999998E-4</v>
      </c>
      <c r="O881" s="4" t="e">
        <f>(C881-(C881*#REF!))-((C881-(C881*#REF!))*#REF!)</f>
        <v>#REF!</v>
      </c>
      <c r="P881" s="7"/>
      <c r="Q881" s="7"/>
      <c r="R881" s="5">
        <f t="shared" si="453"/>
        <v>0</v>
      </c>
      <c r="S881" s="4">
        <f t="shared" si="454"/>
        <v>0</v>
      </c>
      <c r="T881" s="13">
        <f t="shared" si="438"/>
        <v>23.093000000000004</v>
      </c>
      <c r="U881" s="13">
        <f t="shared" si="448"/>
        <v>11.546500000000002</v>
      </c>
      <c r="V881" s="14">
        <f>U881/C881</f>
        <v>0.35000000000000003</v>
      </c>
      <c r="W881" s="14"/>
      <c r="X881" s="19">
        <f t="shared" si="455"/>
        <v>11.546500000000002</v>
      </c>
      <c r="Y881" s="19">
        <f t="shared" si="456"/>
        <v>23.093000000000004</v>
      </c>
      <c r="Z881" s="15" t="e">
        <f t="shared" si="449"/>
        <v>#DIV/0!</v>
      </c>
      <c r="AA881" s="22" t="s">
        <v>4238</v>
      </c>
      <c r="AG881" s="94" t="s">
        <v>817</v>
      </c>
      <c r="AH881" s="89" t="str">
        <f>VLOOKUP(AG881,Sheet1!$B$3:$D$36,2,FALSE)</f>
        <v>Kitchen &amp; Dining</v>
      </c>
      <c r="AI881" s="89" t="s">
        <v>2821</v>
      </c>
      <c r="AJ881" s="1" t="str">
        <f t="shared" si="439"/>
        <v>Hena cup crackle</v>
      </c>
      <c r="AK881" s="1" t="str">
        <f t="shared" si="440"/>
        <v>ø7 x h13 - vol. 400 ml</v>
      </c>
      <c r="AL881" s="1" t="str">
        <f t="shared" si="441"/>
        <v>clear crackle glass # 6</v>
      </c>
      <c r="AM881" s="1" t="str">
        <f t="shared" si="442"/>
        <v>clear crackle glass # 6</v>
      </c>
      <c r="AN881" s="1" t="str">
        <f t="shared" si="443"/>
        <v>clear crackle glass # 6</v>
      </c>
      <c r="AQ881" s="1" t="str">
        <f t="shared" si="444"/>
        <v>C</v>
      </c>
      <c r="AR881" s="1" t="str">
        <f>VLOOKUP(TRIM(AI881),Sheet1!$D$3:$E$36,2,FALSE)</f>
        <v>04</v>
      </c>
      <c r="AS881" s="90" t="str">
        <f t="shared" si="445"/>
        <v>08</v>
      </c>
      <c r="AT881" s="1" t="str">
        <f t="shared" si="446"/>
        <v>01</v>
      </c>
      <c r="AU881" s="90" t="s">
        <v>4041</v>
      </c>
      <c r="AV881" s="90"/>
      <c r="AW881" s="90"/>
      <c r="AX881" s="95" t="str">
        <f>AQ881&amp;AR881&amp;AS881&amp;"-"&amp;AT881&amp;AU881&amp;BA881</f>
        <v>C0408-0137</v>
      </c>
      <c r="AY881" s="99" t="str">
        <f>AQ881&amp;AR881&amp;AS881&amp;"-"&amp;AT881&amp;BA881</f>
        <v>C0408-01</v>
      </c>
      <c r="AZ881" s="90"/>
      <c r="BA881" s="1" t="str">
        <f t="shared" si="447"/>
        <v/>
      </c>
      <c r="BC881" s="1" t="str">
        <f t="shared" si="457"/>
        <v/>
      </c>
      <c r="BD881" s="90">
        <f t="shared" si="458"/>
        <v>8</v>
      </c>
      <c r="BE881" s="1">
        <f t="shared" si="450"/>
        <v>1</v>
      </c>
      <c r="BF881" s="1">
        <f t="shared" si="451"/>
        <v>1</v>
      </c>
    </row>
    <row r="882" spans="1:58" ht="11.25" customHeight="1">
      <c r="A882" s="26" t="s">
        <v>4253</v>
      </c>
      <c r="B882" s="27" t="s">
        <v>4232</v>
      </c>
      <c r="C882" s="28">
        <v>30.99</v>
      </c>
      <c r="D882" s="28">
        <f t="shared" si="437"/>
        <v>15.494999999999999</v>
      </c>
      <c r="E882" s="22" t="s">
        <v>3901</v>
      </c>
      <c r="F882" s="22" t="s">
        <v>4254</v>
      </c>
      <c r="G882" s="22" t="s">
        <v>381</v>
      </c>
      <c r="H882" s="22" t="s">
        <v>4181</v>
      </c>
      <c r="I882" s="23" t="s">
        <v>4068</v>
      </c>
      <c r="J882" s="22" t="s">
        <v>670</v>
      </c>
      <c r="L882" s="23">
        <v>8</v>
      </c>
      <c r="M882" s="23">
        <v>16</v>
      </c>
      <c r="N882" s="3">
        <f t="shared" si="452"/>
        <v>1.024E-3</v>
      </c>
      <c r="O882" s="4" t="e">
        <f>(C882-(C882*#REF!))-((C882-(C882*#REF!))*#REF!)</f>
        <v>#REF!</v>
      </c>
      <c r="P882" s="7"/>
      <c r="Q882" s="7"/>
      <c r="R882" s="5">
        <f t="shared" si="453"/>
        <v>0</v>
      </c>
      <c r="S882" s="4">
        <f t="shared" si="454"/>
        <v>0</v>
      </c>
      <c r="T882" s="13">
        <f t="shared" si="438"/>
        <v>21.692999999999998</v>
      </c>
      <c r="U882" s="13">
        <f t="shared" si="448"/>
        <v>10.846499999999999</v>
      </c>
      <c r="V882" s="14">
        <f>U882/C882</f>
        <v>0.35</v>
      </c>
      <c r="W882" s="14"/>
      <c r="X882" s="19">
        <f t="shared" si="455"/>
        <v>10.846499999999999</v>
      </c>
      <c r="Y882" s="19">
        <f t="shared" si="456"/>
        <v>21.692999999999998</v>
      </c>
      <c r="Z882" s="15" t="e">
        <f t="shared" si="449"/>
        <v>#DIV/0!</v>
      </c>
      <c r="AA882" s="22" t="s">
        <v>4248</v>
      </c>
      <c r="AG882" s="94" t="s">
        <v>817</v>
      </c>
      <c r="AH882" s="89" t="str">
        <f>VLOOKUP(AG882,Sheet1!$B$3:$D$36,2,FALSE)</f>
        <v>Kitchen &amp; Dining</v>
      </c>
      <c r="AI882" s="89" t="s">
        <v>2821</v>
      </c>
      <c r="AJ882" s="1" t="str">
        <f t="shared" si="439"/>
        <v>Hena cup crackle</v>
      </c>
      <c r="AK882" s="1" t="str">
        <f t="shared" si="440"/>
        <v>ø8 x h16 - vol. 370 ml</v>
      </c>
      <c r="AL882" s="1" t="str">
        <f t="shared" si="441"/>
        <v>clear crackle glass # 6</v>
      </c>
      <c r="AM882" s="1" t="str">
        <f t="shared" si="442"/>
        <v>clear crackle glass # 6</v>
      </c>
      <c r="AN882" s="1" t="str">
        <f t="shared" si="443"/>
        <v>clear crackle glass # 6</v>
      </c>
      <c r="AQ882" s="1" t="str">
        <f t="shared" si="444"/>
        <v>C</v>
      </c>
      <c r="AR882" s="1" t="str">
        <f>VLOOKUP(TRIM(AI882),Sheet1!$D$3:$E$36,2,FALSE)</f>
        <v>04</v>
      </c>
      <c r="AS882" s="90" t="str">
        <f t="shared" si="445"/>
        <v>09</v>
      </c>
      <c r="AT882" s="1" t="str">
        <f t="shared" si="446"/>
        <v>01</v>
      </c>
      <c r="AU882" s="90" t="s">
        <v>4041</v>
      </c>
      <c r="AV882" s="90"/>
      <c r="AW882" s="90"/>
      <c r="AX882" s="95" t="str">
        <f>AQ882&amp;AR882&amp;AS882&amp;"-"&amp;AT882&amp;AU882&amp;BA882</f>
        <v>C0409-0137</v>
      </c>
      <c r="AY882" s="99" t="str">
        <f>AQ882&amp;AR882&amp;AS882&amp;"-"&amp;AT882&amp;BA882</f>
        <v>C0409-01</v>
      </c>
      <c r="AZ882" s="90"/>
      <c r="BA882" s="1" t="str">
        <f t="shared" si="447"/>
        <v/>
      </c>
      <c r="BC882" s="1" t="str">
        <f t="shared" si="457"/>
        <v/>
      </c>
      <c r="BD882" s="90">
        <f t="shared" si="458"/>
        <v>9</v>
      </c>
      <c r="BE882" s="1">
        <f t="shared" si="450"/>
        <v>1</v>
      </c>
      <c r="BF882" s="1">
        <f t="shared" si="451"/>
        <v>1</v>
      </c>
    </row>
    <row r="883" spans="1:58" ht="11.25" customHeight="1">
      <c r="A883" s="26" t="s">
        <v>4255</v>
      </c>
      <c r="B883" s="27" t="s">
        <v>4256</v>
      </c>
      <c r="D883" s="28">
        <f t="shared" si="437"/>
        <v>0</v>
      </c>
      <c r="E883" s="22" t="s">
        <v>3901</v>
      </c>
      <c r="F883" s="22" t="s">
        <v>4257</v>
      </c>
      <c r="G883" s="22" t="s">
        <v>385</v>
      </c>
      <c r="H883" s="22" t="s">
        <v>4152</v>
      </c>
      <c r="I883" s="23" t="s">
        <v>4258</v>
      </c>
      <c r="J883" s="22" t="s">
        <v>670</v>
      </c>
      <c r="L883" s="23">
        <v>5</v>
      </c>
      <c r="M883" s="23">
        <v>55</v>
      </c>
      <c r="N883" s="3">
        <f t="shared" si="452"/>
        <v>1.3749999999999999E-3</v>
      </c>
      <c r="O883" s="4" t="e">
        <f>(C883-(C883*#REF!))-((C883-(C883*#REF!))*#REF!)</f>
        <v>#REF!</v>
      </c>
      <c r="P883" s="7"/>
      <c r="Q883" s="7"/>
      <c r="R883" s="5">
        <f t="shared" si="453"/>
        <v>0</v>
      </c>
      <c r="S883" s="4">
        <f t="shared" si="454"/>
        <v>0</v>
      </c>
      <c r="T883" s="13">
        <f t="shared" si="438"/>
        <v>0</v>
      </c>
      <c r="U883" s="13">
        <f t="shared" si="448"/>
        <v>0</v>
      </c>
      <c r="V883" s="14" t="e">
        <f>U883/C883</f>
        <v>#DIV/0!</v>
      </c>
      <c r="W883" s="14"/>
      <c r="X883" s="19">
        <f t="shared" si="455"/>
        <v>0</v>
      </c>
      <c r="Y883" s="19">
        <f t="shared" si="456"/>
        <v>0</v>
      </c>
      <c r="Z883" s="15" t="e">
        <f t="shared" si="449"/>
        <v>#DIV/0!</v>
      </c>
      <c r="AA883" s="22" t="s">
        <v>4259</v>
      </c>
      <c r="AG883" s="94" t="s">
        <v>817</v>
      </c>
      <c r="AH883" s="89" t="str">
        <f>VLOOKUP(AG883,Sheet1!$B$3:$D$36,2,FALSE)</f>
        <v>Kitchen &amp; Dining</v>
      </c>
      <c r="AI883" s="89" t="s">
        <v>2821</v>
      </c>
      <c r="AJ883" s="1" t="str">
        <f t="shared" si="439"/>
        <v>Hena cup grey</v>
      </c>
      <c r="AK883" s="1" t="str">
        <f t="shared" si="440"/>
        <v>semi - ø5 x h55 - vol. 45 ml</v>
      </c>
      <c r="AL883" s="1" t="str">
        <f t="shared" si="441"/>
        <v>grey clear glass
# 6</v>
      </c>
      <c r="AM883" s="1" t="str">
        <f t="shared" si="442"/>
        <v>grey clear glass
# 6</v>
      </c>
      <c r="AN883" s="1" t="str">
        <f t="shared" si="443"/>
        <v>grey clear glass
# 6</v>
      </c>
      <c r="AQ883" s="1" t="str">
        <f t="shared" si="444"/>
        <v>C</v>
      </c>
      <c r="AR883" s="1" t="str">
        <f>VLOOKUP(TRIM(AI883),Sheet1!$D$3:$E$36,2,FALSE)</f>
        <v>04</v>
      </c>
      <c r="AS883" s="90" t="str">
        <f t="shared" si="445"/>
        <v>01</v>
      </c>
      <c r="AT883" s="1" t="str">
        <f t="shared" si="446"/>
        <v>01</v>
      </c>
      <c r="AU883" s="90" t="s">
        <v>2639</v>
      </c>
      <c r="AV883" s="90"/>
      <c r="AW883" s="90"/>
      <c r="AX883" s="95" t="str">
        <f>AQ883&amp;AR883&amp;AS883&amp;"-"&amp;AT883&amp;AU883&amp;BA883</f>
        <v>C0401-0141</v>
      </c>
      <c r="AY883" s="99" t="str">
        <f>AQ883&amp;AR883&amp;AS883&amp;"-"&amp;AT883&amp;BA883</f>
        <v>C0401-01</v>
      </c>
      <c r="AZ883" s="90"/>
      <c r="BA883" s="1" t="str">
        <f t="shared" si="447"/>
        <v/>
      </c>
      <c r="BC883" s="1">
        <f t="shared" si="457"/>
        <v>1</v>
      </c>
      <c r="BD883" s="90">
        <f t="shared" si="458"/>
        <v>1</v>
      </c>
      <c r="BE883" s="1">
        <f t="shared" si="450"/>
        <v>1</v>
      </c>
      <c r="BF883" s="1">
        <f t="shared" si="451"/>
        <v>1</v>
      </c>
    </row>
    <row r="884" spans="1:58" ht="11.25" customHeight="1">
      <c r="A884" s="26" t="s">
        <v>4260</v>
      </c>
      <c r="B884" s="27" t="s">
        <v>4256</v>
      </c>
      <c r="C884" s="28">
        <v>24.99</v>
      </c>
      <c r="D884" s="28">
        <f t="shared" si="437"/>
        <v>12.494999999999999</v>
      </c>
      <c r="E884" s="22" t="s">
        <v>3901</v>
      </c>
      <c r="F884" s="22" t="s">
        <v>4261</v>
      </c>
      <c r="G884" s="22" t="s">
        <v>385</v>
      </c>
      <c r="H884" s="22" t="s">
        <v>4157</v>
      </c>
      <c r="I884" s="23" t="s">
        <v>4262</v>
      </c>
      <c r="J884" s="22" t="s">
        <v>670</v>
      </c>
      <c r="L884" s="23">
        <v>6</v>
      </c>
      <c r="M884" s="23">
        <v>6</v>
      </c>
      <c r="N884" s="3">
        <f t="shared" si="452"/>
        <v>2.1599999999999999E-4</v>
      </c>
      <c r="O884" s="4" t="e">
        <f>(C884-(C884*#REF!))-((C884-(C884*#REF!))*#REF!)</f>
        <v>#REF!</v>
      </c>
      <c r="P884" s="7"/>
      <c r="Q884" s="7"/>
      <c r="R884" s="5">
        <f t="shared" si="453"/>
        <v>0</v>
      </c>
      <c r="S884" s="4">
        <f t="shared" si="454"/>
        <v>0</v>
      </c>
      <c r="T884" s="13">
        <f t="shared" si="438"/>
        <v>17.492999999999999</v>
      </c>
      <c r="U884" s="13">
        <f t="shared" si="448"/>
        <v>8.7464999999999993</v>
      </c>
      <c r="V884" s="14">
        <f>U884/C884</f>
        <v>0.35</v>
      </c>
      <c r="W884" s="14"/>
      <c r="X884" s="19">
        <f t="shared" si="455"/>
        <v>8.7464999999999993</v>
      </c>
      <c r="Y884" s="19">
        <f t="shared" si="456"/>
        <v>17.492999999999999</v>
      </c>
      <c r="Z884" s="15" t="e">
        <f t="shared" si="449"/>
        <v>#DIV/0!</v>
      </c>
      <c r="AA884" s="22" t="s">
        <v>4259</v>
      </c>
      <c r="AG884" s="94" t="s">
        <v>817</v>
      </c>
      <c r="AH884" s="89" t="str">
        <f>VLOOKUP(AG884,Sheet1!$B$3:$D$36,2,FALSE)</f>
        <v>Kitchen &amp; Dining</v>
      </c>
      <c r="AI884" s="89" t="s">
        <v>2821</v>
      </c>
      <c r="AJ884" s="1" t="str">
        <f t="shared" si="439"/>
        <v>Hena cup grey</v>
      </c>
      <c r="AK884" s="1" t="str">
        <f t="shared" si="440"/>
        <v>ø6 x h6 - vol. 50 ml</v>
      </c>
      <c r="AL884" s="1" t="str">
        <f t="shared" si="441"/>
        <v>grey clear glass # 6</v>
      </c>
      <c r="AM884" s="1" t="str">
        <f t="shared" si="442"/>
        <v>grey clear glass # 6</v>
      </c>
      <c r="AN884" s="1" t="str">
        <f t="shared" si="443"/>
        <v>grey clear glass # 6</v>
      </c>
      <c r="AQ884" s="1" t="str">
        <f t="shared" si="444"/>
        <v>C</v>
      </c>
      <c r="AR884" s="1" t="str">
        <f>VLOOKUP(TRIM(AI884),Sheet1!$D$3:$E$36,2,FALSE)</f>
        <v>04</v>
      </c>
      <c r="AS884" s="90" t="str">
        <f t="shared" si="445"/>
        <v>02</v>
      </c>
      <c r="AT884" s="1" t="str">
        <f t="shared" si="446"/>
        <v>01</v>
      </c>
      <c r="AU884" s="90" t="s">
        <v>2639</v>
      </c>
      <c r="AV884" s="90"/>
      <c r="AW884" s="90"/>
      <c r="AX884" s="95" t="str">
        <f>AQ884&amp;AR884&amp;AS884&amp;"-"&amp;AT884&amp;AU884&amp;BA884</f>
        <v>C0402-0141</v>
      </c>
      <c r="AY884" s="99" t="str">
        <f>AQ884&amp;AR884&amp;AS884&amp;"-"&amp;AT884&amp;BA884</f>
        <v>C0402-01</v>
      </c>
      <c r="AZ884" s="90"/>
      <c r="BA884" s="1" t="str">
        <f t="shared" si="447"/>
        <v/>
      </c>
      <c r="BC884" s="1" t="str">
        <f t="shared" si="457"/>
        <v/>
      </c>
      <c r="BD884" s="90">
        <f t="shared" si="458"/>
        <v>2</v>
      </c>
      <c r="BE884" s="1">
        <f t="shared" si="450"/>
        <v>1</v>
      </c>
      <c r="BF884" s="1">
        <f t="shared" si="451"/>
        <v>1</v>
      </c>
    </row>
    <row r="885" spans="1:58" ht="11.25" customHeight="1">
      <c r="A885" s="26" t="s">
        <v>4263</v>
      </c>
      <c r="B885" s="27" t="s">
        <v>4256</v>
      </c>
      <c r="C885" s="28">
        <v>29.99</v>
      </c>
      <c r="D885" s="28">
        <f t="shared" si="437"/>
        <v>14.994999999999999</v>
      </c>
      <c r="E885" s="22" t="s">
        <v>3901</v>
      </c>
      <c r="F885" s="22" t="s">
        <v>4264</v>
      </c>
      <c r="G885" s="22" t="s">
        <v>385</v>
      </c>
      <c r="H885" s="22" t="s">
        <v>4160</v>
      </c>
      <c r="I885" s="23" t="s">
        <v>4262</v>
      </c>
      <c r="J885" s="22" t="s">
        <v>670</v>
      </c>
      <c r="L885" s="23">
        <v>8</v>
      </c>
      <c r="M885" s="23">
        <v>6</v>
      </c>
      <c r="N885" s="3">
        <f t="shared" si="452"/>
        <v>3.8400000000000001E-4</v>
      </c>
      <c r="O885" s="4" t="e">
        <f>(C885-(C885*#REF!))-((C885-(C885*#REF!))*#REF!)</f>
        <v>#REF!</v>
      </c>
      <c r="P885" s="7"/>
      <c r="Q885" s="7"/>
      <c r="R885" s="5">
        <f t="shared" si="453"/>
        <v>0</v>
      </c>
      <c r="S885" s="4">
        <f t="shared" si="454"/>
        <v>0</v>
      </c>
      <c r="T885" s="13">
        <f t="shared" si="438"/>
        <v>20.992999999999999</v>
      </c>
      <c r="U885" s="13">
        <f t="shared" si="448"/>
        <v>10.496499999999999</v>
      </c>
      <c r="V885" s="14">
        <f>U885/C885</f>
        <v>0.35</v>
      </c>
      <c r="W885" s="14"/>
      <c r="X885" s="19">
        <f t="shared" si="455"/>
        <v>10.496499999999999</v>
      </c>
      <c r="Y885" s="19">
        <f t="shared" si="456"/>
        <v>20.992999999999999</v>
      </c>
      <c r="Z885" s="15" t="e">
        <f t="shared" si="449"/>
        <v>#DIV/0!</v>
      </c>
      <c r="AA885" s="22" t="s">
        <v>4265</v>
      </c>
      <c r="AG885" s="94" t="s">
        <v>817</v>
      </c>
      <c r="AH885" s="89" t="str">
        <f>VLOOKUP(AG885,Sheet1!$B$3:$D$36,2,FALSE)</f>
        <v>Kitchen &amp; Dining</v>
      </c>
      <c r="AI885" s="89" t="s">
        <v>2821</v>
      </c>
      <c r="AJ885" s="1" t="str">
        <f t="shared" si="439"/>
        <v>Hena cup grey</v>
      </c>
      <c r="AK885" s="1" t="str">
        <f t="shared" si="440"/>
        <v>ø8 x h6 - vol. 100 ml</v>
      </c>
      <c r="AL885" s="1" t="str">
        <f t="shared" si="441"/>
        <v>grey clear glass # 6</v>
      </c>
      <c r="AM885" s="1" t="str">
        <f t="shared" si="442"/>
        <v>grey clear glass # 6</v>
      </c>
      <c r="AN885" s="1" t="str">
        <f t="shared" si="443"/>
        <v>grey clear glass # 6</v>
      </c>
      <c r="AQ885" s="1" t="str">
        <f t="shared" si="444"/>
        <v>C</v>
      </c>
      <c r="AR885" s="1" t="str">
        <f>VLOOKUP(TRIM(AI885),Sheet1!$D$3:$E$36,2,FALSE)</f>
        <v>04</v>
      </c>
      <c r="AS885" s="90" t="str">
        <f t="shared" si="445"/>
        <v>03</v>
      </c>
      <c r="AT885" s="1" t="str">
        <f t="shared" si="446"/>
        <v>01</v>
      </c>
      <c r="AU885" s="90" t="s">
        <v>2639</v>
      </c>
      <c r="AV885" s="90"/>
      <c r="AW885" s="90"/>
      <c r="AX885" s="95" t="str">
        <f>AQ885&amp;AR885&amp;AS885&amp;"-"&amp;AT885&amp;AU885&amp;BA885</f>
        <v>C0403-0141</v>
      </c>
      <c r="AY885" s="99" t="str">
        <f>AQ885&amp;AR885&amp;AS885&amp;"-"&amp;AT885&amp;BA885</f>
        <v>C0403-01</v>
      </c>
      <c r="AZ885" s="90"/>
      <c r="BA885" s="1" t="str">
        <f t="shared" si="447"/>
        <v/>
      </c>
      <c r="BC885" s="1" t="str">
        <f t="shared" si="457"/>
        <v/>
      </c>
      <c r="BD885" s="90">
        <f t="shared" si="458"/>
        <v>3</v>
      </c>
      <c r="BE885" s="1">
        <f t="shared" si="450"/>
        <v>1</v>
      </c>
      <c r="BF885" s="1">
        <f t="shared" si="451"/>
        <v>1</v>
      </c>
    </row>
    <row r="886" spans="1:58" ht="11.25" customHeight="1">
      <c r="A886" s="26" t="s">
        <v>4266</v>
      </c>
      <c r="B886" s="27" t="s">
        <v>4256</v>
      </c>
      <c r="C886" s="28">
        <v>27.99</v>
      </c>
      <c r="D886" s="28">
        <f t="shared" si="437"/>
        <v>13.994999999999999</v>
      </c>
      <c r="E886" s="22" t="s">
        <v>3901</v>
      </c>
      <c r="F886" s="22" t="s">
        <v>4267</v>
      </c>
      <c r="G886" s="22" t="s">
        <v>385</v>
      </c>
      <c r="H886" s="22" t="s">
        <v>4164</v>
      </c>
      <c r="I886" s="23" t="s">
        <v>4262</v>
      </c>
      <c r="J886" s="22" t="s">
        <v>670</v>
      </c>
      <c r="L886" s="23">
        <v>6.5</v>
      </c>
      <c r="M886" s="23">
        <v>7</v>
      </c>
      <c r="N886" s="3">
        <f t="shared" si="452"/>
        <v>2.9575000000000001E-4</v>
      </c>
      <c r="O886" s="4" t="e">
        <f>(C886-(C886*#REF!))-((C886-(C886*#REF!))*#REF!)</f>
        <v>#REF!</v>
      </c>
      <c r="P886" s="7"/>
      <c r="Q886" s="7"/>
      <c r="R886" s="5">
        <f t="shared" si="453"/>
        <v>0</v>
      </c>
      <c r="S886" s="4">
        <f t="shared" si="454"/>
        <v>0</v>
      </c>
      <c r="T886" s="13">
        <f t="shared" si="438"/>
        <v>19.593</v>
      </c>
      <c r="U886" s="13">
        <f t="shared" si="448"/>
        <v>9.7965</v>
      </c>
      <c r="V886" s="14">
        <f>U886/C886</f>
        <v>0.35000000000000003</v>
      </c>
      <c r="W886" s="14"/>
      <c r="X886" s="19">
        <f t="shared" si="455"/>
        <v>9.7965</v>
      </c>
      <c r="Y886" s="19">
        <f t="shared" si="456"/>
        <v>19.593</v>
      </c>
      <c r="Z886" s="15" t="e">
        <f t="shared" si="449"/>
        <v>#DIV/0!</v>
      </c>
      <c r="AA886" s="22" t="s">
        <v>4268</v>
      </c>
      <c r="AG886" s="94" t="s">
        <v>817</v>
      </c>
      <c r="AH886" s="89" t="str">
        <f>VLOOKUP(AG886,Sheet1!$B$3:$D$36,2,FALSE)</f>
        <v>Kitchen &amp; Dining</v>
      </c>
      <c r="AI886" s="89" t="s">
        <v>2821</v>
      </c>
      <c r="AJ886" s="1" t="str">
        <f t="shared" si="439"/>
        <v>Hena cup grey</v>
      </c>
      <c r="AK886" s="1" t="str">
        <f t="shared" si="440"/>
        <v>ø6,5 x h7 - vol. 120 ml</v>
      </c>
      <c r="AL886" s="1" t="str">
        <f t="shared" si="441"/>
        <v>grey clear glass # 6</v>
      </c>
      <c r="AM886" s="1" t="str">
        <f t="shared" si="442"/>
        <v>grey clear glass # 6</v>
      </c>
      <c r="AN886" s="1" t="str">
        <f t="shared" si="443"/>
        <v>grey clear glass # 6</v>
      </c>
      <c r="AQ886" s="1" t="str">
        <f t="shared" si="444"/>
        <v>C</v>
      </c>
      <c r="AR886" s="1" t="str">
        <f>VLOOKUP(TRIM(AI886),Sheet1!$D$3:$E$36,2,FALSE)</f>
        <v>04</v>
      </c>
      <c r="AS886" s="90" t="str">
        <f t="shared" si="445"/>
        <v>04</v>
      </c>
      <c r="AT886" s="1" t="str">
        <f t="shared" si="446"/>
        <v>01</v>
      </c>
      <c r="AU886" s="90" t="s">
        <v>2639</v>
      </c>
      <c r="AV886" s="90"/>
      <c r="AW886" s="90"/>
      <c r="AX886" s="95" t="str">
        <f>AQ886&amp;AR886&amp;AS886&amp;"-"&amp;AT886&amp;AU886&amp;BA886</f>
        <v>C0404-0141</v>
      </c>
      <c r="AY886" s="99" t="str">
        <f>AQ886&amp;AR886&amp;AS886&amp;"-"&amp;AT886&amp;BA886</f>
        <v>C0404-01</v>
      </c>
      <c r="AZ886" s="90"/>
      <c r="BA886" s="1" t="str">
        <f t="shared" si="447"/>
        <v/>
      </c>
      <c r="BC886" s="1" t="str">
        <f t="shared" si="457"/>
        <v/>
      </c>
      <c r="BD886" s="90">
        <f t="shared" si="458"/>
        <v>4</v>
      </c>
      <c r="BE886" s="1">
        <f t="shared" si="450"/>
        <v>1</v>
      </c>
      <c r="BF886" s="1">
        <f t="shared" si="451"/>
        <v>1</v>
      </c>
    </row>
    <row r="887" spans="1:58" ht="11.25" customHeight="1">
      <c r="A887" s="26" t="s">
        <v>4269</v>
      </c>
      <c r="B887" s="27" t="s">
        <v>4256</v>
      </c>
      <c r="C887" s="28">
        <v>30.99</v>
      </c>
      <c r="D887" s="28">
        <f t="shared" si="437"/>
        <v>15.494999999999999</v>
      </c>
      <c r="E887" s="22" t="s">
        <v>3901</v>
      </c>
      <c r="F887" s="22" t="s">
        <v>4270</v>
      </c>
      <c r="G887" s="22" t="s">
        <v>385</v>
      </c>
      <c r="H887" s="22" t="s">
        <v>4168</v>
      </c>
      <c r="I887" s="23" t="s">
        <v>4262</v>
      </c>
      <c r="J887" s="22" t="s">
        <v>670</v>
      </c>
      <c r="L887" s="23">
        <v>8</v>
      </c>
      <c r="M887" s="23">
        <v>8</v>
      </c>
      <c r="N887" s="3">
        <f t="shared" si="452"/>
        <v>5.1199999999999998E-4</v>
      </c>
      <c r="O887" s="4" t="e">
        <f>(C887-(C887*#REF!))-((C887-(C887*#REF!))*#REF!)</f>
        <v>#REF!</v>
      </c>
      <c r="P887" s="7"/>
      <c r="Q887" s="7"/>
      <c r="R887" s="5">
        <f t="shared" si="453"/>
        <v>0</v>
      </c>
      <c r="S887" s="4">
        <f t="shared" si="454"/>
        <v>0</v>
      </c>
      <c r="T887" s="13">
        <f t="shared" si="438"/>
        <v>21.692999999999998</v>
      </c>
      <c r="U887" s="13">
        <f t="shared" si="448"/>
        <v>10.846499999999999</v>
      </c>
      <c r="V887" s="14">
        <f>U887/C887</f>
        <v>0.35</v>
      </c>
      <c r="W887" s="14"/>
      <c r="X887" s="19">
        <f t="shared" si="455"/>
        <v>10.846499999999999</v>
      </c>
      <c r="Y887" s="19">
        <f t="shared" si="456"/>
        <v>21.692999999999998</v>
      </c>
      <c r="Z887" s="15" t="e">
        <f t="shared" si="449"/>
        <v>#DIV/0!</v>
      </c>
      <c r="AA887" s="22" t="s">
        <v>4259</v>
      </c>
      <c r="AG887" s="94" t="s">
        <v>817</v>
      </c>
      <c r="AH887" s="89" t="str">
        <f>VLOOKUP(AG887,Sheet1!$B$3:$D$36,2,FALSE)</f>
        <v>Kitchen &amp; Dining</v>
      </c>
      <c r="AI887" s="89" t="s">
        <v>2821</v>
      </c>
      <c r="AJ887" s="1" t="str">
        <f t="shared" si="439"/>
        <v>Hena cup grey</v>
      </c>
      <c r="AK887" s="1" t="str">
        <f t="shared" si="440"/>
        <v>ø8 x h8 - vol. 150 ml</v>
      </c>
      <c r="AL887" s="1" t="str">
        <f t="shared" si="441"/>
        <v>grey clear glass # 6</v>
      </c>
      <c r="AM887" s="1" t="str">
        <f t="shared" si="442"/>
        <v>grey clear glass # 6</v>
      </c>
      <c r="AN887" s="1" t="str">
        <f t="shared" si="443"/>
        <v>grey clear glass # 6</v>
      </c>
      <c r="AQ887" s="1" t="str">
        <f t="shared" si="444"/>
        <v>C</v>
      </c>
      <c r="AR887" s="1" t="str">
        <f>VLOOKUP(TRIM(AI887),Sheet1!$D$3:$E$36,2,FALSE)</f>
        <v>04</v>
      </c>
      <c r="AS887" s="90" t="str">
        <f t="shared" si="445"/>
        <v>05</v>
      </c>
      <c r="AT887" s="1" t="str">
        <f t="shared" si="446"/>
        <v>01</v>
      </c>
      <c r="AU887" s="90" t="s">
        <v>2639</v>
      </c>
      <c r="AV887" s="90"/>
      <c r="AW887" s="90"/>
      <c r="AX887" s="95" t="str">
        <f>AQ887&amp;AR887&amp;AS887&amp;"-"&amp;AT887&amp;AU887&amp;BA887</f>
        <v>C0405-0141</v>
      </c>
      <c r="AY887" s="99" t="str">
        <f>AQ887&amp;AR887&amp;AS887&amp;"-"&amp;AT887&amp;BA887</f>
        <v>C0405-01</v>
      </c>
      <c r="AZ887" s="90"/>
      <c r="BA887" s="1" t="str">
        <f t="shared" si="447"/>
        <v/>
      </c>
      <c r="BC887" s="1" t="str">
        <f t="shared" si="457"/>
        <v/>
      </c>
      <c r="BD887" s="90">
        <f t="shared" si="458"/>
        <v>5</v>
      </c>
      <c r="BE887" s="1">
        <f t="shared" si="450"/>
        <v>1</v>
      </c>
      <c r="BF887" s="1">
        <f t="shared" si="451"/>
        <v>1</v>
      </c>
    </row>
    <row r="888" spans="1:58" ht="11.25" customHeight="1">
      <c r="A888" s="26" t="s">
        <v>4271</v>
      </c>
      <c r="B888" s="27" t="s">
        <v>4256</v>
      </c>
      <c r="C888" s="28">
        <v>27.99</v>
      </c>
      <c r="D888" s="28">
        <f t="shared" si="437"/>
        <v>13.994999999999999</v>
      </c>
      <c r="E888" s="22" t="s">
        <v>3901</v>
      </c>
      <c r="F888" s="22" t="s">
        <v>4272</v>
      </c>
      <c r="G888" s="22" t="s">
        <v>385</v>
      </c>
      <c r="H888" s="22" t="s">
        <v>4171</v>
      </c>
      <c r="I888" s="23" t="s">
        <v>4262</v>
      </c>
      <c r="J888" s="22" t="s">
        <v>670</v>
      </c>
      <c r="L888" s="23">
        <v>6.5</v>
      </c>
      <c r="M888" s="23">
        <v>10</v>
      </c>
      <c r="N888" s="3">
        <f t="shared" si="452"/>
        <v>4.2250000000000002E-4</v>
      </c>
      <c r="O888" s="4" t="e">
        <f>(C888-(C888*#REF!))-((C888-(C888*#REF!))*#REF!)</f>
        <v>#REF!</v>
      </c>
      <c r="P888" s="7"/>
      <c r="Q888" s="7"/>
      <c r="R888" s="5">
        <f t="shared" si="453"/>
        <v>0</v>
      </c>
      <c r="S888" s="4">
        <f t="shared" si="454"/>
        <v>0</v>
      </c>
      <c r="T888" s="13">
        <f t="shared" si="438"/>
        <v>19.593</v>
      </c>
      <c r="U888" s="13">
        <f t="shared" si="448"/>
        <v>9.7965</v>
      </c>
      <c r="V888" s="14">
        <f>U888/C888</f>
        <v>0.35000000000000003</v>
      </c>
      <c r="W888" s="14"/>
      <c r="X888" s="19">
        <f t="shared" si="455"/>
        <v>9.7965</v>
      </c>
      <c r="Y888" s="19">
        <f t="shared" si="456"/>
        <v>19.593</v>
      </c>
      <c r="Z888" s="15" t="e">
        <f t="shared" si="449"/>
        <v>#DIV/0!</v>
      </c>
      <c r="AA888" s="22" t="s">
        <v>4265</v>
      </c>
      <c r="AG888" s="94" t="s">
        <v>817</v>
      </c>
      <c r="AH888" s="89" t="str">
        <f>VLOOKUP(AG888,Sheet1!$B$3:$D$36,2,FALSE)</f>
        <v>Kitchen &amp; Dining</v>
      </c>
      <c r="AI888" s="89" t="s">
        <v>2821</v>
      </c>
      <c r="AJ888" s="1" t="str">
        <f t="shared" si="439"/>
        <v>Hena cup grey</v>
      </c>
      <c r="AK888" s="1" t="str">
        <f t="shared" si="440"/>
        <v>ø6,5 x h10 - vol. 100 ml</v>
      </c>
      <c r="AL888" s="1" t="str">
        <f t="shared" si="441"/>
        <v>grey clear glass # 6</v>
      </c>
      <c r="AM888" s="1" t="str">
        <f t="shared" si="442"/>
        <v>grey clear glass # 6</v>
      </c>
      <c r="AN888" s="1" t="str">
        <f t="shared" si="443"/>
        <v>grey clear glass # 6</v>
      </c>
      <c r="AQ888" s="1" t="str">
        <f t="shared" si="444"/>
        <v>C</v>
      </c>
      <c r="AR888" s="1" t="str">
        <f>VLOOKUP(TRIM(AI888),Sheet1!$D$3:$E$36,2,FALSE)</f>
        <v>04</v>
      </c>
      <c r="AS888" s="90" t="str">
        <f t="shared" si="445"/>
        <v>06</v>
      </c>
      <c r="AT888" s="1" t="str">
        <f t="shared" si="446"/>
        <v>01</v>
      </c>
      <c r="AU888" s="90" t="s">
        <v>2639</v>
      </c>
      <c r="AV888" s="90"/>
      <c r="AW888" s="90"/>
      <c r="AX888" s="95" t="str">
        <f>AQ888&amp;AR888&amp;AS888&amp;"-"&amp;AT888&amp;AU888&amp;BA888</f>
        <v>C0406-0141</v>
      </c>
      <c r="AY888" s="99" t="str">
        <f>AQ888&amp;AR888&amp;AS888&amp;"-"&amp;AT888&amp;BA888</f>
        <v>C0406-01</v>
      </c>
      <c r="AZ888" s="90"/>
      <c r="BA888" s="1" t="str">
        <f t="shared" si="447"/>
        <v/>
      </c>
      <c r="BC888" s="1" t="str">
        <f t="shared" si="457"/>
        <v/>
      </c>
      <c r="BD888" s="90">
        <f t="shared" si="458"/>
        <v>6</v>
      </c>
      <c r="BE888" s="1">
        <f t="shared" si="450"/>
        <v>1</v>
      </c>
      <c r="BF888" s="1">
        <f t="shared" si="451"/>
        <v>1</v>
      </c>
    </row>
    <row r="889" spans="1:58" ht="11.25" customHeight="1">
      <c r="A889" s="26" t="s">
        <v>4273</v>
      </c>
      <c r="B889" s="27" t="s">
        <v>4256</v>
      </c>
      <c r="C889" s="28">
        <v>31.99</v>
      </c>
      <c r="D889" s="28">
        <f t="shared" si="437"/>
        <v>15.994999999999999</v>
      </c>
      <c r="E889" s="22" t="s">
        <v>3901</v>
      </c>
      <c r="F889" s="22" t="s">
        <v>4274</v>
      </c>
      <c r="G889" s="22" t="s">
        <v>385</v>
      </c>
      <c r="H889" s="22" t="s">
        <v>4175</v>
      </c>
      <c r="I889" s="23" t="s">
        <v>4262</v>
      </c>
      <c r="J889" s="22" t="s">
        <v>670</v>
      </c>
      <c r="L889" s="23">
        <v>8</v>
      </c>
      <c r="M889" s="23">
        <v>12</v>
      </c>
      <c r="N889" s="3">
        <f t="shared" si="452"/>
        <v>7.6800000000000002E-4</v>
      </c>
      <c r="O889" s="4" t="e">
        <f>(C889-(C889*#REF!))-((C889-(C889*#REF!))*#REF!)</f>
        <v>#REF!</v>
      </c>
      <c r="P889" s="7"/>
      <c r="Q889" s="7"/>
      <c r="R889" s="5">
        <f t="shared" si="453"/>
        <v>0</v>
      </c>
      <c r="S889" s="4">
        <f t="shared" si="454"/>
        <v>0</v>
      </c>
      <c r="T889" s="13">
        <f t="shared" si="438"/>
        <v>22.393000000000001</v>
      </c>
      <c r="U889" s="13">
        <f t="shared" si="448"/>
        <v>11.1965</v>
      </c>
      <c r="V889" s="14">
        <f>U889/C889</f>
        <v>0.35000000000000003</v>
      </c>
      <c r="W889" s="14"/>
      <c r="X889" s="19">
        <f t="shared" si="455"/>
        <v>11.1965</v>
      </c>
      <c r="Y889" s="19">
        <f t="shared" si="456"/>
        <v>22.393000000000001</v>
      </c>
      <c r="Z889" s="15" t="e">
        <f t="shared" si="449"/>
        <v>#DIV/0!</v>
      </c>
      <c r="AA889" s="22" t="s">
        <v>4275</v>
      </c>
      <c r="AG889" s="94" t="s">
        <v>817</v>
      </c>
      <c r="AH889" s="89" t="str">
        <f>VLOOKUP(AG889,Sheet1!$B$3:$D$36,2,FALSE)</f>
        <v>Kitchen &amp; Dining</v>
      </c>
      <c r="AI889" s="89" t="s">
        <v>2821</v>
      </c>
      <c r="AJ889" s="1" t="str">
        <f t="shared" si="439"/>
        <v>Hena cup grey</v>
      </c>
      <c r="AK889" s="1" t="str">
        <f t="shared" si="440"/>
        <v>ø8 x h12 - vol. 250 ml</v>
      </c>
      <c r="AL889" s="1" t="str">
        <f t="shared" si="441"/>
        <v>grey clear glass # 6</v>
      </c>
      <c r="AM889" s="1" t="str">
        <f t="shared" si="442"/>
        <v>grey clear glass # 6</v>
      </c>
      <c r="AN889" s="1" t="str">
        <f t="shared" si="443"/>
        <v>grey clear glass # 6</v>
      </c>
      <c r="AQ889" s="1" t="str">
        <f t="shared" si="444"/>
        <v>C</v>
      </c>
      <c r="AR889" s="1" t="str">
        <f>VLOOKUP(TRIM(AI889),Sheet1!$D$3:$E$36,2,FALSE)</f>
        <v>04</v>
      </c>
      <c r="AS889" s="90" t="str">
        <f t="shared" si="445"/>
        <v>07</v>
      </c>
      <c r="AT889" s="1" t="str">
        <f t="shared" si="446"/>
        <v>01</v>
      </c>
      <c r="AU889" s="90" t="s">
        <v>2639</v>
      </c>
      <c r="AV889" s="90"/>
      <c r="AW889" s="90"/>
      <c r="AX889" s="95" t="str">
        <f>AQ889&amp;AR889&amp;AS889&amp;"-"&amp;AT889&amp;AU889&amp;BA889</f>
        <v>C0407-0141</v>
      </c>
      <c r="AY889" s="99" t="str">
        <f>AQ889&amp;AR889&amp;AS889&amp;"-"&amp;AT889&amp;BA889</f>
        <v>C0407-01</v>
      </c>
      <c r="AZ889" s="90"/>
      <c r="BA889" s="1" t="str">
        <f t="shared" si="447"/>
        <v/>
      </c>
      <c r="BC889" s="1" t="str">
        <f t="shared" si="457"/>
        <v/>
      </c>
      <c r="BD889" s="90">
        <f t="shared" si="458"/>
        <v>7</v>
      </c>
      <c r="BE889" s="1">
        <f t="shared" si="450"/>
        <v>1</v>
      </c>
      <c r="BF889" s="1">
        <f t="shared" si="451"/>
        <v>1</v>
      </c>
    </row>
    <row r="890" spans="1:58" ht="11.25" customHeight="1">
      <c r="A890" s="26" t="s">
        <v>4276</v>
      </c>
      <c r="B890" s="27" t="s">
        <v>4256</v>
      </c>
      <c r="C890" s="28">
        <v>37.99</v>
      </c>
      <c r="D890" s="28">
        <f t="shared" si="437"/>
        <v>18.995000000000001</v>
      </c>
      <c r="E890" s="22" t="s">
        <v>3901</v>
      </c>
      <c r="F890" s="22" t="s">
        <v>4277</v>
      </c>
      <c r="G890" s="22" t="s">
        <v>385</v>
      </c>
      <c r="H890" s="22" t="s">
        <v>4178</v>
      </c>
      <c r="I890" s="23" t="s">
        <v>4262</v>
      </c>
      <c r="J890" s="22" t="s">
        <v>670</v>
      </c>
      <c r="L890" s="23">
        <v>7</v>
      </c>
      <c r="M890" s="23">
        <v>13</v>
      </c>
      <c r="N890" s="3">
        <f t="shared" si="452"/>
        <v>6.3699999999999998E-4</v>
      </c>
      <c r="O890" s="4" t="e">
        <f>(C890-(C890*#REF!))-((C890-(C890*#REF!))*#REF!)</f>
        <v>#REF!</v>
      </c>
      <c r="P890" s="7"/>
      <c r="Q890" s="7"/>
      <c r="R890" s="5">
        <f t="shared" si="453"/>
        <v>0</v>
      </c>
      <c r="S890" s="4">
        <f t="shared" si="454"/>
        <v>0</v>
      </c>
      <c r="T890" s="13">
        <f t="shared" si="438"/>
        <v>26.593000000000004</v>
      </c>
      <c r="U890" s="13">
        <f t="shared" si="448"/>
        <v>13.296500000000002</v>
      </c>
      <c r="V890" s="14">
        <f>U890/C890</f>
        <v>0.35000000000000003</v>
      </c>
      <c r="W890" s="14"/>
      <c r="X890" s="19">
        <f t="shared" si="455"/>
        <v>13.296500000000002</v>
      </c>
      <c r="Y890" s="19">
        <f t="shared" si="456"/>
        <v>26.593000000000004</v>
      </c>
      <c r="Z890" s="15" t="e">
        <f t="shared" si="449"/>
        <v>#DIV/0!</v>
      </c>
      <c r="AA890" s="22" t="s">
        <v>4268</v>
      </c>
      <c r="AG890" s="94" t="s">
        <v>817</v>
      </c>
      <c r="AH890" s="89" t="str">
        <f>VLOOKUP(AG890,Sheet1!$B$3:$D$36,2,FALSE)</f>
        <v>Kitchen &amp; Dining</v>
      </c>
      <c r="AI890" s="89" t="s">
        <v>2821</v>
      </c>
      <c r="AJ890" s="1" t="str">
        <f t="shared" si="439"/>
        <v>Hena cup grey</v>
      </c>
      <c r="AK890" s="1" t="str">
        <f t="shared" si="440"/>
        <v>ø7 x h13 - vol. 400 ml</v>
      </c>
      <c r="AL890" s="1" t="str">
        <f t="shared" si="441"/>
        <v>grey clear glass # 6</v>
      </c>
      <c r="AM890" s="1" t="str">
        <f t="shared" si="442"/>
        <v>grey clear glass # 6</v>
      </c>
      <c r="AN890" s="1" t="str">
        <f t="shared" si="443"/>
        <v>grey clear glass # 6</v>
      </c>
      <c r="AQ890" s="1" t="str">
        <f t="shared" si="444"/>
        <v>C</v>
      </c>
      <c r="AR890" s="1" t="str">
        <f>VLOOKUP(TRIM(AI890),Sheet1!$D$3:$E$36,2,FALSE)</f>
        <v>04</v>
      </c>
      <c r="AS890" s="90" t="str">
        <f t="shared" si="445"/>
        <v>08</v>
      </c>
      <c r="AT890" s="1" t="str">
        <f t="shared" si="446"/>
        <v>01</v>
      </c>
      <c r="AU890" s="90" t="s">
        <v>2639</v>
      </c>
      <c r="AV890" s="90"/>
      <c r="AW890" s="90"/>
      <c r="AX890" s="95" t="str">
        <f>AQ890&amp;AR890&amp;AS890&amp;"-"&amp;AT890&amp;AU890&amp;BA890</f>
        <v>C0408-0141</v>
      </c>
      <c r="AY890" s="99" t="str">
        <f>AQ890&amp;AR890&amp;AS890&amp;"-"&amp;AT890&amp;BA890</f>
        <v>C0408-01</v>
      </c>
      <c r="AZ890" s="90"/>
      <c r="BA890" s="1" t="str">
        <f t="shared" si="447"/>
        <v/>
      </c>
      <c r="BC890" s="1" t="str">
        <f t="shared" si="457"/>
        <v/>
      </c>
      <c r="BD890" s="90">
        <f t="shared" si="458"/>
        <v>8</v>
      </c>
      <c r="BE890" s="1">
        <f t="shared" si="450"/>
        <v>1</v>
      </c>
      <c r="BF890" s="1">
        <f t="shared" si="451"/>
        <v>1</v>
      </c>
    </row>
    <row r="891" spans="1:58" ht="11.25" customHeight="1">
      <c r="A891" s="26" t="s">
        <v>4278</v>
      </c>
      <c r="B891" s="27" t="s">
        <v>4256</v>
      </c>
      <c r="C891" s="28">
        <v>35.99</v>
      </c>
      <c r="D891" s="28">
        <f t="shared" si="437"/>
        <v>17.995000000000001</v>
      </c>
      <c r="E891" s="22" t="s">
        <v>3901</v>
      </c>
      <c r="F891" s="22" t="s">
        <v>4279</v>
      </c>
      <c r="G891" s="22" t="s">
        <v>385</v>
      </c>
      <c r="H891" s="22" t="s">
        <v>4181</v>
      </c>
      <c r="I891" s="23" t="s">
        <v>4262</v>
      </c>
      <c r="J891" s="22" t="s">
        <v>670</v>
      </c>
      <c r="L891" s="23">
        <v>8</v>
      </c>
      <c r="M891" s="23">
        <v>16</v>
      </c>
      <c r="N891" s="3">
        <f t="shared" si="452"/>
        <v>1.024E-3</v>
      </c>
      <c r="O891" s="4" t="e">
        <f>(C891-(C891*#REF!))-((C891-(C891*#REF!))*#REF!)</f>
        <v>#REF!</v>
      </c>
      <c r="P891" s="7"/>
      <c r="Q891" s="7"/>
      <c r="R891" s="5">
        <f t="shared" si="453"/>
        <v>0</v>
      </c>
      <c r="S891" s="4">
        <f t="shared" si="454"/>
        <v>0</v>
      </c>
      <c r="T891" s="13">
        <f t="shared" si="438"/>
        <v>25.193000000000001</v>
      </c>
      <c r="U891" s="13">
        <f t="shared" si="448"/>
        <v>12.596500000000001</v>
      </c>
      <c r="V891" s="14">
        <f>U891/C891</f>
        <v>0.35</v>
      </c>
      <c r="W891" s="14"/>
      <c r="X891" s="19">
        <f t="shared" si="455"/>
        <v>12.596500000000001</v>
      </c>
      <c r="Y891" s="19">
        <f t="shared" si="456"/>
        <v>25.193000000000001</v>
      </c>
      <c r="Z891" s="15" t="e">
        <f t="shared" si="449"/>
        <v>#DIV/0!</v>
      </c>
      <c r="AA891" s="22" t="s">
        <v>4280</v>
      </c>
      <c r="AG891" s="94" t="s">
        <v>817</v>
      </c>
      <c r="AH891" s="89" t="str">
        <f>VLOOKUP(AG891,Sheet1!$B$3:$D$36,2,FALSE)</f>
        <v>Kitchen &amp; Dining</v>
      </c>
      <c r="AI891" s="89" t="s">
        <v>2821</v>
      </c>
      <c r="AJ891" s="1" t="str">
        <f t="shared" si="439"/>
        <v>Hena cup grey</v>
      </c>
      <c r="AK891" s="1" t="str">
        <f t="shared" si="440"/>
        <v>ø8 x h16 - vol. 370 ml</v>
      </c>
      <c r="AL891" s="1" t="str">
        <f t="shared" si="441"/>
        <v>grey clear glass # 6</v>
      </c>
      <c r="AM891" s="1" t="str">
        <f t="shared" si="442"/>
        <v>grey clear glass # 6</v>
      </c>
      <c r="AN891" s="1" t="str">
        <f t="shared" si="443"/>
        <v>grey clear glass # 6</v>
      </c>
      <c r="AQ891" s="1" t="str">
        <f t="shared" si="444"/>
        <v>C</v>
      </c>
      <c r="AR891" s="1" t="str">
        <f>VLOOKUP(TRIM(AI891),Sheet1!$D$3:$E$36,2,FALSE)</f>
        <v>04</v>
      </c>
      <c r="AS891" s="90" t="str">
        <f t="shared" si="445"/>
        <v>09</v>
      </c>
      <c r="AT891" s="1" t="str">
        <f t="shared" si="446"/>
        <v>01</v>
      </c>
      <c r="AU891" s="90" t="s">
        <v>2639</v>
      </c>
      <c r="AV891" s="90"/>
      <c r="AW891" s="90"/>
      <c r="AX891" s="95" t="str">
        <f>AQ891&amp;AR891&amp;AS891&amp;"-"&amp;AT891&amp;AU891&amp;BA891</f>
        <v>C0409-0141</v>
      </c>
      <c r="AY891" s="99" t="str">
        <f>AQ891&amp;AR891&amp;AS891&amp;"-"&amp;AT891&amp;BA891</f>
        <v>C0409-01</v>
      </c>
      <c r="AZ891" s="90"/>
      <c r="BA891" s="1" t="str">
        <f t="shared" si="447"/>
        <v/>
      </c>
      <c r="BC891" s="1" t="str">
        <f t="shared" si="457"/>
        <v/>
      </c>
      <c r="BD891" s="90">
        <f t="shared" si="458"/>
        <v>9</v>
      </c>
      <c r="BE891" s="1">
        <f t="shared" si="450"/>
        <v>1</v>
      </c>
      <c r="BF891" s="1">
        <f t="shared" si="451"/>
        <v>1</v>
      </c>
    </row>
    <row r="892" spans="1:58" ht="11.25" customHeight="1">
      <c r="A892" s="26" t="s">
        <v>4281</v>
      </c>
      <c r="B892" s="27" t="s">
        <v>4282</v>
      </c>
      <c r="D892" s="28">
        <f t="shared" si="437"/>
        <v>0</v>
      </c>
      <c r="E892" s="22" t="s">
        <v>3901</v>
      </c>
      <c r="F892" s="22" t="s">
        <v>4257</v>
      </c>
      <c r="G892" s="22" t="s">
        <v>394</v>
      </c>
      <c r="H892" s="22" t="s">
        <v>4152</v>
      </c>
      <c r="I892" s="23" t="s">
        <v>4283</v>
      </c>
      <c r="J892" s="22" t="s">
        <v>670</v>
      </c>
      <c r="L892" s="23">
        <v>5</v>
      </c>
      <c r="M892" s="23">
        <v>55</v>
      </c>
      <c r="N892" s="3">
        <f t="shared" si="452"/>
        <v>1.3749999999999999E-3</v>
      </c>
      <c r="O892" s="4" t="e">
        <f>(C892-(C892*#REF!))-((C892-(C892*#REF!))*#REF!)</f>
        <v>#REF!</v>
      </c>
      <c r="P892" s="7"/>
      <c r="Q892" s="7"/>
      <c r="R892" s="5">
        <f t="shared" si="453"/>
        <v>0</v>
      </c>
      <c r="S892" s="4">
        <f t="shared" si="454"/>
        <v>0</v>
      </c>
      <c r="T892" s="13">
        <f t="shared" si="438"/>
        <v>0</v>
      </c>
      <c r="U892" s="13">
        <f t="shared" si="448"/>
        <v>0</v>
      </c>
      <c r="V892" s="14" t="e">
        <f>U892/C892</f>
        <v>#DIV/0!</v>
      </c>
      <c r="W892" s="14"/>
      <c r="X892" s="19">
        <f t="shared" si="455"/>
        <v>0</v>
      </c>
      <c r="Y892" s="19">
        <f t="shared" si="456"/>
        <v>0</v>
      </c>
      <c r="Z892" s="15" t="e">
        <f t="shared" si="449"/>
        <v>#DIV/0!</v>
      </c>
      <c r="AA892" s="22" t="s">
        <v>4284</v>
      </c>
      <c r="AG892" s="94" t="s">
        <v>817</v>
      </c>
      <c r="AH892" s="89" t="str">
        <f>VLOOKUP(AG892,Sheet1!$B$3:$D$36,2,FALSE)</f>
        <v>Kitchen &amp; Dining</v>
      </c>
      <c r="AI892" s="89" t="s">
        <v>2821</v>
      </c>
      <c r="AJ892" s="1" t="str">
        <f t="shared" si="439"/>
        <v>Hena cup grey snow</v>
      </c>
      <c r="AK892" s="1" t="str">
        <f t="shared" si="440"/>
        <v>semi - ø5 x h55 - vol. 45 ml</v>
      </c>
      <c r="AL892" s="1" t="str">
        <f t="shared" si="441"/>
        <v>grey snow glass
# 6</v>
      </c>
      <c r="AM892" s="1" t="str">
        <f t="shared" si="442"/>
        <v>grey snow glass
# 6</v>
      </c>
      <c r="AN892" s="1" t="str">
        <f t="shared" si="443"/>
        <v>grey snow glass
# 6</v>
      </c>
      <c r="AQ892" s="1" t="str">
        <f t="shared" si="444"/>
        <v>C</v>
      </c>
      <c r="AR892" s="1" t="str">
        <f>VLOOKUP(TRIM(AI892),Sheet1!$D$3:$E$36,2,FALSE)</f>
        <v>04</v>
      </c>
      <c r="AS892" s="90" t="str">
        <f t="shared" si="445"/>
        <v>01</v>
      </c>
      <c r="AT892" s="1" t="str">
        <f t="shared" si="446"/>
        <v>01</v>
      </c>
      <c r="AU892" s="90" t="s">
        <v>2639</v>
      </c>
      <c r="AV892" s="90"/>
      <c r="AW892" s="90"/>
      <c r="AX892" s="95" t="str">
        <f>AQ892&amp;AR892&amp;AS892&amp;"-"&amp;AT892&amp;AU892&amp;BA892</f>
        <v>C0401-0141</v>
      </c>
      <c r="AY892" s="99" t="str">
        <f>AQ892&amp;AR892&amp;AS892&amp;"-"&amp;AT892&amp;BA892</f>
        <v>C0401-01</v>
      </c>
      <c r="AZ892" s="90"/>
      <c r="BA892" s="1" t="str">
        <f t="shared" si="447"/>
        <v/>
      </c>
      <c r="BC892" s="1">
        <f t="shared" si="457"/>
        <v>1</v>
      </c>
      <c r="BD892" s="90">
        <f t="shared" si="458"/>
        <v>1</v>
      </c>
      <c r="BE892" s="1">
        <f t="shared" si="450"/>
        <v>1</v>
      </c>
      <c r="BF892" s="1">
        <f t="shared" si="451"/>
        <v>1</v>
      </c>
    </row>
    <row r="893" spans="1:58" ht="11.25" customHeight="1">
      <c r="A893" s="26" t="s">
        <v>4285</v>
      </c>
      <c r="B893" s="27" t="s">
        <v>4282</v>
      </c>
      <c r="C893" s="28">
        <v>29.99</v>
      </c>
      <c r="D893" s="28">
        <f t="shared" si="437"/>
        <v>14.994999999999999</v>
      </c>
      <c r="E893" s="22" t="s">
        <v>3901</v>
      </c>
      <c r="F893" s="22" t="s">
        <v>4261</v>
      </c>
      <c r="G893" s="22" t="s">
        <v>394</v>
      </c>
      <c r="H893" s="22" t="s">
        <v>4157</v>
      </c>
      <c r="I893" s="23" t="s">
        <v>4286</v>
      </c>
      <c r="J893" s="22" t="s">
        <v>670</v>
      </c>
      <c r="L893" s="23">
        <v>6</v>
      </c>
      <c r="M893" s="23">
        <v>6</v>
      </c>
      <c r="N893" s="3">
        <f t="shared" si="452"/>
        <v>2.1599999999999999E-4</v>
      </c>
      <c r="O893" s="4" t="e">
        <f>(C893-(C893*#REF!))-((C893-(C893*#REF!))*#REF!)</f>
        <v>#REF!</v>
      </c>
      <c r="P893" s="7"/>
      <c r="Q893" s="7"/>
      <c r="R893" s="5">
        <f t="shared" si="453"/>
        <v>0</v>
      </c>
      <c r="S893" s="4">
        <f t="shared" si="454"/>
        <v>0</v>
      </c>
      <c r="T893" s="13">
        <f t="shared" si="438"/>
        <v>20.992999999999999</v>
      </c>
      <c r="U893" s="13">
        <f t="shared" si="448"/>
        <v>10.496499999999999</v>
      </c>
      <c r="V893" s="14">
        <f>U893/C893</f>
        <v>0.35</v>
      </c>
      <c r="W893" s="14"/>
      <c r="X893" s="19">
        <f t="shared" si="455"/>
        <v>10.496499999999999</v>
      </c>
      <c r="Y893" s="19">
        <f t="shared" si="456"/>
        <v>20.992999999999999</v>
      </c>
      <c r="Z893" s="15" t="e">
        <f t="shared" si="449"/>
        <v>#DIV/0!</v>
      </c>
      <c r="AA893" s="22" t="s">
        <v>4287</v>
      </c>
      <c r="AG893" s="94" t="s">
        <v>817</v>
      </c>
      <c r="AH893" s="89" t="str">
        <f>VLOOKUP(AG893,Sheet1!$B$3:$D$36,2,FALSE)</f>
        <v>Kitchen &amp; Dining</v>
      </c>
      <c r="AI893" s="89" t="s">
        <v>2821</v>
      </c>
      <c r="AJ893" s="1" t="str">
        <f t="shared" si="439"/>
        <v>Hena cup grey snow</v>
      </c>
      <c r="AK893" s="1" t="str">
        <f t="shared" si="440"/>
        <v>ø6 x h6 - vol. 50 ml</v>
      </c>
      <c r="AL893" s="1" t="str">
        <f t="shared" si="441"/>
        <v>grey snow glass # 6</v>
      </c>
      <c r="AM893" s="1" t="str">
        <f t="shared" si="442"/>
        <v>grey snow glass # 6</v>
      </c>
      <c r="AN893" s="1" t="str">
        <f t="shared" si="443"/>
        <v>grey snow glass # 6</v>
      </c>
      <c r="AQ893" s="1" t="str">
        <f t="shared" si="444"/>
        <v>C</v>
      </c>
      <c r="AR893" s="1" t="str">
        <f>VLOOKUP(TRIM(AI893),Sheet1!$D$3:$E$36,2,FALSE)</f>
        <v>04</v>
      </c>
      <c r="AS893" s="90" t="str">
        <f t="shared" si="445"/>
        <v>02</v>
      </c>
      <c r="AT893" s="1" t="str">
        <f t="shared" si="446"/>
        <v>01</v>
      </c>
      <c r="AU893" s="90" t="s">
        <v>2639</v>
      </c>
      <c r="AV893" s="90"/>
      <c r="AW893" s="90"/>
      <c r="AX893" s="95" t="str">
        <f>AQ893&amp;AR893&amp;AS893&amp;"-"&amp;AT893&amp;AU893&amp;BA893</f>
        <v>C0402-0141</v>
      </c>
      <c r="AY893" s="99" t="str">
        <f>AQ893&amp;AR893&amp;AS893&amp;"-"&amp;AT893&amp;BA893</f>
        <v>C0402-01</v>
      </c>
      <c r="AZ893" s="90"/>
      <c r="BA893" s="1" t="str">
        <f t="shared" si="447"/>
        <v/>
      </c>
      <c r="BC893" s="1" t="str">
        <f t="shared" si="457"/>
        <v/>
      </c>
      <c r="BD893" s="90">
        <f t="shared" si="458"/>
        <v>2</v>
      </c>
      <c r="BE893" s="1">
        <f t="shared" si="450"/>
        <v>1</v>
      </c>
      <c r="BF893" s="1">
        <f t="shared" si="451"/>
        <v>1</v>
      </c>
    </row>
    <row r="894" spans="1:58" ht="11.25" customHeight="1">
      <c r="A894" s="26" t="s">
        <v>4288</v>
      </c>
      <c r="B894" s="27" t="s">
        <v>4282</v>
      </c>
      <c r="C894" s="28">
        <v>35.99</v>
      </c>
      <c r="D894" s="28">
        <f t="shared" si="437"/>
        <v>17.995000000000001</v>
      </c>
      <c r="E894" s="22" t="s">
        <v>3901</v>
      </c>
      <c r="F894" s="22" t="s">
        <v>4264</v>
      </c>
      <c r="G894" s="22" t="s">
        <v>394</v>
      </c>
      <c r="H894" s="22" t="s">
        <v>4160</v>
      </c>
      <c r="I894" s="23" t="s">
        <v>4286</v>
      </c>
      <c r="J894" s="22" t="s">
        <v>670</v>
      </c>
      <c r="L894" s="23">
        <v>8</v>
      </c>
      <c r="M894" s="23">
        <v>6</v>
      </c>
      <c r="N894" s="3">
        <f t="shared" si="452"/>
        <v>3.8400000000000001E-4</v>
      </c>
      <c r="O894" s="4" t="e">
        <f>(C894-(C894*#REF!))-((C894-(C894*#REF!))*#REF!)</f>
        <v>#REF!</v>
      </c>
      <c r="P894" s="7"/>
      <c r="Q894" s="7"/>
      <c r="R894" s="5">
        <f t="shared" si="453"/>
        <v>0</v>
      </c>
      <c r="S894" s="4">
        <f t="shared" si="454"/>
        <v>0</v>
      </c>
      <c r="T894" s="13">
        <f t="shared" si="438"/>
        <v>25.193000000000001</v>
      </c>
      <c r="U894" s="13">
        <f t="shared" si="448"/>
        <v>12.596500000000001</v>
      </c>
      <c r="V894" s="14">
        <f>U894/C894</f>
        <v>0.35</v>
      </c>
      <c r="W894" s="14"/>
      <c r="X894" s="19">
        <f t="shared" si="455"/>
        <v>12.596500000000001</v>
      </c>
      <c r="Y894" s="19">
        <f t="shared" si="456"/>
        <v>25.193000000000001</v>
      </c>
      <c r="Z894" s="15" t="e">
        <f t="shared" si="449"/>
        <v>#DIV/0!</v>
      </c>
      <c r="AA894" s="22" t="s">
        <v>4284</v>
      </c>
      <c r="AG894" s="94" t="s">
        <v>817</v>
      </c>
      <c r="AH894" s="89" t="str">
        <f>VLOOKUP(AG894,Sheet1!$B$3:$D$36,2,FALSE)</f>
        <v>Kitchen &amp; Dining</v>
      </c>
      <c r="AI894" s="89" t="s">
        <v>2821</v>
      </c>
      <c r="AJ894" s="1" t="str">
        <f t="shared" si="439"/>
        <v>Hena cup grey snow</v>
      </c>
      <c r="AK894" s="1" t="str">
        <f t="shared" si="440"/>
        <v>ø8 x h6 - vol. 100 ml</v>
      </c>
      <c r="AL894" s="1" t="str">
        <f t="shared" si="441"/>
        <v>grey snow glass # 6</v>
      </c>
      <c r="AM894" s="1" t="str">
        <f t="shared" si="442"/>
        <v>grey snow glass # 6</v>
      </c>
      <c r="AN894" s="1" t="str">
        <f t="shared" si="443"/>
        <v>grey snow glass # 6</v>
      </c>
      <c r="AQ894" s="1" t="str">
        <f t="shared" si="444"/>
        <v>C</v>
      </c>
      <c r="AR894" s="1" t="str">
        <f>VLOOKUP(TRIM(AI894),Sheet1!$D$3:$E$36,2,FALSE)</f>
        <v>04</v>
      </c>
      <c r="AS894" s="90" t="str">
        <f t="shared" si="445"/>
        <v>03</v>
      </c>
      <c r="AT894" s="1" t="str">
        <f t="shared" si="446"/>
        <v>01</v>
      </c>
      <c r="AU894" s="90" t="s">
        <v>2639</v>
      </c>
      <c r="AV894" s="90"/>
      <c r="AW894" s="90"/>
      <c r="AX894" s="95" t="str">
        <f>AQ894&amp;AR894&amp;AS894&amp;"-"&amp;AT894&amp;AU894&amp;BA894</f>
        <v>C0403-0141</v>
      </c>
      <c r="AY894" s="99" t="str">
        <f>AQ894&amp;AR894&amp;AS894&amp;"-"&amp;AT894&amp;BA894</f>
        <v>C0403-01</v>
      </c>
      <c r="AZ894" s="90"/>
      <c r="BA894" s="1" t="str">
        <f t="shared" si="447"/>
        <v/>
      </c>
      <c r="BC894" s="1" t="str">
        <f t="shared" si="457"/>
        <v/>
      </c>
      <c r="BD894" s="90">
        <f t="shared" si="458"/>
        <v>3</v>
      </c>
      <c r="BE894" s="1">
        <f t="shared" si="450"/>
        <v>1</v>
      </c>
      <c r="BF894" s="1">
        <f t="shared" si="451"/>
        <v>1</v>
      </c>
    </row>
    <row r="895" spans="1:58" ht="11.25" customHeight="1">
      <c r="A895" s="26" t="s">
        <v>4289</v>
      </c>
      <c r="B895" s="27" t="s">
        <v>4282</v>
      </c>
      <c r="C895" s="28">
        <v>32.99</v>
      </c>
      <c r="D895" s="28">
        <f t="shared" si="437"/>
        <v>16.495000000000001</v>
      </c>
      <c r="E895" s="22" t="s">
        <v>3901</v>
      </c>
      <c r="F895" s="22" t="s">
        <v>4267</v>
      </c>
      <c r="G895" s="22" t="s">
        <v>394</v>
      </c>
      <c r="H895" s="22" t="s">
        <v>4164</v>
      </c>
      <c r="I895" s="23" t="s">
        <v>4286</v>
      </c>
      <c r="J895" s="22" t="s">
        <v>670</v>
      </c>
      <c r="L895" s="23">
        <v>6.5</v>
      </c>
      <c r="M895" s="23">
        <v>7</v>
      </c>
      <c r="N895" s="3">
        <f t="shared" si="452"/>
        <v>2.9575000000000001E-4</v>
      </c>
      <c r="O895" s="4" t="e">
        <f>(C895-(C895*#REF!))-((C895-(C895*#REF!))*#REF!)</f>
        <v>#REF!</v>
      </c>
      <c r="P895" s="7"/>
      <c r="Q895" s="7"/>
      <c r="R895" s="5">
        <f t="shared" si="453"/>
        <v>0</v>
      </c>
      <c r="S895" s="4">
        <f t="shared" si="454"/>
        <v>0</v>
      </c>
      <c r="T895" s="13">
        <f t="shared" si="438"/>
        <v>23.093000000000004</v>
      </c>
      <c r="U895" s="13">
        <f t="shared" si="448"/>
        <v>11.546500000000002</v>
      </c>
      <c r="V895" s="14">
        <f>U895/C895</f>
        <v>0.35000000000000003</v>
      </c>
      <c r="W895" s="14"/>
      <c r="X895" s="19">
        <f t="shared" si="455"/>
        <v>11.546500000000002</v>
      </c>
      <c r="Y895" s="19">
        <f t="shared" si="456"/>
        <v>23.093000000000004</v>
      </c>
      <c r="Z895" s="15" t="e">
        <f t="shared" si="449"/>
        <v>#DIV/0!</v>
      </c>
      <c r="AA895" s="22" t="s">
        <v>4284</v>
      </c>
      <c r="AG895" s="94" t="s">
        <v>817</v>
      </c>
      <c r="AH895" s="89" t="str">
        <f>VLOOKUP(AG895,Sheet1!$B$3:$D$36,2,FALSE)</f>
        <v>Kitchen &amp; Dining</v>
      </c>
      <c r="AI895" s="89" t="s">
        <v>2821</v>
      </c>
      <c r="AJ895" s="1" t="str">
        <f t="shared" si="439"/>
        <v>Hena cup grey snow</v>
      </c>
      <c r="AK895" s="1" t="str">
        <f t="shared" si="440"/>
        <v>ø6,5 x h7 - vol. 120 ml</v>
      </c>
      <c r="AL895" s="1" t="str">
        <f t="shared" si="441"/>
        <v>grey snow glass # 6</v>
      </c>
      <c r="AM895" s="1" t="str">
        <f t="shared" si="442"/>
        <v>grey snow glass # 6</v>
      </c>
      <c r="AN895" s="1" t="str">
        <f t="shared" si="443"/>
        <v>grey snow glass # 6</v>
      </c>
      <c r="AQ895" s="1" t="str">
        <f t="shared" si="444"/>
        <v>C</v>
      </c>
      <c r="AR895" s="1" t="str">
        <f>VLOOKUP(TRIM(AI895),Sheet1!$D$3:$E$36,2,FALSE)</f>
        <v>04</v>
      </c>
      <c r="AS895" s="90" t="str">
        <f t="shared" si="445"/>
        <v>04</v>
      </c>
      <c r="AT895" s="1" t="str">
        <f t="shared" si="446"/>
        <v>01</v>
      </c>
      <c r="AU895" s="90" t="s">
        <v>2639</v>
      </c>
      <c r="AV895" s="90"/>
      <c r="AW895" s="90"/>
      <c r="AX895" s="95" t="str">
        <f>AQ895&amp;AR895&amp;AS895&amp;"-"&amp;AT895&amp;AU895&amp;BA895</f>
        <v>C0404-0141</v>
      </c>
      <c r="AY895" s="99" t="str">
        <f>AQ895&amp;AR895&amp;AS895&amp;"-"&amp;AT895&amp;BA895</f>
        <v>C0404-01</v>
      </c>
      <c r="AZ895" s="90"/>
      <c r="BA895" s="1" t="str">
        <f t="shared" si="447"/>
        <v/>
      </c>
      <c r="BC895" s="1" t="str">
        <f t="shared" si="457"/>
        <v/>
      </c>
      <c r="BD895" s="90">
        <f t="shared" si="458"/>
        <v>4</v>
      </c>
      <c r="BE895" s="1">
        <f t="shared" si="450"/>
        <v>1</v>
      </c>
      <c r="BF895" s="1">
        <f t="shared" si="451"/>
        <v>1</v>
      </c>
    </row>
    <row r="896" spans="1:58" ht="11.25" customHeight="1">
      <c r="A896" s="26" t="s">
        <v>4290</v>
      </c>
      <c r="B896" s="27" t="s">
        <v>4282</v>
      </c>
      <c r="C896" s="28">
        <v>36.99</v>
      </c>
      <c r="D896" s="28">
        <f t="shared" si="437"/>
        <v>18.495000000000001</v>
      </c>
      <c r="E896" s="22" t="s">
        <v>3901</v>
      </c>
      <c r="F896" s="22" t="s">
        <v>4270</v>
      </c>
      <c r="G896" s="22" t="s">
        <v>394</v>
      </c>
      <c r="H896" s="22" t="s">
        <v>4168</v>
      </c>
      <c r="I896" s="23" t="s">
        <v>4286</v>
      </c>
      <c r="J896" s="22" t="s">
        <v>670</v>
      </c>
      <c r="L896" s="23">
        <v>8</v>
      </c>
      <c r="M896" s="23">
        <v>8</v>
      </c>
      <c r="N896" s="3">
        <f t="shared" si="452"/>
        <v>5.1199999999999998E-4</v>
      </c>
      <c r="O896" s="4" t="e">
        <f>(C896-(C896*#REF!))-((C896-(C896*#REF!))*#REF!)</f>
        <v>#REF!</v>
      </c>
      <c r="P896" s="7"/>
      <c r="Q896" s="7"/>
      <c r="R896" s="5">
        <f t="shared" si="453"/>
        <v>0</v>
      </c>
      <c r="S896" s="4">
        <f t="shared" si="454"/>
        <v>0</v>
      </c>
      <c r="T896" s="13">
        <f t="shared" si="438"/>
        <v>25.893000000000001</v>
      </c>
      <c r="U896" s="13">
        <f t="shared" si="448"/>
        <v>12.9465</v>
      </c>
      <c r="V896" s="14">
        <f>U896/C896</f>
        <v>0.35</v>
      </c>
      <c r="W896" s="14"/>
      <c r="X896" s="19">
        <f t="shared" si="455"/>
        <v>12.9465</v>
      </c>
      <c r="Y896" s="19">
        <f t="shared" si="456"/>
        <v>25.893000000000001</v>
      </c>
      <c r="Z896" s="15" t="e">
        <f t="shared" si="449"/>
        <v>#DIV/0!</v>
      </c>
      <c r="AA896" s="22" t="s">
        <v>4284</v>
      </c>
      <c r="AG896" s="94" t="s">
        <v>817</v>
      </c>
      <c r="AH896" s="89" t="str">
        <f>VLOOKUP(AG896,Sheet1!$B$3:$D$36,2,FALSE)</f>
        <v>Kitchen &amp; Dining</v>
      </c>
      <c r="AI896" s="89" t="s">
        <v>2821</v>
      </c>
      <c r="AJ896" s="1" t="str">
        <f t="shared" si="439"/>
        <v>Hena cup grey snow</v>
      </c>
      <c r="AK896" s="1" t="str">
        <f t="shared" si="440"/>
        <v>ø8 x h8 - vol. 150 ml</v>
      </c>
      <c r="AL896" s="1" t="str">
        <f t="shared" si="441"/>
        <v>grey snow glass # 6</v>
      </c>
      <c r="AM896" s="1" t="str">
        <f t="shared" si="442"/>
        <v>grey snow glass # 6</v>
      </c>
      <c r="AN896" s="1" t="str">
        <f t="shared" si="443"/>
        <v>grey snow glass # 6</v>
      </c>
      <c r="AQ896" s="1" t="str">
        <f t="shared" si="444"/>
        <v>C</v>
      </c>
      <c r="AR896" s="1" t="str">
        <f>VLOOKUP(TRIM(AI896),Sheet1!$D$3:$E$36,2,FALSE)</f>
        <v>04</v>
      </c>
      <c r="AS896" s="90" t="str">
        <f t="shared" si="445"/>
        <v>05</v>
      </c>
      <c r="AT896" s="1" t="str">
        <f t="shared" si="446"/>
        <v>01</v>
      </c>
      <c r="AU896" s="90" t="s">
        <v>2639</v>
      </c>
      <c r="AV896" s="90"/>
      <c r="AW896" s="90"/>
      <c r="AX896" s="95" t="str">
        <f>AQ896&amp;AR896&amp;AS896&amp;"-"&amp;AT896&amp;AU896&amp;BA896</f>
        <v>C0405-0141</v>
      </c>
      <c r="AY896" s="99" t="str">
        <f>AQ896&amp;AR896&amp;AS896&amp;"-"&amp;AT896&amp;BA896</f>
        <v>C0405-01</v>
      </c>
      <c r="AZ896" s="90"/>
      <c r="BA896" s="1" t="str">
        <f t="shared" si="447"/>
        <v/>
      </c>
      <c r="BC896" s="1" t="str">
        <f t="shared" si="457"/>
        <v/>
      </c>
      <c r="BD896" s="90">
        <f t="shared" si="458"/>
        <v>5</v>
      </c>
      <c r="BE896" s="1">
        <f t="shared" si="450"/>
        <v>1</v>
      </c>
      <c r="BF896" s="1">
        <f t="shared" si="451"/>
        <v>1</v>
      </c>
    </row>
    <row r="897" spans="1:58" ht="11.25" customHeight="1">
      <c r="A897" s="26" t="s">
        <v>4291</v>
      </c>
      <c r="B897" s="27" t="s">
        <v>4282</v>
      </c>
      <c r="C897" s="28">
        <v>31.99</v>
      </c>
      <c r="D897" s="28">
        <f t="shared" si="437"/>
        <v>15.994999999999999</v>
      </c>
      <c r="E897" s="22" t="s">
        <v>3901</v>
      </c>
      <c r="F897" s="22" t="s">
        <v>4272</v>
      </c>
      <c r="G897" s="22" t="s">
        <v>394</v>
      </c>
      <c r="H897" s="22" t="s">
        <v>4171</v>
      </c>
      <c r="I897" s="23" t="s">
        <v>4286</v>
      </c>
      <c r="J897" s="22" t="s">
        <v>670</v>
      </c>
      <c r="L897" s="23">
        <v>6.5</v>
      </c>
      <c r="M897" s="23">
        <v>10</v>
      </c>
      <c r="N897" s="3">
        <f t="shared" si="452"/>
        <v>4.2250000000000002E-4</v>
      </c>
      <c r="O897" s="4" t="e">
        <f>(C897-(C897*#REF!))-((C897-(C897*#REF!))*#REF!)</f>
        <v>#REF!</v>
      </c>
      <c r="P897" s="7"/>
      <c r="Q897" s="7"/>
      <c r="R897" s="5">
        <f t="shared" si="453"/>
        <v>0</v>
      </c>
      <c r="S897" s="4">
        <f t="shared" si="454"/>
        <v>0</v>
      </c>
      <c r="T897" s="13">
        <f t="shared" si="438"/>
        <v>22.393000000000001</v>
      </c>
      <c r="U897" s="13">
        <f t="shared" si="448"/>
        <v>11.1965</v>
      </c>
      <c r="V897" s="14">
        <f>U897/C897</f>
        <v>0.35000000000000003</v>
      </c>
      <c r="W897" s="14"/>
      <c r="X897" s="19">
        <f t="shared" si="455"/>
        <v>11.1965</v>
      </c>
      <c r="Y897" s="19">
        <f t="shared" si="456"/>
        <v>22.393000000000001</v>
      </c>
      <c r="Z897" s="15" t="e">
        <f t="shared" si="449"/>
        <v>#DIV/0!</v>
      </c>
      <c r="AA897" s="22" t="s">
        <v>4292</v>
      </c>
      <c r="AG897" s="94" t="s">
        <v>817</v>
      </c>
      <c r="AH897" s="89" t="str">
        <f>VLOOKUP(AG897,Sheet1!$B$3:$D$36,2,FALSE)</f>
        <v>Kitchen &amp; Dining</v>
      </c>
      <c r="AI897" s="89" t="s">
        <v>2821</v>
      </c>
      <c r="AJ897" s="1" t="str">
        <f t="shared" si="439"/>
        <v>Hena cup grey snow</v>
      </c>
      <c r="AK897" s="1" t="str">
        <f t="shared" si="440"/>
        <v>ø6,5 x h10 - vol. 100 ml</v>
      </c>
      <c r="AL897" s="1" t="str">
        <f t="shared" si="441"/>
        <v>grey snow glass # 6</v>
      </c>
      <c r="AM897" s="1" t="str">
        <f t="shared" si="442"/>
        <v>grey snow glass # 6</v>
      </c>
      <c r="AN897" s="1" t="str">
        <f t="shared" si="443"/>
        <v>grey snow glass # 6</v>
      </c>
      <c r="AQ897" s="1" t="str">
        <f t="shared" si="444"/>
        <v>C</v>
      </c>
      <c r="AR897" s="1" t="str">
        <f>VLOOKUP(TRIM(AI897),Sheet1!$D$3:$E$36,2,FALSE)</f>
        <v>04</v>
      </c>
      <c r="AS897" s="90" t="str">
        <f t="shared" si="445"/>
        <v>06</v>
      </c>
      <c r="AT897" s="1" t="str">
        <f t="shared" si="446"/>
        <v>01</v>
      </c>
      <c r="AU897" s="90" t="s">
        <v>2639</v>
      </c>
      <c r="AV897" s="90"/>
      <c r="AW897" s="90"/>
      <c r="AX897" s="95" t="str">
        <f>AQ897&amp;AR897&amp;AS897&amp;"-"&amp;AT897&amp;AU897&amp;BA897</f>
        <v>C0406-0141</v>
      </c>
      <c r="AY897" s="99" t="str">
        <f>AQ897&amp;AR897&amp;AS897&amp;"-"&amp;AT897&amp;BA897</f>
        <v>C0406-01</v>
      </c>
      <c r="AZ897" s="90"/>
      <c r="BA897" s="1" t="str">
        <f t="shared" si="447"/>
        <v/>
      </c>
      <c r="BC897" s="1" t="str">
        <f t="shared" si="457"/>
        <v/>
      </c>
      <c r="BD897" s="90">
        <f t="shared" si="458"/>
        <v>6</v>
      </c>
      <c r="BE897" s="1">
        <f t="shared" si="450"/>
        <v>1</v>
      </c>
      <c r="BF897" s="1">
        <f t="shared" si="451"/>
        <v>1</v>
      </c>
    </row>
    <row r="898" spans="1:58" ht="11.25" customHeight="1">
      <c r="A898" s="26" t="s">
        <v>4293</v>
      </c>
      <c r="B898" s="27" t="s">
        <v>4282</v>
      </c>
      <c r="C898" s="28">
        <v>38.99</v>
      </c>
      <c r="D898" s="28">
        <f t="shared" si="437"/>
        <v>19.495000000000001</v>
      </c>
      <c r="E898" s="22" t="s">
        <v>3901</v>
      </c>
      <c r="F898" s="22" t="s">
        <v>4274</v>
      </c>
      <c r="G898" s="22" t="s">
        <v>394</v>
      </c>
      <c r="H898" s="22" t="s">
        <v>4175</v>
      </c>
      <c r="I898" s="23" t="s">
        <v>4286</v>
      </c>
      <c r="J898" s="22" t="s">
        <v>670</v>
      </c>
      <c r="L898" s="23">
        <v>8</v>
      </c>
      <c r="M898" s="23">
        <v>12</v>
      </c>
      <c r="N898" s="3">
        <f t="shared" si="452"/>
        <v>7.6800000000000002E-4</v>
      </c>
      <c r="O898" s="4" t="e">
        <f>(C898-(C898*#REF!))-((C898-(C898*#REF!))*#REF!)</f>
        <v>#REF!</v>
      </c>
      <c r="P898" s="7"/>
      <c r="Q898" s="7"/>
      <c r="R898" s="5">
        <f t="shared" si="453"/>
        <v>0</v>
      </c>
      <c r="S898" s="4">
        <f t="shared" si="454"/>
        <v>0</v>
      </c>
      <c r="T898" s="13">
        <f t="shared" si="438"/>
        <v>27.292999999999999</v>
      </c>
      <c r="U898" s="13">
        <f t="shared" si="448"/>
        <v>13.6465</v>
      </c>
      <c r="V898" s="14">
        <f>U898/C898</f>
        <v>0.35</v>
      </c>
      <c r="W898" s="14"/>
      <c r="X898" s="19">
        <f t="shared" si="455"/>
        <v>13.6465</v>
      </c>
      <c r="Y898" s="19">
        <f t="shared" si="456"/>
        <v>27.292999999999999</v>
      </c>
      <c r="Z898" s="15" t="e">
        <f t="shared" si="449"/>
        <v>#DIV/0!</v>
      </c>
      <c r="AA898" s="22" t="s">
        <v>4294</v>
      </c>
      <c r="AG898" s="94" t="s">
        <v>817</v>
      </c>
      <c r="AH898" s="89" t="str">
        <f>VLOOKUP(AG898,Sheet1!$B$3:$D$36,2,FALSE)</f>
        <v>Kitchen &amp; Dining</v>
      </c>
      <c r="AI898" s="89" t="s">
        <v>2821</v>
      </c>
      <c r="AJ898" s="1" t="str">
        <f t="shared" si="439"/>
        <v>Hena cup grey snow</v>
      </c>
      <c r="AK898" s="1" t="str">
        <f t="shared" si="440"/>
        <v>ø8 x h12 - vol. 250 ml</v>
      </c>
      <c r="AL898" s="1" t="str">
        <f t="shared" si="441"/>
        <v>grey snow glass # 6</v>
      </c>
      <c r="AM898" s="1" t="str">
        <f t="shared" si="442"/>
        <v>grey snow glass # 6</v>
      </c>
      <c r="AN898" s="1" t="str">
        <f t="shared" si="443"/>
        <v>grey snow glass # 6</v>
      </c>
      <c r="AQ898" s="1" t="str">
        <f t="shared" si="444"/>
        <v>C</v>
      </c>
      <c r="AR898" s="1" t="str">
        <f>VLOOKUP(TRIM(AI898),Sheet1!$D$3:$E$36,2,FALSE)</f>
        <v>04</v>
      </c>
      <c r="AS898" s="90" t="str">
        <f t="shared" si="445"/>
        <v>07</v>
      </c>
      <c r="AT898" s="1" t="str">
        <f t="shared" si="446"/>
        <v>01</v>
      </c>
      <c r="AU898" s="90" t="s">
        <v>2639</v>
      </c>
      <c r="AV898" s="90"/>
      <c r="AW898" s="90"/>
      <c r="AX898" s="95" t="str">
        <f>AQ898&amp;AR898&amp;AS898&amp;"-"&amp;AT898&amp;AU898&amp;BA898</f>
        <v>C0407-0141</v>
      </c>
      <c r="AY898" s="99" t="str">
        <f>AQ898&amp;AR898&amp;AS898&amp;"-"&amp;AT898&amp;BA898</f>
        <v>C0407-01</v>
      </c>
      <c r="AZ898" s="90"/>
      <c r="BA898" s="1" t="str">
        <f t="shared" si="447"/>
        <v/>
      </c>
      <c r="BC898" s="1" t="str">
        <f t="shared" si="457"/>
        <v/>
      </c>
      <c r="BD898" s="90">
        <f t="shared" si="458"/>
        <v>7</v>
      </c>
      <c r="BE898" s="1">
        <f t="shared" si="450"/>
        <v>1</v>
      </c>
      <c r="BF898" s="1">
        <f t="shared" si="451"/>
        <v>1</v>
      </c>
    </row>
    <row r="899" spans="1:58" ht="11.25" customHeight="1">
      <c r="A899" s="26" t="s">
        <v>4295</v>
      </c>
      <c r="B899" s="27" t="s">
        <v>4282</v>
      </c>
      <c r="C899" s="28">
        <v>46.99</v>
      </c>
      <c r="D899" s="28">
        <f t="shared" si="437"/>
        <v>23.495000000000001</v>
      </c>
      <c r="E899" s="22" t="s">
        <v>3901</v>
      </c>
      <c r="F899" s="22" t="s">
        <v>4277</v>
      </c>
      <c r="G899" s="22" t="s">
        <v>394</v>
      </c>
      <c r="H899" s="22" t="s">
        <v>4178</v>
      </c>
      <c r="I899" s="23" t="s">
        <v>4286</v>
      </c>
      <c r="J899" s="22" t="s">
        <v>670</v>
      </c>
      <c r="L899" s="23">
        <v>7</v>
      </c>
      <c r="M899" s="23">
        <v>13</v>
      </c>
      <c r="N899" s="3">
        <f t="shared" si="452"/>
        <v>6.3699999999999998E-4</v>
      </c>
      <c r="O899" s="4" t="e">
        <f>(C899-(C899*#REF!))-((C899-(C899*#REF!))*#REF!)</f>
        <v>#REF!</v>
      </c>
      <c r="P899" s="7"/>
      <c r="Q899" s="7"/>
      <c r="R899" s="5">
        <f t="shared" si="453"/>
        <v>0</v>
      </c>
      <c r="S899" s="4">
        <f t="shared" si="454"/>
        <v>0</v>
      </c>
      <c r="T899" s="13">
        <f t="shared" si="438"/>
        <v>32.893000000000001</v>
      </c>
      <c r="U899" s="13">
        <f t="shared" si="448"/>
        <v>16.4465</v>
      </c>
      <c r="V899" s="14">
        <f>U899/C899</f>
        <v>0.35</v>
      </c>
      <c r="W899" s="14"/>
      <c r="X899" s="19">
        <f t="shared" si="455"/>
        <v>16.4465</v>
      </c>
      <c r="Y899" s="19">
        <f t="shared" si="456"/>
        <v>32.893000000000001</v>
      </c>
      <c r="Z899" s="15" t="e">
        <f t="shared" si="449"/>
        <v>#DIV/0!</v>
      </c>
      <c r="AA899" s="22" t="s">
        <v>4292</v>
      </c>
      <c r="AG899" s="94" t="s">
        <v>817</v>
      </c>
      <c r="AH899" s="89" t="str">
        <f>VLOOKUP(AG899,Sheet1!$B$3:$D$36,2,FALSE)</f>
        <v>Kitchen &amp; Dining</v>
      </c>
      <c r="AI899" s="89" t="s">
        <v>2821</v>
      </c>
      <c r="AJ899" s="1" t="str">
        <f t="shared" si="439"/>
        <v>Hena cup grey snow</v>
      </c>
      <c r="AK899" s="1" t="str">
        <f t="shared" si="440"/>
        <v>ø7 x h13 - vol. 400 ml</v>
      </c>
      <c r="AL899" s="1" t="str">
        <f t="shared" si="441"/>
        <v>grey snow glass # 6</v>
      </c>
      <c r="AM899" s="1" t="str">
        <f t="shared" si="442"/>
        <v>grey snow glass # 6</v>
      </c>
      <c r="AN899" s="1" t="str">
        <f t="shared" si="443"/>
        <v>grey snow glass # 6</v>
      </c>
      <c r="AQ899" s="1" t="str">
        <f t="shared" si="444"/>
        <v>C</v>
      </c>
      <c r="AR899" s="1" t="str">
        <f>VLOOKUP(TRIM(AI899),Sheet1!$D$3:$E$36,2,FALSE)</f>
        <v>04</v>
      </c>
      <c r="AS899" s="90" t="str">
        <f t="shared" si="445"/>
        <v>08</v>
      </c>
      <c r="AT899" s="1" t="str">
        <f t="shared" si="446"/>
        <v>01</v>
      </c>
      <c r="AU899" s="90" t="s">
        <v>2639</v>
      </c>
      <c r="AV899" s="90"/>
      <c r="AW899" s="90"/>
      <c r="AX899" s="95" t="str">
        <f>AQ899&amp;AR899&amp;AS899&amp;"-"&amp;AT899&amp;AU899&amp;BA899</f>
        <v>C0408-0141</v>
      </c>
      <c r="AY899" s="99" t="str">
        <f>AQ899&amp;AR899&amp;AS899&amp;"-"&amp;AT899&amp;BA899</f>
        <v>C0408-01</v>
      </c>
      <c r="AZ899" s="90"/>
      <c r="BA899" s="1" t="str">
        <f t="shared" si="447"/>
        <v/>
      </c>
      <c r="BC899" s="1" t="str">
        <f t="shared" si="457"/>
        <v/>
      </c>
      <c r="BD899" s="90">
        <f t="shared" si="458"/>
        <v>8</v>
      </c>
      <c r="BE899" s="1">
        <f t="shared" si="450"/>
        <v>1</v>
      </c>
      <c r="BF899" s="1">
        <f t="shared" si="451"/>
        <v>1</v>
      </c>
    </row>
    <row r="900" spans="1:58" ht="11.25" customHeight="1">
      <c r="A900" s="26" t="s">
        <v>4296</v>
      </c>
      <c r="B900" s="27" t="s">
        <v>4282</v>
      </c>
      <c r="C900" s="28">
        <v>42.99</v>
      </c>
      <c r="D900" s="28">
        <f t="shared" si="437"/>
        <v>21.495000000000001</v>
      </c>
      <c r="E900" s="22" t="s">
        <v>3901</v>
      </c>
      <c r="F900" s="22" t="s">
        <v>4279</v>
      </c>
      <c r="G900" s="22" t="s">
        <v>394</v>
      </c>
      <c r="H900" s="22" t="s">
        <v>4181</v>
      </c>
      <c r="I900" s="23" t="s">
        <v>4286</v>
      </c>
      <c r="J900" s="22" t="s">
        <v>670</v>
      </c>
      <c r="L900" s="23">
        <v>8</v>
      </c>
      <c r="M900" s="23">
        <v>16</v>
      </c>
      <c r="N900" s="3">
        <f t="shared" si="452"/>
        <v>1.024E-3</v>
      </c>
      <c r="O900" s="4" t="e">
        <f>(C900-(C900*#REF!))-((C900-(C900*#REF!))*#REF!)</f>
        <v>#REF!</v>
      </c>
      <c r="P900" s="7"/>
      <c r="Q900" s="7"/>
      <c r="R900" s="5">
        <f t="shared" si="453"/>
        <v>0</v>
      </c>
      <c r="S900" s="4">
        <f t="shared" si="454"/>
        <v>0</v>
      </c>
      <c r="T900" s="13">
        <f t="shared" si="438"/>
        <v>30.093000000000004</v>
      </c>
      <c r="U900" s="13">
        <f t="shared" si="448"/>
        <v>15.046500000000002</v>
      </c>
      <c r="V900" s="14">
        <f>U900/C900</f>
        <v>0.35000000000000003</v>
      </c>
      <c r="W900" s="14"/>
      <c r="X900" s="19">
        <f t="shared" si="455"/>
        <v>15.046500000000002</v>
      </c>
      <c r="Y900" s="19">
        <f t="shared" si="456"/>
        <v>30.093000000000004</v>
      </c>
      <c r="Z900" s="15" t="e">
        <f t="shared" si="449"/>
        <v>#DIV/0!</v>
      </c>
      <c r="AA900" s="22" t="s">
        <v>4284</v>
      </c>
      <c r="AG900" s="94" t="s">
        <v>817</v>
      </c>
      <c r="AH900" s="89" t="str">
        <f>VLOOKUP(AG900,Sheet1!$B$3:$D$36,2,FALSE)</f>
        <v>Kitchen &amp; Dining</v>
      </c>
      <c r="AI900" s="89" t="s">
        <v>2821</v>
      </c>
      <c r="AJ900" s="1" t="str">
        <f t="shared" si="439"/>
        <v>Hena cup grey snow</v>
      </c>
      <c r="AK900" s="1" t="str">
        <f t="shared" si="440"/>
        <v>ø8 x h16 - vol. 370 ml</v>
      </c>
      <c r="AL900" s="1" t="str">
        <f t="shared" si="441"/>
        <v>grey snow glass # 6</v>
      </c>
      <c r="AM900" s="1" t="str">
        <f t="shared" si="442"/>
        <v>grey snow glass # 6</v>
      </c>
      <c r="AN900" s="1" t="str">
        <f t="shared" si="443"/>
        <v>grey snow glass # 6</v>
      </c>
      <c r="AQ900" s="1" t="str">
        <f t="shared" si="444"/>
        <v>C</v>
      </c>
      <c r="AR900" s="1" t="str">
        <f>VLOOKUP(TRIM(AI900),Sheet1!$D$3:$E$36,2,FALSE)</f>
        <v>04</v>
      </c>
      <c r="AS900" s="90" t="str">
        <f t="shared" si="445"/>
        <v>09</v>
      </c>
      <c r="AT900" s="1" t="str">
        <f t="shared" si="446"/>
        <v>01</v>
      </c>
      <c r="AU900" s="90" t="s">
        <v>2639</v>
      </c>
      <c r="AV900" s="90"/>
      <c r="AW900" s="90"/>
      <c r="AX900" s="95" t="str">
        <f>AQ900&amp;AR900&amp;AS900&amp;"-"&amp;AT900&amp;AU900&amp;BA900</f>
        <v>C0409-0141</v>
      </c>
      <c r="AY900" s="99" t="str">
        <f>AQ900&amp;AR900&amp;AS900&amp;"-"&amp;AT900&amp;BA900</f>
        <v>C0409-01</v>
      </c>
      <c r="AZ900" s="90"/>
      <c r="BA900" s="1" t="str">
        <f t="shared" si="447"/>
        <v/>
      </c>
      <c r="BC900" s="1" t="str">
        <f t="shared" si="457"/>
        <v/>
      </c>
      <c r="BD900" s="90">
        <f t="shared" si="458"/>
        <v>9</v>
      </c>
      <c r="BE900" s="1">
        <f t="shared" si="450"/>
        <v>1</v>
      </c>
      <c r="BF900" s="1">
        <f t="shared" si="451"/>
        <v>1</v>
      </c>
    </row>
    <row r="901" spans="1:58" ht="11.25" customHeight="1">
      <c r="A901" s="26" t="s">
        <v>4297</v>
      </c>
      <c r="B901" s="27" t="s">
        <v>4298</v>
      </c>
      <c r="D901" s="28">
        <f t="shared" ref="D901:D964" si="459">C901*$D$1</f>
        <v>0</v>
      </c>
      <c r="E901" s="22" t="s">
        <v>3901</v>
      </c>
      <c r="F901" s="22" t="s">
        <v>4257</v>
      </c>
      <c r="G901" s="22" t="s">
        <v>391</v>
      </c>
      <c r="H901" s="22" t="s">
        <v>4152</v>
      </c>
      <c r="I901" s="23" t="s">
        <v>4299</v>
      </c>
      <c r="J901" s="22" t="s">
        <v>670</v>
      </c>
      <c r="L901" s="23">
        <v>5</v>
      </c>
      <c r="M901" s="23">
        <v>55</v>
      </c>
      <c r="N901" s="3">
        <f t="shared" si="452"/>
        <v>1.3749999999999999E-3</v>
      </c>
      <c r="O901" s="4" t="e">
        <f>(C901-(C901*#REF!))-((C901-(C901*#REF!))*#REF!)</f>
        <v>#REF!</v>
      </c>
      <c r="P901" s="7"/>
      <c r="Q901" s="7"/>
      <c r="R901" s="5">
        <f t="shared" si="453"/>
        <v>0</v>
      </c>
      <c r="S901" s="4">
        <f t="shared" si="454"/>
        <v>0</v>
      </c>
      <c r="T901" s="13">
        <f t="shared" ref="T901:T964" si="460">C901-(C901*$T$1)</f>
        <v>0</v>
      </c>
      <c r="U901" s="13">
        <f t="shared" si="448"/>
        <v>0</v>
      </c>
      <c r="V901" s="14" t="e">
        <f>U901/C901</f>
        <v>#DIV/0!</v>
      </c>
      <c r="W901" s="14"/>
      <c r="X901" s="19">
        <f t="shared" si="455"/>
        <v>0</v>
      </c>
      <c r="Y901" s="19">
        <f t="shared" si="456"/>
        <v>0</v>
      </c>
      <c r="Z901" s="15" t="e">
        <f t="shared" si="449"/>
        <v>#DIV/0!</v>
      </c>
      <c r="AA901" s="22" t="s">
        <v>4300</v>
      </c>
      <c r="AG901" s="94" t="s">
        <v>817</v>
      </c>
      <c r="AH901" s="89" t="str">
        <f>VLOOKUP(AG901,Sheet1!$B$3:$D$36,2,FALSE)</f>
        <v>Kitchen &amp; Dining</v>
      </c>
      <c r="AI901" s="89" t="s">
        <v>2821</v>
      </c>
      <c r="AJ901" s="1" t="str">
        <f t="shared" ref="AJ901:AJ964" si="461">G901</f>
        <v>Hena cup grey matte</v>
      </c>
      <c r="AK901" s="1" t="str">
        <f t="shared" ref="AK901:AK964" si="462">TRIM(H901)</f>
        <v>semi - ø5 x h55 - vol. 45 ml</v>
      </c>
      <c r="AL901" s="1" t="str">
        <f t="shared" ref="AL901:AL964" si="463">I901</f>
        <v>grey matte glass
# 6</v>
      </c>
      <c r="AM901" s="1" t="str">
        <f t="shared" ref="AM901:AM964" si="464">I901</f>
        <v>grey matte glass
# 6</v>
      </c>
      <c r="AN901" s="1" t="str">
        <f t="shared" ref="AN901:AN954" si="465">SUBSTITUTE(AL901,"indoor","")</f>
        <v>grey matte glass
# 6</v>
      </c>
      <c r="AQ901" s="1" t="str">
        <f t="shared" ref="AQ901:AQ964" si="466">IF(TRIM(AG901)="01","A",IF(TRIM(AG901)="02","B",IF(TRIM(AG901)="03","C",IF(TRIM(AG901)="04","D",IF(TRIM(AG901)="05","E","F")))))</f>
        <v>C</v>
      </c>
      <c r="AR901" s="1" t="str">
        <f>VLOOKUP(TRIM(AI901),Sheet1!$D$3:$E$36,2,FALSE)</f>
        <v>04</v>
      </c>
      <c r="AS901" s="90" t="str">
        <f t="shared" ref="AS901:AS964" si="467">IF(LEN(BD901)=1,"0"&amp;BD901,BD901)</f>
        <v>01</v>
      </c>
      <c r="AT901" s="1" t="str">
        <f t="shared" ref="AT901:AT964" si="468">IF(LEN(BF901)=1,"0"&amp;BF901,BF901)</f>
        <v>01</v>
      </c>
      <c r="AU901" s="90" t="s">
        <v>2639</v>
      </c>
      <c r="AV901" s="90"/>
      <c r="AW901" s="90"/>
      <c r="AX901" s="95" t="str">
        <f>AQ901&amp;AR901&amp;AS901&amp;"-"&amp;AT901&amp;AU901&amp;BA901</f>
        <v>C0401-0141</v>
      </c>
      <c r="AY901" s="99" t="str">
        <f>AQ901&amp;AR901&amp;AS901&amp;"-"&amp;AT901&amp;BA901</f>
        <v>C0401-01</v>
      </c>
      <c r="AZ901" s="90"/>
      <c r="BA901" s="1" t="str">
        <f t="shared" ref="BA901:BA964" si="469">IF(AO901="","",UPPER(LEFT(AO901,3)))</f>
        <v/>
      </c>
      <c r="BC901" s="1">
        <f t="shared" si="457"/>
        <v>1</v>
      </c>
      <c r="BD901" s="90">
        <f t="shared" si="458"/>
        <v>1</v>
      </c>
      <c r="BE901" s="1">
        <f t="shared" si="450"/>
        <v>1</v>
      </c>
      <c r="BF901" s="1">
        <f t="shared" si="451"/>
        <v>1</v>
      </c>
    </row>
    <row r="902" spans="1:58" ht="11.25" customHeight="1">
      <c r="A902" s="26" t="s">
        <v>4301</v>
      </c>
      <c r="B902" s="27" t="s">
        <v>4298</v>
      </c>
      <c r="C902" s="28">
        <v>26.99</v>
      </c>
      <c r="D902" s="28">
        <f t="shared" si="459"/>
        <v>13.494999999999999</v>
      </c>
      <c r="E902" s="22" t="s">
        <v>3901</v>
      </c>
      <c r="F902" s="22" t="s">
        <v>4261</v>
      </c>
      <c r="G902" s="22" t="s">
        <v>391</v>
      </c>
      <c r="H902" s="22" t="s">
        <v>4157</v>
      </c>
      <c r="I902" s="23" t="s">
        <v>4302</v>
      </c>
      <c r="J902" s="22" t="s">
        <v>670</v>
      </c>
      <c r="L902" s="23">
        <v>6</v>
      </c>
      <c r="M902" s="23">
        <v>6</v>
      </c>
      <c r="N902" s="3">
        <f t="shared" si="452"/>
        <v>2.1599999999999999E-4</v>
      </c>
      <c r="O902" s="4" t="e">
        <f>(C902-(C902*#REF!))-((C902-(C902*#REF!))*#REF!)</f>
        <v>#REF!</v>
      </c>
      <c r="P902" s="7"/>
      <c r="Q902" s="7"/>
      <c r="R902" s="5">
        <f t="shared" si="453"/>
        <v>0</v>
      </c>
      <c r="S902" s="4">
        <f t="shared" si="454"/>
        <v>0</v>
      </c>
      <c r="T902" s="13">
        <f t="shared" si="460"/>
        <v>18.893000000000001</v>
      </c>
      <c r="U902" s="13">
        <f t="shared" ref="U902:U965" si="470">T902-(T902*$U$1)</f>
        <v>9.4465000000000003</v>
      </c>
      <c r="V902" s="14">
        <f>U902/C902</f>
        <v>0.35000000000000003</v>
      </c>
      <c r="W902" s="14"/>
      <c r="X902" s="19">
        <f t="shared" si="455"/>
        <v>9.4465000000000003</v>
      </c>
      <c r="Y902" s="19">
        <f t="shared" si="456"/>
        <v>18.893000000000001</v>
      </c>
      <c r="Z902" s="15" t="e">
        <f t="shared" si="449"/>
        <v>#DIV/0!</v>
      </c>
      <c r="AA902" s="22" t="s">
        <v>4300</v>
      </c>
      <c r="AG902" s="94" t="s">
        <v>817</v>
      </c>
      <c r="AH902" s="89" t="str">
        <f>VLOOKUP(AG902,Sheet1!$B$3:$D$36,2,FALSE)</f>
        <v>Kitchen &amp; Dining</v>
      </c>
      <c r="AI902" s="89" t="s">
        <v>2821</v>
      </c>
      <c r="AJ902" s="1" t="str">
        <f t="shared" si="461"/>
        <v>Hena cup grey matte</v>
      </c>
      <c r="AK902" s="1" t="str">
        <f t="shared" si="462"/>
        <v>ø6 x h6 - vol. 50 ml</v>
      </c>
      <c r="AL902" s="1" t="str">
        <f t="shared" si="463"/>
        <v>grey matte glass # 6</v>
      </c>
      <c r="AM902" s="1" t="str">
        <f t="shared" si="464"/>
        <v>grey matte glass # 6</v>
      </c>
      <c r="AN902" s="1" t="str">
        <f t="shared" si="465"/>
        <v>grey matte glass # 6</v>
      </c>
      <c r="AQ902" s="1" t="str">
        <f t="shared" si="466"/>
        <v>C</v>
      </c>
      <c r="AR902" s="1" t="str">
        <f>VLOOKUP(TRIM(AI902),Sheet1!$D$3:$E$36,2,FALSE)</f>
        <v>04</v>
      </c>
      <c r="AS902" s="90" t="str">
        <f t="shared" si="467"/>
        <v>02</v>
      </c>
      <c r="AT902" s="1" t="str">
        <f t="shared" si="468"/>
        <v>01</v>
      </c>
      <c r="AU902" s="90" t="s">
        <v>2639</v>
      </c>
      <c r="AV902" s="90"/>
      <c r="AW902" s="90"/>
      <c r="AX902" s="95" t="str">
        <f>AQ902&amp;AR902&amp;AS902&amp;"-"&amp;AT902&amp;AU902&amp;BA902</f>
        <v>C0402-0141</v>
      </c>
      <c r="AY902" s="99" t="str">
        <f>AQ902&amp;AR902&amp;AS902&amp;"-"&amp;AT902&amp;BA902</f>
        <v>C0402-01</v>
      </c>
      <c r="AZ902" s="90"/>
      <c r="BA902" s="1" t="str">
        <f t="shared" si="469"/>
        <v/>
      </c>
      <c r="BC902" s="1" t="str">
        <f t="shared" si="457"/>
        <v/>
      </c>
      <c r="BD902" s="90">
        <f t="shared" si="458"/>
        <v>2</v>
      </c>
      <c r="BE902" s="1">
        <f t="shared" si="450"/>
        <v>1</v>
      </c>
      <c r="BF902" s="1">
        <f t="shared" si="451"/>
        <v>1</v>
      </c>
    </row>
    <row r="903" spans="1:58" ht="11.25" customHeight="1">
      <c r="A903" s="26" t="s">
        <v>4303</v>
      </c>
      <c r="B903" s="27" t="s">
        <v>4298</v>
      </c>
      <c r="C903" s="28">
        <v>32.99</v>
      </c>
      <c r="D903" s="28">
        <f t="shared" si="459"/>
        <v>16.495000000000001</v>
      </c>
      <c r="E903" s="22" t="s">
        <v>3901</v>
      </c>
      <c r="F903" s="22" t="s">
        <v>4264</v>
      </c>
      <c r="G903" s="22" t="s">
        <v>391</v>
      </c>
      <c r="H903" s="22" t="s">
        <v>4160</v>
      </c>
      <c r="I903" s="23" t="s">
        <v>4302</v>
      </c>
      <c r="J903" s="22" t="s">
        <v>670</v>
      </c>
      <c r="L903" s="23">
        <v>8</v>
      </c>
      <c r="M903" s="23">
        <v>6</v>
      </c>
      <c r="N903" s="3">
        <f t="shared" si="452"/>
        <v>3.8400000000000001E-4</v>
      </c>
      <c r="O903" s="4" t="e">
        <f>(C903-(C903*#REF!))-((C903-(C903*#REF!))*#REF!)</f>
        <v>#REF!</v>
      </c>
      <c r="P903" s="7"/>
      <c r="Q903" s="7"/>
      <c r="R903" s="5">
        <f t="shared" si="453"/>
        <v>0</v>
      </c>
      <c r="S903" s="4">
        <f t="shared" si="454"/>
        <v>0</v>
      </c>
      <c r="T903" s="13">
        <f t="shared" si="460"/>
        <v>23.093000000000004</v>
      </c>
      <c r="U903" s="13">
        <f t="shared" si="470"/>
        <v>11.546500000000002</v>
      </c>
      <c r="V903" s="14">
        <f>U903/C903</f>
        <v>0.35000000000000003</v>
      </c>
      <c r="W903" s="14"/>
      <c r="X903" s="19">
        <f t="shared" si="455"/>
        <v>11.546500000000002</v>
      </c>
      <c r="Y903" s="19">
        <f t="shared" si="456"/>
        <v>23.093000000000004</v>
      </c>
      <c r="Z903" s="15" t="e">
        <f t="shared" si="449"/>
        <v>#DIV/0!</v>
      </c>
      <c r="AA903" s="22" t="s">
        <v>4304</v>
      </c>
      <c r="AG903" s="94" t="s">
        <v>817</v>
      </c>
      <c r="AH903" s="89" t="str">
        <f>VLOOKUP(AG903,Sheet1!$B$3:$D$36,2,FALSE)</f>
        <v>Kitchen &amp; Dining</v>
      </c>
      <c r="AI903" s="89" t="s">
        <v>2821</v>
      </c>
      <c r="AJ903" s="1" t="str">
        <f t="shared" si="461"/>
        <v>Hena cup grey matte</v>
      </c>
      <c r="AK903" s="1" t="str">
        <f t="shared" si="462"/>
        <v>ø8 x h6 - vol. 100 ml</v>
      </c>
      <c r="AL903" s="1" t="str">
        <f t="shared" si="463"/>
        <v>grey matte glass # 6</v>
      </c>
      <c r="AM903" s="1" t="str">
        <f t="shared" si="464"/>
        <v>grey matte glass # 6</v>
      </c>
      <c r="AN903" s="1" t="str">
        <f t="shared" si="465"/>
        <v>grey matte glass # 6</v>
      </c>
      <c r="AQ903" s="1" t="str">
        <f t="shared" si="466"/>
        <v>C</v>
      </c>
      <c r="AR903" s="1" t="str">
        <f>VLOOKUP(TRIM(AI903),Sheet1!$D$3:$E$36,2,FALSE)</f>
        <v>04</v>
      </c>
      <c r="AS903" s="90" t="str">
        <f t="shared" si="467"/>
        <v>03</v>
      </c>
      <c r="AT903" s="1" t="str">
        <f t="shared" si="468"/>
        <v>01</v>
      </c>
      <c r="AU903" s="90" t="s">
        <v>2639</v>
      </c>
      <c r="AV903" s="90"/>
      <c r="AW903" s="90"/>
      <c r="AX903" s="95" t="str">
        <f>AQ903&amp;AR903&amp;AS903&amp;"-"&amp;AT903&amp;AU903&amp;BA903</f>
        <v>C0403-0141</v>
      </c>
      <c r="AY903" s="99" t="str">
        <f>AQ903&amp;AR903&amp;AS903&amp;"-"&amp;AT903&amp;BA903</f>
        <v>C0403-01</v>
      </c>
      <c r="AZ903" s="90"/>
      <c r="BA903" s="1" t="str">
        <f t="shared" si="469"/>
        <v/>
      </c>
      <c r="BC903" s="1" t="str">
        <f t="shared" si="457"/>
        <v/>
      </c>
      <c r="BD903" s="90">
        <f t="shared" si="458"/>
        <v>3</v>
      </c>
      <c r="BE903" s="1">
        <f t="shared" si="450"/>
        <v>1</v>
      </c>
      <c r="BF903" s="1">
        <f t="shared" si="451"/>
        <v>1</v>
      </c>
    </row>
    <row r="904" spans="1:58" ht="11.25" customHeight="1">
      <c r="A904" s="26" t="s">
        <v>4305</v>
      </c>
      <c r="B904" s="27" t="s">
        <v>4298</v>
      </c>
      <c r="C904" s="28">
        <v>30.99</v>
      </c>
      <c r="D904" s="28">
        <f t="shared" si="459"/>
        <v>15.494999999999999</v>
      </c>
      <c r="E904" s="22" t="s">
        <v>3901</v>
      </c>
      <c r="F904" s="22" t="s">
        <v>4267</v>
      </c>
      <c r="G904" s="22" t="s">
        <v>391</v>
      </c>
      <c r="H904" s="22" t="s">
        <v>4164</v>
      </c>
      <c r="I904" s="23" t="s">
        <v>4302</v>
      </c>
      <c r="J904" s="22" t="s">
        <v>670</v>
      </c>
      <c r="L904" s="23">
        <v>6.5</v>
      </c>
      <c r="M904" s="23">
        <v>7</v>
      </c>
      <c r="N904" s="3">
        <f t="shared" si="452"/>
        <v>2.9575000000000001E-4</v>
      </c>
      <c r="O904" s="4" t="e">
        <f>(C904-(C904*#REF!))-((C904-(C904*#REF!))*#REF!)</f>
        <v>#REF!</v>
      </c>
      <c r="P904" s="7"/>
      <c r="Q904" s="7"/>
      <c r="R904" s="5">
        <f t="shared" si="453"/>
        <v>0</v>
      </c>
      <c r="S904" s="4">
        <f t="shared" si="454"/>
        <v>0</v>
      </c>
      <c r="T904" s="13">
        <f t="shared" si="460"/>
        <v>21.692999999999998</v>
      </c>
      <c r="U904" s="13">
        <f t="shared" si="470"/>
        <v>10.846499999999999</v>
      </c>
      <c r="V904" s="14">
        <f>U904/C904</f>
        <v>0.35</v>
      </c>
      <c r="W904" s="14"/>
      <c r="X904" s="19">
        <f t="shared" si="455"/>
        <v>10.846499999999999</v>
      </c>
      <c r="Y904" s="19">
        <f t="shared" si="456"/>
        <v>21.692999999999998</v>
      </c>
      <c r="Z904" s="15" t="e">
        <f t="shared" si="449"/>
        <v>#DIV/0!</v>
      </c>
      <c r="AA904" s="22" t="s">
        <v>4306</v>
      </c>
      <c r="AG904" s="94" t="s">
        <v>817</v>
      </c>
      <c r="AH904" s="89" t="str">
        <f>VLOOKUP(AG904,Sheet1!$B$3:$D$36,2,FALSE)</f>
        <v>Kitchen &amp; Dining</v>
      </c>
      <c r="AI904" s="89" t="s">
        <v>2821</v>
      </c>
      <c r="AJ904" s="1" t="str">
        <f t="shared" si="461"/>
        <v>Hena cup grey matte</v>
      </c>
      <c r="AK904" s="1" t="str">
        <f t="shared" si="462"/>
        <v>ø6,5 x h7 - vol. 120 ml</v>
      </c>
      <c r="AL904" s="1" t="str">
        <f t="shared" si="463"/>
        <v>grey matte glass # 6</v>
      </c>
      <c r="AM904" s="1" t="str">
        <f t="shared" si="464"/>
        <v>grey matte glass # 6</v>
      </c>
      <c r="AN904" s="1" t="str">
        <f t="shared" si="465"/>
        <v>grey matte glass # 6</v>
      </c>
      <c r="AQ904" s="1" t="str">
        <f t="shared" si="466"/>
        <v>C</v>
      </c>
      <c r="AR904" s="1" t="str">
        <f>VLOOKUP(TRIM(AI904),Sheet1!$D$3:$E$36,2,FALSE)</f>
        <v>04</v>
      </c>
      <c r="AS904" s="90" t="str">
        <f t="shared" si="467"/>
        <v>04</v>
      </c>
      <c r="AT904" s="1" t="str">
        <f t="shared" si="468"/>
        <v>01</v>
      </c>
      <c r="AU904" s="90" t="s">
        <v>2639</v>
      </c>
      <c r="AV904" s="90"/>
      <c r="AW904" s="90"/>
      <c r="AX904" s="95" t="str">
        <f>AQ904&amp;AR904&amp;AS904&amp;"-"&amp;AT904&amp;AU904&amp;BA904</f>
        <v>C0404-0141</v>
      </c>
      <c r="AY904" s="99" t="str">
        <f>AQ904&amp;AR904&amp;AS904&amp;"-"&amp;AT904&amp;BA904</f>
        <v>C0404-01</v>
      </c>
      <c r="AZ904" s="90"/>
      <c r="BA904" s="1" t="str">
        <f t="shared" si="469"/>
        <v/>
      </c>
      <c r="BC904" s="1" t="str">
        <f t="shared" si="457"/>
        <v/>
      </c>
      <c r="BD904" s="90">
        <f t="shared" si="458"/>
        <v>4</v>
      </c>
      <c r="BE904" s="1">
        <f t="shared" si="450"/>
        <v>1</v>
      </c>
      <c r="BF904" s="1">
        <f t="shared" si="451"/>
        <v>1</v>
      </c>
    </row>
    <row r="905" spans="1:58" ht="11.25" customHeight="1">
      <c r="A905" s="26" t="s">
        <v>4307</v>
      </c>
      <c r="B905" s="27" t="s">
        <v>4298</v>
      </c>
      <c r="C905" s="28">
        <v>33.99</v>
      </c>
      <c r="D905" s="28">
        <f t="shared" si="459"/>
        <v>16.995000000000001</v>
      </c>
      <c r="E905" s="22" t="s">
        <v>3901</v>
      </c>
      <c r="F905" s="22" t="s">
        <v>4270</v>
      </c>
      <c r="G905" s="22" t="s">
        <v>391</v>
      </c>
      <c r="H905" s="22" t="s">
        <v>4168</v>
      </c>
      <c r="I905" s="23" t="s">
        <v>4302</v>
      </c>
      <c r="J905" s="22" t="s">
        <v>670</v>
      </c>
      <c r="L905" s="23">
        <v>8</v>
      </c>
      <c r="M905" s="23">
        <v>8</v>
      </c>
      <c r="N905" s="3">
        <f t="shared" si="452"/>
        <v>5.1199999999999998E-4</v>
      </c>
      <c r="O905" s="4" t="e">
        <f>(C905-(C905*#REF!))-((C905-(C905*#REF!))*#REF!)</f>
        <v>#REF!</v>
      </c>
      <c r="P905" s="7"/>
      <c r="Q905" s="7"/>
      <c r="R905" s="5">
        <f t="shared" si="453"/>
        <v>0</v>
      </c>
      <c r="S905" s="4">
        <f t="shared" si="454"/>
        <v>0</v>
      </c>
      <c r="T905" s="13">
        <f t="shared" si="460"/>
        <v>23.792999999999999</v>
      </c>
      <c r="U905" s="13">
        <f t="shared" si="470"/>
        <v>11.8965</v>
      </c>
      <c r="V905" s="14">
        <f>U905/C905</f>
        <v>0.35</v>
      </c>
      <c r="W905" s="14"/>
      <c r="X905" s="19">
        <f t="shared" si="455"/>
        <v>11.8965</v>
      </c>
      <c r="Y905" s="19">
        <f t="shared" si="456"/>
        <v>23.792999999999999</v>
      </c>
      <c r="Z905" s="15" t="e">
        <f t="shared" si="449"/>
        <v>#DIV/0!</v>
      </c>
      <c r="AA905" s="22" t="s">
        <v>4308</v>
      </c>
      <c r="AG905" s="94" t="s">
        <v>817</v>
      </c>
      <c r="AH905" s="89" t="str">
        <f>VLOOKUP(AG905,Sheet1!$B$3:$D$36,2,FALSE)</f>
        <v>Kitchen &amp; Dining</v>
      </c>
      <c r="AI905" s="89" t="s">
        <v>2821</v>
      </c>
      <c r="AJ905" s="1" t="str">
        <f t="shared" si="461"/>
        <v>Hena cup grey matte</v>
      </c>
      <c r="AK905" s="1" t="str">
        <f t="shared" si="462"/>
        <v>ø8 x h8 - vol. 150 ml</v>
      </c>
      <c r="AL905" s="1" t="str">
        <f t="shared" si="463"/>
        <v>grey matte glass # 6</v>
      </c>
      <c r="AM905" s="1" t="str">
        <f t="shared" si="464"/>
        <v>grey matte glass # 6</v>
      </c>
      <c r="AN905" s="1" t="str">
        <f t="shared" si="465"/>
        <v>grey matte glass # 6</v>
      </c>
      <c r="AQ905" s="1" t="str">
        <f t="shared" si="466"/>
        <v>C</v>
      </c>
      <c r="AR905" s="1" t="str">
        <f>VLOOKUP(TRIM(AI905),Sheet1!$D$3:$E$36,2,FALSE)</f>
        <v>04</v>
      </c>
      <c r="AS905" s="90" t="str">
        <f t="shared" si="467"/>
        <v>05</v>
      </c>
      <c r="AT905" s="1" t="str">
        <f t="shared" si="468"/>
        <v>01</v>
      </c>
      <c r="AU905" s="90" t="s">
        <v>2639</v>
      </c>
      <c r="AV905" s="90"/>
      <c r="AW905" s="90"/>
      <c r="AX905" s="95" t="str">
        <f>AQ905&amp;AR905&amp;AS905&amp;"-"&amp;AT905&amp;AU905&amp;BA905</f>
        <v>C0405-0141</v>
      </c>
      <c r="AY905" s="99" t="str">
        <f>AQ905&amp;AR905&amp;AS905&amp;"-"&amp;AT905&amp;BA905</f>
        <v>C0405-01</v>
      </c>
      <c r="AZ905" s="90"/>
      <c r="BA905" s="1" t="str">
        <f t="shared" si="469"/>
        <v/>
      </c>
      <c r="BC905" s="1" t="str">
        <f t="shared" si="457"/>
        <v/>
      </c>
      <c r="BD905" s="90">
        <f t="shared" si="458"/>
        <v>5</v>
      </c>
      <c r="BE905" s="1">
        <f t="shared" si="450"/>
        <v>1</v>
      </c>
      <c r="BF905" s="1">
        <f t="shared" si="451"/>
        <v>1</v>
      </c>
    </row>
    <row r="906" spans="1:58" ht="11.25" customHeight="1">
      <c r="A906" s="26" t="s">
        <v>4309</v>
      </c>
      <c r="B906" s="27" t="s">
        <v>4298</v>
      </c>
      <c r="C906" s="28">
        <v>30.99</v>
      </c>
      <c r="D906" s="28">
        <f t="shared" si="459"/>
        <v>15.494999999999999</v>
      </c>
      <c r="E906" s="22" t="s">
        <v>3901</v>
      </c>
      <c r="F906" s="22" t="s">
        <v>4272</v>
      </c>
      <c r="G906" s="22" t="s">
        <v>391</v>
      </c>
      <c r="H906" s="22" t="s">
        <v>4171</v>
      </c>
      <c r="I906" s="23" t="s">
        <v>4302</v>
      </c>
      <c r="J906" s="22" t="s">
        <v>670</v>
      </c>
      <c r="L906" s="23">
        <v>6.5</v>
      </c>
      <c r="M906" s="23">
        <v>10</v>
      </c>
      <c r="N906" s="3">
        <f t="shared" si="452"/>
        <v>4.2250000000000002E-4</v>
      </c>
      <c r="O906" s="4" t="e">
        <f>(C906-(C906*#REF!))-((C906-(C906*#REF!))*#REF!)</f>
        <v>#REF!</v>
      </c>
      <c r="P906" s="7"/>
      <c r="Q906" s="7"/>
      <c r="R906" s="5">
        <f t="shared" si="453"/>
        <v>0</v>
      </c>
      <c r="S906" s="4">
        <f t="shared" si="454"/>
        <v>0</v>
      </c>
      <c r="T906" s="13">
        <f t="shared" si="460"/>
        <v>21.692999999999998</v>
      </c>
      <c r="U906" s="13">
        <f t="shared" si="470"/>
        <v>10.846499999999999</v>
      </c>
      <c r="V906" s="14">
        <f>U906/C906</f>
        <v>0.35</v>
      </c>
      <c r="W906" s="14"/>
      <c r="X906" s="19">
        <f t="shared" si="455"/>
        <v>10.846499999999999</v>
      </c>
      <c r="Y906" s="19">
        <f t="shared" si="456"/>
        <v>21.692999999999998</v>
      </c>
      <c r="Z906" s="15" t="e">
        <f t="shared" si="449"/>
        <v>#DIV/0!</v>
      </c>
      <c r="AA906" s="22" t="s">
        <v>4304</v>
      </c>
      <c r="AG906" s="94" t="s">
        <v>817</v>
      </c>
      <c r="AH906" s="89" t="str">
        <f>VLOOKUP(AG906,Sheet1!$B$3:$D$36,2,FALSE)</f>
        <v>Kitchen &amp; Dining</v>
      </c>
      <c r="AI906" s="89" t="s">
        <v>2821</v>
      </c>
      <c r="AJ906" s="1" t="str">
        <f t="shared" si="461"/>
        <v>Hena cup grey matte</v>
      </c>
      <c r="AK906" s="1" t="str">
        <f t="shared" si="462"/>
        <v>ø6,5 x h10 - vol. 100 ml</v>
      </c>
      <c r="AL906" s="1" t="str">
        <f t="shared" si="463"/>
        <v>grey matte glass # 6</v>
      </c>
      <c r="AM906" s="1" t="str">
        <f t="shared" si="464"/>
        <v>grey matte glass # 6</v>
      </c>
      <c r="AN906" s="1" t="str">
        <f t="shared" si="465"/>
        <v>grey matte glass # 6</v>
      </c>
      <c r="AQ906" s="1" t="str">
        <f t="shared" si="466"/>
        <v>C</v>
      </c>
      <c r="AR906" s="1" t="str">
        <f>VLOOKUP(TRIM(AI906),Sheet1!$D$3:$E$36,2,FALSE)</f>
        <v>04</v>
      </c>
      <c r="AS906" s="90" t="str">
        <f t="shared" si="467"/>
        <v>06</v>
      </c>
      <c r="AT906" s="1" t="str">
        <f t="shared" si="468"/>
        <v>01</v>
      </c>
      <c r="AU906" s="90" t="s">
        <v>2639</v>
      </c>
      <c r="AV906" s="90"/>
      <c r="AW906" s="90"/>
      <c r="AX906" s="95" t="str">
        <f>AQ906&amp;AR906&amp;AS906&amp;"-"&amp;AT906&amp;AU906&amp;BA906</f>
        <v>C0406-0141</v>
      </c>
      <c r="AY906" s="99" t="str">
        <f>AQ906&amp;AR906&amp;AS906&amp;"-"&amp;AT906&amp;BA906</f>
        <v>C0406-01</v>
      </c>
      <c r="AZ906" s="90"/>
      <c r="BA906" s="1" t="str">
        <f t="shared" si="469"/>
        <v/>
      </c>
      <c r="BC906" s="1" t="str">
        <f t="shared" si="457"/>
        <v/>
      </c>
      <c r="BD906" s="90">
        <f t="shared" si="458"/>
        <v>6</v>
      </c>
      <c r="BE906" s="1">
        <f t="shared" si="450"/>
        <v>1</v>
      </c>
      <c r="BF906" s="1">
        <f t="shared" si="451"/>
        <v>1</v>
      </c>
    </row>
    <row r="907" spans="1:58" ht="11.25" customHeight="1">
      <c r="A907" s="26" t="s">
        <v>4310</v>
      </c>
      <c r="B907" s="27" t="s">
        <v>4298</v>
      </c>
      <c r="C907" s="28">
        <v>35.99</v>
      </c>
      <c r="D907" s="28">
        <f t="shared" si="459"/>
        <v>17.995000000000001</v>
      </c>
      <c r="E907" s="22" t="s">
        <v>3901</v>
      </c>
      <c r="F907" s="22" t="s">
        <v>4274</v>
      </c>
      <c r="G907" s="22" t="s">
        <v>391</v>
      </c>
      <c r="H907" s="22" t="s">
        <v>4175</v>
      </c>
      <c r="I907" s="23" t="s">
        <v>4302</v>
      </c>
      <c r="J907" s="22" t="s">
        <v>670</v>
      </c>
      <c r="L907" s="23">
        <v>8</v>
      </c>
      <c r="M907" s="23">
        <v>12</v>
      </c>
      <c r="N907" s="3">
        <f t="shared" si="452"/>
        <v>7.6800000000000002E-4</v>
      </c>
      <c r="O907" s="4" t="e">
        <f>(C907-(C907*#REF!))-((C907-(C907*#REF!))*#REF!)</f>
        <v>#REF!</v>
      </c>
      <c r="P907" s="7"/>
      <c r="Q907" s="7"/>
      <c r="R907" s="5">
        <f t="shared" si="453"/>
        <v>0</v>
      </c>
      <c r="S907" s="4">
        <f t="shared" si="454"/>
        <v>0</v>
      </c>
      <c r="T907" s="13">
        <f t="shared" si="460"/>
        <v>25.193000000000001</v>
      </c>
      <c r="U907" s="13">
        <f t="shared" si="470"/>
        <v>12.596500000000001</v>
      </c>
      <c r="V907" s="14">
        <f>U907/C907</f>
        <v>0.35</v>
      </c>
      <c r="W907" s="14"/>
      <c r="X907" s="19">
        <f t="shared" si="455"/>
        <v>12.596500000000001</v>
      </c>
      <c r="Y907" s="19">
        <f t="shared" si="456"/>
        <v>25.193000000000001</v>
      </c>
      <c r="Z907" s="15" t="e">
        <f t="shared" si="449"/>
        <v>#DIV/0!</v>
      </c>
      <c r="AA907" s="22" t="s">
        <v>4308</v>
      </c>
      <c r="AG907" s="94" t="s">
        <v>817</v>
      </c>
      <c r="AH907" s="89" t="str">
        <f>VLOOKUP(AG907,Sheet1!$B$3:$D$36,2,FALSE)</f>
        <v>Kitchen &amp; Dining</v>
      </c>
      <c r="AI907" s="89" t="s">
        <v>2821</v>
      </c>
      <c r="AJ907" s="1" t="str">
        <f t="shared" si="461"/>
        <v>Hena cup grey matte</v>
      </c>
      <c r="AK907" s="1" t="str">
        <f t="shared" si="462"/>
        <v>ø8 x h12 - vol. 250 ml</v>
      </c>
      <c r="AL907" s="1" t="str">
        <f t="shared" si="463"/>
        <v>grey matte glass # 6</v>
      </c>
      <c r="AM907" s="1" t="str">
        <f t="shared" si="464"/>
        <v>grey matte glass # 6</v>
      </c>
      <c r="AN907" s="1" t="str">
        <f t="shared" si="465"/>
        <v>grey matte glass # 6</v>
      </c>
      <c r="AQ907" s="1" t="str">
        <f t="shared" si="466"/>
        <v>C</v>
      </c>
      <c r="AR907" s="1" t="str">
        <f>VLOOKUP(TRIM(AI907),Sheet1!$D$3:$E$36,2,FALSE)</f>
        <v>04</v>
      </c>
      <c r="AS907" s="90" t="str">
        <f t="shared" si="467"/>
        <v>07</v>
      </c>
      <c r="AT907" s="1" t="str">
        <f t="shared" si="468"/>
        <v>01</v>
      </c>
      <c r="AU907" s="90" t="s">
        <v>2639</v>
      </c>
      <c r="AV907" s="90"/>
      <c r="AW907" s="90"/>
      <c r="AX907" s="95" t="str">
        <f>AQ907&amp;AR907&amp;AS907&amp;"-"&amp;AT907&amp;AU907&amp;BA907</f>
        <v>C0407-0141</v>
      </c>
      <c r="AY907" s="99" t="str">
        <f>AQ907&amp;AR907&amp;AS907&amp;"-"&amp;AT907&amp;BA907</f>
        <v>C0407-01</v>
      </c>
      <c r="AZ907" s="90"/>
      <c r="BA907" s="1" t="str">
        <f t="shared" si="469"/>
        <v/>
      </c>
      <c r="BC907" s="1" t="str">
        <f t="shared" si="457"/>
        <v/>
      </c>
      <c r="BD907" s="90">
        <f t="shared" si="458"/>
        <v>7</v>
      </c>
      <c r="BE907" s="1">
        <f t="shared" si="450"/>
        <v>1</v>
      </c>
      <c r="BF907" s="1">
        <f t="shared" si="451"/>
        <v>1</v>
      </c>
    </row>
    <row r="908" spans="1:58" ht="11.25" customHeight="1">
      <c r="A908" s="26" t="s">
        <v>4311</v>
      </c>
      <c r="B908" s="27" t="s">
        <v>4298</v>
      </c>
      <c r="C908" s="28">
        <v>42.99</v>
      </c>
      <c r="D908" s="28">
        <f t="shared" si="459"/>
        <v>21.495000000000001</v>
      </c>
      <c r="E908" s="22" t="s">
        <v>3901</v>
      </c>
      <c r="F908" s="22" t="s">
        <v>4277</v>
      </c>
      <c r="G908" s="22" t="s">
        <v>391</v>
      </c>
      <c r="H908" s="22" t="s">
        <v>4178</v>
      </c>
      <c r="I908" s="23" t="s">
        <v>4302</v>
      </c>
      <c r="J908" s="22" t="s">
        <v>670</v>
      </c>
      <c r="L908" s="23">
        <v>7</v>
      </c>
      <c r="M908" s="23">
        <v>13</v>
      </c>
      <c r="N908" s="3">
        <f t="shared" si="452"/>
        <v>6.3699999999999998E-4</v>
      </c>
      <c r="O908" s="4" t="e">
        <f>(C908-(C908*#REF!))-((C908-(C908*#REF!))*#REF!)</f>
        <v>#REF!</v>
      </c>
      <c r="P908" s="7"/>
      <c r="Q908" s="7"/>
      <c r="R908" s="5">
        <f t="shared" si="453"/>
        <v>0</v>
      </c>
      <c r="S908" s="4">
        <f t="shared" si="454"/>
        <v>0</v>
      </c>
      <c r="T908" s="13">
        <f t="shared" si="460"/>
        <v>30.093000000000004</v>
      </c>
      <c r="U908" s="13">
        <f t="shared" si="470"/>
        <v>15.046500000000002</v>
      </c>
      <c r="V908" s="14">
        <f>U908/C908</f>
        <v>0.35000000000000003</v>
      </c>
      <c r="W908" s="14"/>
      <c r="X908" s="19">
        <f t="shared" si="455"/>
        <v>15.046500000000002</v>
      </c>
      <c r="Y908" s="19">
        <f t="shared" si="456"/>
        <v>30.093000000000004</v>
      </c>
      <c r="Z908" s="15" t="e">
        <f t="shared" si="449"/>
        <v>#DIV/0!</v>
      </c>
      <c r="AA908" s="22" t="s">
        <v>4308</v>
      </c>
      <c r="AG908" s="94" t="s">
        <v>817</v>
      </c>
      <c r="AH908" s="89" t="str">
        <f>VLOOKUP(AG908,Sheet1!$B$3:$D$36,2,FALSE)</f>
        <v>Kitchen &amp; Dining</v>
      </c>
      <c r="AI908" s="89" t="s">
        <v>2821</v>
      </c>
      <c r="AJ908" s="1" t="str">
        <f t="shared" si="461"/>
        <v>Hena cup grey matte</v>
      </c>
      <c r="AK908" s="1" t="str">
        <f t="shared" si="462"/>
        <v>ø7 x h13 - vol. 400 ml</v>
      </c>
      <c r="AL908" s="1" t="str">
        <f t="shared" si="463"/>
        <v>grey matte glass # 6</v>
      </c>
      <c r="AM908" s="1" t="str">
        <f t="shared" si="464"/>
        <v>grey matte glass # 6</v>
      </c>
      <c r="AN908" s="1" t="str">
        <f t="shared" si="465"/>
        <v>grey matte glass # 6</v>
      </c>
      <c r="AQ908" s="1" t="str">
        <f t="shared" si="466"/>
        <v>C</v>
      </c>
      <c r="AR908" s="1" t="str">
        <f>VLOOKUP(TRIM(AI908),Sheet1!$D$3:$E$36,2,FALSE)</f>
        <v>04</v>
      </c>
      <c r="AS908" s="90" t="str">
        <f t="shared" si="467"/>
        <v>08</v>
      </c>
      <c r="AT908" s="1" t="str">
        <f t="shared" si="468"/>
        <v>01</v>
      </c>
      <c r="AU908" s="90" t="s">
        <v>2639</v>
      </c>
      <c r="AV908" s="90"/>
      <c r="AW908" s="90"/>
      <c r="AX908" s="95" t="str">
        <f>AQ908&amp;AR908&amp;AS908&amp;"-"&amp;AT908&amp;AU908&amp;BA908</f>
        <v>C0408-0141</v>
      </c>
      <c r="AY908" s="99" t="str">
        <f>AQ908&amp;AR908&amp;AS908&amp;"-"&amp;AT908&amp;BA908</f>
        <v>C0408-01</v>
      </c>
      <c r="AZ908" s="90"/>
      <c r="BA908" s="1" t="str">
        <f t="shared" si="469"/>
        <v/>
      </c>
      <c r="BC908" s="1" t="str">
        <f t="shared" si="457"/>
        <v/>
      </c>
      <c r="BD908" s="90">
        <f t="shared" si="458"/>
        <v>8</v>
      </c>
      <c r="BE908" s="1">
        <f t="shared" si="450"/>
        <v>1</v>
      </c>
      <c r="BF908" s="1">
        <f t="shared" si="451"/>
        <v>1</v>
      </c>
    </row>
    <row r="909" spans="1:58" ht="11.25" customHeight="1">
      <c r="A909" s="26" t="s">
        <v>4312</v>
      </c>
      <c r="B909" s="27" t="s">
        <v>4298</v>
      </c>
      <c r="C909" s="28">
        <v>38.99</v>
      </c>
      <c r="D909" s="28">
        <f t="shared" si="459"/>
        <v>19.495000000000001</v>
      </c>
      <c r="E909" s="22" t="s">
        <v>3901</v>
      </c>
      <c r="F909" s="22" t="s">
        <v>4279</v>
      </c>
      <c r="G909" s="22" t="s">
        <v>391</v>
      </c>
      <c r="H909" s="22" t="s">
        <v>4181</v>
      </c>
      <c r="I909" s="23" t="s">
        <v>4302</v>
      </c>
      <c r="J909" s="22" t="s">
        <v>670</v>
      </c>
      <c r="L909" s="23">
        <v>8</v>
      </c>
      <c r="M909" s="23">
        <v>16</v>
      </c>
      <c r="N909" s="3">
        <f t="shared" si="452"/>
        <v>1.024E-3</v>
      </c>
      <c r="O909" s="4" t="e">
        <f>(C909-(C909*#REF!))-((C909-(C909*#REF!))*#REF!)</f>
        <v>#REF!</v>
      </c>
      <c r="P909" s="7"/>
      <c r="Q909" s="7"/>
      <c r="R909" s="5">
        <f t="shared" si="453"/>
        <v>0</v>
      </c>
      <c r="S909" s="4">
        <f t="shared" si="454"/>
        <v>0</v>
      </c>
      <c r="T909" s="13">
        <f t="shared" si="460"/>
        <v>27.292999999999999</v>
      </c>
      <c r="U909" s="13">
        <f t="shared" si="470"/>
        <v>13.6465</v>
      </c>
      <c r="V909" s="14">
        <f>U909/C909</f>
        <v>0.35</v>
      </c>
      <c r="W909" s="14"/>
      <c r="X909" s="19">
        <f t="shared" si="455"/>
        <v>13.6465</v>
      </c>
      <c r="Y909" s="19">
        <f t="shared" si="456"/>
        <v>27.292999999999999</v>
      </c>
      <c r="Z909" s="15" t="e">
        <f t="shared" ref="Z909:Z942" si="471">U909/S909</f>
        <v>#DIV/0!</v>
      </c>
      <c r="AA909" s="22" t="s">
        <v>4300</v>
      </c>
      <c r="AG909" s="94" t="s">
        <v>817</v>
      </c>
      <c r="AH909" s="89" t="str">
        <f>VLOOKUP(AG909,Sheet1!$B$3:$D$36,2,FALSE)</f>
        <v>Kitchen &amp; Dining</v>
      </c>
      <c r="AI909" s="89" t="s">
        <v>2821</v>
      </c>
      <c r="AJ909" s="1" t="str">
        <f t="shared" si="461"/>
        <v>Hena cup grey matte</v>
      </c>
      <c r="AK909" s="1" t="str">
        <f t="shared" si="462"/>
        <v>ø8 x h16 - vol. 370 ml</v>
      </c>
      <c r="AL909" s="1" t="str">
        <f t="shared" si="463"/>
        <v>grey matte glass # 6</v>
      </c>
      <c r="AM909" s="1" t="str">
        <f t="shared" si="464"/>
        <v>grey matte glass # 6</v>
      </c>
      <c r="AN909" s="1" t="str">
        <f t="shared" si="465"/>
        <v>grey matte glass # 6</v>
      </c>
      <c r="AQ909" s="1" t="str">
        <f t="shared" si="466"/>
        <v>C</v>
      </c>
      <c r="AR909" s="1" t="str">
        <f>VLOOKUP(TRIM(AI909),Sheet1!$D$3:$E$36,2,FALSE)</f>
        <v>04</v>
      </c>
      <c r="AS909" s="90" t="str">
        <f t="shared" si="467"/>
        <v>09</v>
      </c>
      <c r="AT909" s="1" t="str">
        <f t="shared" si="468"/>
        <v>01</v>
      </c>
      <c r="AU909" s="90" t="s">
        <v>2639</v>
      </c>
      <c r="AV909" s="90"/>
      <c r="AW909" s="90"/>
      <c r="AX909" s="95" t="str">
        <f>AQ909&amp;AR909&amp;AS909&amp;"-"&amp;AT909&amp;AU909&amp;BA909</f>
        <v>C0409-0141</v>
      </c>
      <c r="AY909" s="99" t="str">
        <f>AQ909&amp;AR909&amp;AS909&amp;"-"&amp;AT909&amp;BA909</f>
        <v>C0409-01</v>
      </c>
      <c r="AZ909" s="90"/>
      <c r="BA909" s="1" t="str">
        <f t="shared" si="469"/>
        <v/>
      </c>
      <c r="BC909" s="1" t="str">
        <f t="shared" si="457"/>
        <v/>
      </c>
      <c r="BD909" s="90">
        <f t="shared" si="458"/>
        <v>9</v>
      </c>
      <c r="BE909" s="1">
        <f t="shared" ref="BE909:BE972" si="472">IF(AK908&lt;&gt;AK909,1,"")</f>
        <v>1</v>
      </c>
      <c r="BF909" s="1">
        <f t="shared" ref="BF909:BF972" si="473">IF(BE909=1,1,BF908+1)</f>
        <v>1</v>
      </c>
    </row>
    <row r="910" spans="1:58" ht="11.25" customHeight="1">
      <c r="A910" s="26" t="s">
        <v>4313</v>
      </c>
      <c r="B910" s="27" t="s">
        <v>4314</v>
      </c>
      <c r="C910" s="28">
        <v>11.99</v>
      </c>
      <c r="D910" s="28">
        <f t="shared" si="459"/>
        <v>5.9950000000000001</v>
      </c>
      <c r="E910" s="22" t="s">
        <v>3901</v>
      </c>
      <c r="F910" s="22" t="s">
        <v>4315</v>
      </c>
      <c r="G910" s="22" t="s">
        <v>402</v>
      </c>
      <c r="H910" s="22" t="s">
        <v>4316</v>
      </c>
      <c r="I910" s="23" t="s">
        <v>4317</v>
      </c>
      <c r="J910" s="22" t="s">
        <v>670</v>
      </c>
      <c r="L910" s="23">
        <v>6</v>
      </c>
      <c r="M910" s="23">
        <v>6</v>
      </c>
      <c r="N910" s="3">
        <f t="shared" si="452"/>
        <v>2.1599999999999999E-4</v>
      </c>
      <c r="O910" s="4" t="e">
        <f>(C910-(C910*#REF!))-((C910-(C910*#REF!))*#REF!)</f>
        <v>#REF!</v>
      </c>
      <c r="P910" s="7"/>
      <c r="Q910" s="7"/>
      <c r="R910" s="5">
        <f t="shared" si="453"/>
        <v>0</v>
      </c>
      <c r="S910" s="4">
        <f t="shared" si="454"/>
        <v>0</v>
      </c>
      <c r="T910" s="13">
        <f t="shared" si="460"/>
        <v>8.3930000000000007</v>
      </c>
      <c r="U910" s="13">
        <f t="shared" si="470"/>
        <v>4.1965000000000003</v>
      </c>
      <c r="V910" s="14">
        <f>U910/C910</f>
        <v>0.35000000000000003</v>
      </c>
      <c r="W910" s="14"/>
      <c r="X910" s="19">
        <f t="shared" si="455"/>
        <v>4.1965000000000003</v>
      </c>
      <c r="Y910" s="19">
        <f t="shared" si="456"/>
        <v>8.3930000000000007</v>
      </c>
      <c r="Z910" s="15" t="e">
        <f t="shared" si="471"/>
        <v>#DIV/0!</v>
      </c>
      <c r="AA910" s="22" t="s">
        <v>4318</v>
      </c>
      <c r="AG910" s="94" t="s">
        <v>817</v>
      </c>
      <c r="AH910" s="89" t="str">
        <f>VLOOKUP(AG910,Sheet1!$B$3:$D$36,2,FALSE)</f>
        <v>Kitchen &amp; Dining</v>
      </c>
      <c r="AI910" s="89" t="s">
        <v>2821</v>
      </c>
      <c r="AJ910" s="1" t="str">
        <f t="shared" si="461"/>
        <v>Hena cup white</v>
      </c>
      <c r="AK910" s="1" t="str">
        <f t="shared" si="462"/>
        <v>in - ø6 x h6</v>
      </c>
      <c r="AL910" s="1" t="str">
        <f t="shared" si="463"/>
        <v>stoneware white # 4</v>
      </c>
      <c r="AM910" s="1" t="str">
        <f t="shared" si="464"/>
        <v>stoneware white # 4</v>
      </c>
      <c r="AN910" s="1" t="str">
        <f t="shared" si="465"/>
        <v>stoneware white # 4</v>
      </c>
      <c r="AQ910" s="1" t="str">
        <f t="shared" si="466"/>
        <v>C</v>
      </c>
      <c r="AR910" s="1" t="str">
        <f>VLOOKUP(TRIM(AI910),Sheet1!$D$3:$E$36,2,FALSE)</f>
        <v>04</v>
      </c>
      <c r="AS910" s="90" t="str">
        <f t="shared" si="467"/>
        <v>01</v>
      </c>
      <c r="AT910" s="1" t="str">
        <f t="shared" si="468"/>
        <v>01</v>
      </c>
      <c r="AU910" s="90" t="s">
        <v>4319</v>
      </c>
      <c r="AV910" s="90"/>
      <c r="AW910" s="90"/>
      <c r="AX910" s="95" t="str">
        <f>AQ910&amp;AR910&amp;AS910&amp;"-"&amp;AT910&amp;AU910&amp;BA910</f>
        <v>C0401-0124</v>
      </c>
      <c r="AY910" s="99" t="str">
        <f>AQ910&amp;AR910&amp;AS910&amp;"-"&amp;AT910&amp;BA910</f>
        <v>C0401-01</v>
      </c>
      <c r="AZ910" s="90"/>
      <c r="BA910" s="1" t="str">
        <f t="shared" si="469"/>
        <v/>
      </c>
      <c r="BC910" s="1">
        <f t="shared" si="457"/>
        <v>1</v>
      </c>
      <c r="BD910" s="90">
        <f t="shared" si="458"/>
        <v>1</v>
      </c>
      <c r="BE910" s="1">
        <f t="shared" si="472"/>
        <v>1</v>
      </c>
      <c r="BF910" s="1">
        <f t="shared" si="473"/>
        <v>1</v>
      </c>
    </row>
    <row r="911" spans="1:58" ht="11.25" customHeight="1">
      <c r="A911" s="26" t="s">
        <v>4320</v>
      </c>
      <c r="B911" s="27" t="s">
        <v>4314</v>
      </c>
      <c r="C911" s="28">
        <v>11.99</v>
      </c>
      <c r="D911" s="28">
        <f t="shared" si="459"/>
        <v>5.9950000000000001</v>
      </c>
      <c r="E911" s="22" t="s">
        <v>3901</v>
      </c>
      <c r="F911" s="22" t="s">
        <v>4321</v>
      </c>
      <c r="G911" s="22" t="s">
        <v>402</v>
      </c>
      <c r="H911" s="22" t="s">
        <v>4322</v>
      </c>
      <c r="I911" s="23" t="s">
        <v>4317</v>
      </c>
      <c r="J911" s="22" t="s">
        <v>670</v>
      </c>
      <c r="L911" s="23">
        <v>8</v>
      </c>
      <c r="M911" s="23">
        <v>6</v>
      </c>
      <c r="N911" s="3">
        <f t="shared" si="452"/>
        <v>3.8400000000000001E-4</v>
      </c>
      <c r="O911" s="4" t="e">
        <f>(C911-(C911*#REF!))-((C911-(C911*#REF!))*#REF!)</f>
        <v>#REF!</v>
      </c>
      <c r="P911" s="7">
        <f>104592.701319642-Q911</f>
        <v>92.701319642001181</v>
      </c>
      <c r="Q911" s="7">
        <v>104500</v>
      </c>
      <c r="R911" s="5">
        <f t="shared" si="453"/>
        <v>104592.701319642</v>
      </c>
      <c r="S911" s="4">
        <f t="shared" si="454"/>
        <v>6.9728467546428003</v>
      </c>
      <c r="T911" s="13">
        <f t="shared" si="460"/>
        <v>8.3930000000000007</v>
      </c>
      <c r="U911" s="13">
        <f t="shared" si="470"/>
        <v>4.1965000000000003</v>
      </c>
      <c r="V911" s="14">
        <f>U911/C911</f>
        <v>0.35000000000000003</v>
      </c>
      <c r="W911" s="18">
        <f t="shared" ref="W911:W918" si="474">S911*$W$1</f>
        <v>13.945693509285601</v>
      </c>
      <c r="X911" s="19">
        <f t="shared" si="455"/>
        <v>13.945693509285601</v>
      </c>
      <c r="Y911" s="19">
        <f t="shared" si="456"/>
        <v>27.891387018571201</v>
      </c>
      <c r="Z911" s="15">
        <v>2</v>
      </c>
      <c r="AA911" s="22" t="s">
        <v>4323</v>
      </c>
      <c r="AG911" s="94" t="s">
        <v>817</v>
      </c>
      <c r="AH911" s="89" t="str">
        <f>VLOOKUP(AG911,Sheet1!$B$3:$D$36,2,FALSE)</f>
        <v>Kitchen &amp; Dining</v>
      </c>
      <c r="AI911" s="89" t="s">
        <v>2821</v>
      </c>
      <c r="AJ911" s="1" t="str">
        <f t="shared" si="461"/>
        <v>Hena cup white</v>
      </c>
      <c r="AK911" s="1" t="str">
        <f t="shared" si="462"/>
        <v>ø8 x h6</v>
      </c>
      <c r="AL911" s="1" t="str">
        <f t="shared" si="463"/>
        <v>stoneware white # 4</v>
      </c>
      <c r="AM911" s="1" t="str">
        <f t="shared" si="464"/>
        <v>stoneware white # 4</v>
      </c>
      <c r="AN911" s="1" t="str">
        <f t="shared" si="465"/>
        <v>stoneware white # 4</v>
      </c>
      <c r="AQ911" s="1" t="str">
        <f t="shared" si="466"/>
        <v>C</v>
      </c>
      <c r="AR911" s="1" t="str">
        <f>VLOOKUP(TRIM(AI911),Sheet1!$D$3:$E$36,2,FALSE)</f>
        <v>04</v>
      </c>
      <c r="AS911" s="90" t="str">
        <f t="shared" si="467"/>
        <v>02</v>
      </c>
      <c r="AT911" s="1" t="str">
        <f t="shared" si="468"/>
        <v>01</v>
      </c>
      <c r="AU911" s="90" t="s">
        <v>4319</v>
      </c>
      <c r="AV911" s="90"/>
      <c r="AW911" s="90"/>
      <c r="AX911" s="95" t="str">
        <f>AQ911&amp;AR911&amp;AS911&amp;"-"&amp;AT911&amp;AU911&amp;BA911</f>
        <v>C0402-0124</v>
      </c>
      <c r="AY911" s="99" t="str">
        <f>AQ911&amp;AR911&amp;AS911&amp;"-"&amp;AT911&amp;BA911</f>
        <v>C0402-01</v>
      </c>
      <c r="AZ911" s="90"/>
      <c r="BA911" s="1" t="str">
        <f t="shared" si="469"/>
        <v/>
      </c>
      <c r="BC911" s="1" t="str">
        <f t="shared" si="457"/>
        <v/>
      </c>
      <c r="BD911" s="90">
        <f t="shared" si="458"/>
        <v>2</v>
      </c>
      <c r="BE911" s="1">
        <f t="shared" si="472"/>
        <v>1</v>
      </c>
      <c r="BF911" s="1">
        <f t="shared" si="473"/>
        <v>1</v>
      </c>
    </row>
    <row r="912" spans="1:58" ht="11.25" customHeight="1">
      <c r="A912" s="26" t="s">
        <v>4324</v>
      </c>
      <c r="B912" s="27" t="s">
        <v>4314</v>
      </c>
      <c r="C912" s="28">
        <v>11.99</v>
      </c>
      <c r="D912" s="28">
        <f t="shared" si="459"/>
        <v>5.9950000000000001</v>
      </c>
      <c r="E912" s="22" t="s">
        <v>3901</v>
      </c>
      <c r="F912" s="22" t="s">
        <v>4325</v>
      </c>
      <c r="G912" s="22" t="s">
        <v>402</v>
      </c>
      <c r="H912" s="22" t="s">
        <v>4326</v>
      </c>
      <c r="I912" s="23" t="s">
        <v>4317</v>
      </c>
      <c r="J912" s="22" t="s">
        <v>670</v>
      </c>
      <c r="L912" s="23">
        <v>9</v>
      </c>
      <c r="M912" s="23">
        <v>8</v>
      </c>
      <c r="N912" s="3">
        <f t="shared" si="452"/>
        <v>6.4800000000000003E-4</v>
      </c>
      <c r="O912" s="4" t="e">
        <f>(C912-(C912*#REF!))-((C912-(C912*#REF!))*#REF!)</f>
        <v>#REF!</v>
      </c>
      <c r="P912" s="7">
        <f>132156.433476896-Q912</f>
        <v>156.43347689599614</v>
      </c>
      <c r="Q912" s="7">
        <v>132000</v>
      </c>
      <c r="R912" s="5">
        <f t="shared" si="453"/>
        <v>132156.433476896</v>
      </c>
      <c r="S912" s="4">
        <f t="shared" si="454"/>
        <v>8.8104288984597332</v>
      </c>
      <c r="T912" s="13">
        <f t="shared" si="460"/>
        <v>8.3930000000000007</v>
      </c>
      <c r="U912" s="13">
        <f t="shared" si="470"/>
        <v>4.1965000000000003</v>
      </c>
      <c r="V912" s="14">
        <f>U912/C912</f>
        <v>0.35000000000000003</v>
      </c>
      <c r="W912" s="18">
        <f t="shared" si="474"/>
        <v>17.620857796919466</v>
      </c>
      <c r="X912" s="19">
        <f t="shared" si="455"/>
        <v>17.620857796919466</v>
      </c>
      <c r="Y912" s="19">
        <f t="shared" si="456"/>
        <v>35.241715593838933</v>
      </c>
      <c r="Z912" s="15">
        <v>2</v>
      </c>
      <c r="AA912" s="22" t="s">
        <v>4318</v>
      </c>
      <c r="AG912" s="94" t="s">
        <v>817</v>
      </c>
      <c r="AH912" s="89" t="str">
        <f>VLOOKUP(AG912,Sheet1!$B$3:$D$36,2,FALSE)</f>
        <v>Kitchen &amp; Dining</v>
      </c>
      <c r="AI912" s="89" t="s">
        <v>2821</v>
      </c>
      <c r="AJ912" s="1" t="str">
        <f t="shared" si="461"/>
        <v>Hena cup white</v>
      </c>
      <c r="AK912" s="1" t="str">
        <f t="shared" si="462"/>
        <v>ø9 x h8</v>
      </c>
      <c r="AL912" s="1" t="str">
        <f t="shared" si="463"/>
        <v>stoneware white # 4</v>
      </c>
      <c r="AM912" s="1" t="str">
        <f t="shared" si="464"/>
        <v>stoneware white # 4</v>
      </c>
      <c r="AN912" s="1" t="str">
        <f t="shared" si="465"/>
        <v>stoneware white # 4</v>
      </c>
      <c r="AQ912" s="1" t="str">
        <f t="shared" si="466"/>
        <v>C</v>
      </c>
      <c r="AR912" s="1" t="str">
        <f>VLOOKUP(TRIM(AI912),Sheet1!$D$3:$E$36,2,FALSE)</f>
        <v>04</v>
      </c>
      <c r="AS912" s="90" t="str">
        <f t="shared" si="467"/>
        <v>03</v>
      </c>
      <c r="AT912" s="1" t="str">
        <f t="shared" si="468"/>
        <v>01</v>
      </c>
      <c r="AU912" s="90" t="s">
        <v>4319</v>
      </c>
      <c r="AV912" s="90"/>
      <c r="AW912" s="90"/>
      <c r="AX912" s="95" t="str">
        <f>AQ912&amp;AR912&amp;AS912&amp;"-"&amp;AT912&amp;AU912&amp;BA912</f>
        <v>C0403-0124</v>
      </c>
      <c r="AY912" s="99" t="str">
        <f>AQ912&amp;AR912&amp;AS912&amp;"-"&amp;AT912&amp;BA912</f>
        <v>C0403-01</v>
      </c>
      <c r="AZ912" s="90"/>
      <c r="BA912" s="1" t="str">
        <f t="shared" si="469"/>
        <v/>
      </c>
      <c r="BC912" s="1" t="str">
        <f t="shared" si="457"/>
        <v/>
      </c>
      <c r="BD912" s="90">
        <f t="shared" si="458"/>
        <v>3</v>
      </c>
      <c r="BE912" s="1">
        <f t="shared" si="472"/>
        <v>1</v>
      </c>
      <c r="BF912" s="1">
        <f t="shared" si="473"/>
        <v>1</v>
      </c>
    </row>
    <row r="913" spans="1:58" ht="11.25" customHeight="1">
      <c r="A913" s="26" t="s">
        <v>4327</v>
      </c>
      <c r="B913" s="27" t="s">
        <v>4314</v>
      </c>
      <c r="C913" s="28">
        <v>12.99</v>
      </c>
      <c r="D913" s="28">
        <f t="shared" si="459"/>
        <v>6.4950000000000001</v>
      </c>
      <c r="E913" s="22" t="s">
        <v>3901</v>
      </c>
      <c r="F913" s="22" t="s">
        <v>4328</v>
      </c>
      <c r="G913" s="22" t="s">
        <v>402</v>
      </c>
      <c r="H913" s="22" t="s">
        <v>4329</v>
      </c>
      <c r="I913" s="23" t="s">
        <v>4317</v>
      </c>
      <c r="J913" s="22" t="s">
        <v>670</v>
      </c>
      <c r="L913" s="23">
        <v>8</v>
      </c>
      <c r="M913" s="23">
        <v>12</v>
      </c>
      <c r="N913" s="3">
        <f t="shared" si="452"/>
        <v>7.6800000000000002E-4</v>
      </c>
      <c r="O913" s="4" t="e">
        <f>(C913-(C913*#REF!))-((C913-(C913*#REF!))*#REF!)</f>
        <v>#REF!</v>
      </c>
      <c r="P913" s="7">
        <f>154209.302198254-Q913</f>
        <v>209.30219825400854</v>
      </c>
      <c r="Q913" s="7">
        <v>154000</v>
      </c>
      <c r="R913" s="5">
        <f t="shared" si="453"/>
        <v>154209.30219825401</v>
      </c>
      <c r="S913" s="4">
        <f t="shared" si="454"/>
        <v>10.280620146550268</v>
      </c>
      <c r="T913" s="13">
        <f t="shared" si="460"/>
        <v>9.093</v>
      </c>
      <c r="U913" s="13">
        <f t="shared" si="470"/>
        <v>4.5465</v>
      </c>
      <c r="V913" s="14">
        <f>U913/C913</f>
        <v>0.35</v>
      </c>
      <c r="W913" s="18">
        <f t="shared" si="474"/>
        <v>20.561240293100536</v>
      </c>
      <c r="X913" s="19">
        <f t="shared" si="455"/>
        <v>20.561240293100536</v>
      </c>
      <c r="Y913" s="19">
        <f t="shared" si="456"/>
        <v>41.122480586201071</v>
      </c>
      <c r="Z913" s="15">
        <v>2</v>
      </c>
      <c r="AA913" s="22" t="s">
        <v>4330</v>
      </c>
      <c r="AG913" s="94" t="s">
        <v>817</v>
      </c>
      <c r="AH913" s="89" t="str">
        <f>VLOOKUP(AG913,Sheet1!$B$3:$D$36,2,FALSE)</f>
        <v>Kitchen &amp; Dining</v>
      </c>
      <c r="AI913" s="89" t="s">
        <v>2821</v>
      </c>
      <c r="AJ913" s="1" t="str">
        <f t="shared" si="461"/>
        <v>Hena cup white</v>
      </c>
      <c r="AK913" s="1" t="str">
        <f t="shared" si="462"/>
        <v>ø8 x h12</v>
      </c>
      <c r="AL913" s="1" t="str">
        <f t="shared" si="463"/>
        <v>stoneware white # 4</v>
      </c>
      <c r="AM913" s="1" t="str">
        <f t="shared" si="464"/>
        <v>stoneware white # 4</v>
      </c>
      <c r="AN913" s="1" t="str">
        <f t="shared" si="465"/>
        <v>stoneware white # 4</v>
      </c>
      <c r="AQ913" s="1" t="str">
        <f t="shared" si="466"/>
        <v>C</v>
      </c>
      <c r="AR913" s="1" t="str">
        <f>VLOOKUP(TRIM(AI913),Sheet1!$D$3:$E$36,2,FALSE)</f>
        <v>04</v>
      </c>
      <c r="AS913" s="90" t="str">
        <f t="shared" si="467"/>
        <v>04</v>
      </c>
      <c r="AT913" s="1" t="str">
        <f t="shared" si="468"/>
        <v>01</v>
      </c>
      <c r="AU913" s="90" t="s">
        <v>4319</v>
      </c>
      <c r="AV913" s="90"/>
      <c r="AW913" s="90"/>
      <c r="AX913" s="95" t="str">
        <f>AQ913&amp;AR913&amp;AS913&amp;"-"&amp;AT913&amp;AU913&amp;BA913</f>
        <v>C0404-0124</v>
      </c>
      <c r="AY913" s="99" t="str">
        <f>AQ913&amp;AR913&amp;AS913&amp;"-"&amp;AT913&amp;BA913</f>
        <v>C0404-01</v>
      </c>
      <c r="AZ913" s="90"/>
      <c r="BA913" s="1" t="str">
        <f t="shared" si="469"/>
        <v/>
      </c>
      <c r="BC913" s="1" t="str">
        <f t="shared" si="457"/>
        <v/>
      </c>
      <c r="BD913" s="90">
        <f t="shared" si="458"/>
        <v>4</v>
      </c>
      <c r="BE913" s="1">
        <f t="shared" si="472"/>
        <v>1</v>
      </c>
      <c r="BF913" s="1">
        <f t="shared" si="473"/>
        <v>1</v>
      </c>
    </row>
    <row r="914" spans="1:58" ht="11.25" customHeight="1">
      <c r="A914" s="26" t="s">
        <v>4331</v>
      </c>
      <c r="B914" s="27" t="s">
        <v>4332</v>
      </c>
      <c r="C914" s="28">
        <v>13.99</v>
      </c>
      <c r="D914" s="28">
        <f t="shared" si="459"/>
        <v>6.9950000000000001</v>
      </c>
      <c r="E914" s="22" t="s">
        <v>3901</v>
      </c>
      <c r="F914" s="22" t="s">
        <v>4333</v>
      </c>
      <c r="G914" s="22" t="s">
        <v>363</v>
      </c>
      <c r="H914" s="22" t="s">
        <v>4316</v>
      </c>
      <c r="I914" s="23" t="s">
        <v>4334</v>
      </c>
      <c r="J914" s="22" t="s">
        <v>670</v>
      </c>
      <c r="L914" s="23">
        <v>6</v>
      </c>
      <c r="M914" s="23">
        <v>6</v>
      </c>
      <c r="N914" s="3">
        <f t="shared" ref="N914:N925" si="475">(IF(ISBLANK(K914),(L914*L914*M914),(K914*L914*M914)))/1000000</f>
        <v>2.1599999999999999E-4</v>
      </c>
      <c r="O914" s="4" t="e">
        <f>(C914-(C914*#REF!))-((C914-(C914*#REF!))*#REF!)</f>
        <v>#REF!</v>
      </c>
      <c r="P914" s="7">
        <f>165326.385896239-Q914</f>
        <v>326.38589623899315</v>
      </c>
      <c r="Q914" s="7">
        <v>165000</v>
      </c>
      <c r="R914" s="5">
        <f t="shared" ref="R914:R925" si="476">P914+Q914</f>
        <v>165326.38589623899</v>
      </c>
      <c r="S914" s="4">
        <f t="shared" ref="S914:S925" si="477">R914/15000</f>
        <v>11.021759059749266</v>
      </c>
      <c r="T914" s="13">
        <f t="shared" si="460"/>
        <v>9.7929999999999993</v>
      </c>
      <c r="U914" s="13">
        <f t="shared" si="470"/>
        <v>4.8964999999999996</v>
      </c>
      <c r="V914" s="14">
        <f>U914/C914</f>
        <v>0.35</v>
      </c>
      <c r="W914" s="18">
        <f t="shared" si="474"/>
        <v>22.043518119498533</v>
      </c>
      <c r="X914" s="19">
        <f t="shared" ref="X914:X925" si="478">IF(ISBLANK(W914),U914, W914)</f>
        <v>22.043518119498533</v>
      </c>
      <c r="Y914" s="19">
        <f t="shared" ref="Y914:Y925" si="479">X914*2</f>
        <v>44.087036238997065</v>
      </c>
      <c r="Z914" s="15">
        <v>2</v>
      </c>
      <c r="AA914" s="22" t="s">
        <v>4335</v>
      </c>
      <c r="AG914" s="94" t="s">
        <v>817</v>
      </c>
      <c r="AH914" s="89" t="str">
        <f>VLOOKUP(AG914,Sheet1!$B$3:$D$36,2,FALSE)</f>
        <v>Kitchen &amp; Dining</v>
      </c>
      <c r="AI914" s="89" t="s">
        <v>2821</v>
      </c>
      <c r="AJ914" s="1" t="str">
        <f t="shared" si="461"/>
        <v>Hena cup black</v>
      </c>
      <c r="AK914" s="1" t="str">
        <f t="shared" si="462"/>
        <v>in - ø6 x h6</v>
      </c>
      <c r="AL914" s="1" t="str">
        <f t="shared" si="463"/>
        <v>stoneware black # 4</v>
      </c>
      <c r="AM914" s="1" t="str">
        <f t="shared" si="464"/>
        <v>stoneware black # 4</v>
      </c>
      <c r="AN914" s="1" t="str">
        <f t="shared" si="465"/>
        <v>stoneware black # 4</v>
      </c>
      <c r="AQ914" s="1" t="str">
        <f t="shared" si="466"/>
        <v>C</v>
      </c>
      <c r="AR914" s="1" t="str">
        <f>VLOOKUP(TRIM(AI914),Sheet1!$D$3:$E$36,2,FALSE)</f>
        <v>04</v>
      </c>
      <c r="AS914" s="90" t="str">
        <f t="shared" si="467"/>
        <v>01</v>
      </c>
      <c r="AT914" s="1" t="str">
        <f t="shared" si="468"/>
        <v>01</v>
      </c>
      <c r="AU914" s="90" t="s">
        <v>4319</v>
      </c>
      <c r="AV914" s="90"/>
      <c r="AW914" s="90"/>
      <c r="AX914" s="95" t="str">
        <f>AQ914&amp;AR914&amp;AS914&amp;"-"&amp;AT914&amp;AU914&amp;BA914</f>
        <v>C0401-0124</v>
      </c>
      <c r="AY914" s="99" t="str">
        <f>AQ914&amp;AR914&amp;AS914&amp;"-"&amp;AT914&amp;BA914</f>
        <v>C0401-01</v>
      </c>
      <c r="AZ914" s="90"/>
      <c r="BA914" s="1" t="str">
        <f t="shared" si="469"/>
        <v/>
      </c>
      <c r="BC914" s="1">
        <f t="shared" si="457"/>
        <v>1</v>
      </c>
      <c r="BD914" s="90">
        <f t="shared" si="458"/>
        <v>1</v>
      </c>
      <c r="BE914" s="1">
        <f t="shared" si="472"/>
        <v>1</v>
      </c>
      <c r="BF914" s="1">
        <f t="shared" si="473"/>
        <v>1</v>
      </c>
    </row>
    <row r="915" spans="1:58" ht="11.25" customHeight="1">
      <c r="A915" s="26" t="s">
        <v>4336</v>
      </c>
      <c r="B915" s="27" t="s">
        <v>4332</v>
      </c>
      <c r="C915" s="28">
        <v>13.99</v>
      </c>
      <c r="D915" s="28">
        <f t="shared" si="459"/>
        <v>6.9950000000000001</v>
      </c>
      <c r="E915" s="22" t="s">
        <v>3901</v>
      </c>
      <c r="F915" s="22" t="s">
        <v>4337</v>
      </c>
      <c r="G915" s="22" t="s">
        <v>363</v>
      </c>
      <c r="H915" s="22" t="s">
        <v>4322</v>
      </c>
      <c r="I915" s="23" t="s">
        <v>4334</v>
      </c>
      <c r="J915" s="22" t="s">
        <v>670</v>
      </c>
      <c r="L915" s="23">
        <v>8</v>
      </c>
      <c r="M915" s="23">
        <v>6</v>
      </c>
      <c r="N915" s="3">
        <f t="shared" si="475"/>
        <v>3.8400000000000001E-4</v>
      </c>
      <c r="O915" s="4" t="e">
        <f>(C915-(C915*#REF!))-((C915-(C915*#REF!))*#REF!)</f>
        <v>#REF!</v>
      </c>
      <c r="P915" s="7">
        <f>115042.701319642-Q915</f>
        <v>92.701319642001181</v>
      </c>
      <c r="Q915" s="7">
        <v>114950</v>
      </c>
      <c r="R915" s="5">
        <f t="shared" si="476"/>
        <v>115042.701319642</v>
      </c>
      <c r="S915" s="4">
        <f t="shared" si="477"/>
        <v>7.6695134213094667</v>
      </c>
      <c r="T915" s="13">
        <f t="shared" si="460"/>
        <v>9.7929999999999993</v>
      </c>
      <c r="U915" s="13">
        <f t="shared" si="470"/>
        <v>4.8964999999999996</v>
      </c>
      <c r="V915" s="14">
        <f>U915/C915</f>
        <v>0.35</v>
      </c>
      <c r="W915" s="18">
        <f t="shared" si="474"/>
        <v>15.339026842618933</v>
      </c>
      <c r="X915" s="19">
        <f t="shared" si="478"/>
        <v>15.339026842618933</v>
      </c>
      <c r="Y915" s="19">
        <f t="shared" si="479"/>
        <v>30.678053685237867</v>
      </c>
      <c r="Z915" s="15">
        <v>2</v>
      </c>
      <c r="AA915" s="22" t="s">
        <v>4338</v>
      </c>
      <c r="AG915" s="94" t="s">
        <v>817</v>
      </c>
      <c r="AH915" s="89" t="str">
        <f>VLOOKUP(AG915,Sheet1!$B$3:$D$36,2,FALSE)</f>
        <v>Kitchen &amp; Dining</v>
      </c>
      <c r="AI915" s="89" t="s">
        <v>2821</v>
      </c>
      <c r="AJ915" s="1" t="str">
        <f t="shared" si="461"/>
        <v>Hena cup black</v>
      </c>
      <c r="AK915" s="1" t="str">
        <f t="shared" si="462"/>
        <v>ø8 x h6</v>
      </c>
      <c r="AL915" s="1" t="str">
        <f t="shared" si="463"/>
        <v>stoneware black # 4</v>
      </c>
      <c r="AM915" s="1" t="str">
        <f t="shared" si="464"/>
        <v>stoneware black # 4</v>
      </c>
      <c r="AN915" s="1" t="str">
        <f t="shared" si="465"/>
        <v>stoneware black # 4</v>
      </c>
      <c r="AQ915" s="1" t="str">
        <f t="shared" si="466"/>
        <v>C</v>
      </c>
      <c r="AR915" s="1" t="str">
        <f>VLOOKUP(TRIM(AI915),Sheet1!$D$3:$E$36,2,FALSE)</f>
        <v>04</v>
      </c>
      <c r="AS915" s="90" t="str">
        <f t="shared" si="467"/>
        <v>02</v>
      </c>
      <c r="AT915" s="1" t="str">
        <f t="shared" si="468"/>
        <v>01</v>
      </c>
      <c r="AU915" s="90" t="s">
        <v>4319</v>
      </c>
      <c r="AV915" s="90"/>
      <c r="AW915" s="90"/>
      <c r="AX915" s="95" t="str">
        <f>AQ915&amp;AR915&amp;AS915&amp;"-"&amp;AT915&amp;AU915&amp;BA915</f>
        <v>C0402-0124</v>
      </c>
      <c r="AY915" s="99" t="str">
        <f>AQ915&amp;AR915&amp;AS915&amp;"-"&amp;AT915&amp;BA915</f>
        <v>C0402-01</v>
      </c>
      <c r="AZ915" s="90"/>
      <c r="BA915" s="1" t="str">
        <f t="shared" si="469"/>
        <v/>
      </c>
      <c r="BC915" s="1" t="str">
        <f t="shared" si="457"/>
        <v/>
      </c>
      <c r="BD915" s="90">
        <f t="shared" si="458"/>
        <v>2</v>
      </c>
      <c r="BE915" s="1">
        <f t="shared" si="472"/>
        <v>1</v>
      </c>
      <c r="BF915" s="1">
        <f t="shared" si="473"/>
        <v>1</v>
      </c>
    </row>
    <row r="916" spans="1:58" ht="11.25" customHeight="1">
      <c r="A916" s="26" t="s">
        <v>4339</v>
      </c>
      <c r="B916" s="27" t="s">
        <v>4332</v>
      </c>
      <c r="C916" s="28">
        <v>13.99</v>
      </c>
      <c r="D916" s="28">
        <f t="shared" si="459"/>
        <v>6.9950000000000001</v>
      </c>
      <c r="E916" s="22" t="s">
        <v>3901</v>
      </c>
      <c r="F916" s="22" t="s">
        <v>4340</v>
      </c>
      <c r="G916" s="22" t="s">
        <v>363</v>
      </c>
      <c r="H916" s="22" t="s">
        <v>4326</v>
      </c>
      <c r="I916" s="23" t="s">
        <v>4334</v>
      </c>
      <c r="J916" s="22" t="s">
        <v>670</v>
      </c>
      <c r="L916" s="23">
        <v>9</v>
      </c>
      <c r="M916" s="23">
        <v>8</v>
      </c>
      <c r="N916" s="3">
        <f t="shared" si="475"/>
        <v>6.4800000000000003E-4</v>
      </c>
      <c r="O916" s="4" t="e">
        <f>(C916-(C916*#REF!))-((C916-(C916*#REF!))*#REF!)</f>
        <v>#REF!</v>
      </c>
      <c r="P916" s="7">
        <f>145356.433476896-Q916</f>
        <v>156.43347689599614</v>
      </c>
      <c r="Q916" s="7">
        <v>145200</v>
      </c>
      <c r="R916" s="5">
        <f t="shared" si="476"/>
        <v>145356.433476896</v>
      </c>
      <c r="S916" s="4">
        <f t="shared" si="477"/>
        <v>9.6904288984597322</v>
      </c>
      <c r="T916" s="13">
        <f t="shared" si="460"/>
        <v>9.7929999999999993</v>
      </c>
      <c r="U916" s="13">
        <f t="shared" si="470"/>
        <v>4.8964999999999996</v>
      </c>
      <c r="V916" s="14">
        <f>U916/C916</f>
        <v>0.35</v>
      </c>
      <c r="W916" s="18">
        <f t="shared" si="474"/>
        <v>19.380857796919464</v>
      </c>
      <c r="X916" s="19">
        <f t="shared" si="478"/>
        <v>19.380857796919464</v>
      </c>
      <c r="Y916" s="19">
        <f t="shared" si="479"/>
        <v>38.761715593838929</v>
      </c>
      <c r="Z916" s="15">
        <v>2</v>
      </c>
      <c r="AA916" s="22" t="s">
        <v>4338</v>
      </c>
      <c r="AG916" s="94" t="s">
        <v>817</v>
      </c>
      <c r="AH916" s="89" t="str">
        <f>VLOOKUP(AG916,Sheet1!$B$3:$D$36,2,FALSE)</f>
        <v>Kitchen &amp; Dining</v>
      </c>
      <c r="AI916" s="89" t="s">
        <v>2821</v>
      </c>
      <c r="AJ916" s="1" t="str">
        <f t="shared" si="461"/>
        <v>Hena cup black</v>
      </c>
      <c r="AK916" s="1" t="str">
        <f t="shared" si="462"/>
        <v>ø9 x h8</v>
      </c>
      <c r="AL916" s="1" t="str">
        <f t="shared" si="463"/>
        <v>stoneware black # 4</v>
      </c>
      <c r="AM916" s="1" t="str">
        <f t="shared" si="464"/>
        <v>stoneware black # 4</v>
      </c>
      <c r="AN916" s="1" t="str">
        <f t="shared" si="465"/>
        <v>stoneware black # 4</v>
      </c>
      <c r="AQ916" s="1" t="str">
        <f t="shared" si="466"/>
        <v>C</v>
      </c>
      <c r="AR916" s="1" t="str">
        <f>VLOOKUP(TRIM(AI916),Sheet1!$D$3:$E$36,2,FALSE)</f>
        <v>04</v>
      </c>
      <c r="AS916" s="90" t="str">
        <f t="shared" si="467"/>
        <v>03</v>
      </c>
      <c r="AT916" s="1" t="str">
        <f t="shared" si="468"/>
        <v>01</v>
      </c>
      <c r="AU916" s="90" t="s">
        <v>4319</v>
      </c>
      <c r="AV916" s="90"/>
      <c r="AW916" s="90"/>
      <c r="AX916" s="95" t="str">
        <f>AQ916&amp;AR916&amp;AS916&amp;"-"&amp;AT916&amp;AU916&amp;BA916</f>
        <v>C0403-0124</v>
      </c>
      <c r="AY916" s="99" t="str">
        <f>AQ916&amp;AR916&amp;AS916&amp;"-"&amp;AT916&amp;BA916</f>
        <v>C0403-01</v>
      </c>
      <c r="AZ916" s="90"/>
      <c r="BA916" s="1" t="str">
        <f t="shared" si="469"/>
        <v/>
      </c>
      <c r="BC916" s="1" t="str">
        <f t="shared" si="457"/>
        <v/>
      </c>
      <c r="BD916" s="90">
        <f t="shared" si="458"/>
        <v>3</v>
      </c>
      <c r="BE916" s="1">
        <f t="shared" si="472"/>
        <v>1</v>
      </c>
      <c r="BF916" s="1">
        <f t="shared" si="473"/>
        <v>1</v>
      </c>
    </row>
    <row r="917" spans="1:58" ht="11.25" customHeight="1">
      <c r="A917" s="26" t="s">
        <v>4341</v>
      </c>
      <c r="B917" s="27" t="s">
        <v>4332</v>
      </c>
      <c r="C917" s="28">
        <v>13.99</v>
      </c>
      <c r="D917" s="28">
        <f t="shared" si="459"/>
        <v>6.9950000000000001</v>
      </c>
      <c r="E917" s="22" t="s">
        <v>3901</v>
      </c>
      <c r="F917" s="22" t="s">
        <v>4342</v>
      </c>
      <c r="G917" s="22" t="s">
        <v>363</v>
      </c>
      <c r="H917" s="22" t="s">
        <v>4329</v>
      </c>
      <c r="I917" s="23" t="s">
        <v>4334</v>
      </c>
      <c r="J917" s="22" t="s">
        <v>670</v>
      </c>
      <c r="L917" s="23">
        <v>8</v>
      </c>
      <c r="M917" s="23">
        <v>12</v>
      </c>
      <c r="N917" s="3">
        <f t="shared" si="475"/>
        <v>7.6800000000000002E-4</v>
      </c>
      <c r="O917" s="4" t="e">
        <f>(C917-(C917*#REF!))-((C917-(C917*#REF!))*#REF!)</f>
        <v>#REF!</v>
      </c>
      <c r="P917" s="7">
        <f>169609.302198254-Q917</f>
        <v>209.30219825400854</v>
      </c>
      <c r="Q917" s="7">
        <v>169400</v>
      </c>
      <c r="R917" s="5">
        <f t="shared" si="476"/>
        <v>169609.30219825401</v>
      </c>
      <c r="S917" s="4">
        <f t="shared" si="477"/>
        <v>11.307286813216933</v>
      </c>
      <c r="T917" s="13">
        <f t="shared" si="460"/>
        <v>9.7929999999999993</v>
      </c>
      <c r="U917" s="13">
        <f t="shared" si="470"/>
        <v>4.8964999999999996</v>
      </c>
      <c r="V917" s="14">
        <f>U917/C917</f>
        <v>0.35</v>
      </c>
      <c r="W917" s="18">
        <f t="shared" si="474"/>
        <v>22.614573626433867</v>
      </c>
      <c r="X917" s="19">
        <f t="shared" si="478"/>
        <v>22.614573626433867</v>
      </c>
      <c r="Y917" s="19">
        <f t="shared" si="479"/>
        <v>45.229147252867733</v>
      </c>
      <c r="Z917" s="15">
        <v>2</v>
      </c>
      <c r="AA917" s="22" t="s">
        <v>4343</v>
      </c>
      <c r="AG917" s="94" t="s">
        <v>817</v>
      </c>
      <c r="AH917" s="89" t="str">
        <f>VLOOKUP(AG917,Sheet1!$B$3:$D$36,2,FALSE)</f>
        <v>Kitchen &amp; Dining</v>
      </c>
      <c r="AI917" s="89" t="s">
        <v>2821</v>
      </c>
      <c r="AJ917" s="1" t="str">
        <f t="shared" si="461"/>
        <v>Hena cup black</v>
      </c>
      <c r="AK917" s="1" t="str">
        <f t="shared" si="462"/>
        <v>ø8 x h12</v>
      </c>
      <c r="AL917" s="1" t="str">
        <f t="shared" si="463"/>
        <v>stoneware black # 4</v>
      </c>
      <c r="AM917" s="1" t="str">
        <f t="shared" si="464"/>
        <v>stoneware black # 4</v>
      </c>
      <c r="AN917" s="1" t="str">
        <f t="shared" si="465"/>
        <v>stoneware black # 4</v>
      </c>
      <c r="AQ917" s="1" t="str">
        <f t="shared" si="466"/>
        <v>C</v>
      </c>
      <c r="AR917" s="1" t="str">
        <f>VLOOKUP(TRIM(AI917),Sheet1!$D$3:$E$36,2,FALSE)</f>
        <v>04</v>
      </c>
      <c r="AS917" s="90" t="str">
        <f t="shared" si="467"/>
        <v>04</v>
      </c>
      <c r="AT917" s="1" t="str">
        <f t="shared" si="468"/>
        <v>01</v>
      </c>
      <c r="AU917" s="90" t="s">
        <v>4319</v>
      </c>
      <c r="AV917" s="90"/>
      <c r="AW917" s="90"/>
      <c r="AX917" s="95" t="str">
        <f>AQ917&amp;AR917&amp;AS917&amp;"-"&amp;AT917&amp;AU917&amp;BA917</f>
        <v>C0404-0124</v>
      </c>
      <c r="AY917" s="99" t="str">
        <f>AQ917&amp;AR917&amp;AS917&amp;"-"&amp;AT917&amp;BA917</f>
        <v>C0404-01</v>
      </c>
      <c r="AZ917" s="90"/>
      <c r="BA917" s="1" t="str">
        <f t="shared" si="469"/>
        <v/>
      </c>
      <c r="BC917" s="1" t="str">
        <f t="shared" si="457"/>
        <v/>
      </c>
      <c r="BD917" s="90">
        <f t="shared" si="458"/>
        <v>4</v>
      </c>
      <c r="BE917" s="1">
        <f t="shared" si="472"/>
        <v>1</v>
      </c>
      <c r="BF917" s="1">
        <f t="shared" si="473"/>
        <v>1</v>
      </c>
    </row>
    <row r="918" spans="1:58" ht="11.25" customHeight="1">
      <c r="A918" s="26" t="s">
        <v>4344</v>
      </c>
      <c r="B918" s="27" t="s">
        <v>4345</v>
      </c>
      <c r="C918" s="28">
        <v>14.99</v>
      </c>
      <c r="D918" s="28">
        <f t="shared" si="459"/>
        <v>7.4950000000000001</v>
      </c>
      <c r="E918" s="22" t="s">
        <v>3901</v>
      </c>
      <c r="F918" s="22" t="s">
        <v>4321</v>
      </c>
      <c r="G918" s="22" t="s">
        <v>413</v>
      </c>
      <c r="H918" s="22" t="s">
        <v>4346</v>
      </c>
      <c r="I918" s="23" t="s">
        <v>4347</v>
      </c>
      <c r="J918" s="22" t="s">
        <v>670</v>
      </c>
      <c r="L918" s="23">
        <v>8</v>
      </c>
      <c r="M918" s="23">
        <v>6</v>
      </c>
      <c r="N918" s="3">
        <f t="shared" si="475"/>
        <v>3.8400000000000001E-4</v>
      </c>
      <c r="O918" s="4" t="e">
        <f>(C918-(C918*#REF!))-((C918-(C918*#REF!))*#REF!)</f>
        <v>#REF!</v>
      </c>
      <c r="P918" s="7">
        <f>181826.385896239-Q918</f>
        <v>326.38589623899315</v>
      </c>
      <c r="Q918" s="7">
        <v>181500</v>
      </c>
      <c r="R918" s="5">
        <f t="shared" si="476"/>
        <v>181826.38589623899</v>
      </c>
      <c r="S918" s="4">
        <f t="shared" si="477"/>
        <v>12.121759059749266</v>
      </c>
      <c r="T918" s="13">
        <f t="shared" si="460"/>
        <v>10.493</v>
      </c>
      <c r="U918" s="13">
        <f t="shared" si="470"/>
        <v>5.2465000000000002</v>
      </c>
      <c r="V918" s="14">
        <f>U918/C918</f>
        <v>0.35000000000000003</v>
      </c>
      <c r="W918" s="18">
        <f t="shared" si="474"/>
        <v>24.243518119498532</v>
      </c>
      <c r="X918" s="19">
        <f t="shared" si="478"/>
        <v>24.243518119498532</v>
      </c>
      <c r="Y918" s="19">
        <f t="shared" si="479"/>
        <v>48.487036238997064</v>
      </c>
      <c r="Z918" s="15">
        <v>2</v>
      </c>
      <c r="AA918" s="22" t="s">
        <v>4348</v>
      </c>
      <c r="AG918" s="94" t="s">
        <v>817</v>
      </c>
      <c r="AH918" s="89" t="str">
        <f>VLOOKUP(AG918,Sheet1!$B$3:$D$36,2,FALSE)</f>
        <v>Kitchen &amp; Dining</v>
      </c>
      <c r="AI918" s="89" t="s">
        <v>2821</v>
      </c>
      <c r="AJ918" s="1" t="str">
        <f t="shared" si="461"/>
        <v>Hena cup with handle white</v>
      </c>
      <c r="AK918" s="1" t="str">
        <f t="shared" si="462"/>
        <v>in - ø8 x h6</v>
      </c>
      <c r="AL918" s="1" t="str">
        <f t="shared" si="463"/>
        <v>stoneware # 4</v>
      </c>
      <c r="AM918" s="1" t="str">
        <f t="shared" si="464"/>
        <v>stoneware # 4</v>
      </c>
      <c r="AN918" s="1" t="str">
        <f t="shared" si="465"/>
        <v>stoneware # 4</v>
      </c>
      <c r="AQ918" s="1" t="str">
        <f t="shared" si="466"/>
        <v>C</v>
      </c>
      <c r="AR918" s="1" t="str">
        <f>VLOOKUP(TRIM(AI918),Sheet1!$D$3:$E$36,2,FALSE)</f>
        <v>04</v>
      </c>
      <c r="AS918" s="90" t="str">
        <f t="shared" si="467"/>
        <v>01</v>
      </c>
      <c r="AT918" s="1" t="str">
        <f t="shared" si="468"/>
        <v>01</v>
      </c>
      <c r="AU918" s="90" t="s">
        <v>4319</v>
      </c>
      <c r="AV918" s="90"/>
      <c r="AW918" s="90"/>
      <c r="AX918" s="95" t="str">
        <f>AQ918&amp;AR918&amp;AS918&amp;"-"&amp;AT918&amp;AU918&amp;BA918</f>
        <v>C0401-0124</v>
      </c>
      <c r="AY918" s="99" t="str">
        <f>AQ918&amp;AR918&amp;AS918&amp;"-"&amp;AT918&amp;BA918</f>
        <v>C0401-01</v>
      </c>
      <c r="AZ918" s="90"/>
      <c r="BA918" s="1" t="str">
        <f t="shared" si="469"/>
        <v/>
      </c>
      <c r="BC918" s="1">
        <f t="shared" si="457"/>
        <v>1</v>
      </c>
      <c r="BD918" s="90">
        <f t="shared" si="458"/>
        <v>1</v>
      </c>
      <c r="BE918" s="1">
        <f t="shared" si="472"/>
        <v>1</v>
      </c>
      <c r="BF918" s="1">
        <f t="shared" si="473"/>
        <v>1</v>
      </c>
    </row>
    <row r="919" spans="1:58" ht="11.25" customHeight="1">
      <c r="A919" s="26" t="s">
        <v>4349</v>
      </c>
      <c r="B919" s="27" t="s">
        <v>4345</v>
      </c>
      <c r="C919" s="28">
        <v>15.99</v>
      </c>
      <c r="D919" s="28">
        <f t="shared" si="459"/>
        <v>7.9950000000000001</v>
      </c>
      <c r="E919" s="22" t="s">
        <v>3901</v>
      </c>
      <c r="F919" s="22" t="s">
        <v>4325</v>
      </c>
      <c r="G919" s="22" t="s">
        <v>413</v>
      </c>
      <c r="H919" s="22" t="s">
        <v>4326</v>
      </c>
      <c r="I919" s="23" t="s">
        <v>4347</v>
      </c>
      <c r="J919" s="22" t="s">
        <v>670</v>
      </c>
      <c r="L919" s="23">
        <v>9</v>
      </c>
      <c r="M919" s="23">
        <v>8</v>
      </c>
      <c r="N919" s="3">
        <f t="shared" si="475"/>
        <v>6.4800000000000003E-4</v>
      </c>
      <c r="O919" s="4" t="e">
        <f>(C919-(C919*#REF!))-((C919-(C919*#REF!))*#REF!)</f>
        <v>#REF!</v>
      </c>
      <c r="P919" s="7"/>
      <c r="Q919" s="7"/>
      <c r="R919" s="5">
        <f t="shared" si="476"/>
        <v>0</v>
      </c>
      <c r="S919" s="4">
        <f t="shared" si="477"/>
        <v>0</v>
      </c>
      <c r="T919" s="13">
        <f t="shared" si="460"/>
        <v>11.193000000000001</v>
      </c>
      <c r="U919" s="13">
        <f t="shared" si="470"/>
        <v>5.5965000000000007</v>
      </c>
      <c r="V919" s="14">
        <f>U919/C919</f>
        <v>0.35000000000000003</v>
      </c>
      <c r="W919" s="14"/>
      <c r="X919" s="19">
        <f t="shared" si="478"/>
        <v>5.5965000000000007</v>
      </c>
      <c r="Y919" s="19">
        <f t="shared" si="479"/>
        <v>11.193000000000001</v>
      </c>
      <c r="Z919" s="15" t="e">
        <f t="shared" ref="Z919:Z979" si="480">U919/S919</f>
        <v>#DIV/0!</v>
      </c>
      <c r="AA919" s="22" t="s">
        <v>4348</v>
      </c>
      <c r="AG919" s="94" t="s">
        <v>817</v>
      </c>
      <c r="AH919" s="89" t="str">
        <f>VLOOKUP(AG919,Sheet1!$B$3:$D$36,2,FALSE)</f>
        <v>Kitchen &amp; Dining</v>
      </c>
      <c r="AI919" s="89" t="s">
        <v>2821</v>
      </c>
      <c r="AJ919" s="1" t="str">
        <f t="shared" si="461"/>
        <v>Hena cup with handle white</v>
      </c>
      <c r="AK919" s="1" t="str">
        <f t="shared" si="462"/>
        <v>ø9 x h8</v>
      </c>
      <c r="AL919" s="1" t="str">
        <f t="shared" si="463"/>
        <v>stoneware # 4</v>
      </c>
      <c r="AM919" s="1" t="str">
        <f t="shared" si="464"/>
        <v>stoneware # 4</v>
      </c>
      <c r="AN919" s="1" t="str">
        <f t="shared" si="465"/>
        <v>stoneware # 4</v>
      </c>
      <c r="AQ919" s="1" t="str">
        <f t="shared" si="466"/>
        <v>C</v>
      </c>
      <c r="AR919" s="1" t="str">
        <f>VLOOKUP(TRIM(AI919),Sheet1!$D$3:$E$36,2,FALSE)</f>
        <v>04</v>
      </c>
      <c r="AS919" s="90" t="str">
        <f t="shared" si="467"/>
        <v>02</v>
      </c>
      <c r="AT919" s="1" t="str">
        <f t="shared" si="468"/>
        <v>01</v>
      </c>
      <c r="AU919" s="90" t="s">
        <v>4319</v>
      </c>
      <c r="AV919" s="90"/>
      <c r="AW919" s="90"/>
      <c r="AX919" s="95" t="str">
        <f>AQ919&amp;AR919&amp;AS919&amp;"-"&amp;AT919&amp;AU919&amp;BA919</f>
        <v>C0402-0124</v>
      </c>
      <c r="AY919" s="99" t="str">
        <f>AQ919&amp;AR919&amp;AS919&amp;"-"&amp;AT919&amp;BA919</f>
        <v>C0402-01</v>
      </c>
      <c r="AZ919" s="90"/>
      <c r="BA919" s="1" t="str">
        <f t="shared" si="469"/>
        <v/>
      </c>
      <c r="BC919" s="1" t="str">
        <f t="shared" si="457"/>
        <v/>
      </c>
      <c r="BD919" s="90">
        <f t="shared" si="458"/>
        <v>2</v>
      </c>
      <c r="BE919" s="1">
        <f t="shared" si="472"/>
        <v>1</v>
      </c>
      <c r="BF919" s="1">
        <f t="shared" si="473"/>
        <v>1</v>
      </c>
    </row>
    <row r="920" spans="1:58" ht="11.25" customHeight="1">
      <c r="A920" s="26" t="s">
        <v>4350</v>
      </c>
      <c r="B920" s="27" t="s">
        <v>4345</v>
      </c>
      <c r="C920" s="28">
        <v>16.989999999999998</v>
      </c>
      <c r="D920" s="28">
        <f t="shared" si="459"/>
        <v>8.4949999999999992</v>
      </c>
      <c r="E920" s="22" t="s">
        <v>3901</v>
      </c>
      <c r="F920" s="22" t="s">
        <v>4351</v>
      </c>
      <c r="G920" s="22" t="s">
        <v>413</v>
      </c>
      <c r="H920" s="22" t="s">
        <v>4352</v>
      </c>
      <c r="I920" s="23" t="s">
        <v>4347</v>
      </c>
      <c r="J920" s="22" t="s">
        <v>670</v>
      </c>
      <c r="L920" s="23">
        <v>8.5</v>
      </c>
      <c r="M920" s="23">
        <v>12</v>
      </c>
      <c r="N920" s="3">
        <f t="shared" si="475"/>
        <v>8.6700000000000004E-4</v>
      </c>
      <c r="O920" s="4" t="e">
        <f>(C920-(C920*#REF!))-((C920-(C920*#REF!))*#REF!)</f>
        <v>#REF!</v>
      </c>
      <c r="P920" s="7"/>
      <c r="Q920" s="7"/>
      <c r="R920" s="5">
        <f t="shared" si="476"/>
        <v>0</v>
      </c>
      <c r="S920" s="4">
        <f t="shared" si="477"/>
        <v>0</v>
      </c>
      <c r="T920" s="13">
        <f t="shared" si="460"/>
        <v>11.892999999999999</v>
      </c>
      <c r="U920" s="13">
        <f t="shared" si="470"/>
        <v>5.9464999999999995</v>
      </c>
      <c r="V920" s="14">
        <f>U920/C920</f>
        <v>0.35</v>
      </c>
      <c r="W920" s="14"/>
      <c r="X920" s="19">
        <f t="shared" si="478"/>
        <v>5.9464999999999995</v>
      </c>
      <c r="Y920" s="19">
        <f t="shared" si="479"/>
        <v>11.892999999999999</v>
      </c>
      <c r="Z920" s="15" t="e">
        <f t="shared" si="480"/>
        <v>#DIV/0!</v>
      </c>
      <c r="AA920" s="22" t="s">
        <v>4353</v>
      </c>
      <c r="AG920" s="94" t="s">
        <v>817</v>
      </c>
      <c r="AH920" s="89" t="str">
        <f>VLOOKUP(AG920,Sheet1!$B$3:$D$36,2,FALSE)</f>
        <v>Kitchen &amp; Dining</v>
      </c>
      <c r="AI920" s="89" t="s">
        <v>2821</v>
      </c>
      <c r="AJ920" s="1" t="str">
        <f t="shared" si="461"/>
        <v>Hena cup with handle white</v>
      </c>
      <c r="AK920" s="1" t="str">
        <f t="shared" si="462"/>
        <v>ø8,5 x h12</v>
      </c>
      <c r="AL920" s="1" t="str">
        <f t="shared" si="463"/>
        <v>stoneware # 4</v>
      </c>
      <c r="AM920" s="1" t="str">
        <f t="shared" si="464"/>
        <v>stoneware # 4</v>
      </c>
      <c r="AN920" s="1" t="str">
        <f t="shared" si="465"/>
        <v>stoneware # 4</v>
      </c>
      <c r="AQ920" s="1" t="str">
        <f t="shared" si="466"/>
        <v>C</v>
      </c>
      <c r="AR920" s="1" t="str">
        <f>VLOOKUP(TRIM(AI920),Sheet1!$D$3:$E$36,2,FALSE)</f>
        <v>04</v>
      </c>
      <c r="AS920" s="90" t="str">
        <f t="shared" si="467"/>
        <v>03</v>
      </c>
      <c r="AT920" s="1" t="str">
        <f t="shared" si="468"/>
        <v>01</v>
      </c>
      <c r="AU920" s="90" t="s">
        <v>4319</v>
      </c>
      <c r="AV920" s="90"/>
      <c r="AW920" s="90"/>
      <c r="AX920" s="95" t="str">
        <f>AQ920&amp;AR920&amp;AS920&amp;"-"&amp;AT920&amp;AU920&amp;BA920</f>
        <v>C0403-0124</v>
      </c>
      <c r="AY920" s="99" t="str">
        <f>AQ920&amp;AR920&amp;AS920&amp;"-"&amp;AT920&amp;BA920</f>
        <v>C0403-01</v>
      </c>
      <c r="AZ920" s="90"/>
      <c r="BA920" s="1" t="str">
        <f t="shared" si="469"/>
        <v/>
      </c>
      <c r="BC920" s="1" t="str">
        <f t="shared" si="457"/>
        <v/>
      </c>
      <c r="BD920" s="90">
        <f t="shared" si="458"/>
        <v>3</v>
      </c>
      <c r="BE920" s="1">
        <f t="shared" si="472"/>
        <v>1</v>
      </c>
      <c r="BF920" s="1">
        <f t="shared" si="473"/>
        <v>1</v>
      </c>
    </row>
    <row r="921" spans="1:58" ht="11.25" customHeight="1">
      <c r="A921" s="26" t="s">
        <v>4354</v>
      </c>
      <c r="B921" s="27" t="s">
        <v>4345</v>
      </c>
      <c r="C921" s="28">
        <v>18.989999999999998</v>
      </c>
      <c r="D921" s="28">
        <f t="shared" si="459"/>
        <v>9.4949999999999992</v>
      </c>
      <c r="E921" s="22" t="s">
        <v>3901</v>
      </c>
      <c r="F921" s="22" t="s">
        <v>4355</v>
      </c>
      <c r="G921" s="22" t="s">
        <v>413</v>
      </c>
      <c r="H921" s="22" t="s">
        <v>4356</v>
      </c>
      <c r="I921" s="23" t="s">
        <v>4347</v>
      </c>
      <c r="J921" s="22" t="s">
        <v>670</v>
      </c>
      <c r="L921" s="23">
        <v>13</v>
      </c>
      <c r="M921" s="23">
        <v>8</v>
      </c>
      <c r="N921" s="3">
        <f t="shared" si="475"/>
        <v>1.3519999999999999E-3</v>
      </c>
      <c r="O921" s="4" t="e">
        <f>(C921-(C921*#REF!))-((C921-(C921*#REF!))*#REF!)</f>
        <v>#REF!</v>
      </c>
      <c r="P921" s="7"/>
      <c r="Q921" s="7"/>
      <c r="R921" s="5">
        <f t="shared" si="476"/>
        <v>0</v>
      </c>
      <c r="S921" s="4">
        <f t="shared" si="477"/>
        <v>0</v>
      </c>
      <c r="T921" s="13">
        <f t="shared" si="460"/>
        <v>13.292999999999999</v>
      </c>
      <c r="U921" s="13">
        <f t="shared" si="470"/>
        <v>6.6464999999999996</v>
      </c>
      <c r="V921" s="14">
        <f>U921/C921</f>
        <v>0.35000000000000003</v>
      </c>
      <c r="W921" s="14"/>
      <c r="X921" s="19">
        <f t="shared" si="478"/>
        <v>6.6464999999999996</v>
      </c>
      <c r="Y921" s="19">
        <f t="shared" si="479"/>
        <v>13.292999999999999</v>
      </c>
      <c r="Z921" s="15" t="e">
        <f t="shared" si="480"/>
        <v>#DIV/0!</v>
      </c>
      <c r="AA921" s="22" t="s">
        <v>4348</v>
      </c>
      <c r="AG921" s="94" t="s">
        <v>817</v>
      </c>
      <c r="AH921" s="89" t="str">
        <f>VLOOKUP(AG921,Sheet1!$B$3:$D$36,2,FALSE)</f>
        <v>Kitchen &amp; Dining</v>
      </c>
      <c r="AI921" s="89" t="s">
        <v>2821</v>
      </c>
      <c r="AJ921" s="1" t="str">
        <f t="shared" si="461"/>
        <v>Hena cup with handle white</v>
      </c>
      <c r="AK921" s="1" t="str">
        <f t="shared" si="462"/>
        <v>ø13 x h8</v>
      </c>
      <c r="AL921" s="1" t="str">
        <f t="shared" si="463"/>
        <v>stoneware # 4</v>
      </c>
      <c r="AM921" s="1" t="str">
        <f t="shared" si="464"/>
        <v>stoneware # 4</v>
      </c>
      <c r="AN921" s="1" t="str">
        <f t="shared" si="465"/>
        <v>stoneware # 4</v>
      </c>
      <c r="AQ921" s="1" t="str">
        <f t="shared" si="466"/>
        <v>C</v>
      </c>
      <c r="AR921" s="1" t="str">
        <f>VLOOKUP(TRIM(AI921),Sheet1!$D$3:$E$36,2,FALSE)</f>
        <v>04</v>
      </c>
      <c r="AS921" s="90" t="str">
        <f t="shared" si="467"/>
        <v>04</v>
      </c>
      <c r="AT921" s="1" t="str">
        <f t="shared" si="468"/>
        <v>01</v>
      </c>
      <c r="AU921" s="90" t="s">
        <v>4319</v>
      </c>
      <c r="AV921" s="90"/>
      <c r="AW921" s="90"/>
      <c r="AX921" s="95" t="str">
        <f>AQ921&amp;AR921&amp;AS921&amp;"-"&amp;AT921&amp;AU921&amp;BA921</f>
        <v>C0404-0124</v>
      </c>
      <c r="AY921" s="99" t="str">
        <f>AQ921&amp;AR921&amp;AS921&amp;"-"&amp;AT921&amp;BA921</f>
        <v>C0404-01</v>
      </c>
      <c r="AZ921" s="90"/>
      <c r="BA921" s="1" t="str">
        <f t="shared" si="469"/>
        <v/>
      </c>
      <c r="BC921" s="1" t="str">
        <f t="shared" si="457"/>
        <v/>
      </c>
      <c r="BD921" s="90">
        <f t="shared" si="458"/>
        <v>4</v>
      </c>
      <c r="BE921" s="1">
        <f t="shared" si="472"/>
        <v>1</v>
      </c>
      <c r="BF921" s="1">
        <f t="shared" si="473"/>
        <v>1</v>
      </c>
    </row>
    <row r="922" spans="1:58" ht="11.25" customHeight="1">
      <c r="A922" s="26" t="s">
        <v>4357</v>
      </c>
      <c r="B922" s="27" t="s">
        <v>4358</v>
      </c>
      <c r="C922" s="28">
        <v>14.99</v>
      </c>
      <c r="D922" s="28">
        <f t="shared" si="459"/>
        <v>7.4950000000000001</v>
      </c>
      <c r="E922" s="22" t="s">
        <v>3901</v>
      </c>
      <c r="F922" s="22" t="s">
        <v>4321</v>
      </c>
      <c r="G922" s="22" t="s">
        <v>409</v>
      </c>
      <c r="H922" s="22" t="s">
        <v>4346</v>
      </c>
      <c r="I922" s="23" t="s">
        <v>4347</v>
      </c>
      <c r="J922" s="22" t="s">
        <v>670</v>
      </c>
      <c r="L922" s="23">
        <v>8</v>
      </c>
      <c r="M922" s="23">
        <v>6</v>
      </c>
      <c r="N922" s="3">
        <f t="shared" si="475"/>
        <v>3.8400000000000001E-4</v>
      </c>
      <c r="O922" s="4" t="e">
        <f>(C922-(C922*#REF!))-((C922-(C922*#REF!))*#REF!)</f>
        <v>#REF!</v>
      </c>
      <c r="P922" s="7"/>
      <c r="Q922" s="7"/>
      <c r="R922" s="5">
        <f t="shared" si="476"/>
        <v>0</v>
      </c>
      <c r="S922" s="4">
        <f t="shared" si="477"/>
        <v>0</v>
      </c>
      <c r="T922" s="13">
        <f t="shared" si="460"/>
        <v>10.493</v>
      </c>
      <c r="U922" s="13">
        <f t="shared" si="470"/>
        <v>5.2465000000000002</v>
      </c>
      <c r="V922" s="14">
        <f>U922/C922</f>
        <v>0.35000000000000003</v>
      </c>
      <c r="W922" s="14"/>
      <c r="X922" s="19">
        <f t="shared" si="478"/>
        <v>5.2465000000000002</v>
      </c>
      <c r="Y922" s="19">
        <f t="shared" si="479"/>
        <v>10.493</v>
      </c>
      <c r="Z922" s="15" t="e">
        <f t="shared" si="480"/>
        <v>#DIV/0!</v>
      </c>
      <c r="AA922" s="22" t="s">
        <v>4359</v>
      </c>
      <c r="AG922" s="94" t="s">
        <v>817</v>
      </c>
      <c r="AH922" s="89" t="str">
        <f>VLOOKUP(AG922,Sheet1!$B$3:$D$36,2,FALSE)</f>
        <v>Kitchen &amp; Dining</v>
      </c>
      <c r="AI922" s="89" t="s">
        <v>2821</v>
      </c>
      <c r="AJ922" s="1" t="str">
        <f t="shared" si="461"/>
        <v>Hena cup with handle black</v>
      </c>
      <c r="AK922" s="1" t="str">
        <f t="shared" si="462"/>
        <v>in - ø8 x h6</v>
      </c>
      <c r="AL922" s="1" t="str">
        <f t="shared" si="463"/>
        <v>stoneware # 4</v>
      </c>
      <c r="AM922" s="1" t="str">
        <f t="shared" si="464"/>
        <v>stoneware # 4</v>
      </c>
      <c r="AN922" s="1" t="str">
        <f t="shared" si="465"/>
        <v>stoneware # 4</v>
      </c>
      <c r="AQ922" s="1" t="str">
        <f t="shared" si="466"/>
        <v>C</v>
      </c>
      <c r="AR922" s="1" t="str">
        <f>VLOOKUP(TRIM(AI922),Sheet1!$D$3:$E$36,2,FALSE)</f>
        <v>04</v>
      </c>
      <c r="AS922" s="90" t="str">
        <f t="shared" si="467"/>
        <v>01</v>
      </c>
      <c r="AT922" s="1" t="str">
        <f t="shared" si="468"/>
        <v>01</v>
      </c>
      <c r="AU922" s="90" t="s">
        <v>4319</v>
      </c>
      <c r="AV922" s="90"/>
      <c r="AW922" s="90"/>
      <c r="AX922" s="95" t="str">
        <f>AQ922&amp;AR922&amp;AS922&amp;"-"&amp;AT922&amp;AU922&amp;BA922</f>
        <v>C0401-0124</v>
      </c>
      <c r="AY922" s="99" t="str">
        <f>AQ922&amp;AR922&amp;AS922&amp;"-"&amp;AT922&amp;BA922</f>
        <v>C0401-01</v>
      </c>
      <c r="AZ922" s="90"/>
      <c r="BA922" s="1" t="str">
        <f t="shared" si="469"/>
        <v/>
      </c>
      <c r="BC922" s="1">
        <f t="shared" si="457"/>
        <v>1</v>
      </c>
      <c r="BD922" s="90">
        <f t="shared" si="458"/>
        <v>1</v>
      </c>
      <c r="BE922" s="1">
        <f t="shared" si="472"/>
        <v>1</v>
      </c>
      <c r="BF922" s="1">
        <f t="shared" si="473"/>
        <v>1</v>
      </c>
    </row>
    <row r="923" spans="1:58" ht="11.25" customHeight="1">
      <c r="A923" s="26" t="s">
        <v>4360</v>
      </c>
      <c r="B923" s="27" t="s">
        <v>4358</v>
      </c>
      <c r="C923" s="28">
        <v>15.99</v>
      </c>
      <c r="D923" s="28">
        <f t="shared" si="459"/>
        <v>7.9950000000000001</v>
      </c>
      <c r="E923" s="22" t="s">
        <v>3901</v>
      </c>
      <c r="F923" s="22" t="s">
        <v>4325</v>
      </c>
      <c r="G923" s="22" t="s">
        <v>409</v>
      </c>
      <c r="H923" s="22" t="s">
        <v>4326</v>
      </c>
      <c r="I923" s="23" t="s">
        <v>4347</v>
      </c>
      <c r="J923" s="22" t="s">
        <v>670</v>
      </c>
      <c r="L923" s="23">
        <v>9</v>
      </c>
      <c r="M923" s="23">
        <v>8</v>
      </c>
      <c r="N923" s="3">
        <f t="shared" si="475"/>
        <v>6.4800000000000003E-4</v>
      </c>
      <c r="O923" s="4" t="e">
        <f>(C923-(C923*#REF!))-((C923-(C923*#REF!))*#REF!)</f>
        <v>#REF!</v>
      </c>
      <c r="P923" s="7"/>
      <c r="Q923" s="7"/>
      <c r="R923" s="5">
        <f t="shared" si="476"/>
        <v>0</v>
      </c>
      <c r="S923" s="4">
        <f t="shared" si="477"/>
        <v>0</v>
      </c>
      <c r="T923" s="13">
        <f t="shared" si="460"/>
        <v>11.193000000000001</v>
      </c>
      <c r="U923" s="13">
        <f t="shared" si="470"/>
        <v>5.5965000000000007</v>
      </c>
      <c r="V923" s="14">
        <f>U923/C923</f>
        <v>0.35000000000000003</v>
      </c>
      <c r="W923" s="14"/>
      <c r="X923" s="19">
        <f t="shared" si="478"/>
        <v>5.5965000000000007</v>
      </c>
      <c r="Y923" s="19">
        <f t="shared" si="479"/>
        <v>11.193000000000001</v>
      </c>
      <c r="Z923" s="15" t="e">
        <f t="shared" si="480"/>
        <v>#DIV/0!</v>
      </c>
      <c r="AA923" s="22" t="s">
        <v>4359</v>
      </c>
      <c r="AG923" s="94" t="s">
        <v>817</v>
      </c>
      <c r="AH923" s="89" t="str">
        <f>VLOOKUP(AG923,Sheet1!$B$3:$D$36,2,FALSE)</f>
        <v>Kitchen &amp; Dining</v>
      </c>
      <c r="AI923" s="89" t="s">
        <v>2821</v>
      </c>
      <c r="AJ923" s="1" t="str">
        <f t="shared" si="461"/>
        <v>Hena cup with handle black</v>
      </c>
      <c r="AK923" s="1" t="str">
        <f t="shared" si="462"/>
        <v>ø9 x h8</v>
      </c>
      <c r="AL923" s="1" t="str">
        <f t="shared" si="463"/>
        <v>stoneware # 4</v>
      </c>
      <c r="AM923" s="1" t="str">
        <f t="shared" si="464"/>
        <v>stoneware # 4</v>
      </c>
      <c r="AN923" s="1" t="str">
        <f t="shared" si="465"/>
        <v>stoneware # 4</v>
      </c>
      <c r="AQ923" s="1" t="str">
        <f t="shared" si="466"/>
        <v>C</v>
      </c>
      <c r="AR923" s="1" t="str">
        <f>VLOOKUP(TRIM(AI923),Sheet1!$D$3:$E$36,2,FALSE)</f>
        <v>04</v>
      </c>
      <c r="AS923" s="90" t="str">
        <f t="shared" si="467"/>
        <v>02</v>
      </c>
      <c r="AT923" s="1" t="str">
        <f t="shared" si="468"/>
        <v>01</v>
      </c>
      <c r="AU923" s="90" t="s">
        <v>4319</v>
      </c>
      <c r="AV923" s="90"/>
      <c r="AW923" s="90"/>
      <c r="AX923" s="95" t="str">
        <f>AQ923&amp;AR923&amp;AS923&amp;"-"&amp;AT923&amp;AU923&amp;BA923</f>
        <v>C0402-0124</v>
      </c>
      <c r="AY923" s="99" t="str">
        <f>AQ923&amp;AR923&amp;AS923&amp;"-"&amp;AT923&amp;BA923</f>
        <v>C0402-01</v>
      </c>
      <c r="AZ923" s="90"/>
      <c r="BA923" s="1" t="str">
        <f t="shared" si="469"/>
        <v/>
      </c>
      <c r="BC923" s="1" t="str">
        <f t="shared" si="457"/>
        <v/>
      </c>
      <c r="BD923" s="90">
        <f t="shared" si="458"/>
        <v>2</v>
      </c>
      <c r="BE923" s="1">
        <f t="shared" si="472"/>
        <v>1</v>
      </c>
      <c r="BF923" s="1">
        <f t="shared" si="473"/>
        <v>1</v>
      </c>
    </row>
    <row r="924" spans="1:58" ht="11.25" customHeight="1">
      <c r="A924" s="26" t="s">
        <v>4361</v>
      </c>
      <c r="B924" s="27" t="s">
        <v>4358</v>
      </c>
      <c r="C924" s="28">
        <v>16.989999999999998</v>
      </c>
      <c r="D924" s="28">
        <f t="shared" si="459"/>
        <v>8.4949999999999992</v>
      </c>
      <c r="E924" s="22" t="s">
        <v>3901</v>
      </c>
      <c r="F924" s="22" t="s">
        <v>4351</v>
      </c>
      <c r="G924" s="22" t="s">
        <v>409</v>
      </c>
      <c r="H924" s="22" t="s">
        <v>4352</v>
      </c>
      <c r="I924" s="23" t="s">
        <v>4347</v>
      </c>
      <c r="J924" s="22" t="s">
        <v>670</v>
      </c>
      <c r="L924" s="23">
        <v>8.5</v>
      </c>
      <c r="M924" s="23">
        <v>12</v>
      </c>
      <c r="N924" s="3">
        <f t="shared" si="475"/>
        <v>8.6700000000000004E-4</v>
      </c>
      <c r="O924" s="4" t="e">
        <f>(C924-(C924*#REF!))-((C924-(C924*#REF!))*#REF!)</f>
        <v>#REF!</v>
      </c>
      <c r="P924" s="7"/>
      <c r="Q924" s="7"/>
      <c r="R924" s="5">
        <f t="shared" si="476"/>
        <v>0</v>
      </c>
      <c r="S924" s="4">
        <f t="shared" si="477"/>
        <v>0</v>
      </c>
      <c r="T924" s="13">
        <f t="shared" si="460"/>
        <v>11.892999999999999</v>
      </c>
      <c r="U924" s="13">
        <f t="shared" si="470"/>
        <v>5.9464999999999995</v>
      </c>
      <c r="V924" s="14">
        <f>U924/C924</f>
        <v>0.35</v>
      </c>
      <c r="W924" s="14"/>
      <c r="X924" s="19">
        <f t="shared" si="478"/>
        <v>5.9464999999999995</v>
      </c>
      <c r="Y924" s="19">
        <f t="shared" si="479"/>
        <v>11.892999999999999</v>
      </c>
      <c r="Z924" s="15" t="e">
        <f t="shared" si="480"/>
        <v>#DIV/0!</v>
      </c>
      <c r="AA924" s="22" t="s">
        <v>4353</v>
      </c>
      <c r="AG924" s="94" t="s">
        <v>817</v>
      </c>
      <c r="AH924" s="89" t="str">
        <f>VLOOKUP(AG924,Sheet1!$B$3:$D$36,2,FALSE)</f>
        <v>Kitchen &amp; Dining</v>
      </c>
      <c r="AI924" s="89" t="s">
        <v>2821</v>
      </c>
      <c r="AJ924" s="1" t="str">
        <f t="shared" si="461"/>
        <v>Hena cup with handle black</v>
      </c>
      <c r="AK924" s="1" t="str">
        <f t="shared" si="462"/>
        <v>ø8,5 x h12</v>
      </c>
      <c r="AL924" s="1" t="str">
        <f t="shared" si="463"/>
        <v>stoneware # 4</v>
      </c>
      <c r="AM924" s="1" t="str">
        <f t="shared" si="464"/>
        <v>stoneware # 4</v>
      </c>
      <c r="AN924" s="1" t="str">
        <f t="shared" si="465"/>
        <v>stoneware # 4</v>
      </c>
      <c r="AQ924" s="1" t="str">
        <f t="shared" si="466"/>
        <v>C</v>
      </c>
      <c r="AR924" s="1" t="str">
        <f>VLOOKUP(TRIM(AI924),Sheet1!$D$3:$E$36,2,FALSE)</f>
        <v>04</v>
      </c>
      <c r="AS924" s="90" t="str">
        <f t="shared" si="467"/>
        <v>03</v>
      </c>
      <c r="AT924" s="1" t="str">
        <f t="shared" si="468"/>
        <v>01</v>
      </c>
      <c r="AU924" s="90" t="s">
        <v>4319</v>
      </c>
      <c r="AV924" s="90"/>
      <c r="AW924" s="90"/>
      <c r="AX924" s="95" t="str">
        <f>AQ924&amp;AR924&amp;AS924&amp;"-"&amp;AT924&amp;AU924&amp;BA924</f>
        <v>C0403-0124</v>
      </c>
      <c r="AY924" s="99" t="str">
        <f>AQ924&amp;AR924&amp;AS924&amp;"-"&amp;AT924&amp;BA924</f>
        <v>C0403-01</v>
      </c>
      <c r="AZ924" s="90"/>
      <c r="BA924" s="1" t="str">
        <f t="shared" si="469"/>
        <v/>
      </c>
      <c r="BC924" s="1" t="str">
        <f t="shared" si="457"/>
        <v/>
      </c>
      <c r="BD924" s="90">
        <f t="shared" si="458"/>
        <v>3</v>
      </c>
      <c r="BE924" s="1">
        <f t="shared" si="472"/>
        <v>1</v>
      </c>
      <c r="BF924" s="1">
        <f t="shared" si="473"/>
        <v>1</v>
      </c>
    </row>
    <row r="925" spans="1:58" ht="11.25" customHeight="1">
      <c r="B925" s="27" t="s">
        <v>4358</v>
      </c>
      <c r="C925" s="28">
        <v>18.989999999999998</v>
      </c>
      <c r="D925" s="28">
        <f t="shared" si="459"/>
        <v>9.4949999999999992</v>
      </c>
      <c r="E925" s="22" t="s">
        <v>3901</v>
      </c>
      <c r="F925" s="22" t="s">
        <v>4355</v>
      </c>
      <c r="G925" s="22" t="s">
        <v>409</v>
      </c>
      <c r="H925" s="22" t="s">
        <v>4356</v>
      </c>
      <c r="I925" s="23" t="s">
        <v>4347</v>
      </c>
      <c r="J925" s="22" t="s">
        <v>670</v>
      </c>
      <c r="L925" s="23">
        <v>13</v>
      </c>
      <c r="M925" s="23">
        <v>8</v>
      </c>
      <c r="N925" s="3">
        <f t="shared" si="475"/>
        <v>1.3519999999999999E-3</v>
      </c>
      <c r="O925" s="4" t="e">
        <f>(C925-(C925*#REF!))-((C925-(C925*#REF!))*#REF!)</f>
        <v>#REF!</v>
      </c>
      <c r="P925" s="7"/>
      <c r="Q925" s="7"/>
      <c r="R925" s="5">
        <f t="shared" si="476"/>
        <v>0</v>
      </c>
      <c r="S925" s="4">
        <f t="shared" si="477"/>
        <v>0</v>
      </c>
      <c r="T925" s="13">
        <f t="shared" si="460"/>
        <v>13.292999999999999</v>
      </c>
      <c r="U925" s="13">
        <f t="shared" si="470"/>
        <v>6.6464999999999996</v>
      </c>
      <c r="V925" s="14">
        <f>U925/C925</f>
        <v>0.35000000000000003</v>
      </c>
      <c r="W925" s="14"/>
      <c r="X925" s="19">
        <f t="shared" si="478"/>
        <v>6.6464999999999996</v>
      </c>
      <c r="Y925" s="19">
        <f t="shared" si="479"/>
        <v>13.292999999999999</v>
      </c>
      <c r="Z925" s="15" t="e">
        <f t="shared" si="480"/>
        <v>#DIV/0!</v>
      </c>
      <c r="AA925" s="22" t="s">
        <v>4362</v>
      </c>
      <c r="AG925" s="94" t="s">
        <v>817</v>
      </c>
      <c r="AH925" s="89" t="str">
        <f>VLOOKUP(AG925,Sheet1!$B$3:$D$36,2,FALSE)</f>
        <v>Kitchen &amp; Dining</v>
      </c>
      <c r="AI925" s="89" t="s">
        <v>2821</v>
      </c>
      <c r="AJ925" s="1" t="str">
        <f t="shared" si="461"/>
        <v>Hena cup with handle black</v>
      </c>
      <c r="AK925" s="1" t="str">
        <f t="shared" si="462"/>
        <v>ø13 x h8</v>
      </c>
      <c r="AL925" s="1" t="str">
        <f t="shared" si="463"/>
        <v>stoneware # 4</v>
      </c>
      <c r="AM925" s="1" t="str">
        <f t="shared" si="464"/>
        <v>stoneware # 4</v>
      </c>
      <c r="AN925" s="1" t="str">
        <f t="shared" si="465"/>
        <v>stoneware # 4</v>
      </c>
      <c r="AQ925" s="1" t="str">
        <f t="shared" si="466"/>
        <v>C</v>
      </c>
      <c r="AR925" s="1" t="str">
        <f>VLOOKUP(TRIM(AI925),Sheet1!$D$3:$E$36,2,FALSE)</f>
        <v>04</v>
      </c>
      <c r="AS925" s="90" t="str">
        <f t="shared" si="467"/>
        <v>04</v>
      </c>
      <c r="AT925" s="1" t="str">
        <f t="shared" si="468"/>
        <v>01</v>
      </c>
      <c r="AU925" s="90" t="s">
        <v>4319</v>
      </c>
      <c r="AV925" s="90"/>
      <c r="AW925" s="90"/>
      <c r="AX925" s="95" t="str">
        <f>AQ925&amp;AR925&amp;AS925&amp;"-"&amp;AT925&amp;AU925&amp;BA925</f>
        <v>C0404-0124</v>
      </c>
      <c r="AY925" s="99" t="str">
        <f>AQ925&amp;AR925&amp;AS925&amp;"-"&amp;AT925&amp;BA925</f>
        <v>C0404-01</v>
      </c>
      <c r="AZ925" s="90"/>
      <c r="BA925" s="1" t="str">
        <f t="shared" si="469"/>
        <v/>
      </c>
      <c r="BC925" s="1" t="str">
        <f t="shared" si="457"/>
        <v/>
      </c>
      <c r="BD925" s="90">
        <f t="shared" si="458"/>
        <v>4</v>
      </c>
      <c r="BE925" s="1">
        <f t="shared" si="472"/>
        <v>1</v>
      </c>
      <c r="BF925" s="1">
        <f t="shared" si="473"/>
        <v>1</v>
      </c>
    </row>
    <row r="926" spans="1:58" s="63" customFormat="1" ht="15.75">
      <c r="A926" s="33" t="s">
        <v>4363</v>
      </c>
      <c r="B926" s="34"/>
      <c r="C926" s="35"/>
      <c r="D926" s="36"/>
      <c r="E926" s="39"/>
      <c r="F926" s="40"/>
      <c r="G926" s="39"/>
      <c r="H926" s="39"/>
      <c r="I926" s="41"/>
      <c r="J926" s="39"/>
      <c r="K926" s="41"/>
      <c r="L926" s="41"/>
      <c r="M926" s="41"/>
      <c r="N926" s="48"/>
      <c r="O926" s="48"/>
      <c r="P926" s="49"/>
      <c r="Q926" s="49"/>
      <c r="R926" s="50"/>
      <c r="S926" s="48"/>
      <c r="T926" s="13"/>
      <c r="U926" s="13"/>
      <c r="V926" s="14"/>
      <c r="W926" s="14"/>
      <c r="X926" s="60"/>
      <c r="Y926" s="60"/>
      <c r="Z926" s="15"/>
      <c r="AA926" s="39"/>
      <c r="AG926" s="93"/>
      <c r="AH926" s="89"/>
      <c r="AI926" s="89"/>
      <c r="AJ926" s="1"/>
      <c r="AK926" s="1"/>
      <c r="AL926" s="1"/>
      <c r="AM926" s="1"/>
      <c r="AN926" s="1"/>
      <c r="AQ926" s="1"/>
      <c r="AR926" s="1"/>
      <c r="AS926" s="90"/>
      <c r="AT926" s="1"/>
      <c r="AU926" s="90"/>
      <c r="AV926" s="90"/>
      <c r="AW926" s="90"/>
      <c r="AX926" s="95"/>
      <c r="AY926" s="99" t="str">
        <f>AQ926&amp;AR926&amp;AS926&amp;"-"&amp;AT926&amp;BA926</f>
        <v>-</v>
      </c>
      <c r="AZ926" s="90"/>
      <c r="BA926" s="1"/>
      <c r="BC926" s="1"/>
      <c r="BD926" s="90"/>
      <c r="BE926" s="1"/>
      <c r="BF926" s="1"/>
    </row>
    <row r="927" spans="1:58" ht="11.25" customHeight="1">
      <c r="A927" s="26" t="s">
        <v>4364</v>
      </c>
      <c r="B927" s="27" t="s">
        <v>4365</v>
      </c>
      <c r="C927" s="28">
        <v>55.99</v>
      </c>
      <c r="D927" s="28">
        <f t="shared" si="459"/>
        <v>27.995000000000001</v>
      </c>
      <c r="E927" s="22" t="s">
        <v>4366</v>
      </c>
      <c r="F927" s="22" t="s">
        <v>4367</v>
      </c>
      <c r="G927" s="22" t="s">
        <v>866</v>
      </c>
      <c r="H927" s="22" t="s">
        <v>4368</v>
      </c>
      <c r="I927" s="23" t="s">
        <v>2564</v>
      </c>
      <c r="J927" s="22" t="s">
        <v>670</v>
      </c>
      <c r="L927" s="23">
        <v>11</v>
      </c>
      <c r="M927" s="23">
        <v>30</v>
      </c>
      <c r="N927" s="3">
        <f t="shared" ref="N927:N952" si="481">(IF(ISBLANK(K927),(L927*L927*M927),(K927*L927*M927)))/1000000</f>
        <v>3.63E-3</v>
      </c>
      <c r="O927" s="4" t="e">
        <f>(C927-(C927*#REF!))-((C927-(C927*#REF!))*#REF!)</f>
        <v>#REF!</v>
      </c>
      <c r="P927" s="7"/>
      <c r="Q927" s="7"/>
      <c r="R927" s="5">
        <f t="shared" ref="R927:R952" si="482">P927+Q927</f>
        <v>0</v>
      </c>
      <c r="S927" s="4">
        <f t="shared" ref="S927:S952" si="483">R927/15000</f>
        <v>0</v>
      </c>
      <c r="T927" s="13">
        <f t="shared" si="460"/>
        <v>39.192999999999998</v>
      </c>
      <c r="U927" s="13">
        <f t="shared" si="470"/>
        <v>19.596499999999999</v>
      </c>
      <c r="V927" s="14">
        <f>U927/C927</f>
        <v>0.35</v>
      </c>
      <c r="W927" s="14"/>
      <c r="X927" s="19">
        <f t="shared" ref="X927:X952" si="484">IF(ISBLANK(W927),U927, W927)</f>
        <v>19.596499999999999</v>
      </c>
      <c r="Y927" s="19">
        <f t="shared" ref="Y927:Y952" si="485">X927*2</f>
        <v>39.192999999999998</v>
      </c>
      <c r="Z927" s="15" t="e">
        <f t="shared" si="480"/>
        <v>#DIV/0!</v>
      </c>
      <c r="AA927" s="22" t="s">
        <v>4369</v>
      </c>
      <c r="AG927" s="94" t="s">
        <v>817</v>
      </c>
      <c r="AH927" s="89" t="str">
        <f>VLOOKUP(AG927,Sheet1!$B$3:$D$36,2,FALSE)</f>
        <v>Kitchen &amp; Dining</v>
      </c>
      <c r="AI927" s="89" t="s">
        <v>4370</v>
      </c>
      <c r="AJ927" s="1" t="str">
        <f t="shared" si="461"/>
        <v>Tre</v>
      </c>
      <c r="AK927" s="1" t="str">
        <f t="shared" si="462"/>
        <v>ø11 x h30 - vol. 1.100 ml</v>
      </c>
      <c r="AL927" s="1" t="str">
        <f t="shared" si="463"/>
        <v>clear glass semi</v>
      </c>
      <c r="AM927" s="1" t="str">
        <f t="shared" si="464"/>
        <v>clear glass semi</v>
      </c>
      <c r="AN927" s="1" t="str">
        <f t="shared" si="465"/>
        <v>clear glass semi</v>
      </c>
      <c r="AQ927" s="1" t="str">
        <f t="shared" si="466"/>
        <v>C</v>
      </c>
      <c r="AR927" s="1" t="str">
        <f>VLOOKUP(TRIM(AI927),Sheet1!$D$3:$E$36,2,FALSE)</f>
        <v>03</v>
      </c>
      <c r="AS927" s="90" t="str">
        <f t="shared" si="467"/>
        <v>01</v>
      </c>
      <c r="AT927" s="1" t="str">
        <f t="shared" si="468"/>
        <v>01</v>
      </c>
      <c r="AU927" s="90" t="s">
        <v>2567</v>
      </c>
      <c r="AV927" s="90"/>
      <c r="AW927" s="90"/>
      <c r="AX927" s="95" t="str">
        <f>AQ927&amp;AR927&amp;AS927&amp;"-"&amp;AT927&amp;AU927&amp;BA927</f>
        <v>C0301-0138</v>
      </c>
      <c r="AY927" s="99" t="str">
        <f>AQ927&amp;AR927&amp;AS927&amp;"-"&amp;AT927&amp;BA927</f>
        <v>C0301-01</v>
      </c>
      <c r="AZ927" s="90"/>
      <c r="BA927" s="1" t="str">
        <f t="shared" si="469"/>
        <v/>
      </c>
      <c r="BC927" s="1">
        <f t="shared" si="457"/>
        <v>1</v>
      </c>
      <c r="BD927" s="90">
        <f t="shared" si="458"/>
        <v>1</v>
      </c>
      <c r="BE927" s="1">
        <f t="shared" si="472"/>
        <v>1</v>
      </c>
      <c r="BF927" s="1">
        <f t="shared" si="473"/>
        <v>1</v>
      </c>
    </row>
    <row r="928" spans="1:58" ht="11.25" customHeight="1">
      <c r="A928" s="26" t="s">
        <v>4371</v>
      </c>
      <c r="B928" s="27" t="s">
        <v>4365</v>
      </c>
      <c r="C928" s="28">
        <v>62.99</v>
      </c>
      <c r="D928" s="28">
        <f t="shared" si="459"/>
        <v>31.495000000000001</v>
      </c>
      <c r="E928" s="22" t="s">
        <v>4366</v>
      </c>
      <c r="F928" s="22" t="s">
        <v>4372</v>
      </c>
      <c r="G928" s="22" t="s">
        <v>866</v>
      </c>
      <c r="H928" s="22" t="s">
        <v>4368</v>
      </c>
      <c r="I928" s="23" t="s">
        <v>4373</v>
      </c>
      <c r="J928" s="22" t="s">
        <v>670</v>
      </c>
      <c r="L928" s="23">
        <v>11</v>
      </c>
      <c r="M928" s="23">
        <v>30</v>
      </c>
      <c r="N928" s="3">
        <f t="shared" si="481"/>
        <v>3.63E-3</v>
      </c>
      <c r="O928" s="4" t="e">
        <f>(C928-(C928*#REF!))-((C928-(C928*#REF!))*#REF!)</f>
        <v>#REF!</v>
      </c>
      <c r="P928" s="7"/>
      <c r="Q928" s="7"/>
      <c r="R928" s="5">
        <f t="shared" si="482"/>
        <v>0</v>
      </c>
      <c r="S928" s="4">
        <f t="shared" si="483"/>
        <v>0</v>
      </c>
      <c r="T928" s="13">
        <f t="shared" si="460"/>
        <v>44.093000000000004</v>
      </c>
      <c r="U928" s="13">
        <f t="shared" si="470"/>
        <v>22.046500000000002</v>
      </c>
      <c r="V928" s="14">
        <f>U928/C928</f>
        <v>0.35000000000000003</v>
      </c>
      <c r="W928" s="14"/>
      <c r="X928" s="19">
        <f t="shared" si="484"/>
        <v>22.046500000000002</v>
      </c>
      <c r="Y928" s="19">
        <f t="shared" si="485"/>
        <v>44.093000000000004</v>
      </c>
      <c r="Z928" s="15" t="e">
        <f t="shared" si="480"/>
        <v>#DIV/0!</v>
      </c>
      <c r="AA928" s="22" t="s">
        <v>4374</v>
      </c>
      <c r="AG928" s="94" t="s">
        <v>817</v>
      </c>
      <c r="AH928" s="89" t="str">
        <f>VLOOKUP(AG928,Sheet1!$B$3:$D$36,2,FALSE)</f>
        <v>Kitchen &amp; Dining</v>
      </c>
      <c r="AI928" s="89" t="s">
        <v>4370</v>
      </c>
      <c r="AJ928" s="1" t="str">
        <f t="shared" si="461"/>
        <v>Tre</v>
      </c>
      <c r="AK928" s="1" t="str">
        <f t="shared" si="462"/>
        <v>ø11 x h30 - vol. 1.100 ml</v>
      </c>
      <c r="AL928" s="1" t="str">
        <f t="shared" si="463"/>
        <v xml:space="preserve">crackle semi </v>
      </c>
      <c r="AM928" s="1" t="str">
        <f t="shared" si="464"/>
        <v xml:space="preserve">crackle semi </v>
      </c>
      <c r="AN928" s="1" t="str">
        <f t="shared" si="465"/>
        <v xml:space="preserve">crackle semi </v>
      </c>
      <c r="AQ928" s="1" t="str">
        <f t="shared" si="466"/>
        <v>C</v>
      </c>
      <c r="AR928" s="1" t="str">
        <f>VLOOKUP(TRIM(AI928),Sheet1!$D$3:$E$36,2,FALSE)</f>
        <v>03</v>
      </c>
      <c r="AS928" s="90" t="str">
        <f t="shared" si="467"/>
        <v>02</v>
      </c>
      <c r="AT928" s="1" t="str">
        <f t="shared" si="468"/>
        <v>02</v>
      </c>
      <c r="AU928" s="90" t="s">
        <v>4041</v>
      </c>
      <c r="AV928" s="90"/>
      <c r="AW928" s="90"/>
      <c r="AX928" s="95" t="str">
        <f>AQ928&amp;AR928&amp;AS928&amp;"-"&amp;AT928&amp;AU928&amp;BA928</f>
        <v>C0302-0237</v>
      </c>
      <c r="AY928" s="99" t="str">
        <f>AQ928&amp;AR928&amp;AS928&amp;"-"&amp;AT928&amp;BA928</f>
        <v>C0302-02</v>
      </c>
      <c r="AZ928" s="90"/>
      <c r="BA928" s="1" t="str">
        <f t="shared" si="469"/>
        <v/>
      </c>
      <c r="BC928" s="1" t="str">
        <f t="shared" si="457"/>
        <v/>
      </c>
      <c r="BD928" s="90">
        <f t="shared" si="458"/>
        <v>2</v>
      </c>
      <c r="BE928" s="1" t="str">
        <f t="shared" si="472"/>
        <v/>
      </c>
      <c r="BF928" s="1">
        <f t="shared" si="473"/>
        <v>2</v>
      </c>
    </row>
    <row r="929" spans="1:58" ht="11.25" customHeight="1">
      <c r="A929" s="26" t="s">
        <v>4375</v>
      </c>
      <c r="B929" s="27" t="s">
        <v>4376</v>
      </c>
      <c r="C929" s="28">
        <v>95.99</v>
      </c>
      <c r="D929" s="28">
        <f t="shared" si="459"/>
        <v>47.994999999999997</v>
      </c>
      <c r="E929" s="22" t="s">
        <v>4366</v>
      </c>
      <c r="F929" s="22" t="s">
        <v>4377</v>
      </c>
      <c r="G929" s="22" t="s">
        <v>304</v>
      </c>
      <c r="H929" s="22" t="s">
        <v>4378</v>
      </c>
      <c r="I929" s="23" t="s">
        <v>2564</v>
      </c>
      <c r="J929" s="22" t="s">
        <v>670</v>
      </c>
      <c r="L929" s="23">
        <v>24</v>
      </c>
      <c r="M929" s="23">
        <v>35</v>
      </c>
      <c r="N929" s="3">
        <f t="shared" si="481"/>
        <v>2.0160000000000001E-2</v>
      </c>
      <c r="O929" s="4" t="e">
        <f>(C929-(C929*#REF!))-((C929-(C929*#REF!))*#REF!)</f>
        <v>#REF!</v>
      </c>
      <c r="P929" s="7"/>
      <c r="Q929" s="7"/>
      <c r="R929" s="5">
        <f t="shared" si="482"/>
        <v>0</v>
      </c>
      <c r="S929" s="4">
        <f t="shared" si="483"/>
        <v>0</v>
      </c>
      <c r="T929" s="13">
        <f t="shared" si="460"/>
        <v>67.192999999999998</v>
      </c>
      <c r="U929" s="13">
        <f t="shared" si="470"/>
        <v>33.596499999999999</v>
      </c>
      <c r="V929" s="14">
        <f>U929/C929</f>
        <v>0.35000000000000003</v>
      </c>
      <c r="W929" s="14"/>
      <c r="X929" s="19">
        <f t="shared" si="484"/>
        <v>33.596499999999999</v>
      </c>
      <c r="Y929" s="19">
        <f t="shared" si="485"/>
        <v>67.192999999999998</v>
      </c>
      <c r="Z929" s="15" t="e">
        <f t="shared" si="480"/>
        <v>#DIV/0!</v>
      </c>
      <c r="AA929" s="22" t="s">
        <v>4379</v>
      </c>
      <c r="AG929" s="94" t="s">
        <v>817</v>
      </c>
      <c r="AH929" s="89" t="str">
        <f>VLOOKUP(AG929,Sheet1!$B$3:$D$36,2,FALSE)</f>
        <v>Kitchen &amp; Dining</v>
      </c>
      <c r="AI929" s="89" t="s">
        <v>4370</v>
      </c>
      <c r="AJ929" s="1" t="str">
        <f t="shared" si="461"/>
        <v>Greta</v>
      </c>
      <c r="AK929" s="1" t="str">
        <f t="shared" si="462"/>
        <v>ø24 x h35</v>
      </c>
      <c r="AL929" s="1" t="str">
        <f t="shared" si="463"/>
        <v>clear glass semi</v>
      </c>
      <c r="AM929" s="1" t="str">
        <f t="shared" si="464"/>
        <v>clear glass semi</v>
      </c>
      <c r="AN929" s="1" t="str">
        <f t="shared" si="465"/>
        <v>clear glass semi</v>
      </c>
      <c r="AQ929" s="1" t="str">
        <f t="shared" si="466"/>
        <v>C</v>
      </c>
      <c r="AR929" s="1" t="str">
        <f>VLOOKUP(TRIM(AI929),Sheet1!$D$3:$E$36,2,FALSE)</f>
        <v>03</v>
      </c>
      <c r="AS929" s="90" t="str">
        <f t="shared" si="467"/>
        <v>01</v>
      </c>
      <c r="AT929" s="1" t="str">
        <f t="shared" si="468"/>
        <v>01</v>
      </c>
      <c r="AU929" s="90" t="s">
        <v>2567</v>
      </c>
      <c r="AV929" s="90"/>
      <c r="AW929" s="90"/>
      <c r="AX929" s="95" t="str">
        <f>AQ929&amp;AR929&amp;AS929&amp;"-"&amp;AT929&amp;AU929&amp;BA929</f>
        <v>C0301-0138</v>
      </c>
      <c r="AY929" s="99" t="str">
        <f>AQ929&amp;AR929&amp;AS929&amp;"-"&amp;AT929&amp;BA929</f>
        <v>C0301-01</v>
      </c>
      <c r="AZ929" s="90"/>
      <c r="BA929" s="1" t="str">
        <f t="shared" si="469"/>
        <v/>
      </c>
      <c r="BC929" s="1">
        <f t="shared" si="457"/>
        <v>1</v>
      </c>
      <c r="BD929" s="90">
        <f t="shared" si="458"/>
        <v>1</v>
      </c>
      <c r="BE929" s="1">
        <f t="shared" si="472"/>
        <v>1</v>
      </c>
      <c r="BF929" s="1">
        <f t="shared" si="473"/>
        <v>1</v>
      </c>
    </row>
    <row r="930" spans="1:58" ht="11.25" customHeight="1">
      <c r="A930" s="26" t="s">
        <v>4380</v>
      </c>
      <c r="B930" s="27" t="s">
        <v>4376</v>
      </c>
      <c r="C930" s="28">
        <v>118.99</v>
      </c>
      <c r="D930" s="28">
        <f t="shared" si="459"/>
        <v>59.494999999999997</v>
      </c>
      <c r="E930" s="22" t="s">
        <v>4366</v>
      </c>
      <c r="F930" s="22" t="s">
        <v>4381</v>
      </c>
      <c r="G930" s="22" t="s">
        <v>304</v>
      </c>
      <c r="H930" s="22" t="s">
        <v>4382</v>
      </c>
      <c r="I930" s="23" t="s">
        <v>2564</v>
      </c>
      <c r="J930" s="22" t="s">
        <v>670</v>
      </c>
      <c r="L930" s="23">
        <v>24</v>
      </c>
      <c r="M930" s="23">
        <v>50</v>
      </c>
      <c r="N930" s="3">
        <f t="shared" si="481"/>
        <v>2.8799999999999999E-2</v>
      </c>
      <c r="O930" s="4" t="e">
        <f>(C930-(C930*#REF!))-((C930-(C930*#REF!))*#REF!)</f>
        <v>#REF!</v>
      </c>
      <c r="P930" s="7"/>
      <c r="Q930" s="7"/>
      <c r="R930" s="5">
        <f t="shared" si="482"/>
        <v>0</v>
      </c>
      <c r="S930" s="4">
        <f t="shared" si="483"/>
        <v>0</v>
      </c>
      <c r="T930" s="13">
        <f t="shared" si="460"/>
        <v>83.293000000000006</v>
      </c>
      <c r="U930" s="13">
        <f t="shared" si="470"/>
        <v>41.646500000000003</v>
      </c>
      <c r="V930" s="14">
        <f>U930/C930</f>
        <v>0.35000000000000003</v>
      </c>
      <c r="W930" s="14"/>
      <c r="X930" s="19">
        <f t="shared" si="484"/>
        <v>41.646500000000003</v>
      </c>
      <c r="Y930" s="19">
        <f t="shared" si="485"/>
        <v>83.293000000000006</v>
      </c>
      <c r="Z930" s="15" t="e">
        <f t="shared" si="480"/>
        <v>#DIV/0!</v>
      </c>
      <c r="AA930" s="22" t="s">
        <v>4383</v>
      </c>
      <c r="AG930" s="94" t="s">
        <v>817</v>
      </c>
      <c r="AH930" s="89" t="str">
        <f>VLOOKUP(AG930,Sheet1!$B$3:$D$36,2,FALSE)</f>
        <v>Kitchen &amp; Dining</v>
      </c>
      <c r="AI930" s="89" t="s">
        <v>4370</v>
      </c>
      <c r="AJ930" s="1" t="str">
        <f t="shared" si="461"/>
        <v>Greta</v>
      </c>
      <c r="AK930" s="1" t="str">
        <f t="shared" si="462"/>
        <v>ø24 x h50</v>
      </c>
      <c r="AL930" s="1" t="str">
        <f t="shared" si="463"/>
        <v>clear glass semi</v>
      </c>
      <c r="AM930" s="1" t="str">
        <f t="shared" si="464"/>
        <v>clear glass semi</v>
      </c>
      <c r="AN930" s="1" t="str">
        <f t="shared" si="465"/>
        <v>clear glass semi</v>
      </c>
      <c r="AQ930" s="1" t="str">
        <f t="shared" si="466"/>
        <v>C</v>
      </c>
      <c r="AR930" s="1" t="str">
        <f>VLOOKUP(TRIM(AI930),Sheet1!$D$3:$E$36,2,FALSE)</f>
        <v>03</v>
      </c>
      <c r="AS930" s="90" t="str">
        <f t="shared" si="467"/>
        <v>02</v>
      </c>
      <c r="AT930" s="1" t="str">
        <f t="shared" si="468"/>
        <v>01</v>
      </c>
      <c r="AU930" s="90" t="s">
        <v>2567</v>
      </c>
      <c r="AV930" s="90"/>
      <c r="AW930" s="90"/>
      <c r="AX930" s="95" t="str">
        <f>AQ930&amp;AR930&amp;AS930&amp;"-"&amp;AT930&amp;AU930&amp;BA930</f>
        <v>C0302-0138</v>
      </c>
      <c r="AY930" s="99" t="str">
        <f>AQ930&amp;AR930&amp;AS930&amp;"-"&amp;AT930&amp;BA930</f>
        <v>C0302-01</v>
      </c>
      <c r="AZ930" s="90"/>
      <c r="BA930" s="1" t="str">
        <f t="shared" si="469"/>
        <v/>
      </c>
      <c r="BC930" s="1" t="str">
        <f t="shared" si="457"/>
        <v/>
      </c>
      <c r="BD930" s="90">
        <f t="shared" si="458"/>
        <v>2</v>
      </c>
      <c r="BE930" s="1">
        <f t="shared" si="472"/>
        <v>1</v>
      </c>
      <c r="BF930" s="1">
        <f t="shared" si="473"/>
        <v>1</v>
      </c>
    </row>
    <row r="931" spans="1:58" ht="11.25" customHeight="1">
      <c r="A931" s="26" t="s">
        <v>4384</v>
      </c>
      <c r="B931" s="27" t="s">
        <v>4376</v>
      </c>
      <c r="C931" s="28">
        <v>98.99</v>
      </c>
      <c r="D931" s="28">
        <f t="shared" si="459"/>
        <v>49.494999999999997</v>
      </c>
      <c r="E931" s="22" t="s">
        <v>4366</v>
      </c>
      <c r="F931" s="22" t="s">
        <v>4385</v>
      </c>
      <c r="G931" s="22" t="s">
        <v>304</v>
      </c>
      <c r="H931" s="22" t="s">
        <v>4386</v>
      </c>
      <c r="I931" s="23" t="s">
        <v>2564</v>
      </c>
      <c r="J931" s="22" t="s">
        <v>670</v>
      </c>
      <c r="L931" s="23">
        <v>18</v>
      </c>
      <c r="M931" s="23">
        <v>52</v>
      </c>
      <c r="N931" s="3">
        <f t="shared" si="481"/>
        <v>1.6847999999999998E-2</v>
      </c>
      <c r="O931" s="4" t="e">
        <f>(C931-(C931*#REF!))-((C931-(C931*#REF!))*#REF!)</f>
        <v>#REF!</v>
      </c>
      <c r="P931" s="7"/>
      <c r="Q931" s="7"/>
      <c r="R931" s="5">
        <f t="shared" si="482"/>
        <v>0</v>
      </c>
      <c r="S931" s="4">
        <f t="shared" si="483"/>
        <v>0</v>
      </c>
      <c r="T931" s="13">
        <f t="shared" si="460"/>
        <v>69.293000000000006</v>
      </c>
      <c r="U931" s="13">
        <f t="shared" si="470"/>
        <v>34.646500000000003</v>
      </c>
      <c r="V931" s="14">
        <f>U931/C931</f>
        <v>0.35000000000000003</v>
      </c>
      <c r="W931" s="14"/>
      <c r="X931" s="19">
        <f t="shared" si="484"/>
        <v>34.646500000000003</v>
      </c>
      <c r="Y931" s="19">
        <f t="shared" si="485"/>
        <v>69.293000000000006</v>
      </c>
      <c r="Z931" s="15" t="e">
        <f t="shared" si="480"/>
        <v>#DIV/0!</v>
      </c>
      <c r="AA931" s="22" t="s">
        <v>4387</v>
      </c>
      <c r="AG931" s="94" t="s">
        <v>817</v>
      </c>
      <c r="AH931" s="89" t="str">
        <f>VLOOKUP(AG931,Sheet1!$B$3:$D$36,2,FALSE)</f>
        <v>Kitchen &amp; Dining</v>
      </c>
      <c r="AI931" s="89" t="s">
        <v>4370</v>
      </c>
      <c r="AJ931" s="1" t="str">
        <f t="shared" si="461"/>
        <v>Greta</v>
      </c>
      <c r="AK931" s="1" t="str">
        <f t="shared" si="462"/>
        <v>ø18 x h52</v>
      </c>
      <c r="AL931" s="1" t="str">
        <f t="shared" si="463"/>
        <v>clear glass semi</v>
      </c>
      <c r="AM931" s="1" t="str">
        <f t="shared" si="464"/>
        <v>clear glass semi</v>
      </c>
      <c r="AN931" s="1" t="str">
        <f t="shared" si="465"/>
        <v>clear glass semi</v>
      </c>
      <c r="AQ931" s="1" t="str">
        <f t="shared" si="466"/>
        <v>C</v>
      </c>
      <c r="AR931" s="1" t="str">
        <f>VLOOKUP(TRIM(AI931),Sheet1!$D$3:$E$36,2,FALSE)</f>
        <v>03</v>
      </c>
      <c r="AS931" s="90" t="str">
        <f t="shared" si="467"/>
        <v>03</v>
      </c>
      <c r="AT931" s="1" t="str">
        <f t="shared" si="468"/>
        <v>01</v>
      </c>
      <c r="AU931" s="90" t="s">
        <v>2567</v>
      </c>
      <c r="AV931" s="90"/>
      <c r="AW931" s="90"/>
      <c r="AX931" s="95" t="str">
        <f>AQ931&amp;AR931&amp;AS931&amp;"-"&amp;AT931&amp;AU931&amp;BA931</f>
        <v>C0303-0138</v>
      </c>
      <c r="AY931" s="99" t="str">
        <f>AQ931&amp;AR931&amp;AS931&amp;"-"&amp;AT931&amp;BA931</f>
        <v>C0303-01</v>
      </c>
      <c r="AZ931" s="90"/>
      <c r="BA931" s="1" t="str">
        <f t="shared" si="469"/>
        <v/>
      </c>
      <c r="BC931" s="1" t="str">
        <f t="shared" si="457"/>
        <v/>
      </c>
      <c r="BD931" s="90">
        <f t="shared" si="458"/>
        <v>3</v>
      </c>
      <c r="BE931" s="1">
        <f t="shared" si="472"/>
        <v>1</v>
      </c>
      <c r="BF931" s="1">
        <f t="shared" si="473"/>
        <v>1</v>
      </c>
    </row>
    <row r="932" spans="1:58" ht="11.25" customHeight="1">
      <c r="A932" s="26" t="s">
        <v>4388</v>
      </c>
      <c r="B932" s="27" t="s">
        <v>4376</v>
      </c>
      <c r="C932" s="28">
        <v>133.99</v>
      </c>
      <c r="D932" s="28">
        <f t="shared" si="459"/>
        <v>66.995000000000005</v>
      </c>
      <c r="E932" s="22" t="s">
        <v>4366</v>
      </c>
      <c r="F932" s="22" t="s">
        <v>4389</v>
      </c>
      <c r="G932" s="22" t="s">
        <v>315</v>
      </c>
      <c r="H932" s="22" t="s">
        <v>4378</v>
      </c>
      <c r="I932" s="23" t="s">
        <v>2564</v>
      </c>
      <c r="J932" s="22" t="s">
        <v>670</v>
      </c>
      <c r="L932" s="23">
        <v>24</v>
      </c>
      <c r="M932" s="23">
        <v>35</v>
      </c>
      <c r="N932" s="3">
        <f t="shared" si="481"/>
        <v>2.0160000000000001E-2</v>
      </c>
      <c r="O932" s="4" t="e">
        <f>(C932-(C932*#REF!))-((C932-(C932*#REF!))*#REF!)</f>
        <v>#REF!</v>
      </c>
      <c r="P932" s="7"/>
      <c r="Q932" s="7"/>
      <c r="R932" s="5">
        <f t="shared" si="482"/>
        <v>0</v>
      </c>
      <c r="S932" s="4">
        <f t="shared" si="483"/>
        <v>0</v>
      </c>
      <c r="T932" s="13">
        <f t="shared" si="460"/>
        <v>93.793000000000006</v>
      </c>
      <c r="U932" s="13">
        <f t="shared" si="470"/>
        <v>46.896500000000003</v>
      </c>
      <c r="V932" s="14">
        <f>U932/C932</f>
        <v>0.35</v>
      </c>
      <c r="W932" s="14"/>
      <c r="X932" s="19">
        <f t="shared" si="484"/>
        <v>46.896500000000003</v>
      </c>
      <c r="Y932" s="19">
        <f t="shared" si="485"/>
        <v>93.793000000000006</v>
      </c>
      <c r="Z932" s="15" t="e">
        <f t="shared" si="480"/>
        <v>#DIV/0!</v>
      </c>
      <c r="AA932" s="22" t="s">
        <v>4383</v>
      </c>
      <c r="AG932" s="94" t="s">
        <v>817</v>
      </c>
      <c r="AH932" s="89" t="str">
        <f>VLOOKUP(AG932,Sheet1!$B$3:$D$36,2,FALSE)</f>
        <v>Kitchen &amp; Dining</v>
      </c>
      <c r="AI932" s="89" t="s">
        <v>4370</v>
      </c>
      <c r="AJ932" s="1" t="str">
        <f t="shared" si="461"/>
        <v>Greta smoke</v>
      </c>
      <c r="AK932" s="1" t="str">
        <f t="shared" si="462"/>
        <v>ø24 x h35</v>
      </c>
      <c r="AL932" s="1" t="str">
        <f t="shared" si="463"/>
        <v>clear glass semi</v>
      </c>
      <c r="AM932" s="1" t="str">
        <f t="shared" si="464"/>
        <v>clear glass semi</v>
      </c>
      <c r="AN932" s="1" t="str">
        <f t="shared" si="465"/>
        <v>clear glass semi</v>
      </c>
      <c r="AQ932" s="1" t="str">
        <f t="shared" si="466"/>
        <v>C</v>
      </c>
      <c r="AR932" s="1" t="str">
        <f>VLOOKUP(TRIM(AI932),Sheet1!$D$3:$E$36,2,FALSE)</f>
        <v>03</v>
      </c>
      <c r="AS932" s="90" t="str">
        <f t="shared" si="467"/>
        <v>01</v>
      </c>
      <c r="AT932" s="1" t="str">
        <f t="shared" si="468"/>
        <v>01</v>
      </c>
      <c r="AU932" s="90" t="s">
        <v>2567</v>
      </c>
      <c r="AV932" s="90"/>
      <c r="AW932" s="90"/>
      <c r="AX932" s="95" t="str">
        <f>AQ932&amp;AR932&amp;AS932&amp;"-"&amp;AT932&amp;AU932&amp;BA932</f>
        <v>C0301-0138</v>
      </c>
      <c r="AY932" s="99" t="str">
        <f>AQ932&amp;AR932&amp;AS932&amp;"-"&amp;AT932&amp;BA932</f>
        <v>C0301-01</v>
      </c>
      <c r="AZ932" s="90"/>
      <c r="BA932" s="1" t="str">
        <f t="shared" si="469"/>
        <v/>
      </c>
      <c r="BC932" s="1">
        <f t="shared" si="457"/>
        <v>1</v>
      </c>
      <c r="BD932" s="90">
        <f t="shared" si="458"/>
        <v>1</v>
      </c>
      <c r="BE932" s="1">
        <f t="shared" si="472"/>
        <v>1</v>
      </c>
      <c r="BF932" s="1">
        <f t="shared" si="473"/>
        <v>1</v>
      </c>
    </row>
    <row r="933" spans="1:58" ht="11.25" customHeight="1">
      <c r="A933" s="26" t="s">
        <v>4390</v>
      </c>
      <c r="B933" s="27" t="s">
        <v>4376</v>
      </c>
      <c r="C933" s="28">
        <v>165.99</v>
      </c>
      <c r="D933" s="28">
        <f t="shared" si="459"/>
        <v>82.995000000000005</v>
      </c>
      <c r="E933" s="22" t="s">
        <v>4366</v>
      </c>
      <c r="F933" s="22" t="s">
        <v>4391</v>
      </c>
      <c r="G933" s="22" t="s">
        <v>315</v>
      </c>
      <c r="H933" s="22" t="s">
        <v>4392</v>
      </c>
      <c r="I933" s="23" t="s">
        <v>2564</v>
      </c>
      <c r="J933" s="22" t="s">
        <v>670</v>
      </c>
      <c r="L933" s="23">
        <v>24</v>
      </c>
      <c r="M933" s="23">
        <v>50</v>
      </c>
      <c r="N933" s="3">
        <f t="shared" si="481"/>
        <v>2.8799999999999999E-2</v>
      </c>
      <c r="O933" s="4" t="e">
        <f>(C933-(C933*#REF!))-((C933-(C933*#REF!))*#REF!)</f>
        <v>#REF!</v>
      </c>
      <c r="P933" s="7"/>
      <c r="Q933" s="7"/>
      <c r="R933" s="5">
        <f t="shared" si="482"/>
        <v>0</v>
      </c>
      <c r="S933" s="4">
        <f t="shared" si="483"/>
        <v>0</v>
      </c>
      <c r="T933" s="13">
        <f t="shared" si="460"/>
        <v>116.19300000000001</v>
      </c>
      <c r="U933" s="13">
        <f t="shared" si="470"/>
        <v>58.096500000000006</v>
      </c>
      <c r="V933" s="14">
        <f>U933/C933</f>
        <v>0.35000000000000003</v>
      </c>
      <c r="W933" s="14"/>
      <c r="X933" s="19">
        <f t="shared" si="484"/>
        <v>58.096500000000006</v>
      </c>
      <c r="Y933" s="19">
        <f t="shared" si="485"/>
        <v>116.19300000000001</v>
      </c>
      <c r="Z933" s="15" t="e">
        <f t="shared" si="480"/>
        <v>#DIV/0!</v>
      </c>
      <c r="AA933" s="22" t="s">
        <v>4393</v>
      </c>
      <c r="AG933" s="94" t="s">
        <v>817</v>
      </c>
      <c r="AH933" s="89" t="str">
        <f>VLOOKUP(AG933,Sheet1!$B$3:$D$36,2,FALSE)</f>
        <v>Kitchen &amp; Dining</v>
      </c>
      <c r="AI933" s="89" t="s">
        <v>4370</v>
      </c>
      <c r="AJ933" s="1" t="str">
        <f t="shared" si="461"/>
        <v>Greta smoke</v>
      </c>
      <c r="AK933" s="1" t="str">
        <f t="shared" si="462"/>
        <v>ø24 x H50</v>
      </c>
      <c r="AL933" s="1" t="str">
        <f t="shared" si="463"/>
        <v>clear glass semi</v>
      </c>
      <c r="AM933" s="1" t="str">
        <f t="shared" si="464"/>
        <v>clear glass semi</v>
      </c>
      <c r="AN933" s="1" t="str">
        <f t="shared" si="465"/>
        <v>clear glass semi</v>
      </c>
      <c r="AQ933" s="1" t="str">
        <f t="shared" si="466"/>
        <v>C</v>
      </c>
      <c r="AR933" s="1" t="str">
        <f>VLOOKUP(TRIM(AI933),Sheet1!$D$3:$E$36,2,FALSE)</f>
        <v>03</v>
      </c>
      <c r="AS933" s="90" t="str">
        <f t="shared" si="467"/>
        <v>02</v>
      </c>
      <c r="AT933" s="1" t="str">
        <f t="shared" si="468"/>
        <v>01</v>
      </c>
      <c r="AU933" s="90" t="s">
        <v>2567</v>
      </c>
      <c r="AV933" s="90"/>
      <c r="AW933" s="90"/>
      <c r="AX933" s="95" t="str">
        <f>AQ933&amp;AR933&amp;AS933&amp;"-"&amp;AT933&amp;AU933&amp;BA933</f>
        <v>C0302-0138</v>
      </c>
      <c r="AY933" s="99" t="str">
        <f>AQ933&amp;AR933&amp;AS933&amp;"-"&amp;AT933&amp;BA933</f>
        <v>C0302-01</v>
      </c>
      <c r="AZ933" s="90"/>
      <c r="BA933" s="1" t="str">
        <f t="shared" si="469"/>
        <v/>
      </c>
      <c r="BC933" s="1" t="str">
        <f t="shared" si="457"/>
        <v/>
      </c>
      <c r="BD933" s="90">
        <f t="shared" si="458"/>
        <v>2</v>
      </c>
      <c r="BE933" s="1">
        <f t="shared" si="472"/>
        <v>1</v>
      </c>
      <c r="BF933" s="1">
        <f t="shared" si="473"/>
        <v>1</v>
      </c>
    </row>
    <row r="934" spans="1:58" ht="11.25" customHeight="1">
      <c r="A934" s="26" t="s">
        <v>4394</v>
      </c>
      <c r="B934" s="27" t="s">
        <v>4376</v>
      </c>
      <c r="C934" s="28">
        <v>137.99</v>
      </c>
      <c r="D934" s="28">
        <f t="shared" si="459"/>
        <v>68.995000000000005</v>
      </c>
      <c r="E934" s="22" t="s">
        <v>4366</v>
      </c>
      <c r="F934" s="22" t="s">
        <v>4395</v>
      </c>
      <c r="G934" s="22" t="s">
        <v>315</v>
      </c>
      <c r="H934" s="22" t="s">
        <v>4396</v>
      </c>
      <c r="I934" s="23" t="s">
        <v>2564</v>
      </c>
      <c r="J934" s="22" t="s">
        <v>670</v>
      </c>
      <c r="L934" s="23">
        <v>18</v>
      </c>
      <c r="M934" s="23">
        <v>52</v>
      </c>
      <c r="N934" s="3">
        <f t="shared" si="481"/>
        <v>1.6847999999999998E-2</v>
      </c>
      <c r="O934" s="4" t="e">
        <f>(C934-(C934*#REF!))-((C934-(C934*#REF!))*#REF!)</f>
        <v>#REF!</v>
      </c>
      <c r="P934" s="7"/>
      <c r="Q934" s="7"/>
      <c r="R934" s="5">
        <f t="shared" si="482"/>
        <v>0</v>
      </c>
      <c r="S934" s="4">
        <f t="shared" si="483"/>
        <v>0</v>
      </c>
      <c r="T934" s="13">
        <f t="shared" si="460"/>
        <v>96.593000000000018</v>
      </c>
      <c r="U934" s="13">
        <f t="shared" si="470"/>
        <v>48.296500000000009</v>
      </c>
      <c r="V934" s="14">
        <f>U934/C934</f>
        <v>0.35000000000000003</v>
      </c>
      <c r="W934" s="14"/>
      <c r="X934" s="19">
        <f t="shared" si="484"/>
        <v>48.296500000000009</v>
      </c>
      <c r="Y934" s="19">
        <f t="shared" si="485"/>
        <v>96.593000000000018</v>
      </c>
      <c r="Z934" s="15" t="e">
        <f t="shared" si="480"/>
        <v>#DIV/0!</v>
      </c>
      <c r="AA934" s="22" t="s">
        <v>4383</v>
      </c>
      <c r="AG934" s="94" t="s">
        <v>817</v>
      </c>
      <c r="AH934" s="89" t="str">
        <f>VLOOKUP(AG934,Sheet1!$B$3:$D$36,2,FALSE)</f>
        <v>Kitchen &amp; Dining</v>
      </c>
      <c r="AI934" s="89" t="s">
        <v>4370</v>
      </c>
      <c r="AJ934" s="1" t="str">
        <f t="shared" si="461"/>
        <v>Greta smoke</v>
      </c>
      <c r="AK934" s="1" t="str">
        <f t="shared" si="462"/>
        <v>ø18 x h52</v>
      </c>
      <c r="AL934" s="1" t="str">
        <f t="shared" si="463"/>
        <v>clear glass semi</v>
      </c>
      <c r="AM934" s="1" t="str">
        <f t="shared" si="464"/>
        <v>clear glass semi</v>
      </c>
      <c r="AN934" s="1" t="str">
        <f t="shared" si="465"/>
        <v>clear glass semi</v>
      </c>
      <c r="AQ934" s="1" t="str">
        <f t="shared" si="466"/>
        <v>C</v>
      </c>
      <c r="AR934" s="1" t="str">
        <f>VLOOKUP(TRIM(AI934),Sheet1!$D$3:$E$36,2,FALSE)</f>
        <v>03</v>
      </c>
      <c r="AS934" s="90" t="str">
        <f t="shared" si="467"/>
        <v>03</v>
      </c>
      <c r="AT934" s="1" t="str">
        <f t="shared" si="468"/>
        <v>01</v>
      </c>
      <c r="AU934" s="90" t="s">
        <v>2567</v>
      </c>
      <c r="AV934" s="90"/>
      <c r="AW934" s="90"/>
      <c r="AX934" s="95" t="str">
        <f>AQ934&amp;AR934&amp;AS934&amp;"-"&amp;AT934&amp;AU934&amp;BA934</f>
        <v>C0303-0138</v>
      </c>
      <c r="AY934" s="99" t="str">
        <f>AQ934&amp;AR934&amp;AS934&amp;"-"&amp;AT934&amp;BA934</f>
        <v>C0303-01</v>
      </c>
      <c r="AZ934" s="90"/>
      <c r="BA934" s="1" t="str">
        <f t="shared" si="469"/>
        <v/>
      </c>
      <c r="BC934" s="1" t="str">
        <f t="shared" si="457"/>
        <v/>
      </c>
      <c r="BD934" s="90">
        <f t="shared" si="458"/>
        <v>3</v>
      </c>
      <c r="BE934" s="1">
        <f t="shared" si="472"/>
        <v>1</v>
      </c>
      <c r="BF934" s="1">
        <f t="shared" si="473"/>
        <v>1</v>
      </c>
    </row>
    <row r="935" spans="1:58" ht="11.25" customHeight="1">
      <c r="A935" s="26" t="s">
        <v>4397</v>
      </c>
      <c r="B935" s="27" t="s">
        <v>4398</v>
      </c>
      <c r="C935" s="28">
        <v>55.99</v>
      </c>
      <c r="D935" s="28">
        <f t="shared" si="459"/>
        <v>27.995000000000001</v>
      </c>
      <c r="E935" s="22" t="s">
        <v>4366</v>
      </c>
      <c r="F935" s="22" t="s">
        <v>4399</v>
      </c>
      <c r="G935" s="22" t="s">
        <v>311</v>
      </c>
      <c r="H935" s="22" t="s">
        <v>4400</v>
      </c>
      <c r="I935" s="23" t="s">
        <v>2564</v>
      </c>
      <c r="J935" s="22" t="s">
        <v>670</v>
      </c>
      <c r="L935" s="23">
        <v>12</v>
      </c>
      <c r="M935" s="23">
        <v>30</v>
      </c>
      <c r="N935" s="3">
        <f t="shared" si="481"/>
        <v>4.3200000000000001E-3</v>
      </c>
      <c r="O935" s="4" t="e">
        <f>(C935-(C935*#REF!))-((C935-(C935*#REF!))*#REF!)</f>
        <v>#REF!</v>
      </c>
      <c r="P935" s="7"/>
      <c r="Q935" s="7"/>
      <c r="R935" s="5">
        <f t="shared" si="482"/>
        <v>0</v>
      </c>
      <c r="S935" s="4">
        <f t="shared" si="483"/>
        <v>0</v>
      </c>
      <c r="T935" s="13">
        <f t="shared" si="460"/>
        <v>39.192999999999998</v>
      </c>
      <c r="U935" s="13">
        <f t="shared" si="470"/>
        <v>19.596499999999999</v>
      </c>
      <c r="V935" s="14">
        <f>U935/C935</f>
        <v>0.35</v>
      </c>
      <c r="W935" s="14"/>
      <c r="X935" s="19">
        <f t="shared" si="484"/>
        <v>19.596499999999999</v>
      </c>
      <c r="Y935" s="19">
        <f t="shared" si="485"/>
        <v>39.192999999999998</v>
      </c>
      <c r="Z935" s="15" t="e">
        <f t="shared" si="480"/>
        <v>#DIV/0!</v>
      </c>
      <c r="AA935" s="22" t="s">
        <v>4401</v>
      </c>
      <c r="AG935" s="94" t="s">
        <v>817</v>
      </c>
      <c r="AH935" s="89" t="str">
        <f>VLOOKUP(AG935,Sheet1!$B$3:$D$36,2,FALSE)</f>
        <v>Kitchen &amp; Dining</v>
      </c>
      <c r="AI935" s="89" t="s">
        <v>4370</v>
      </c>
      <c r="AJ935" s="1" t="str">
        <f t="shared" si="461"/>
        <v>Greta carafe</v>
      </c>
      <c r="AK935" s="1" t="str">
        <f t="shared" si="462"/>
        <v>ø12 x h30</v>
      </c>
      <c r="AL935" s="1" t="str">
        <f t="shared" si="463"/>
        <v>clear glass semi</v>
      </c>
      <c r="AM935" s="1" t="str">
        <f t="shared" si="464"/>
        <v>clear glass semi</v>
      </c>
      <c r="AN935" s="1" t="str">
        <f t="shared" si="465"/>
        <v>clear glass semi</v>
      </c>
      <c r="AQ935" s="1" t="str">
        <f t="shared" si="466"/>
        <v>C</v>
      </c>
      <c r="AR935" s="1" t="str">
        <f>VLOOKUP(TRIM(AI935),Sheet1!$D$3:$E$36,2,FALSE)</f>
        <v>03</v>
      </c>
      <c r="AS935" s="90" t="str">
        <f t="shared" si="467"/>
        <v>01</v>
      </c>
      <c r="AT935" s="1" t="str">
        <f t="shared" si="468"/>
        <v>01</v>
      </c>
      <c r="AU935" s="90" t="s">
        <v>2567</v>
      </c>
      <c r="AV935" s="90"/>
      <c r="AW935" s="90"/>
      <c r="AX935" s="95" t="str">
        <f>AQ935&amp;AR935&amp;AS935&amp;"-"&amp;AT935&amp;AU935&amp;BA935</f>
        <v>C0301-0138</v>
      </c>
      <c r="AY935" s="99" t="str">
        <f>AQ935&amp;AR935&amp;AS935&amp;"-"&amp;AT935&amp;BA935</f>
        <v>C0301-01</v>
      </c>
      <c r="AZ935" s="90"/>
      <c r="BA935" s="1" t="str">
        <f t="shared" si="469"/>
        <v/>
      </c>
      <c r="BC935" s="1">
        <f t="shared" si="457"/>
        <v>1</v>
      </c>
      <c r="BD935" s="90">
        <f t="shared" si="458"/>
        <v>1</v>
      </c>
      <c r="BE935" s="1">
        <f t="shared" si="472"/>
        <v>1</v>
      </c>
      <c r="BF935" s="1">
        <f t="shared" si="473"/>
        <v>1</v>
      </c>
    </row>
    <row r="936" spans="1:58" ht="11.25" customHeight="1">
      <c r="A936" s="26" t="s">
        <v>4402</v>
      </c>
      <c r="B936" s="27" t="s">
        <v>4403</v>
      </c>
      <c r="C936" s="28">
        <v>51.99</v>
      </c>
      <c r="D936" s="28">
        <f t="shared" si="459"/>
        <v>25.995000000000001</v>
      </c>
      <c r="E936" s="22" t="s">
        <v>4366</v>
      </c>
      <c r="F936" s="22" t="s">
        <v>4404</v>
      </c>
      <c r="G936" s="22" t="s">
        <v>311</v>
      </c>
      <c r="H936" s="22" t="s">
        <v>4405</v>
      </c>
      <c r="I936" s="23" t="s">
        <v>2564</v>
      </c>
      <c r="J936" s="22" t="s">
        <v>670</v>
      </c>
      <c r="L936" s="23">
        <v>12</v>
      </c>
      <c r="M936" s="23">
        <v>27</v>
      </c>
      <c r="N936" s="3">
        <f t="shared" si="481"/>
        <v>3.888E-3</v>
      </c>
      <c r="O936" s="4" t="e">
        <f>(C936-(C936*#REF!))-((C936-(C936*#REF!))*#REF!)</f>
        <v>#REF!</v>
      </c>
      <c r="P936" s="7"/>
      <c r="Q936" s="7"/>
      <c r="R936" s="5">
        <f t="shared" si="482"/>
        <v>0</v>
      </c>
      <c r="S936" s="4">
        <f t="shared" si="483"/>
        <v>0</v>
      </c>
      <c r="T936" s="13">
        <f t="shared" si="460"/>
        <v>36.393000000000001</v>
      </c>
      <c r="U936" s="13">
        <f t="shared" si="470"/>
        <v>18.1965</v>
      </c>
      <c r="V936" s="14">
        <f>U936/C936</f>
        <v>0.35</v>
      </c>
      <c r="W936" s="14"/>
      <c r="X936" s="19">
        <f t="shared" si="484"/>
        <v>18.1965</v>
      </c>
      <c r="Y936" s="19">
        <f t="shared" si="485"/>
        <v>36.393000000000001</v>
      </c>
      <c r="Z936" s="15" t="e">
        <f t="shared" si="480"/>
        <v>#DIV/0!</v>
      </c>
      <c r="AA936" s="22" t="s">
        <v>4406</v>
      </c>
      <c r="AG936" s="94" t="s">
        <v>817</v>
      </c>
      <c r="AH936" s="89" t="str">
        <f>VLOOKUP(AG936,Sheet1!$B$3:$D$36,2,FALSE)</f>
        <v>Kitchen &amp; Dining</v>
      </c>
      <c r="AI936" s="89" t="s">
        <v>4370</v>
      </c>
      <c r="AJ936" s="1" t="str">
        <f t="shared" si="461"/>
        <v>Greta carafe</v>
      </c>
      <c r="AK936" s="1" t="str">
        <f t="shared" si="462"/>
        <v>ø12 x h27 - vol. 1.200 ml</v>
      </c>
      <c r="AL936" s="1" t="str">
        <f t="shared" si="463"/>
        <v>clear glass semi</v>
      </c>
      <c r="AM936" s="1" t="str">
        <f t="shared" si="464"/>
        <v>clear glass semi</v>
      </c>
      <c r="AN936" s="1" t="str">
        <f t="shared" si="465"/>
        <v>clear glass semi</v>
      </c>
      <c r="AQ936" s="1" t="str">
        <f t="shared" si="466"/>
        <v>C</v>
      </c>
      <c r="AR936" s="1" t="str">
        <f>VLOOKUP(TRIM(AI936),Sheet1!$D$3:$E$36,2,FALSE)</f>
        <v>03</v>
      </c>
      <c r="AS936" s="90" t="str">
        <f t="shared" si="467"/>
        <v>02</v>
      </c>
      <c r="AT936" s="1" t="str">
        <f t="shared" si="468"/>
        <v>01</v>
      </c>
      <c r="AU936" s="90" t="s">
        <v>2567</v>
      </c>
      <c r="AV936" s="90"/>
      <c r="AW936" s="90"/>
      <c r="AX936" s="95" t="str">
        <f>AQ936&amp;AR936&amp;AS936&amp;"-"&amp;AT936&amp;AU936&amp;BA936</f>
        <v>C0302-0138</v>
      </c>
      <c r="AY936" s="99" t="str">
        <f>AQ936&amp;AR936&amp;AS936&amp;"-"&amp;AT936&amp;BA936</f>
        <v>C0302-01</v>
      </c>
      <c r="AZ936" s="90"/>
      <c r="BA936" s="1" t="str">
        <f t="shared" si="469"/>
        <v/>
      </c>
      <c r="BC936" s="1" t="str">
        <f t="shared" si="457"/>
        <v/>
      </c>
      <c r="BD936" s="90">
        <f t="shared" si="458"/>
        <v>2</v>
      </c>
      <c r="BE936" s="1">
        <f t="shared" si="472"/>
        <v>1</v>
      </c>
      <c r="BF936" s="1">
        <f t="shared" si="473"/>
        <v>1</v>
      </c>
    </row>
    <row r="937" spans="1:58" ht="11.25" customHeight="1">
      <c r="A937" s="26" t="s">
        <v>4407</v>
      </c>
      <c r="B937" s="27" t="s">
        <v>4408</v>
      </c>
      <c r="C937" s="28">
        <v>92.99</v>
      </c>
      <c r="D937" s="28">
        <f t="shared" si="459"/>
        <v>46.494999999999997</v>
      </c>
      <c r="E937" s="22" t="s">
        <v>4366</v>
      </c>
      <c r="F937" s="22" t="s">
        <v>4409</v>
      </c>
      <c r="G937" s="22" t="s">
        <v>342</v>
      </c>
      <c r="H937" s="22" t="s">
        <v>4410</v>
      </c>
      <c r="I937" s="23" t="s">
        <v>2564</v>
      </c>
      <c r="J937" s="22" t="s">
        <v>670</v>
      </c>
      <c r="L937" s="23">
        <v>12</v>
      </c>
      <c r="M937" s="23">
        <v>30</v>
      </c>
      <c r="N937" s="3">
        <f t="shared" si="481"/>
        <v>4.3200000000000001E-3</v>
      </c>
      <c r="O937" s="4" t="e">
        <f>(C937-(C937*#REF!))-((C937-(C937*#REF!))*#REF!)</f>
        <v>#REF!</v>
      </c>
      <c r="P937" s="7"/>
      <c r="Q937" s="7"/>
      <c r="R937" s="5">
        <f t="shared" si="482"/>
        <v>0</v>
      </c>
      <c r="S937" s="4">
        <f t="shared" si="483"/>
        <v>0</v>
      </c>
      <c r="T937" s="13">
        <f t="shared" si="460"/>
        <v>65.092999999999989</v>
      </c>
      <c r="U937" s="13">
        <f t="shared" si="470"/>
        <v>32.546499999999995</v>
      </c>
      <c r="V937" s="14">
        <f>U937/C937</f>
        <v>0.35</v>
      </c>
      <c r="W937" s="14"/>
      <c r="X937" s="19">
        <f t="shared" si="484"/>
        <v>32.546499999999995</v>
      </c>
      <c r="Y937" s="19">
        <f t="shared" si="485"/>
        <v>65.092999999999989</v>
      </c>
      <c r="Z937" s="15" t="e">
        <f t="shared" si="480"/>
        <v>#DIV/0!</v>
      </c>
      <c r="AA937" s="22" t="s">
        <v>4411</v>
      </c>
      <c r="AG937" s="94" t="s">
        <v>817</v>
      </c>
      <c r="AH937" s="89" t="str">
        <f>VLOOKUP(AG937,Sheet1!$B$3:$D$36,2,FALSE)</f>
        <v>Kitchen &amp; Dining</v>
      </c>
      <c r="AI937" s="89" t="s">
        <v>4370</v>
      </c>
      <c r="AJ937" s="1" t="str">
        <f t="shared" si="461"/>
        <v>Hansen</v>
      </c>
      <c r="AK937" s="1" t="str">
        <f t="shared" si="462"/>
        <v>ø12 x h30 - vol. 1.000 ml</v>
      </c>
      <c r="AL937" s="1" t="str">
        <f t="shared" si="463"/>
        <v>clear glass semi</v>
      </c>
      <c r="AM937" s="1" t="str">
        <f t="shared" si="464"/>
        <v>clear glass semi</v>
      </c>
      <c r="AN937" s="1" t="str">
        <f t="shared" si="465"/>
        <v>clear glass semi</v>
      </c>
      <c r="AQ937" s="1" t="str">
        <f t="shared" si="466"/>
        <v>C</v>
      </c>
      <c r="AR937" s="1" t="str">
        <f>VLOOKUP(TRIM(AI937),Sheet1!$D$3:$E$36,2,FALSE)</f>
        <v>03</v>
      </c>
      <c r="AS937" s="90" t="str">
        <f t="shared" si="467"/>
        <v>01</v>
      </c>
      <c r="AT937" s="1" t="str">
        <f t="shared" si="468"/>
        <v>01</v>
      </c>
      <c r="AU937" s="90" t="s">
        <v>2567</v>
      </c>
      <c r="AV937" s="90"/>
      <c r="AW937" s="90"/>
      <c r="AX937" s="95" t="str">
        <f>AQ937&amp;AR937&amp;AS937&amp;"-"&amp;AT937&amp;AU937&amp;BA937</f>
        <v>C0301-0138</v>
      </c>
      <c r="AY937" s="99" t="str">
        <f>AQ937&amp;AR937&amp;AS937&amp;"-"&amp;AT937&amp;BA937</f>
        <v>C0301-01</v>
      </c>
      <c r="AZ937" s="90"/>
      <c r="BA937" s="1" t="str">
        <f t="shared" si="469"/>
        <v/>
      </c>
      <c r="BC937" s="1">
        <f t="shared" ref="BC937:BC1000" si="486">IF(AJ936&lt;&gt;AJ937,1,"")</f>
        <v>1</v>
      </c>
      <c r="BD937" s="90">
        <f t="shared" ref="BD937:BD1000" si="487">IF(BC937=1,1,BD936+1)</f>
        <v>1</v>
      </c>
      <c r="BE937" s="1">
        <f t="shared" si="472"/>
        <v>1</v>
      </c>
      <c r="BF937" s="1">
        <f t="shared" si="473"/>
        <v>1</v>
      </c>
    </row>
    <row r="938" spans="1:58" ht="11.25" customHeight="1">
      <c r="A938" s="26" t="s">
        <v>4412</v>
      </c>
      <c r="B938" s="27" t="s">
        <v>4408</v>
      </c>
      <c r="C938" s="28">
        <v>84.99</v>
      </c>
      <c r="D938" s="28">
        <f t="shared" si="459"/>
        <v>42.494999999999997</v>
      </c>
      <c r="E938" s="22" t="s">
        <v>4366</v>
      </c>
      <c r="F938" s="22" t="s">
        <v>4413</v>
      </c>
      <c r="G938" s="22" t="s">
        <v>342</v>
      </c>
      <c r="H938" s="22" t="s">
        <v>4410</v>
      </c>
      <c r="I938" s="23" t="s">
        <v>2564</v>
      </c>
      <c r="J938" s="22" t="s">
        <v>670</v>
      </c>
      <c r="L938" s="23">
        <v>12</v>
      </c>
      <c r="M938" s="23">
        <v>30</v>
      </c>
      <c r="N938" s="3">
        <f t="shared" si="481"/>
        <v>4.3200000000000001E-3</v>
      </c>
      <c r="O938" s="4" t="e">
        <f>(C938-(C938*#REF!))-((C938-(C938*#REF!))*#REF!)</f>
        <v>#REF!</v>
      </c>
      <c r="P938" s="7"/>
      <c r="Q938" s="7"/>
      <c r="R938" s="5">
        <f t="shared" si="482"/>
        <v>0</v>
      </c>
      <c r="S938" s="4">
        <f t="shared" si="483"/>
        <v>0</v>
      </c>
      <c r="T938" s="13">
        <f t="shared" si="460"/>
        <v>59.492999999999995</v>
      </c>
      <c r="U938" s="13">
        <f t="shared" si="470"/>
        <v>29.746499999999997</v>
      </c>
      <c r="V938" s="14">
        <f>U938/C938</f>
        <v>0.35</v>
      </c>
      <c r="W938" s="14"/>
      <c r="X938" s="19">
        <f t="shared" si="484"/>
        <v>29.746499999999997</v>
      </c>
      <c r="Y938" s="19">
        <f t="shared" si="485"/>
        <v>59.492999999999995</v>
      </c>
      <c r="Z938" s="15" t="e">
        <f t="shared" si="480"/>
        <v>#DIV/0!</v>
      </c>
      <c r="AA938" s="22" t="s">
        <v>4414</v>
      </c>
      <c r="AG938" s="94" t="s">
        <v>817</v>
      </c>
      <c r="AH938" s="89" t="str">
        <f>VLOOKUP(AG938,Sheet1!$B$3:$D$36,2,FALSE)</f>
        <v>Kitchen &amp; Dining</v>
      </c>
      <c r="AI938" s="89" t="s">
        <v>4370</v>
      </c>
      <c r="AJ938" s="1" t="str">
        <f t="shared" si="461"/>
        <v>Hansen</v>
      </c>
      <c r="AK938" s="1" t="str">
        <f t="shared" si="462"/>
        <v>ø12 x h30 - vol. 1.000 ml</v>
      </c>
      <c r="AL938" s="1" t="str">
        <f t="shared" si="463"/>
        <v>clear glass semi</v>
      </c>
      <c r="AM938" s="1" t="str">
        <f t="shared" si="464"/>
        <v>clear glass semi</v>
      </c>
      <c r="AN938" s="1" t="str">
        <f t="shared" si="465"/>
        <v>clear glass semi</v>
      </c>
      <c r="AQ938" s="1" t="str">
        <f t="shared" si="466"/>
        <v>C</v>
      </c>
      <c r="AR938" s="1" t="str">
        <f>VLOOKUP(TRIM(AI938),Sheet1!$D$3:$E$36,2,FALSE)</f>
        <v>03</v>
      </c>
      <c r="AS938" s="90" t="str">
        <f t="shared" si="467"/>
        <v>02</v>
      </c>
      <c r="AT938" s="1" t="str">
        <f t="shared" si="468"/>
        <v>02</v>
      </c>
      <c r="AU938" s="90" t="s">
        <v>2567</v>
      </c>
      <c r="AV938" s="90"/>
      <c r="AW938" s="90"/>
      <c r="AX938" s="95" t="str">
        <f>AQ938&amp;AR938&amp;AS938&amp;"-"&amp;AT938&amp;AU938&amp;BA938</f>
        <v>C0302-0238</v>
      </c>
      <c r="AY938" s="99" t="str">
        <f>AQ938&amp;AR938&amp;AS938&amp;"-"&amp;AT938&amp;BA938</f>
        <v>C0302-02</v>
      </c>
      <c r="AZ938" s="90"/>
      <c r="BA938" s="1" t="str">
        <f t="shared" si="469"/>
        <v/>
      </c>
      <c r="BC938" s="1" t="str">
        <f t="shared" si="486"/>
        <v/>
      </c>
      <c r="BD938" s="90">
        <f t="shared" si="487"/>
        <v>2</v>
      </c>
      <c r="BE938" s="1" t="str">
        <f t="shared" si="472"/>
        <v/>
      </c>
      <c r="BF938" s="1">
        <f t="shared" si="473"/>
        <v>2</v>
      </c>
    </row>
    <row r="939" spans="1:58" ht="11.25" customHeight="1">
      <c r="A939" s="26" t="s">
        <v>4415</v>
      </c>
      <c r="B939" s="27" t="s">
        <v>4416</v>
      </c>
      <c r="C939" s="28">
        <v>39.99</v>
      </c>
      <c r="D939" s="28">
        <f t="shared" si="459"/>
        <v>19.995000000000001</v>
      </c>
      <c r="E939" s="22" t="s">
        <v>4366</v>
      </c>
      <c r="F939" s="22" t="s">
        <v>4417</v>
      </c>
      <c r="G939" s="22" t="s">
        <v>109</v>
      </c>
      <c r="H939" s="22" t="s">
        <v>4418</v>
      </c>
      <c r="I939" s="23" t="s">
        <v>2564</v>
      </c>
      <c r="J939" s="22" t="s">
        <v>670</v>
      </c>
      <c r="L939" s="23">
        <v>17</v>
      </c>
      <c r="M939" s="23">
        <v>12</v>
      </c>
      <c r="N939" s="3">
        <f t="shared" si="481"/>
        <v>3.4680000000000002E-3</v>
      </c>
      <c r="O939" s="4" t="e">
        <f>(C939-(C939*#REF!))-((C939-(C939*#REF!))*#REF!)</f>
        <v>#REF!</v>
      </c>
      <c r="P939" s="7"/>
      <c r="Q939" s="7"/>
      <c r="R939" s="5">
        <f t="shared" si="482"/>
        <v>0</v>
      </c>
      <c r="S939" s="4">
        <f t="shared" si="483"/>
        <v>0</v>
      </c>
      <c r="T939" s="13">
        <f t="shared" si="460"/>
        <v>27.993000000000002</v>
      </c>
      <c r="U939" s="13">
        <f t="shared" si="470"/>
        <v>13.996500000000001</v>
      </c>
      <c r="V939" s="14">
        <f>U939/C939</f>
        <v>0.35000000000000003</v>
      </c>
      <c r="W939" s="14"/>
      <c r="X939" s="19">
        <f t="shared" si="484"/>
        <v>13.996500000000001</v>
      </c>
      <c r="Y939" s="19">
        <f t="shared" si="485"/>
        <v>27.993000000000002</v>
      </c>
      <c r="Z939" s="15" t="e">
        <f t="shared" si="480"/>
        <v>#DIV/0!</v>
      </c>
      <c r="AA939" s="22" t="s">
        <v>4419</v>
      </c>
      <c r="AG939" s="94" t="s">
        <v>817</v>
      </c>
      <c r="AH939" s="89" t="str">
        <f>VLOOKUP(AG939,Sheet1!$B$3:$D$36,2,FALSE)</f>
        <v>Kitchen &amp; Dining</v>
      </c>
      <c r="AI939" s="89" t="s">
        <v>4370</v>
      </c>
      <c r="AJ939" s="1" t="str">
        <f t="shared" si="461"/>
        <v>Bareno</v>
      </c>
      <c r="AK939" s="1" t="str">
        <f t="shared" si="462"/>
        <v>ø17 x h12 - vol. 600 ml</v>
      </c>
      <c r="AL939" s="1" t="str">
        <f t="shared" si="463"/>
        <v>clear glass semi</v>
      </c>
      <c r="AM939" s="1" t="str">
        <f t="shared" si="464"/>
        <v>clear glass semi</v>
      </c>
      <c r="AN939" s="1" t="str">
        <f t="shared" si="465"/>
        <v>clear glass semi</v>
      </c>
      <c r="AQ939" s="1" t="str">
        <f t="shared" si="466"/>
        <v>C</v>
      </c>
      <c r="AR939" s="1" t="str">
        <f>VLOOKUP(TRIM(AI939),Sheet1!$D$3:$E$36,2,FALSE)</f>
        <v>03</v>
      </c>
      <c r="AS939" s="90" t="str">
        <f t="shared" si="467"/>
        <v>01</v>
      </c>
      <c r="AT939" s="1" t="str">
        <f t="shared" si="468"/>
        <v>01</v>
      </c>
      <c r="AU939" s="90" t="s">
        <v>2567</v>
      </c>
      <c r="AV939" s="90"/>
      <c r="AW939" s="90"/>
      <c r="AX939" s="95" t="str">
        <f>AQ939&amp;AR939&amp;AS939&amp;"-"&amp;AT939&amp;AU939&amp;BA939</f>
        <v>C0301-0138</v>
      </c>
      <c r="AY939" s="99" t="str">
        <f>AQ939&amp;AR939&amp;AS939&amp;"-"&amp;AT939&amp;BA939</f>
        <v>C0301-01</v>
      </c>
      <c r="AZ939" s="90"/>
      <c r="BA939" s="1" t="str">
        <f t="shared" si="469"/>
        <v/>
      </c>
      <c r="BC939" s="1">
        <f t="shared" si="486"/>
        <v>1</v>
      </c>
      <c r="BD939" s="90">
        <f t="shared" si="487"/>
        <v>1</v>
      </c>
      <c r="BE939" s="1">
        <f t="shared" si="472"/>
        <v>1</v>
      </c>
      <c r="BF939" s="1">
        <f t="shared" si="473"/>
        <v>1</v>
      </c>
    </row>
    <row r="940" spans="1:58" ht="11.25" customHeight="1">
      <c r="A940" s="26" t="s">
        <v>4420</v>
      </c>
      <c r="B940" s="27" t="s">
        <v>4416</v>
      </c>
      <c r="C940" s="28">
        <v>52.99</v>
      </c>
      <c r="D940" s="28">
        <f t="shared" si="459"/>
        <v>26.495000000000001</v>
      </c>
      <c r="E940" s="22" t="s">
        <v>4366</v>
      </c>
      <c r="F940" s="22" t="s">
        <v>4421</v>
      </c>
      <c r="G940" s="22" t="s">
        <v>109</v>
      </c>
      <c r="H940" s="22" t="s">
        <v>4422</v>
      </c>
      <c r="I940" s="23" t="s">
        <v>2564</v>
      </c>
      <c r="J940" s="22" t="s">
        <v>670</v>
      </c>
      <c r="L940" s="23">
        <v>16</v>
      </c>
      <c r="M940" s="23">
        <v>18</v>
      </c>
      <c r="N940" s="3">
        <f t="shared" si="481"/>
        <v>4.6080000000000001E-3</v>
      </c>
      <c r="O940" s="4" t="e">
        <f>(C940-(C940*#REF!))-((C940-(C940*#REF!))*#REF!)</f>
        <v>#REF!</v>
      </c>
      <c r="P940" s="7"/>
      <c r="Q940" s="7"/>
      <c r="R940" s="5">
        <f t="shared" si="482"/>
        <v>0</v>
      </c>
      <c r="S940" s="4">
        <f t="shared" si="483"/>
        <v>0</v>
      </c>
      <c r="T940" s="13">
        <f t="shared" si="460"/>
        <v>37.093000000000004</v>
      </c>
      <c r="U940" s="13">
        <f t="shared" si="470"/>
        <v>18.546500000000002</v>
      </c>
      <c r="V940" s="14">
        <f>U940/C940</f>
        <v>0.35000000000000003</v>
      </c>
      <c r="W940" s="14"/>
      <c r="X940" s="19">
        <f t="shared" si="484"/>
        <v>18.546500000000002</v>
      </c>
      <c r="Y940" s="19">
        <f t="shared" si="485"/>
        <v>37.093000000000004</v>
      </c>
      <c r="Z940" s="15" t="e">
        <f t="shared" si="480"/>
        <v>#DIV/0!</v>
      </c>
      <c r="AA940" s="22" t="s">
        <v>4423</v>
      </c>
      <c r="AG940" s="94" t="s">
        <v>817</v>
      </c>
      <c r="AH940" s="89" t="str">
        <f>VLOOKUP(AG940,Sheet1!$B$3:$D$36,2,FALSE)</f>
        <v>Kitchen &amp; Dining</v>
      </c>
      <c r="AI940" s="89" t="s">
        <v>4370</v>
      </c>
      <c r="AJ940" s="1" t="str">
        <f t="shared" si="461"/>
        <v>Bareno</v>
      </c>
      <c r="AK940" s="1" t="str">
        <f t="shared" si="462"/>
        <v>ø16 x h18 - vol. 1.200 ml</v>
      </c>
      <c r="AL940" s="1" t="str">
        <f t="shared" si="463"/>
        <v>clear glass semi</v>
      </c>
      <c r="AM940" s="1" t="str">
        <f t="shared" si="464"/>
        <v>clear glass semi</v>
      </c>
      <c r="AN940" s="1" t="str">
        <f t="shared" si="465"/>
        <v>clear glass semi</v>
      </c>
      <c r="AQ940" s="1" t="str">
        <f t="shared" si="466"/>
        <v>C</v>
      </c>
      <c r="AR940" s="1" t="str">
        <f>VLOOKUP(TRIM(AI940),Sheet1!$D$3:$E$36,2,FALSE)</f>
        <v>03</v>
      </c>
      <c r="AS940" s="90" t="str">
        <f t="shared" si="467"/>
        <v>02</v>
      </c>
      <c r="AT940" s="1" t="str">
        <f t="shared" si="468"/>
        <v>01</v>
      </c>
      <c r="AU940" s="90" t="s">
        <v>2567</v>
      </c>
      <c r="AV940" s="90"/>
      <c r="AW940" s="90"/>
      <c r="AX940" s="95" t="str">
        <f>AQ940&amp;AR940&amp;AS940&amp;"-"&amp;AT940&amp;AU940&amp;BA940</f>
        <v>C0302-0138</v>
      </c>
      <c r="AY940" s="99" t="str">
        <f>AQ940&amp;AR940&amp;AS940&amp;"-"&amp;AT940&amp;BA940</f>
        <v>C0302-01</v>
      </c>
      <c r="AZ940" s="90"/>
      <c r="BA940" s="1" t="str">
        <f t="shared" si="469"/>
        <v/>
      </c>
      <c r="BC940" s="1" t="str">
        <f t="shared" si="486"/>
        <v/>
      </c>
      <c r="BD940" s="90">
        <f t="shared" si="487"/>
        <v>2</v>
      </c>
      <c r="BE940" s="1">
        <f t="shared" si="472"/>
        <v>1</v>
      </c>
      <c r="BF940" s="1">
        <f t="shared" si="473"/>
        <v>1</v>
      </c>
    </row>
    <row r="941" spans="1:58" ht="11.25" customHeight="1">
      <c r="A941" s="26" t="s">
        <v>4424</v>
      </c>
      <c r="B941" s="27" t="s">
        <v>4416</v>
      </c>
      <c r="C941" s="28">
        <v>71.989999999999995</v>
      </c>
      <c r="D941" s="28">
        <f t="shared" si="459"/>
        <v>35.994999999999997</v>
      </c>
      <c r="E941" s="22" t="s">
        <v>4366</v>
      </c>
      <c r="F941" s="22" t="s">
        <v>4421</v>
      </c>
      <c r="G941" s="22" t="s">
        <v>109</v>
      </c>
      <c r="H941" s="22" t="s">
        <v>4425</v>
      </c>
      <c r="I941" s="23" t="s">
        <v>2564</v>
      </c>
      <c r="J941" s="22" t="s">
        <v>670</v>
      </c>
      <c r="L941" s="23">
        <v>16</v>
      </c>
      <c r="M941" s="23">
        <v>18</v>
      </c>
      <c r="N941" s="3">
        <f t="shared" si="481"/>
        <v>4.6080000000000001E-3</v>
      </c>
      <c r="O941" s="4" t="e">
        <f>(C941-(C941*#REF!))-((C941-(C941*#REF!))*#REF!)</f>
        <v>#REF!</v>
      </c>
      <c r="P941" s="7"/>
      <c r="Q941" s="7"/>
      <c r="R941" s="5">
        <f t="shared" si="482"/>
        <v>0</v>
      </c>
      <c r="S941" s="4">
        <f t="shared" si="483"/>
        <v>0</v>
      </c>
      <c r="T941" s="13">
        <f t="shared" si="460"/>
        <v>50.393000000000001</v>
      </c>
      <c r="U941" s="13">
        <f t="shared" si="470"/>
        <v>25.1965</v>
      </c>
      <c r="V941" s="14">
        <f>U941/C941</f>
        <v>0.35000000000000003</v>
      </c>
      <c r="W941" s="14"/>
      <c r="X941" s="19">
        <f t="shared" si="484"/>
        <v>25.1965</v>
      </c>
      <c r="Y941" s="19">
        <f t="shared" si="485"/>
        <v>50.393000000000001</v>
      </c>
      <c r="Z941" s="15" t="e">
        <f t="shared" si="480"/>
        <v>#DIV/0!</v>
      </c>
      <c r="AA941" s="22" t="s">
        <v>4426</v>
      </c>
      <c r="AG941" s="94" t="s">
        <v>817</v>
      </c>
      <c r="AH941" s="89" t="str">
        <f>VLOOKUP(AG941,Sheet1!$B$3:$D$36,2,FALSE)</f>
        <v>Kitchen &amp; Dining</v>
      </c>
      <c r="AI941" s="89" t="s">
        <v>4370</v>
      </c>
      <c r="AJ941" s="1" t="str">
        <f t="shared" si="461"/>
        <v>Bareno</v>
      </c>
      <c r="AK941" s="1" t="str">
        <f t="shared" si="462"/>
        <v>ø16 x h18 - vol. 1.200 ml</v>
      </c>
      <c r="AL941" s="1" t="str">
        <f t="shared" si="463"/>
        <v>clear glass semi</v>
      </c>
      <c r="AM941" s="1" t="str">
        <f t="shared" si="464"/>
        <v>clear glass semi</v>
      </c>
      <c r="AN941" s="1" t="str">
        <f t="shared" si="465"/>
        <v>clear glass semi</v>
      </c>
      <c r="AQ941" s="1" t="str">
        <f t="shared" si="466"/>
        <v>C</v>
      </c>
      <c r="AR941" s="1" t="str">
        <f>VLOOKUP(TRIM(AI941),Sheet1!$D$3:$E$36,2,FALSE)</f>
        <v>03</v>
      </c>
      <c r="AS941" s="90" t="str">
        <f t="shared" si="467"/>
        <v>03</v>
      </c>
      <c r="AT941" s="1" t="str">
        <f t="shared" si="468"/>
        <v>02</v>
      </c>
      <c r="AU941" s="90" t="s">
        <v>2567</v>
      </c>
      <c r="AV941" s="90"/>
      <c r="AW941" s="90"/>
      <c r="AX941" s="95" t="str">
        <f>AQ941&amp;AR941&amp;AS941&amp;"-"&amp;AT941&amp;AU941&amp;BA941</f>
        <v>C0303-0238</v>
      </c>
      <c r="AY941" s="99" t="str">
        <f>AQ941&amp;AR941&amp;AS941&amp;"-"&amp;AT941&amp;BA941</f>
        <v>C0303-02</v>
      </c>
      <c r="AZ941" s="90"/>
      <c r="BA941" s="1" t="str">
        <f t="shared" si="469"/>
        <v/>
      </c>
      <c r="BC941" s="1" t="str">
        <f t="shared" si="486"/>
        <v/>
      </c>
      <c r="BD941" s="90">
        <f t="shared" si="487"/>
        <v>3</v>
      </c>
      <c r="BE941" s="1" t="str">
        <f t="shared" si="472"/>
        <v/>
      </c>
      <c r="BF941" s="1">
        <f t="shared" si="473"/>
        <v>2</v>
      </c>
    </row>
    <row r="942" spans="1:58" ht="11.25" customHeight="1">
      <c r="A942" s="26" t="s">
        <v>2721</v>
      </c>
      <c r="B942" s="27" t="s">
        <v>2722</v>
      </c>
      <c r="C942" s="28">
        <v>36.99</v>
      </c>
      <c r="D942" s="28">
        <f t="shared" si="459"/>
        <v>18.495000000000001</v>
      </c>
      <c r="E942" s="22" t="s">
        <v>4366</v>
      </c>
      <c r="F942" s="22" t="s">
        <v>4427</v>
      </c>
      <c r="G942" s="22" t="s">
        <v>469</v>
      </c>
      <c r="H942" s="22" t="s">
        <v>2724</v>
      </c>
      <c r="I942" s="23" t="s">
        <v>2564</v>
      </c>
      <c r="J942" s="22" t="s">
        <v>670</v>
      </c>
      <c r="L942" s="23">
        <v>9</v>
      </c>
      <c r="M942" s="23">
        <v>22</v>
      </c>
      <c r="N942" s="3">
        <f t="shared" si="481"/>
        <v>1.7819999999999999E-3</v>
      </c>
      <c r="O942" s="4" t="e">
        <f>(C942-(C942*#REF!))-((C942-(C942*#REF!))*#REF!)</f>
        <v>#REF!</v>
      </c>
      <c r="P942" s="7"/>
      <c r="Q942" s="7"/>
      <c r="R942" s="5">
        <f t="shared" si="482"/>
        <v>0</v>
      </c>
      <c r="S942" s="4">
        <f t="shared" si="483"/>
        <v>0</v>
      </c>
      <c r="T942" s="13">
        <f t="shared" si="460"/>
        <v>25.893000000000001</v>
      </c>
      <c r="U942" s="13">
        <f t="shared" si="470"/>
        <v>12.9465</v>
      </c>
      <c r="V942" s="14">
        <f>U942/C942</f>
        <v>0.35</v>
      </c>
      <c r="W942" s="14"/>
      <c r="X942" s="19">
        <f t="shared" si="484"/>
        <v>12.9465</v>
      </c>
      <c r="Y942" s="19">
        <f t="shared" si="485"/>
        <v>25.893000000000001</v>
      </c>
      <c r="Z942" s="15" t="e">
        <f t="shared" si="480"/>
        <v>#DIV/0!</v>
      </c>
      <c r="AA942" s="22" t="s">
        <v>4428</v>
      </c>
      <c r="AG942" s="94" t="s">
        <v>817</v>
      </c>
      <c r="AH942" s="89" t="str">
        <f>VLOOKUP(AG942,Sheet1!$B$3:$D$36,2,FALSE)</f>
        <v>Kitchen &amp; Dining</v>
      </c>
      <c r="AI942" s="89" t="s">
        <v>4370</v>
      </c>
      <c r="AJ942" s="1" t="str">
        <f t="shared" si="461"/>
        <v>Maldini</v>
      </c>
      <c r="AK942" s="1" t="str">
        <f t="shared" si="462"/>
        <v>ø9 x h22 - vol. 800 ml</v>
      </c>
      <c r="AL942" s="1" t="str">
        <f t="shared" si="463"/>
        <v>clear glass semi</v>
      </c>
      <c r="AM942" s="1" t="str">
        <f t="shared" si="464"/>
        <v>clear glass semi</v>
      </c>
      <c r="AN942" s="1" t="str">
        <f t="shared" si="465"/>
        <v>clear glass semi</v>
      </c>
      <c r="AQ942" s="1" t="str">
        <f t="shared" si="466"/>
        <v>C</v>
      </c>
      <c r="AR942" s="1" t="str">
        <f>VLOOKUP(TRIM(AI942),Sheet1!$D$3:$E$36,2,FALSE)</f>
        <v>03</v>
      </c>
      <c r="AS942" s="90" t="str">
        <f t="shared" si="467"/>
        <v>01</v>
      </c>
      <c r="AT942" s="1" t="str">
        <f t="shared" si="468"/>
        <v>01</v>
      </c>
      <c r="AU942" s="90" t="s">
        <v>2567</v>
      </c>
      <c r="AV942" s="90"/>
      <c r="AW942" s="90"/>
      <c r="AX942" s="95" t="str">
        <f>AQ942&amp;AR942&amp;AS942&amp;"-"&amp;AT942&amp;AU942&amp;BA942</f>
        <v>C0301-0138</v>
      </c>
      <c r="AY942" s="99" t="str">
        <f>AQ942&amp;AR942&amp;AS942&amp;"-"&amp;AT942&amp;BA942</f>
        <v>C0301-01</v>
      </c>
      <c r="AZ942" s="90"/>
      <c r="BA942" s="1" t="str">
        <f t="shared" si="469"/>
        <v/>
      </c>
      <c r="BC942" s="1">
        <f t="shared" si="486"/>
        <v>1</v>
      </c>
      <c r="BD942" s="90">
        <f t="shared" si="487"/>
        <v>1</v>
      </c>
      <c r="BE942" s="1">
        <f t="shared" si="472"/>
        <v>1</v>
      </c>
      <c r="BF942" s="1">
        <f t="shared" si="473"/>
        <v>1</v>
      </c>
    </row>
    <row r="943" spans="1:58" ht="11.25" customHeight="1">
      <c r="A943" s="26" t="s">
        <v>2726</v>
      </c>
      <c r="B943" s="27" t="s">
        <v>2722</v>
      </c>
      <c r="C943" s="28">
        <v>43.99</v>
      </c>
      <c r="D943" s="28">
        <f t="shared" si="459"/>
        <v>21.995000000000001</v>
      </c>
      <c r="E943" s="22" t="s">
        <v>4366</v>
      </c>
      <c r="F943" s="22" t="s">
        <v>4429</v>
      </c>
      <c r="G943" s="22" t="s">
        <v>469</v>
      </c>
      <c r="H943" s="22" t="s">
        <v>2728</v>
      </c>
      <c r="I943" s="23" t="s">
        <v>2564</v>
      </c>
      <c r="J943" s="22" t="s">
        <v>670</v>
      </c>
      <c r="L943" s="23">
        <v>9</v>
      </c>
      <c r="M943" s="23">
        <v>25</v>
      </c>
      <c r="N943" s="3">
        <f t="shared" si="481"/>
        <v>2.0249999999999999E-3</v>
      </c>
      <c r="O943" s="4" t="e">
        <f>(C943-(C943*#REF!))-((C943-(C943*#REF!))*#REF!)</f>
        <v>#REF!</v>
      </c>
      <c r="P943" s="7"/>
      <c r="Q943" s="7"/>
      <c r="R943" s="5">
        <f t="shared" si="482"/>
        <v>0</v>
      </c>
      <c r="S943" s="4">
        <f t="shared" si="483"/>
        <v>0</v>
      </c>
      <c r="T943" s="13">
        <f t="shared" si="460"/>
        <v>30.792999999999999</v>
      </c>
      <c r="U943" s="13">
        <f t="shared" si="470"/>
        <v>15.3965</v>
      </c>
      <c r="V943" s="14">
        <f>U943/C943</f>
        <v>0.35</v>
      </c>
      <c r="W943" s="14"/>
      <c r="X943" s="19">
        <f t="shared" si="484"/>
        <v>15.3965</v>
      </c>
      <c r="Y943" s="19">
        <f t="shared" si="485"/>
        <v>30.792999999999999</v>
      </c>
      <c r="Z943" s="15" t="e">
        <f t="shared" si="480"/>
        <v>#DIV/0!</v>
      </c>
      <c r="AA943" s="22" t="s">
        <v>4430</v>
      </c>
      <c r="AG943" s="94" t="s">
        <v>817</v>
      </c>
      <c r="AH943" s="89" t="str">
        <f>VLOOKUP(AG943,Sheet1!$B$3:$D$36,2,FALSE)</f>
        <v>Kitchen &amp; Dining</v>
      </c>
      <c r="AI943" s="89" t="s">
        <v>4370</v>
      </c>
      <c r="AJ943" s="1" t="str">
        <f t="shared" si="461"/>
        <v>Maldini</v>
      </c>
      <c r="AK943" s="1" t="str">
        <f t="shared" si="462"/>
        <v>ø9 x h25 - vol. 1.000 ml</v>
      </c>
      <c r="AL943" s="1" t="str">
        <f t="shared" si="463"/>
        <v>clear glass semi</v>
      </c>
      <c r="AM943" s="1" t="str">
        <f t="shared" si="464"/>
        <v>clear glass semi</v>
      </c>
      <c r="AN943" s="1" t="str">
        <f t="shared" si="465"/>
        <v>clear glass semi</v>
      </c>
      <c r="AQ943" s="1" t="str">
        <f t="shared" si="466"/>
        <v>C</v>
      </c>
      <c r="AR943" s="1" t="str">
        <f>VLOOKUP(TRIM(AI943),Sheet1!$D$3:$E$36,2,FALSE)</f>
        <v>03</v>
      </c>
      <c r="AS943" s="90" t="str">
        <f t="shared" si="467"/>
        <v>02</v>
      </c>
      <c r="AT943" s="1" t="str">
        <f t="shared" si="468"/>
        <v>01</v>
      </c>
      <c r="AU943" s="90" t="s">
        <v>2567</v>
      </c>
      <c r="AV943" s="90"/>
      <c r="AW943" s="90"/>
      <c r="AX943" s="95" t="str">
        <f>AQ943&amp;AR943&amp;AS943&amp;"-"&amp;AT943&amp;AU943&amp;BA943</f>
        <v>C0302-0138</v>
      </c>
      <c r="AY943" s="99" t="str">
        <f>AQ943&amp;AR943&amp;AS943&amp;"-"&amp;AT943&amp;BA943</f>
        <v>C0302-01</v>
      </c>
      <c r="AZ943" s="90"/>
      <c r="BA943" s="1" t="str">
        <f t="shared" si="469"/>
        <v/>
      </c>
      <c r="BC943" s="1" t="str">
        <f t="shared" si="486"/>
        <v/>
      </c>
      <c r="BD943" s="90">
        <f t="shared" si="487"/>
        <v>2</v>
      </c>
      <c r="BE943" s="1">
        <f t="shared" si="472"/>
        <v>1</v>
      </c>
      <c r="BF943" s="1">
        <f t="shared" si="473"/>
        <v>1</v>
      </c>
    </row>
    <row r="944" spans="1:58" ht="11.25" customHeight="1">
      <c r="A944" s="26" t="s">
        <v>2730</v>
      </c>
      <c r="B944" s="27" t="s">
        <v>2722</v>
      </c>
      <c r="C944" s="28">
        <v>50.99</v>
      </c>
      <c r="D944" s="28">
        <f t="shared" si="459"/>
        <v>25.495000000000001</v>
      </c>
      <c r="E944" s="22" t="s">
        <v>4366</v>
      </c>
      <c r="F944" s="22" t="s">
        <v>4431</v>
      </c>
      <c r="G944" s="22" t="s">
        <v>469</v>
      </c>
      <c r="H944" s="22" t="s">
        <v>2732</v>
      </c>
      <c r="I944" s="23" t="s">
        <v>2564</v>
      </c>
      <c r="J944" s="22" t="s">
        <v>670</v>
      </c>
      <c r="L944" s="23">
        <v>9</v>
      </c>
      <c r="M944" s="23">
        <v>30</v>
      </c>
      <c r="N944" s="3">
        <f t="shared" si="481"/>
        <v>2.4299999999999999E-3</v>
      </c>
      <c r="O944" s="4" t="e">
        <f>(C944-(C944*#REF!))-((C944-(C944*#REF!))*#REF!)</f>
        <v>#REF!</v>
      </c>
      <c r="P944" s="7"/>
      <c r="Q944" s="7"/>
      <c r="R944" s="5">
        <f t="shared" si="482"/>
        <v>0</v>
      </c>
      <c r="S944" s="4">
        <f t="shared" si="483"/>
        <v>0</v>
      </c>
      <c r="T944" s="13">
        <f t="shared" si="460"/>
        <v>35.692999999999998</v>
      </c>
      <c r="U944" s="13">
        <f t="shared" si="470"/>
        <v>17.846499999999999</v>
      </c>
      <c r="V944" s="14">
        <f>U944/C944</f>
        <v>0.35</v>
      </c>
      <c r="W944" s="14"/>
      <c r="X944" s="19">
        <f t="shared" si="484"/>
        <v>17.846499999999999</v>
      </c>
      <c r="Y944" s="19">
        <f t="shared" si="485"/>
        <v>35.692999999999998</v>
      </c>
      <c r="Z944" s="15" t="e">
        <f t="shared" si="480"/>
        <v>#DIV/0!</v>
      </c>
      <c r="AA944" s="22" t="s">
        <v>4428</v>
      </c>
      <c r="AG944" s="94" t="s">
        <v>817</v>
      </c>
      <c r="AH944" s="89" t="str">
        <f>VLOOKUP(AG944,Sheet1!$B$3:$D$36,2,FALSE)</f>
        <v>Kitchen &amp; Dining</v>
      </c>
      <c r="AI944" s="89" t="s">
        <v>4370</v>
      </c>
      <c r="AJ944" s="1" t="str">
        <f t="shared" si="461"/>
        <v>Maldini</v>
      </c>
      <c r="AK944" s="1" t="str">
        <f t="shared" si="462"/>
        <v>ø9 x h30 - vol. 1.400 ml</v>
      </c>
      <c r="AL944" s="1" t="str">
        <f t="shared" si="463"/>
        <v>clear glass semi</v>
      </c>
      <c r="AM944" s="1" t="str">
        <f t="shared" si="464"/>
        <v>clear glass semi</v>
      </c>
      <c r="AN944" s="1" t="str">
        <f t="shared" si="465"/>
        <v>clear glass semi</v>
      </c>
      <c r="AQ944" s="1" t="str">
        <f t="shared" si="466"/>
        <v>C</v>
      </c>
      <c r="AR944" s="1" t="str">
        <f>VLOOKUP(TRIM(AI944),Sheet1!$D$3:$E$36,2,FALSE)</f>
        <v>03</v>
      </c>
      <c r="AS944" s="90" t="str">
        <f t="shared" si="467"/>
        <v>03</v>
      </c>
      <c r="AT944" s="1" t="str">
        <f t="shared" si="468"/>
        <v>01</v>
      </c>
      <c r="AU944" s="90" t="s">
        <v>2567</v>
      </c>
      <c r="AV944" s="90"/>
      <c r="AW944" s="90"/>
      <c r="AX944" s="95" t="str">
        <f>AQ944&amp;AR944&amp;AS944&amp;"-"&amp;AT944&amp;AU944&amp;BA944</f>
        <v>C0303-0138</v>
      </c>
      <c r="AY944" s="99" t="str">
        <f>AQ944&amp;AR944&amp;AS944&amp;"-"&amp;AT944&amp;BA944</f>
        <v>C0303-01</v>
      </c>
      <c r="AZ944" s="90"/>
      <c r="BA944" s="1" t="str">
        <f t="shared" si="469"/>
        <v/>
      </c>
      <c r="BC944" s="1" t="str">
        <f t="shared" si="486"/>
        <v/>
      </c>
      <c r="BD944" s="90">
        <f t="shared" si="487"/>
        <v>3</v>
      </c>
      <c r="BE944" s="1">
        <f t="shared" si="472"/>
        <v>1</v>
      </c>
      <c r="BF944" s="1">
        <f t="shared" si="473"/>
        <v>1</v>
      </c>
    </row>
    <row r="945" spans="1:58" ht="11.25" customHeight="1">
      <c r="A945" s="26" t="s">
        <v>4432</v>
      </c>
      <c r="B945" s="27" t="s">
        <v>4433</v>
      </c>
      <c r="C945" s="28">
        <v>73.989999999999995</v>
      </c>
      <c r="D945" s="28">
        <f t="shared" si="459"/>
        <v>36.994999999999997</v>
      </c>
      <c r="E945" s="22" t="s">
        <v>4366</v>
      </c>
      <c r="F945" s="22" t="s">
        <v>4434</v>
      </c>
      <c r="G945" s="22" t="s">
        <v>4435</v>
      </c>
      <c r="H945" s="22" t="s">
        <v>4436</v>
      </c>
      <c r="I945" s="23" t="s">
        <v>2564</v>
      </c>
      <c r="J945" s="22" t="s">
        <v>670</v>
      </c>
      <c r="L945" s="23">
        <v>19</v>
      </c>
      <c r="M945" s="23">
        <v>25</v>
      </c>
      <c r="N945" s="3">
        <f t="shared" si="481"/>
        <v>9.025E-3</v>
      </c>
      <c r="O945" s="4" t="e">
        <f>(C945-(C945*#REF!))-((C945-(C945*#REF!))*#REF!)</f>
        <v>#REF!</v>
      </c>
      <c r="P945" s="7"/>
      <c r="Q945" s="7"/>
      <c r="R945" s="5">
        <f t="shared" si="482"/>
        <v>0</v>
      </c>
      <c r="S945" s="4">
        <f t="shared" si="483"/>
        <v>0</v>
      </c>
      <c r="T945" s="13">
        <f t="shared" si="460"/>
        <v>51.792999999999992</v>
      </c>
      <c r="U945" s="13">
        <f t="shared" si="470"/>
        <v>25.896499999999996</v>
      </c>
      <c r="V945" s="14">
        <f>U945/C945</f>
        <v>0.35</v>
      </c>
      <c r="W945" s="14"/>
      <c r="X945" s="19">
        <f t="shared" si="484"/>
        <v>25.896499999999996</v>
      </c>
      <c r="Y945" s="19">
        <f t="shared" si="485"/>
        <v>51.792999999999992</v>
      </c>
      <c r="Z945" s="15" t="e">
        <f t="shared" si="480"/>
        <v>#DIV/0!</v>
      </c>
      <c r="AA945" s="22" t="s">
        <v>4437</v>
      </c>
      <c r="AG945" s="94" t="s">
        <v>817</v>
      </c>
      <c r="AH945" s="89" t="str">
        <f>VLOOKUP(AG945,Sheet1!$B$3:$D$36,2,FALSE)</f>
        <v>Kitchen &amp; Dining</v>
      </c>
      <c r="AI945" s="89" t="s">
        <v>4370</v>
      </c>
      <c r="AJ945" s="1" t="str">
        <f t="shared" si="461"/>
        <v>Audrey</v>
      </c>
      <c r="AK945" s="1" t="str">
        <f t="shared" si="462"/>
        <v>ø19 x h25 - vol. 1.500 ml</v>
      </c>
      <c r="AL945" s="1" t="str">
        <f t="shared" si="463"/>
        <v>clear glass semi</v>
      </c>
      <c r="AM945" s="1" t="str">
        <f t="shared" si="464"/>
        <v>clear glass semi</v>
      </c>
      <c r="AN945" s="1" t="str">
        <f t="shared" si="465"/>
        <v>clear glass semi</v>
      </c>
      <c r="AQ945" s="1" t="str">
        <f t="shared" si="466"/>
        <v>C</v>
      </c>
      <c r="AR945" s="1" t="str">
        <f>VLOOKUP(TRIM(AI945),Sheet1!$D$3:$E$36,2,FALSE)</f>
        <v>03</v>
      </c>
      <c r="AS945" s="90" t="str">
        <f t="shared" si="467"/>
        <v>01</v>
      </c>
      <c r="AT945" s="1" t="str">
        <f t="shared" si="468"/>
        <v>01</v>
      </c>
      <c r="AU945" s="90" t="s">
        <v>2567</v>
      </c>
      <c r="AV945" s="90"/>
      <c r="AW945" s="90"/>
      <c r="AX945" s="95" t="str">
        <f>AQ945&amp;AR945&amp;AS945&amp;"-"&amp;AT945&amp;AU945&amp;BA945</f>
        <v>C0301-0138</v>
      </c>
      <c r="AY945" s="99" t="str">
        <f>AQ945&amp;AR945&amp;AS945&amp;"-"&amp;AT945&amp;BA945</f>
        <v>C0301-01</v>
      </c>
      <c r="AZ945" s="90"/>
      <c r="BA945" s="1" t="str">
        <f t="shared" si="469"/>
        <v/>
      </c>
      <c r="BC945" s="1">
        <f t="shared" si="486"/>
        <v>1</v>
      </c>
      <c r="BD945" s="90">
        <f t="shared" si="487"/>
        <v>1</v>
      </c>
      <c r="BE945" s="1">
        <f t="shared" si="472"/>
        <v>1</v>
      </c>
      <c r="BF945" s="1">
        <f t="shared" si="473"/>
        <v>1</v>
      </c>
    </row>
    <row r="946" spans="1:58" ht="11.25" customHeight="1">
      <c r="A946" s="26" t="s">
        <v>4438</v>
      </c>
      <c r="B946" s="27" t="s">
        <v>2689</v>
      </c>
      <c r="C946" s="28">
        <v>97.99</v>
      </c>
      <c r="D946" s="28">
        <f t="shared" si="459"/>
        <v>48.994999999999997</v>
      </c>
      <c r="E946" s="22" t="s">
        <v>4366</v>
      </c>
      <c r="F946" s="22" t="s">
        <v>4439</v>
      </c>
      <c r="G946" s="22" t="s">
        <v>757</v>
      </c>
      <c r="H946" s="22" t="s">
        <v>4440</v>
      </c>
      <c r="I946" s="23" t="s">
        <v>2564</v>
      </c>
      <c r="J946" s="22" t="s">
        <v>670</v>
      </c>
      <c r="L946" s="23">
        <v>12</v>
      </c>
      <c r="M946" s="23">
        <v>50</v>
      </c>
      <c r="N946" s="3">
        <f t="shared" si="481"/>
        <v>7.1999999999999998E-3</v>
      </c>
      <c r="O946" s="4" t="e">
        <f>(C946-(C946*#REF!))-((C946-(C946*#REF!))*#REF!)</f>
        <v>#REF!</v>
      </c>
      <c r="P946" s="7"/>
      <c r="Q946" s="7"/>
      <c r="R946" s="5">
        <f t="shared" si="482"/>
        <v>0</v>
      </c>
      <c r="S946" s="4">
        <f t="shared" si="483"/>
        <v>0</v>
      </c>
      <c r="T946" s="13">
        <f t="shared" si="460"/>
        <v>68.592999999999989</v>
      </c>
      <c r="U946" s="13">
        <f t="shared" si="470"/>
        <v>34.296499999999995</v>
      </c>
      <c r="V946" s="14">
        <f>U946/C946</f>
        <v>0.35</v>
      </c>
      <c r="W946" s="14"/>
      <c r="X946" s="19">
        <f t="shared" si="484"/>
        <v>34.296499999999995</v>
      </c>
      <c r="Y946" s="19">
        <f t="shared" si="485"/>
        <v>68.592999999999989</v>
      </c>
      <c r="Z946" s="15" t="e">
        <f t="shared" si="480"/>
        <v>#DIV/0!</v>
      </c>
      <c r="AA946" s="22" t="s">
        <v>4441</v>
      </c>
      <c r="AG946" s="94" t="s">
        <v>817</v>
      </c>
      <c r="AH946" s="89" t="str">
        <f>VLOOKUP(AG946,Sheet1!$B$3:$D$36,2,FALSE)</f>
        <v>Kitchen &amp; Dining</v>
      </c>
      <c r="AI946" s="89" t="s">
        <v>4370</v>
      </c>
      <c r="AJ946" s="1" t="str">
        <f t="shared" si="461"/>
        <v>Shaw</v>
      </c>
      <c r="AK946" s="1" t="str">
        <f t="shared" si="462"/>
        <v>ø12 x h50</v>
      </c>
      <c r="AL946" s="1" t="str">
        <f t="shared" si="463"/>
        <v>clear glass semi</v>
      </c>
      <c r="AM946" s="1" t="str">
        <f t="shared" si="464"/>
        <v>clear glass semi</v>
      </c>
      <c r="AN946" s="1" t="str">
        <f t="shared" si="465"/>
        <v>clear glass semi</v>
      </c>
      <c r="AQ946" s="1" t="str">
        <f t="shared" si="466"/>
        <v>C</v>
      </c>
      <c r="AR946" s="1" t="str">
        <f>VLOOKUP(TRIM(AI946),Sheet1!$D$3:$E$36,2,FALSE)</f>
        <v>03</v>
      </c>
      <c r="AS946" s="90" t="str">
        <f t="shared" si="467"/>
        <v>01</v>
      </c>
      <c r="AT946" s="1" t="str">
        <f t="shared" si="468"/>
        <v>01</v>
      </c>
      <c r="AU946" s="90" t="s">
        <v>2567</v>
      </c>
      <c r="AV946" s="90"/>
      <c r="AW946" s="90"/>
      <c r="AX946" s="95" t="str">
        <f>AQ946&amp;AR946&amp;AS946&amp;"-"&amp;AT946&amp;AU946&amp;BA946</f>
        <v>C0301-0138</v>
      </c>
      <c r="AY946" s="99" t="str">
        <f>AQ946&amp;AR946&amp;AS946&amp;"-"&amp;AT946&amp;BA946</f>
        <v>C0301-01</v>
      </c>
      <c r="AZ946" s="90"/>
      <c r="BA946" s="1" t="str">
        <f t="shared" si="469"/>
        <v/>
      </c>
      <c r="BC946" s="1">
        <f t="shared" si="486"/>
        <v>1</v>
      </c>
      <c r="BD946" s="90">
        <f t="shared" si="487"/>
        <v>1</v>
      </c>
      <c r="BE946" s="1">
        <f t="shared" si="472"/>
        <v>1</v>
      </c>
      <c r="BF946" s="1">
        <f t="shared" si="473"/>
        <v>1</v>
      </c>
    </row>
    <row r="947" spans="1:58" ht="11.25" customHeight="1">
      <c r="A947" s="26" t="s">
        <v>2688</v>
      </c>
      <c r="B947" s="27" t="s">
        <v>2689</v>
      </c>
      <c r="C947" s="28">
        <v>88.99</v>
      </c>
      <c r="D947" s="28">
        <f t="shared" si="459"/>
        <v>44.494999999999997</v>
      </c>
      <c r="E947" s="22" t="s">
        <v>4366</v>
      </c>
      <c r="F947" s="22" t="s">
        <v>4442</v>
      </c>
      <c r="G947" s="22" t="s">
        <v>757</v>
      </c>
      <c r="H947" s="22" t="s">
        <v>2692</v>
      </c>
      <c r="I947" s="23" t="s">
        <v>2564</v>
      </c>
      <c r="J947" s="22" t="s">
        <v>670</v>
      </c>
      <c r="L947" s="23">
        <v>12</v>
      </c>
      <c r="M947" s="23">
        <v>45</v>
      </c>
      <c r="N947" s="3">
        <f t="shared" si="481"/>
        <v>6.4799999999999996E-3</v>
      </c>
      <c r="O947" s="4" t="e">
        <f>(C947-(C947*#REF!))-((C947-(C947*#REF!))*#REF!)</f>
        <v>#REF!</v>
      </c>
      <c r="P947" s="7"/>
      <c r="Q947" s="7"/>
      <c r="R947" s="5">
        <f t="shared" si="482"/>
        <v>0</v>
      </c>
      <c r="S947" s="4">
        <f t="shared" si="483"/>
        <v>0</v>
      </c>
      <c r="T947" s="13">
        <f t="shared" si="460"/>
        <v>62.292999999999992</v>
      </c>
      <c r="U947" s="13">
        <f t="shared" si="470"/>
        <v>31.146499999999996</v>
      </c>
      <c r="V947" s="14">
        <f>U947/C947</f>
        <v>0.35</v>
      </c>
      <c r="W947" s="14"/>
      <c r="X947" s="19">
        <f t="shared" si="484"/>
        <v>31.146499999999996</v>
      </c>
      <c r="Y947" s="19">
        <f t="shared" si="485"/>
        <v>62.292999999999992</v>
      </c>
      <c r="Z947" s="15" t="e">
        <f t="shared" si="480"/>
        <v>#DIV/0!</v>
      </c>
      <c r="AA947" s="22" t="s">
        <v>4443</v>
      </c>
      <c r="AG947" s="94" t="s">
        <v>817</v>
      </c>
      <c r="AH947" s="89" t="str">
        <f>VLOOKUP(AG947,Sheet1!$B$3:$D$36,2,FALSE)</f>
        <v>Kitchen &amp; Dining</v>
      </c>
      <c r="AI947" s="89" t="s">
        <v>4370</v>
      </c>
      <c r="AJ947" s="1" t="str">
        <f t="shared" si="461"/>
        <v>Shaw</v>
      </c>
      <c r="AK947" s="1" t="str">
        <f t="shared" si="462"/>
        <v>ø12 x h45</v>
      </c>
      <c r="AL947" s="1" t="str">
        <f t="shared" si="463"/>
        <v>clear glass semi</v>
      </c>
      <c r="AM947" s="1" t="str">
        <f t="shared" si="464"/>
        <v>clear glass semi</v>
      </c>
      <c r="AN947" s="1" t="str">
        <f t="shared" si="465"/>
        <v>clear glass semi</v>
      </c>
      <c r="AQ947" s="1" t="str">
        <f t="shared" si="466"/>
        <v>C</v>
      </c>
      <c r="AR947" s="1" t="str">
        <f>VLOOKUP(TRIM(AI947),Sheet1!$D$3:$E$36,2,FALSE)</f>
        <v>03</v>
      </c>
      <c r="AS947" s="90" t="str">
        <f t="shared" si="467"/>
        <v>02</v>
      </c>
      <c r="AT947" s="1" t="str">
        <f t="shared" si="468"/>
        <v>01</v>
      </c>
      <c r="AU947" s="90" t="s">
        <v>2567</v>
      </c>
      <c r="AV947" s="90"/>
      <c r="AW947" s="90"/>
      <c r="AX947" s="95" t="str">
        <f>AQ947&amp;AR947&amp;AS947&amp;"-"&amp;AT947&amp;AU947&amp;BA947</f>
        <v>C0302-0138</v>
      </c>
      <c r="AY947" s="99" t="str">
        <f>AQ947&amp;AR947&amp;AS947&amp;"-"&amp;AT947&amp;BA947</f>
        <v>C0302-01</v>
      </c>
      <c r="AZ947" s="90"/>
      <c r="BA947" s="1" t="str">
        <f t="shared" si="469"/>
        <v/>
      </c>
      <c r="BC947" s="1" t="str">
        <f t="shared" si="486"/>
        <v/>
      </c>
      <c r="BD947" s="90">
        <f t="shared" si="487"/>
        <v>2</v>
      </c>
      <c r="BE947" s="1">
        <f t="shared" si="472"/>
        <v>1</v>
      </c>
      <c r="BF947" s="1">
        <f t="shared" si="473"/>
        <v>1</v>
      </c>
    </row>
    <row r="948" spans="1:58" ht="11.25" customHeight="1">
      <c r="A948" s="26" t="s">
        <v>4444</v>
      </c>
      <c r="B948" s="27" t="s">
        <v>4445</v>
      </c>
      <c r="D948" s="28">
        <f t="shared" si="459"/>
        <v>0</v>
      </c>
      <c r="E948" s="22" t="s">
        <v>4366</v>
      </c>
      <c r="F948" s="22" t="s">
        <v>4446</v>
      </c>
      <c r="G948" s="22" t="s">
        <v>162</v>
      </c>
      <c r="J948" s="22" t="s">
        <v>50</v>
      </c>
      <c r="N948" s="3">
        <f t="shared" si="481"/>
        <v>0</v>
      </c>
      <c r="O948" s="4" t="e">
        <f>(C948-(C948*#REF!))-((C948-(C948*#REF!))*#REF!)</f>
        <v>#REF!</v>
      </c>
      <c r="P948" s="7"/>
      <c r="Q948" s="7"/>
      <c r="R948" s="5">
        <f t="shared" si="482"/>
        <v>0</v>
      </c>
      <c r="S948" s="4">
        <f t="shared" si="483"/>
        <v>0</v>
      </c>
      <c r="T948" s="13">
        <f t="shared" si="460"/>
        <v>0</v>
      </c>
      <c r="U948" s="13">
        <f t="shared" si="470"/>
        <v>0</v>
      </c>
      <c r="V948" s="14" t="e">
        <f>U948/C948</f>
        <v>#DIV/0!</v>
      </c>
      <c r="W948" s="14"/>
      <c r="X948" s="19">
        <f t="shared" si="484"/>
        <v>0</v>
      </c>
      <c r="Y948" s="19">
        <f t="shared" si="485"/>
        <v>0</v>
      </c>
      <c r="Z948" s="15" t="e">
        <f t="shared" si="480"/>
        <v>#DIV/0!</v>
      </c>
      <c r="AA948" s="22" t="s">
        <v>4447</v>
      </c>
      <c r="AG948" s="94" t="s">
        <v>817</v>
      </c>
      <c r="AH948" s="89" t="str">
        <f>VLOOKUP(AG948,Sheet1!$B$3:$D$36,2,FALSE)</f>
        <v>Kitchen &amp; Dining</v>
      </c>
      <c r="AI948" s="89" t="s">
        <v>4370</v>
      </c>
      <c r="AJ948" s="1" t="str">
        <f t="shared" si="461"/>
        <v>bottle stop wood</v>
      </c>
      <c r="AK948" s="1" t="str">
        <f t="shared" si="462"/>
        <v/>
      </c>
      <c r="AL948" s="1">
        <f t="shared" si="463"/>
        <v>0</v>
      </c>
      <c r="AM948" s="1">
        <f t="shared" si="464"/>
        <v>0</v>
      </c>
      <c r="AN948" s="1" t="str">
        <f t="shared" si="465"/>
        <v>0</v>
      </c>
      <c r="AQ948" s="1" t="str">
        <f t="shared" si="466"/>
        <v>C</v>
      </c>
      <c r="AR948" s="1" t="str">
        <f>VLOOKUP(TRIM(AI948),Sheet1!$D$3:$E$36,2,FALSE)</f>
        <v>03</v>
      </c>
      <c r="AS948" s="90" t="str">
        <f t="shared" si="467"/>
        <v>01</v>
      </c>
      <c r="AT948" s="1" t="str">
        <f t="shared" si="468"/>
        <v>01</v>
      </c>
      <c r="AU948" s="90"/>
      <c r="AV948" s="90"/>
      <c r="AW948" s="90"/>
      <c r="AX948" s="95" t="str">
        <f>AQ948&amp;AR948&amp;AS948&amp;"-"&amp;AT948&amp;AU948&amp;BA948</f>
        <v>C0301-01</v>
      </c>
      <c r="AY948" s="99" t="str">
        <f>AQ948&amp;AR948&amp;AS948&amp;"-"&amp;AT948&amp;BA948</f>
        <v>C0301-01</v>
      </c>
      <c r="AZ948" s="90"/>
      <c r="BA948" s="1" t="str">
        <f t="shared" si="469"/>
        <v/>
      </c>
      <c r="BC948" s="1">
        <f t="shared" si="486"/>
        <v>1</v>
      </c>
      <c r="BD948" s="90">
        <f t="shared" si="487"/>
        <v>1</v>
      </c>
      <c r="BE948" s="1">
        <f t="shared" si="472"/>
        <v>1</v>
      </c>
      <c r="BF948" s="1">
        <f t="shared" si="473"/>
        <v>1</v>
      </c>
    </row>
    <row r="949" spans="1:58" ht="11.25" customHeight="1">
      <c r="A949" s="26" t="s">
        <v>4448</v>
      </c>
      <c r="B949" s="27" t="s">
        <v>4449</v>
      </c>
      <c r="C949" s="28">
        <v>29.99</v>
      </c>
      <c r="D949" s="28">
        <f t="shared" si="459"/>
        <v>14.994999999999999</v>
      </c>
      <c r="E949" s="22" t="s">
        <v>4366</v>
      </c>
      <c r="F949" s="22" t="s">
        <v>4450</v>
      </c>
      <c r="G949" s="22" t="s">
        <v>950</v>
      </c>
      <c r="H949" s="22" t="s">
        <v>4451</v>
      </c>
      <c r="I949" s="23" t="s">
        <v>2564</v>
      </c>
      <c r="J949" s="22" t="s">
        <v>670</v>
      </c>
      <c r="L949" s="23">
        <v>7</v>
      </c>
      <c r="M949" s="23">
        <v>13.5</v>
      </c>
      <c r="N949" s="3">
        <f t="shared" si="481"/>
        <v>6.6149999999999998E-4</v>
      </c>
      <c r="O949" s="4" t="e">
        <f>(C949-(C949*#REF!))-((C949-(C949*#REF!))*#REF!)</f>
        <v>#REF!</v>
      </c>
      <c r="P949" s="7"/>
      <c r="Q949" s="7"/>
      <c r="R949" s="5">
        <f t="shared" si="482"/>
        <v>0</v>
      </c>
      <c r="S949" s="4">
        <f t="shared" si="483"/>
        <v>0</v>
      </c>
      <c r="T949" s="13">
        <f t="shared" si="460"/>
        <v>20.992999999999999</v>
      </c>
      <c r="U949" s="13">
        <f t="shared" si="470"/>
        <v>10.496499999999999</v>
      </c>
      <c r="V949" s="14">
        <f>U949/C949</f>
        <v>0.35</v>
      </c>
      <c r="W949" s="14"/>
      <c r="X949" s="19">
        <f t="shared" si="484"/>
        <v>10.496499999999999</v>
      </c>
      <c r="Y949" s="19">
        <f t="shared" si="485"/>
        <v>20.992999999999999</v>
      </c>
      <c r="Z949" s="15" t="e">
        <f t="shared" si="480"/>
        <v>#DIV/0!</v>
      </c>
      <c r="AA949" s="22" t="s">
        <v>4452</v>
      </c>
      <c r="AG949" s="94" t="s">
        <v>817</v>
      </c>
      <c r="AH949" s="89" t="str">
        <f>VLOOKUP(AG949,Sheet1!$B$3:$D$36,2,FALSE)</f>
        <v>Kitchen &amp; Dining</v>
      </c>
      <c r="AI949" s="89" t="s">
        <v>4370</v>
      </c>
      <c r="AJ949" s="1" t="str">
        <f t="shared" si="461"/>
        <v>Yelena carafe</v>
      </c>
      <c r="AK949" s="1" t="str">
        <f t="shared" si="462"/>
        <v>ø7 x h13,5</v>
      </c>
      <c r="AL949" s="1" t="str">
        <f t="shared" si="463"/>
        <v>clear glass semi</v>
      </c>
      <c r="AM949" s="1" t="str">
        <f t="shared" si="464"/>
        <v>clear glass semi</v>
      </c>
      <c r="AN949" s="1" t="str">
        <f t="shared" si="465"/>
        <v>clear glass semi</v>
      </c>
      <c r="AQ949" s="1" t="str">
        <f t="shared" si="466"/>
        <v>C</v>
      </c>
      <c r="AR949" s="1" t="str">
        <f>VLOOKUP(TRIM(AI949),Sheet1!$D$3:$E$36,2,FALSE)</f>
        <v>03</v>
      </c>
      <c r="AS949" s="90" t="str">
        <f t="shared" si="467"/>
        <v>01</v>
      </c>
      <c r="AT949" s="1" t="str">
        <f t="shared" si="468"/>
        <v>01</v>
      </c>
      <c r="AU949" s="90" t="s">
        <v>2567</v>
      </c>
      <c r="AV949" s="90"/>
      <c r="AW949" s="90"/>
      <c r="AX949" s="95" t="str">
        <f>AQ949&amp;AR949&amp;AS949&amp;"-"&amp;AT949&amp;AU949&amp;BA949</f>
        <v>C0301-0138</v>
      </c>
      <c r="AY949" s="99" t="str">
        <f>AQ949&amp;AR949&amp;AS949&amp;"-"&amp;AT949&amp;BA949</f>
        <v>C0301-01</v>
      </c>
      <c r="AZ949" s="90"/>
      <c r="BA949" s="1" t="str">
        <f t="shared" si="469"/>
        <v/>
      </c>
      <c r="BC949" s="1">
        <f t="shared" si="486"/>
        <v>1</v>
      </c>
      <c r="BD949" s="90">
        <f t="shared" si="487"/>
        <v>1</v>
      </c>
      <c r="BE949" s="1">
        <f t="shared" si="472"/>
        <v>1</v>
      </c>
      <c r="BF949" s="1">
        <f t="shared" si="473"/>
        <v>1</v>
      </c>
    </row>
    <row r="950" spans="1:58" ht="11.25" customHeight="1">
      <c r="A950" s="26" t="s">
        <v>4453</v>
      </c>
      <c r="B950" s="27" t="s">
        <v>4449</v>
      </c>
      <c r="C950" s="28">
        <v>32.99</v>
      </c>
      <c r="D950" s="28">
        <f t="shared" si="459"/>
        <v>16.495000000000001</v>
      </c>
      <c r="E950" s="22" t="s">
        <v>4366</v>
      </c>
      <c r="F950" s="22" t="s">
        <v>4454</v>
      </c>
      <c r="G950" s="22" t="s">
        <v>950</v>
      </c>
      <c r="H950" s="22" t="s">
        <v>4455</v>
      </c>
      <c r="I950" s="23" t="s">
        <v>2564</v>
      </c>
      <c r="J950" s="22" t="s">
        <v>670</v>
      </c>
      <c r="L950" s="23">
        <v>7.5</v>
      </c>
      <c r="M950" s="23">
        <v>15</v>
      </c>
      <c r="N950" s="3">
        <f t="shared" si="481"/>
        <v>8.4374999999999999E-4</v>
      </c>
      <c r="O950" s="4" t="e">
        <f>(C950-(C950*#REF!))-((C950-(C950*#REF!))*#REF!)</f>
        <v>#REF!</v>
      </c>
      <c r="P950" s="7"/>
      <c r="Q950" s="7"/>
      <c r="R950" s="5">
        <f t="shared" si="482"/>
        <v>0</v>
      </c>
      <c r="S950" s="4">
        <f t="shared" si="483"/>
        <v>0</v>
      </c>
      <c r="T950" s="13">
        <f t="shared" si="460"/>
        <v>23.093000000000004</v>
      </c>
      <c r="U950" s="13">
        <f t="shared" si="470"/>
        <v>11.546500000000002</v>
      </c>
      <c r="V950" s="14">
        <f>U950/C950</f>
        <v>0.35000000000000003</v>
      </c>
      <c r="W950" s="14"/>
      <c r="X950" s="19">
        <f t="shared" si="484"/>
        <v>11.546500000000002</v>
      </c>
      <c r="Y950" s="19">
        <f t="shared" si="485"/>
        <v>23.093000000000004</v>
      </c>
      <c r="Z950" s="15" t="e">
        <f t="shared" si="480"/>
        <v>#DIV/0!</v>
      </c>
      <c r="AA950" s="22" t="s">
        <v>4456</v>
      </c>
      <c r="AG950" s="94" t="s">
        <v>817</v>
      </c>
      <c r="AH950" s="89" t="str">
        <f>VLOOKUP(AG950,Sheet1!$B$3:$D$36,2,FALSE)</f>
        <v>Kitchen &amp; Dining</v>
      </c>
      <c r="AI950" s="89" t="s">
        <v>4370</v>
      </c>
      <c r="AJ950" s="1" t="str">
        <f t="shared" si="461"/>
        <v>Yelena carafe</v>
      </c>
      <c r="AK950" s="1" t="str">
        <f t="shared" si="462"/>
        <v>ø7,5 x h15</v>
      </c>
      <c r="AL950" s="1" t="str">
        <f t="shared" si="463"/>
        <v>clear glass semi</v>
      </c>
      <c r="AM950" s="1" t="str">
        <f t="shared" si="464"/>
        <v>clear glass semi</v>
      </c>
      <c r="AN950" s="1" t="str">
        <f t="shared" si="465"/>
        <v>clear glass semi</v>
      </c>
      <c r="AQ950" s="1" t="str">
        <f t="shared" si="466"/>
        <v>C</v>
      </c>
      <c r="AR950" s="1" t="str">
        <f>VLOOKUP(TRIM(AI950),Sheet1!$D$3:$E$36,2,FALSE)</f>
        <v>03</v>
      </c>
      <c r="AS950" s="90" t="str">
        <f t="shared" si="467"/>
        <v>02</v>
      </c>
      <c r="AT950" s="1" t="str">
        <f t="shared" si="468"/>
        <v>01</v>
      </c>
      <c r="AU950" s="90" t="s">
        <v>2567</v>
      </c>
      <c r="AV950" s="90"/>
      <c r="AW950" s="90"/>
      <c r="AX950" s="95" t="str">
        <f>AQ950&amp;AR950&amp;AS950&amp;"-"&amp;AT950&amp;AU950&amp;BA950</f>
        <v>C0302-0138</v>
      </c>
      <c r="AY950" s="99" t="str">
        <f>AQ950&amp;AR950&amp;AS950&amp;"-"&amp;AT950&amp;BA950</f>
        <v>C0302-01</v>
      </c>
      <c r="AZ950" s="90"/>
      <c r="BA950" s="1" t="str">
        <f t="shared" si="469"/>
        <v/>
      </c>
      <c r="BC950" s="1" t="str">
        <f t="shared" si="486"/>
        <v/>
      </c>
      <c r="BD950" s="90">
        <f t="shared" si="487"/>
        <v>2</v>
      </c>
      <c r="BE950" s="1">
        <f t="shared" si="472"/>
        <v>1</v>
      </c>
      <c r="BF950" s="1">
        <f t="shared" si="473"/>
        <v>1</v>
      </c>
    </row>
    <row r="951" spans="1:58" ht="11.25" customHeight="1">
      <c r="A951" s="26" t="s">
        <v>4457</v>
      </c>
      <c r="B951" s="27" t="s">
        <v>4449</v>
      </c>
      <c r="C951" s="28">
        <v>39.99</v>
      </c>
      <c r="D951" s="28">
        <f t="shared" si="459"/>
        <v>19.995000000000001</v>
      </c>
      <c r="E951" s="22" t="s">
        <v>4366</v>
      </c>
      <c r="F951" s="22" t="s">
        <v>4458</v>
      </c>
      <c r="G951" s="22" t="s">
        <v>950</v>
      </c>
      <c r="H951" s="22" t="s">
        <v>4459</v>
      </c>
      <c r="I951" s="23" t="s">
        <v>2564</v>
      </c>
      <c r="J951" s="22" t="s">
        <v>670</v>
      </c>
      <c r="L951" s="23">
        <v>9</v>
      </c>
      <c r="M951" s="23">
        <v>18</v>
      </c>
      <c r="N951" s="3">
        <f t="shared" si="481"/>
        <v>1.4580000000000001E-3</v>
      </c>
      <c r="O951" s="4" t="e">
        <f>(C951-(C951*#REF!))-((C951-(C951*#REF!))*#REF!)</f>
        <v>#REF!</v>
      </c>
      <c r="P951" s="7"/>
      <c r="Q951" s="7"/>
      <c r="R951" s="5">
        <f t="shared" si="482"/>
        <v>0</v>
      </c>
      <c r="S951" s="4">
        <f t="shared" si="483"/>
        <v>0</v>
      </c>
      <c r="T951" s="13">
        <f t="shared" si="460"/>
        <v>27.993000000000002</v>
      </c>
      <c r="U951" s="13">
        <f t="shared" si="470"/>
        <v>13.996500000000001</v>
      </c>
      <c r="V951" s="14">
        <f>U951/C951</f>
        <v>0.35000000000000003</v>
      </c>
      <c r="W951" s="14"/>
      <c r="X951" s="19">
        <f t="shared" si="484"/>
        <v>13.996500000000001</v>
      </c>
      <c r="Y951" s="19">
        <f t="shared" si="485"/>
        <v>27.993000000000002</v>
      </c>
      <c r="Z951" s="15" t="e">
        <f t="shared" si="480"/>
        <v>#DIV/0!</v>
      </c>
      <c r="AA951" s="22" t="s">
        <v>4460</v>
      </c>
      <c r="AG951" s="94" t="s">
        <v>817</v>
      </c>
      <c r="AH951" s="89" t="str">
        <f>VLOOKUP(AG951,Sheet1!$B$3:$D$36,2,FALSE)</f>
        <v>Kitchen &amp; Dining</v>
      </c>
      <c r="AI951" s="89" t="s">
        <v>4370</v>
      </c>
      <c r="AJ951" s="1" t="str">
        <f t="shared" si="461"/>
        <v>Yelena carafe</v>
      </c>
      <c r="AK951" s="1" t="str">
        <f t="shared" si="462"/>
        <v>ø9 x h18</v>
      </c>
      <c r="AL951" s="1" t="str">
        <f t="shared" si="463"/>
        <v>clear glass semi</v>
      </c>
      <c r="AM951" s="1" t="str">
        <f t="shared" si="464"/>
        <v>clear glass semi</v>
      </c>
      <c r="AN951" s="1" t="str">
        <f t="shared" si="465"/>
        <v>clear glass semi</v>
      </c>
      <c r="AQ951" s="1" t="str">
        <f t="shared" si="466"/>
        <v>C</v>
      </c>
      <c r="AR951" s="1" t="str">
        <f>VLOOKUP(TRIM(AI951),Sheet1!$D$3:$E$36,2,FALSE)</f>
        <v>03</v>
      </c>
      <c r="AS951" s="90" t="str">
        <f t="shared" si="467"/>
        <v>03</v>
      </c>
      <c r="AT951" s="1" t="str">
        <f t="shared" si="468"/>
        <v>01</v>
      </c>
      <c r="AU951" s="90" t="s">
        <v>2567</v>
      </c>
      <c r="AV951" s="90"/>
      <c r="AW951" s="90"/>
      <c r="AX951" s="95" t="str">
        <f>AQ951&amp;AR951&amp;AS951&amp;"-"&amp;AT951&amp;AU951&amp;BA951</f>
        <v>C0303-0138</v>
      </c>
      <c r="AY951" s="99" t="str">
        <f>AQ951&amp;AR951&amp;AS951&amp;"-"&amp;AT951&amp;BA951</f>
        <v>C0303-01</v>
      </c>
      <c r="AZ951" s="90"/>
      <c r="BA951" s="1" t="str">
        <f t="shared" si="469"/>
        <v/>
      </c>
      <c r="BC951" s="1" t="str">
        <f t="shared" si="486"/>
        <v/>
      </c>
      <c r="BD951" s="90">
        <f t="shared" si="487"/>
        <v>3</v>
      </c>
      <c r="BE951" s="1">
        <f t="shared" si="472"/>
        <v>1</v>
      </c>
      <c r="BF951" s="1">
        <f t="shared" si="473"/>
        <v>1</v>
      </c>
    </row>
    <row r="952" spans="1:58" ht="11.25" customHeight="1">
      <c r="A952" s="26" t="s">
        <v>4461</v>
      </c>
      <c r="B952" s="27" t="s">
        <v>4449</v>
      </c>
      <c r="C952" s="28">
        <v>60.99</v>
      </c>
      <c r="D952" s="28">
        <f t="shared" si="459"/>
        <v>30.495000000000001</v>
      </c>
      <c r="E952" s="22" t="s">
        <v>4366</v>
      </c>
      <c r="F952" s="22" t="s">
        <v>4462</v>
      </c>
      <c r="G952" s="22" t="s">
        <v>950</v>
      </c>
      <c r="H952" s="22" t="s">
        <v>4463</v>
      </c>
      <c r="I952" s="23" t="s">
        <v>2564</v>
      </c>
      <c r="J952" s="22" t="s">
        <v>670</v>
      </c>
      <c r="L952" s="23">
        <v>12</v>
      </c>
      <c r="M952" s="23">
        <v>24</v>
      </c>
      <c r="N952" s="3">
        <f t="shared" si="481"/>
        <v>3.4559999999999999E-3</v>
      </c>
      <c r="O952" s="4" t="e">
        <f>(C952-(C952*#REF!))-((C952-(C952*#REF!))*#REF!)</f>
        <v>#REF!</v>
      </c>
      <c r="P952" s="7"/>
      <c r="Q952" s="7"/>
      <c r="R952" s="5">
        <f t="shared" si="482"/>
        <v>0</v>
      </c>
      <c r="S952" s="4">
        <f t="shared" si="483"/>
        <v>0</v>
      </c>
      <c r="T952" s="13">
        <f t="shared" si="460"/>
        <v>42.692999999999998</v>
      </c>
      <c r="U952" s="13">
        <f t="shared" si="470"/>
        <v>21.346499999999999</v>
      </c>
      <c r="V952" s="14">
        <f>U952/C952</f>
        <v>0.35</v>
      </c>
      <c r="W952" s="14"/>
      <c r="X952" s="19">
        <f t="shared" si="484"/>
        <v>21.346499999999999</v>
      </c>
      <c r="Y952" s="19">
        <f t="shared" si="485"/>
        <v>42.692999999999998</v>
      </c>
      <c r="Z952" s="15" t="e">
        <f t="shared" si="480"/>
        <v>#DIV/0!</v>
      </c>
      <c r="AA952" s="22" t="s">
        <v>4452</v>
      </c>
      <c r="AG952" s="94" t="s">
        <v>817</v>
      </c>
      <c r="AH952" s="89" t="str">
        <f>VLOOKUP(AG952,Sheet1!$B$3:$D$36,2,FALSE)</f>
        <v>Kitchen &amp; Dining</v>
      </c>
      <c r="AI952" s="89" t="s">
        <v>4370</v>
      </c>
      <c r="AJ952" s="1" t="str">
        <f t="shared" si="461"/>
        <v>Yelena carafe</v>
      </c>
      <c r="AK952" s="1" t="str">
        <f t="shared" si="462"/>
        <v>ø12 x h24</v>
      </c>
      <c r="AL952" s="1" t="str">
        <f t="shared" si="463"/>
        <v>clear glass semi</v>
      </c>
      <c r="AM952" s="1" t="str">
        <f t="shared" si="464"/>
        <v>clear glass semi</v>
      </c>
      <c r="AN952" s="1" t="str">
        <f t="shared" si="465"/>
        <v>clear glass semi</v>
      </c>
      <c r="AQ952" s="1" t="str">
        <f t="shared" si="466"/>
        <v>C</v>
      </c>
      <c r="AR952" s="1" t="str">
        <f>VLOOKUP(TRIM(AI952),Sheet1!$D$3:$E$36,2,FALSE)</f>
        <v>03</v>
      </c>
      <c r="AS952" s="90" t="str">
        <f t="shared" si="467"/>
        <v>04</v>
      </c>
      <c r="AT952" s="1" t="str">
        <f t="shared" si="468"/>
        <v>01</v>
      </c>
      <c r="AU952" s="90" t="s">
        <v>2567</v>
      </c>
      <c r="AV952" s="90"/>
      <c r="AW952" s="90"/>
      <c r="AX952" s="95" t="str">
        <f>AQ952&amp;AR952&amp;AS952&amp;"-"&amp;AT952&amp;AU952&amp;BA952</f>
        <v>C0304-0138</v>
      </c>
      <c r="AY952" s="99" t="str">
        <f>AQ952&amp;AR952&amp;AS952&amp;"-"&amp;AT952&amp;BA952</f>
        <v>C0304-01</v>
      </c>
      <c r="AZ952" s="90"/>
      <c r="BA952" s="1" t="str">
        <f t="shared" si="469"/>
        <v/>
      </c>
      <c r="BC952" s="1" t="str">
        <f t="shared" si="486"/>
        <v/>
      </c>
      <c r="BD952" s="90">
        <f t="shared" si="487"/>
        <v>4</v>
      </c>
      <c r="BE952" s="1">
        <f t="shared" si="472"/>
        <v>1</v>
      </c>
      <c r="BF952" s="1">
        <f t="shared" si="473"/>
        <v>1</v>
      </c>
    </row>
    <row r="953" spans="1:58" s="63" customFormat="1" ht="15.75">
      <c r="A953" s="33" t="s">
        <v>4464</v>
      </c>
      <c r="B953" s="34"/>
      <c r="C953" s="35"/>
      <c r="D953" s="36"/>
      <c r="E953" s="39"/>
      <c r="F953" s="40"/>
      <c r="G953" s="39"/>
      <c r="H953" s="39"/>
      <c r="I953" s="41"/>
      <c r="J953" s="39"/>
      <c r="K953" s="41"/>
      <c r="L953" s="41"/>
      <c r="M953" s="41"/>
      <c r="N953" s="48"/>
      <c r="O953" s="48"/>
      <c r="P953" s="49"/>
      <c r="Q953" s="49"/>
      <c r="R953" s="50"/>
      <c r="S953" s="48"/>
      <c r="T953" s="13"/>
      <c r="U953" s="13"/>
      <c r="V953" s="14"/>
      <c r="W953" s="14"/>
      <c r="X953" s="60"/>
      <c r="Y953" s="60"/>
      <c r="Z953" s="15"/>
      <c r="AA953" s="39"/>
      <c r="AG953" s="93"/>
      <c r="AH953" s="89"/>
      <c r="AI953" s="89"/>
      <c r="AJ953" s="1"/>
      <c r="AK953" s="1"/>
      <c r="AL953" s="1"/>
      <c r="AM953" s="1"/>
      <c r="AN953" s="1"/>
      <c r="AQ953" s="1"/>
      <c r="AR953" s="1"/>
      <c r="AS953" s="90"/>
      <c r="AT953" s="1"/>
      <c r="AU953" s="90"/>
      <c r="AV953" s="90"/>
      <c r="AW953" s="90"/>
      <c r="AX953" s="95"/>
      <c r="AY953" s="99" t="str">
        <f>AQ953&amp;AR953&amp;AS953&amp;"-"&amp;AT953&amp;BA953</f>
        <v>-</v>
      </c>
      <c r="AZ953" s="90"/>
      <c r="BA953" s="1"/>
      <c r="BC953" s="1"/>
      <c r="BD953" s="90"/>
      <c r="BE953" s="1"/>
      <c r="BF953" s="1"/>
    </row>
    <row r="954" spans="1:58" ht="11.25" customHeight="1">
      <c r="A954" s="26" t="s">
        <v>4465</v>
      </c>
      <c r="B954" s="27" t="s">
        <v>4466</v>
      </c>
      <c r="C954" s="28">
        <v>54.99</v>
      </c>
      <c r="D954" s="28">
        <f t="shared" si="459"/>
        <v>27.495000000000001</v>
      </c>
      <c r="E954" s="22" t="s">
        <v>4467</v>
      </c>
      <c r="F954" s="22" t="s">
        <v>4468</v>
      </c>
      <c r="G954" s="22" t="s">
        <v>4469</v>
      </c>
      <c r="H954" s="24" t="s">
        <v>4470</v>
      </c>
      <c r="I954" s="23" t="s">
        <v>4471</v>
      </c>
      <c r="J954" s="22" t="s">
        <v>670</v>
      </c>
      <c r="L954" s="23">
        <v>43</v>
      </c>
      <c r="M954" s="23">
        <v>9</v>
      </c>
      <c r="N954" s="3">
        <f t="shared" ref="N954:N1017" si="488">(IF(ISBLANK(K954),(L954*L954*M954),(K954*L954*M954)))/1000000</f>
        <v>1.6641E-2</v>
      </c>
      <c r="O954" s="4" t="e">
        <f>(C954-(C954*#REF!))-((C954-(C954*#REF!))*#REF!)</f>
        <v>#REF!</v>
      </c>
      <c r="P954" s="7"/>
      <c r="Q954" s="7"/>
      <c r="R954" s="5">
        <f t="shared" ref="R954:R1017" si="489">P954+Q954</f>
        <v>0</v>
      </c>
      <c r="S954" s="4">
        <f t="shared" ref="S954:S1017" si="490">R954/15000</f>
        <v>0</v>
      </c>
      <c r="T954" s="13">
        <f t="shared" si="460"/>
        <v>38.493000000000002</v>
      </c>
      <c r="U954" s="13">
        <f t="shared" si="470"/>
        <v>19.246500000000001</v>
      </c>
      <c r="V954" s="14">
        <f>U954/C954</f>
        <v>0.35000000000000003</v>
      </c>
      <c r="W954" s="14"/>
      <c r="X954" s="19">
        <f t="shared" ref="X954:X1017" si="491">IF(ISBLANK(W954),U954, W954)</f>
        <v>19.246500000000001</v>
      </c>
      <c r="Y954" s="19">
        <f t="shared" ref="Y954:Y1017" si="492">X954*2</f>
        <v>38.493000000000002</v>
      </c>
      <c r="Z954" s="15" t="e">
        <f t="shared" si="480"/>
        <v>#DIV/0!</v>
      </c>
      <c r="AA954" s="22" t="s">
        <v>4472</v>
      </c>
      <c r="AG954" s="94" t="s">
        <v>817</v>
      </c>
      <c r="AH954" s="89" t="str">
        <f>VLOOKUP(AG954,Sheet1!$B$3:$D$36,2,FALSE)</f>
        <v>Kitchen &amp; Dining</v>
      </c>
      <c r="AI954" s="89" t="s">
        <v>2077</v>
      </c>
      <c r="AJ954" s="1" t="str">
        <f t="shared" si="461"/>
        <v>Ingke</v>
      </c>
      <c r="AK954" s="1" t="str">
        <f t="shared" si="462"/>
        <v>ø43 x h9, ø49 x h10</v>
      </c>
      <c r="AL954" s="1" t="str">
        <f t="shared" si="463"/>
        <v>kubu - set / 2 semi</v>
      </c>
      <c r="AM954" s="1" t="str">
        <f t="shared" si="464"/>
        <v>kubu - set / 2 semi</v>
      </c>
      <c r="AN954" s="1" t="str">
        <f t="shared" si="465"/>
        <v>kubu - set / 2 semi</v>
      </c>
      <c r="AQ954" s="1" t="str">
        <f t="shared" si="466"/>
        <v>C</v>
      </c>
      <c r="AR954" s="1" t="str">
        <f>VLOOKUP(TRIM(AI954),Sheet1!$D$3:$E$36,2,FALSE)</f>
        <v>01</v>
      </c>
      <c r="AS954" s="90" t="str">
        <f t="shared" si="467"/>
        <v>01</v>
      </c>
      <c r="AT954" s="1" t="str">
        <f t="shared" si="468"/>
        <v>01</v>
      </c>
      <c r="AU954" s="90" t="s">
        <v>1198</v>
      </c>
      <c r="AV954" s="90"/>
      <c r="AW954" s="90"/>
      <c r="AX954" s="95" t="str">
        <f>AQ954&amp;AR954&amp;AS954&amp;"-"&amp;AT954&amp;AU954&amp;BA954</f>
        <v>C0101-0107</v>
      </c>
      <c r="AY954" s="99" t="str">
        <f>AQ954&amp;AR954&amp;AS954&amp;"-"&amp;AT954&amp;BA954</f>
        <v>C0101-01</v>
      </c>
      <c r="AZ954" s="90"/>
      <c r="BA954" s="1" t="str">
        <f t="shared" si="469"/>
        <v/>
      </c>
      <c r="BC954" s="1">
        <f t="shared" si="486"/>
        <v>1</v>
      </c>
      <c r="BD954" s="90">
        <f t="shared" si="487"/>
        <v>1</v>
      </c>
      <c r="BE954" s="1">
        <f t="shared" si="472"/>
        <v>1</v>
      </c>
      <c r="BF954" s="1">
        <f t="shared" si="473"/>
        <v>1</v>
      </c>
    </row>
    <row r="955" spans="1:58" ht="11.25" customHeight="1">
      <c r="A955" s="26" t="s">
        <v>4473</v>
      </c>
      <c r="B955" s="27" t="s">
        <v>4474</v>
      </c>
      <c r="C955" s="28">
        <v>44.99</v>
      </c>
      <c r="D955" s="28">
        <f t="shared" si="459"/>
        <v>22.495000000000001</v>
      </c>
      <c r="E955" s="22" t="s">
        <v>4467</v>
      </c>
      <c r="F955" s="22" t="s">
        <v>4475</v>
      </c>
      <c r="G955" s="22" t="s">
        <v>4476</v>
      </c>
      <c r="H955" s="22" t="s">
        <v>4477</v>
      </c>
      <c r="I955" s="23" t="s">
        <v>4478</v>
      </c>
      <c r="J955" s="22" t="s">
        <v>670</v>
      </c>
      <c r="K955" s="23">
        <v>15</v>
      </c>
      <c r="L955" s="23">
        <v>10</v>
      </c>
      <c r="M955" s="23">
        <v>2</v>
      </c>
      <c r="N955" s="3">
        <f t="shared" si="488"/>
        <v>2.9999999999999997E-4</v>
      </c>
      <c r="O955" s="4" t="e">
        <f>(C955-(C955*#REF!))-((C955-(C955*#REF!))*#REF!)</f>
        <v>#REF!</v>
      </c>
      <c r="P955" s="7"/>
      <c r="Q955" s="7"/>
      <c r="R955" s="5">
        <f t="shared" si="489"/>
        <v>0</v>
      </c>
      <c r="S955" s="4">
        <f t="shared" si="490"/>
        <v>0</v>
      </c>
      <c r="T955" s="13">
        <f t="shared" si="460"/>
        <v>31.493000000000002</v>
      </c>
      <c r="U955" s="13">
        <f t="shared" si="470"/>
        <v>15.746500000000001</v>
      </c>
      <c r="V955" s="14">
        <f>U955/C955</f>
        <v>0.35000000000000003</v>
      </c>
      <c r="W955" s="14"/>
      <c r="X955" s="19">
        <f t="shared" si="491"/>
        <v>15.746500000000001</v>
      </c>
      <c r="Y955" s="19">
        <f t="shared" si="492"/>
        <v>31.493000000000002</v>
      </c>
      <c r="Z955" s="15" t="e">
        <f t="shared" si="480"/>
        <v>#DIV/0!</v>
      </c>
      <c r="AA955" s="22" t="s">
        <v>4479</v>
      </c>
      <c r="AG955" s="94" t="s">
        <v>817</v>
      </c>
      <c r="AH955" s="89" t="str">
        <f>VLOOKUP(AG955,Sheet1!$B$3:$D$36,2,FALSE)</f>
        <v>Kitchen &amp; Dining</v>
      </c>
      <c r="AI955" s="89" t="s">
        <v>2077</v>
      </c>
      <c r="AJ955" s="1" t="str">
        <f t="shared" si="461"/>
        <v>Rambo top bluestone</v>
      </c>
      <c r="AK955" s="1" t="str">
        <f t="shared" si="462"/>
        <v>w15 x d10 x h2</v>
      </c>
      <c r="AL955" s="1" t="str">
        <f t="shared" si="463"/>
        <v>bluestone antique rocky outdoor</v>
      </c>
      <c r="AM955" s="1" t="str">
        <f t="shared" si="464"/>
        <v>bluestone antique rocky outdoor</v>
      </c>
      <c r="AN955" s="1" t="str">
        <f>SUBSTITUTE(AL955,"outdoor","")</f>
        <v xml:space="preserve">bluestone antique rocky </v>
      </c>
      <c r="AO955" s="1" t="s">
        <v>59</v>
      </c>
      <c r="AQ955" s="1" t="str">
        <f t="shared" si="466"/>
        <v>C</v>
      </c>
      <c r="AR955" s="1" t="str">
        <f>VLOOKUP(TRIM(AI955),Sheet1!$D$3:$E$36,2,FALSE)</f>
        <v>01</v>
      </c>
      <c r="AS955" s="90" t="str">
        <f t="shared" si="467"/>
        <v>01</v>
      </c>
      <c r="AT955" s="1" t="str">
        <f t="shared" si="468"/>
        <v>01</v>
      </c>
      <c r="AU955" s="90" t="s">
        <v>1871</v>
      </c>
      <c r="AV955" s="90"/>
      <c r="AW955" s="90"/>
      <c r="AX955" s="95" t="str">
        <f>AQ955&amp;AR955&amp;AS955&amp;"-"&amp;AT955&amp;AU955&amp;BA955</f>
        <v>C0101-0104OUT</v>
      </c>
      <c r="AY955" s="99" t="str">
        <f>AQ955&amp;AR955&amp;AS955&amp;"-"&amp;AT955&amp;BA955</f>
        <v>C0101-01OUT</v>
      </c>
      <c r="AZ955" s="90"/>
      <c r="BA955" s="1" t="str">
        <f t="shared" si="469"/>
        <v>OUT</v>
      </c>
      <c r="BC955" s="1">
        <f t="shared" si="486"/>
        <v>1</v>
      </c>
      <c r="BD955" s="90">
        <f t="shared" si="487"/>
        <v>1</v>
      </c>
      <c r="BE955" s="1">
        <f t="shared" si="472"/>
        <v>1</v>
      </c>
      <c r="BF955" s="1">
        <f t="shared" si="473"/>
        <v>1</v>
      </c>
    </row>
    <row r="956" spans="1:58" ht="11.25" customHeight="1">
      <c r="A956" s="26" t="s">
        <v>4480</v>
      </c>
      <c r="B956" s="27" t="s">
        <v>4481</v>
      </c>
      <c r="C956" s="28">
        <v>11.99</v>
      </c>
      <c r="D956" s="28">
        <f t="shared" si="459"/>
        <v>5.9950000000000001</v>
      </c>
      <c r="E956" s="22" t="s">
        <v>4467</v>
      </c>
      <c r="F956" s="22" t="s">
        <v>4482</v>
      </c>
      <c r="G956" s="22" t="s">
        <v>982</v>
      </c>
      <c r="H956" s="22" t="s">
        <v>4483</v>
      </c>
      <c r="I956" s="23" t="s">
        <v>4484</v>
      </c>
      <c r="J956" s="22" t="s">
        <v>670</v>
      </c>
      <c r="K956" s="23">
        <v>8</v>
      </c>
      <c r="L956" s="23">
        <v>12</v>
      </c>
      <c r="M956" s="23">
        <v>1</v>
      </c>
      <c r="N956" s="3">
        <f t="shared" si="488"/>
        <v>9.6000000000000002E-5</v>
      </c>
      <c r="O956" s="4" t="e">
        <f>(C956-(C956*#REF!))-((C956-(C956*#REF!))*#REF!)</f>
        <v>#REF!</v>
      </c>
      <c r="P956" s="7">
        <f>26434.7629948657-Q956</f>
        <v>34.76299486570133</v>
      </c>
      <c r="Q956" s="7">
        <v>26400</v>
      </c>
      <c r="R956" s="5">
        <f t="shared" si="489"/>
        <v>26434.762994865701</v>
      </c>
      <c r="S956" s="4">
        <f t="shared" si="490"/>
        <v>1.7623175329910468</v>
      </c>
      <c r="T956" s="13">
        <f t="shared" si="460"/>
        <v>8.3930000000000007</v>
      </c>
      <c r="U956" s="13">
        <f t="shared" si="470"/>
        <v>4.1965000000000003</v>
      </c>
      <c r="V956" s="14">
        <f>U956/C956</f>
        <v>0.35000000000000003</v>
      </c>
      <c r="W956" s="14"/>
      <c r="X956" s="19">
        <f t="shared" si="491"/>
        <v>4.1965000000000003</v>
      </c>
      <c r="Y956" s="19">
        <f t="shared" si="492"/>
        <v>8.3930000000000007</v>
      </c>
      <c r="Z956" s="15">
        <f t="shared" si="480"/>
        <v>2.381239431283193</v>
      </c>
      <c r="AA956" s="22" t="s">
        <v>4485</v>
      </c>
      <c r="AG956" s="94" t="s">
        <v>817</v>
      </c>
      <c r="AH956" s="89" t="str">
        <f>VLOOKUP(AG956,Sheet1!$B$3:$D$36,2,FALSE)</f>
        <v>Kitchen &amp; Dining</v>
      </c>
      <c r="AI956" s="89" t="s">
        <v>2077</v>
      </c>
      <c r="AJ956" s="1" t="str">
        <f t="shared" si="461"/>
        <v>Yelena plate riverstone</v>
      </c>
      <c r="AK956" s="1" t="str">
        <f t="shared" si="462"/>
        <v>w8 x d12 x h1</v>
      </c>
      <c r="AL956" s="1" t="str">
        <f t="shared" si="463"/>
        <v>riverstone indoor</v>
      </c>
      <c r="AM956" s="1" t="str">
        <f t="shared" si="464"/>
        <v>riverstone indoor</v>
      </c>
      <c r="AN956" s="1" t="str">
        <f t="shared" ref="AN956:AN965" si="493">SUBSTITUTE(AL956,"indoor","")</f>
        <v xml:space="preserve">riverstone </v>
      </c>
      <c r="AO956" s="1" t="s">
        <v>54</v>
      </c>
      <c r="AQ956" s="1" t="str">
        <f t="shared" si="466"/>
        <v>C</v>
      </c>
      <c r="AR956" s="1" t="str">
        <f>VLOOKUP(TRIM(AI956),Sheet1!$D$3:$E$36,2,FALSE)</f>
        <v>01</v>
      </c>
      <c r="AS956" s="90" t="str">
        <f t="shared" si="467"/>
        <v>01</v>
      </c>
      <c r="AT956" s="1" t="str">
        <f t="shared" si="468"/>
        <v>01</v>
      </c>
      <c r="AU956" s="90" t="s">
        <v>975</v>
      </c>
      <c r="AV956" s="90"/>
      <c r="AW956" s="90"/>
      <c r="AX956" s="95" t="str">
        <f>AQ956&amp;AR956&amp;AS956&amp;"-"&amp;AT956&amp;AU956&amp;BA956</f>
        <v>C0101-0118IND</v>
      </c>
      <c r="AY956" s="99" t="str">
        <f>AQ956&amp;AR956&amp;AS956&amp;"-"&amp;AT956&amp;BA956</f>
        <v>C0101-01IND</v>
      </c>
      <c r="AZ956" s="90"/>
      <c r="BA956" s="1" t="str">
        <f t="shared" si="469"/>
        <v>IND</v>
      </c>
      <c r="BC956" s="1">
        <f t="shared" si="486"/>
        <v>1</v>
      </c>
      <c r="BD956" s="90">
        <f t="shared" si="487"/>
        <v>1</v>
      </c>
      <c r="BE956" s="1">
        <f t="shared" si="472"/>
        <v>1</v>
      </c>
      <c r="BF956" s="1">
        <f t="shared" si="473"/>
        <v>1</v>
      </c>
    </row>
    <row r="957" spans="1:58" ht="11.25" customHeight="1">
      <c r="A957" s="26" t="s">
        <v>4486</v>
      </c>
      <c r="B957" s="27" t="s">
        <v>4481</v>
      </c>
      <c r="C957" s="28">
        <v>17.989999999999998</v>
      </c>
      <c r="D957" s="28">
        <f t="shared" si="459"/>
        <v>8.9949999999999992</v>
      </c>
      <c r="E957" s="22" t="s">
        <v>4467</v>
      </c>
      <c r="F957" s="22" t="s">
        <v>4487</v>
      </c>
      <c r="G957" s="22" t="s">
        <v>982</v>
      </c>
      <c r="H957" s="22" t="s">
        <v>4488</v>
      </c>
      <c r="I957" s="23" t="s">
        <v>4484</v>
      </c>
      <c r="J957" s="22" t="s">
        <v>670</v>
      </c>
      <c r="K957" s="23">
        <v>12</v>
      </c>
      <c r="L957" s="23">
        <v>18</v>
      </c>
      <c r="M957" s="23">
        <v>1</v>
      </c>
      <c r="N957" s="3">
        <f t="shared" si="488"/>
        <v>2.1599999999999999E-4</v>
      </c>
      <c r="O957" s="4" t="e">
        <f>(C957-(C957*#REF!))-((C957-(C957*#REF!))*#REF!)</f>
        <v>#REF!</v>
      </c>
      <c r="P957" s="7">
        <f>37504.288984597-Q957</f>
        <v>104.28898459699849</v>
      </c>
      <c r="Q957" s="7">
        <v>37400</v>
      </c>
      <c r="R957" s="5">
        <f t="shared" si="489"/>
        <v>37504.288984596998</v>
      </c>
      <c r="S957" s="4">
        <f t="shared" si="490"/>
        <v>2.5002859323064666</v>
      </c>
      <c r="T957" s="13">
        <f t="shared" si="460"/>
        <v>12.593</v>
      </c>
      <c r="U957" s="13">
        <f t="shared" si="470"/>
        <v>6.2965</v>
      </c>
      <c r="V957" s="14">
        <f>U957/C957</f>
        <v>0.35000000000000003</v>
      </c>
      <c r="W957" s="14"/>
      <c r="X957" s="19">
        <f t="shared" si="491"/>
        <v>6.2965</v>
      </c>
      <c r="Y957" s="19">
        <f t="shared" si="492"/>
        <v>12.593</v>
      </c>
      <c r="Z957" s="15">
        <f t="shared" si="480"/>
        <v>2.5183119732996286</v>
      </c>
      <c r="AA957" s="22" t="s">
        <v>4489</v>
      </c>
      <c r="AG957" s="94" t="s">
        <v>817</v>
      </c>
      <c r="AH957" s="89" t="str">
        <f>VLOOKUP(AG957,Sheet1!$B$3:$D$36,2,FALSE)</f>
        <v>Kitchen &amp; Dining</v>
      </c>
      <c r="AI957" s="89" t="s">
        <v>2077</v>
      </c>
      <c r="AJ957" s="1" t="str">
        <f t="shared" si="461"/>
        <v>Yelena plate riverstone</v>
      </c>
      <c r="AK957" s="1" t="str">
        <f t="shared" si="462"/>
        <v>w12 x d18 x h1</v>
      </c>
      <c r="AL957" s="1" t="str">
        <f t="shared" si="463"/>
        <v>riverstone indoor</v>
      </c>
      <c r="AM957" s="1" t="str">
        <f t="shared" si="464"/>
        <v>riverstone indoor</v>
      </c>
      <c r="AN957" s="1" t="str">
        <f t="shared" si="493"/>
        <v xml:space="preserve">riverstone </v>
      </c>
      <c r="AO957" s="1" t="s">
        <v>54</v>
      </c>
      <c r="AQ957" s="1" t="str">
        <f t="shared" si="466"/>
        <v>C</v>
      </c>
      <c r="AR957" s="1" t="str">
        <f>VLOOKUP(TRIM(AI957),Sheet1!$D$3:$E$36,2,FALSE)</f>
        <v>01</v>
      </c>
      <c r="AS957" s="90" t="str">
        <f t="shared" si="467"/>
        <v>02</v>
      </c>
      <c r="AT957" s="1" t="str">
        <f t="shared" si="468"/>
        <v>01</v>
      </c>
      <c r="AU957" s="90" t="s">
        <v>975</v>
      </c>
      <c r="AV957" s="90"/>
      <c r="AW957" s="90"/>
      <c r="AX957" s="95" t="str">
        <f>AQ957&amp;AR957&amp;AS957&amp;"-"&amp;AT957&amp;AU957&amp;BA957</f>
        <v>C0102-0118IND</v>
      </c>
      <c r="AY957" s="99" t="str">
        <f>AQ957&amp;AR957&amp;AS957&amp;"-"&amp;AT957&amp;BA957</f>
        <v>C0102-01IND</v>
      </c>
      <c r="AZ957" s="90"/>
      <c r="BA957" s="1" t="str">
        <f t="shared" si="469"/>
        <v>IND</v>
      </c>
      <c r="BC957" s="1" t="str">
        <f t="shared" si="486"/>
        <v/>
      </c>
      <c r="BD957" s="90">
        <f t="shared" si="487"/>
        <v>2</v>
      </c>
      <c r="BE957" s="1">
        <f t="shared" si="472"/>
        <v>1</v>
      </c>
      <c r="BF957" s="1">
        <f t="shared" si="473"/>
        <v>1</v>
      </c>
    </row>
    <row r="958" spans="1:58" ht="11.25" customHeight="1">
      <c r="A958" s="26" t="s">
        <v>4490</v>
      </c>
      <c r="B958" s="27" t="s">
        <v>4481</v>
      </c>
      <c r="C958" s="28">
        <v>26.99</v>
      </c>
      <c r="D958" s="28">
        <f t="shared" si="459"/>
        <v>13.494999999999999</v>
      </c>
      <c r="E958" s="22" t="s">
        <v>4467</v>
      </c>
      <c r="F958" s="22" t="s">
        <v>4491</v>
      </c>
      <c r="G958" s="22" t="s">
        <v>982</v>
      </c>
      <c r="H958" s="22" t="s">
        <v>4492</v>
      </c>
      <c r="I958" s="23" t="s">
        <v>4484</v>
      </c>
      <c r="J958" s="22" t="s">
        <v>670</v>
      </c>
      <c r="K958" s="23">
        <v>19</v>
      </c>
      <c r="L958" s="23">
        <v>22</v>
      </c>
      <c r="M958" s="23">
        <v>1</v>
      </c>
      <c r="N958" s="3">
        <f t="shared" si="488"/>
        <v>4.1800000000000002E-4</v>
      </c>
      <c r="O958" s="4" t="e">
        <f>(C958-(C958*#REF!))-((C958-(C958*#REF!))*#REF!)</f>
        <v>#REF!</v>
      </c>
      <c r="P958" s="7">
        <f>52350.9092489851-Q958</f>
        <v>100.90924898510275</v>
      </c>
      <c r="Q958" s="7">
        <v>52250</v>
      </c>
      <c r="R958" s="5">
        <f t="shared" si="489"/>
        <v>52350.909248985103</v>
      </c>
      <c r="S958" s="4">
        <f t="shared" si="490"/>
        <v>3.4900606165990067</v>
      </c>
      <c r="T958" s="13">
        <f t="shared" si="460"/>
        <v>18.893000000000001</v>
      </c>
      <c r="U958" s="13">
        <f t="shared" si="470"/>
        <v>9.4465000000000003</v>
      </c>
      <c r="V958" s="14">
        <f>U958/C958</f>
        <v>0.35000000000000003</v>
      </c>
      <c r="W958" s="14"/>
      <c r="X958" s="19">
        <f t="shared" si="491"/>
        <v>9.4465000000000003</v>
      </c>
      <c r="Y958" s="19">
        <f t="shared" si="492"/>
        <v>18.893000000000001</v>
      </c>
      <c r="Z958" s="15">
        <f t="shared" si="480"/>
        <v>2.706686512856451</v>
      </c>
      <c r="AA958" s="22" t="s">
        <v>4493</v>
      </c>
      <c r="AG958" s="94" t="s">
        <v>817</v>
      </c>
      <c r="AH958" s="89" t="str">
        <f>VLOOKUP(AG958,Sheet1!$B$3:$D$36,2,FALSE)</f>
        <v>Kitchen &amp; Dining</v>
      </c>
      <c r="AI958" s="89" t="s">
        <v>2077</v>
      </c>
      <c r="AJ958" s="1" t="str">
        <f t="shared" si="461"/>
        <v>Yelena plate riverstone</v>
      </c>
      <c r="AK958" s="1" t="str">
        <f t="shared" si="462"/>
        <v>w19 x d22 x h1</v>
      </c>
      <c r="AL958" s="1" t="str">
        <f t="shared" si="463"/>
        <v>riverstone indoor</v>
      </c>
      <c r="AM958" s="1" t="str">
        <f t="shared" si="464"/>
        <v>riverstone indoor</v>
      </c>
      <c r="AN958" s="1" t="str">
        <f t="shared" si="493"/>
        <v xml:space="preserve">riverstone </v>
      </c>
      <c r="AO958" s="1" t="s">
        <v>54</v>
      </c>
      <c r="AQ958" s="1" t="str">
        <f t="shared" si="466"/>
        <v>C</v>
      </c>
      <c r="AR958" s="1" t="str">
        <f>VLOOKUP(TRIM(AI958),Sheet1!$D$3:$E$36,2,FALSE)</f>
        <v>01</v>
      </c>
      <c r="AS958" s="90" t="str">
        <f t="shared" si="467"/>
        <v>03</v>
      </c>
      <c r="AT958" s="1" t="str">
        <f t="shared" si="468"/>
        <v>01</v>
      </c>
      <c r="AU958" s="90" t="s">
        <v>975</v>
      </c>
      <c r="AV958" s="90"/>
      <c r="AW958" s="90"/>
      <c r="AX958" s="95" t="str">
        <f>AQ958&amp;AR958&amp;AS958&amp;"-"&amp;AT958&amp;AU958&amp;BA958</f>
        <v>C0103-0118IND</v>
      </c>
      <c r="AY958" s="99" t="str">
        <f>AQ958&amp;AR958&amp;AS958&amp;"-"&amp;AT958&amp;BA958</f>
        <v>C0103-01IND</v>
      </c>
      <c r="AZ958" s="90"/>
      <c r="BA958" s="1" t="str">
        <f t="shared" si="469"/>
        <v>IND</v>
      </c>
      <c r="BC958" s="1" t="str">
        <f t="shared" si="486"/>
        <v/>
      </c>
      <c r="BD958" s="90">
        <f t="shared" si="487"/>
        <v>3</v>
      </c>
      <c r="BE958" s="1">
        <f t="shared" si="472"/>
        <v>1</v>
      </c>
      <c r="BF958" s="1">
        <f t="shared" si="473"/>
        <v>1</v>
      </c>
    </row>
    <row r="959" spans="1:58" ht="11.25" customHeight="1">
      <c r="A959" s="26" t="s">
        <v>4494</v>
      </c>
      <c r="B959" s="27" t="s">
        <v>4481</v>
      </c>
      <c r="C959" s="28">
        <v>28.99</v>
      </c>
      <c r="D959" s="28">
        <f t="shared" si="459"/>
        <v>14.494999999999999</v>
      </c>
      <c r="E959" s="22" t="s">
        <v>4467</v>
      </c>
      <c r="F959" s="22" t="s">
        <v>4495</v>
      </c>
      <c r="G959" s="22" t="s">
        <v>982</v>
      </c>
      <c r="H959" s="22" t="s">
        <v>4496</v>
      </c>
      <c r="I959" s="23" t="s">
        <v>4484</v>
      </c>
      <c r="J959" s="22" t="s">
        <v>670</v>
      </c>
      <c r="K959" s="23">
        <v>20</v>
      </c>
      <c r="L959" s="23">
        <v>27</v>
      </c>
      <c r="M959" s="23">
        <v>1</v>
      </c>
      <c r="N959" s="3">
        <f t="shared" si="488"/>
        <v>5.4000000000000001E-4</v>
      </c>
      <c r="O959" s="4" t="e">
        <f>(C959-(C959*#REF!))-((C959-(C959*#REF!))*#REF!)</f>
        <v>#REF!</v>
      </c>
      <c r="P959" s="7">
        <f>74380.3612307463-Q959</f>
        <v>130.3612307463045</v>
      </c>
      <c r="Q959" s="7">
        <v>74250</v>
      </c>
      <c r="R959" s="5">
        <f t="shared" si="489"/>
        <v>74380.361230746304</v>
      </c>
      <c r="S959" s="4">
        <f t="shared" si="490"/>
        <v>4.9586907487164202</v>
      </c>
      <c r="T959" s="13">
        <f t="shared" si="460"/>
        <v>20.292999999999999</v>
      </c>
      <c r="U959" s="13">
        <f t="shared" si="470"/>
        <v>10.1465</v>
      </c>
      <c r="V959" s="14">
        <f>U959/C959</f>
        <v>0.35000000000000003</v>
      </c>
      <c r="W959" s="14"/>
      <c r="X959" s="19">
        <f t="shared" si="491"/>
        <v>10.1465</v>
      </c>
      <c r="Y959" s="19">
        <f t="shared" si="492"/>
        <v>20.292999999999999</v>
      </c>
      <c r="Z959" s="15">
        <f t="shared" si="480"/>
        <v>2.0462054429642476</v>
      </c>
      <c r="AA959" s="22" t="s">
        <v>4497</v>
      </c>
      <c r="AG959" s="94" t="s">
        <v>817</v>
      </c>
      <c r="AH959" s="89" t="str">
        <f>VLOOKUP(AG959,Sheet1!$B$3:$D$36,2,FALSE)</f>
        <v>Kitchen &amp; Dining</v>
      </c>
      <c r="AI959" s="89" t="s">
        <v>2077</v>
      </c>
      <c r="AJ959" s="1" t="str">
        <f t="shared" si="461"/>
        <v>Yelena plate riverstone</v>
      </c>
      <c r="AK959" s="1" t="str">
        <f t="shared" si="462"/>
        <v>w20 x d27 x h1</v>
      </c>
      <c r="AL959" s="1" t="str">
        <f t="shared" si="463"/>
        <v>riverstone indoor</v>
      </c>
      <c r="AM959" s="1" t="str">
        <f t="shared" si="464"/>
        <v>riverstone indoor</v>
      </c>
      <c r="AN959" s="1" t="str">
        <f t="shared" si="493"/>
        <v xml:space="preserve">riverstone </v>
      </c>
      <c r="AO959" s="1" t="s">
        <v>54</v>
      </c>
      <c r="AQ959" s="1" t="str">
        <f t="shared" si="466"/>
        <v>C</v>
      </c>
      <c r="AR959" s="1" t="str">
        <f>VLOOKUP(TRIM(AI959),Sheet1!$D$3:$E$36,2,FALSE)</f>
        <v>01</v>
      </c>
      <c r="AS959" s="90" t="str">
        <f t="shared" si="467"/>
        <v>04</v>
      </c>
      <c r="AT959" s="1" t="str">
        <f t="shared" si="468"/>
        <v>01</v>
      </c>
      <c r="AU959" s="90" t="s">
        <v>975</v>
      </c>
      <c r="AV959" s="90"/>
      <c r="AW959" s="90"/>
      <c r="AX959" s="95" t="str">
        <f>AQ959&amp;AR959&amp;AS959&amp;"-"&amp;AT959&amp;AU959&amp;BA959</f>
        <v>C0104-0118IND</v>
      </c>
      <c r="AY959" s="99" t="str">
        <f>AQ959&amp;AR959&amp;AS959&amp;"-"&amp;AT959&amp;BA959</f>
        <v>C0104-01IND</v>
      </c>
      <c r="AZ959" s="90"/>
      <c r="BA959" s="1" t="str">
        <f t="shared" si="469"/>
        <v>IND</v>
      </c>
      <c r="BC959" s="1" t="str">
        <f t="shared" si="486"/>
        <v/>
      </c>
      <c r="BD959" s="90">
        <f t="shared" si="487"/>
        <v>4</v>
      </c>
      <c r="BE959" s="1">
        <f t="shared" si="472"/>
        <v>1</v>
      </c>
      <c r="BF959" s="1">
        <f t="shared" si="473"/>
        <v>1</v>
      </c>
    </row>
    <row r="960" spans="1:58" ht="11.25" customHeight="1">
      <c r="A960" s="26" t="s">
        <v>4498</v>
      </c>
      <c r="B960" s="27" t="s">
        <v>4481</v>
      </c>
      <c r="C960" s="28">
        <v>39.99</v>
      </c>
      <c r="D960" s="28">
        <f t="shared" si="459"/>
        <v>19.995000000000001</v>
      </c>
      <c r="E960" s="22" t="s">
        <v>4467</v>
      </c>
      <c r="F960" s="22" t="s">
        <v>4499</v>
      </c>
      <c r="G960" s="22" t="s">
        <v>982</v>
      </c>
      <c r="H960" s="22" t="s">
        <v>4500</v>
      </c>
      <c r="I960" s="23" t="s">
        <v>4484</v>
      </c>
      <c r="J960" s="22" t="s">
        <v>670</v>
      </c>
      <c r="K960" s="23">
        <v>24</v>
      </c>
      <c r="L960" s="23">
        <v>34</v>
      </c>
      <c r="M960" s="23">
        <v>1</v>
      </c>
      <c r="N960" s="3">
        <f t="shared" si="488"/>
        <v>8.1599999999999999E-4</v>
      </c>
      <c r="O960" s="4" t="e">
        <f>(C960-(C960*#REF!))-((C960-(C960*#REF!))*#REF!)</f>
        <v>#REF!</v>
      </c>
      <c r="P960" s="7">
        <f>90946.9903042388-Q960</f>
        <v>196.99030423880322</v>
      </c>
      <c r="Q960" s="7">
        <v>90750</v>
      </c>
      <c r="R960" s="5">
        <f t="shared" si="489"/>
        <v>90946.990304238803</v>
      </c>
      <c r="S960" s="4">
        <f t="shared" si="490"/>
        <v>6.0631326869492534</v>
      </c>
      <c r="T960" s="13">
        <f t="shared" si="460"/>
        <v>27.993000000000002</v>
      </c>
      <c r="U960" s="13">
        <f t="shared" si="470"/>
        <v>13.996500000000001</v>
      </c>
      <c r="V960" s="14">
        <f>U960/C960</f>
        <v>0.35000000000000003</v>
      </c>
      <c r="W960" s="14"/>
      <c r="X960" s="19">
        <f t="shared" si="491"/>
        <v>13.996500000000001</v>
      </c>
      <c r="Y960" s="19">
        <f t="shared" si="492"/>
        <v>27.993000000000002</v>
      </c>
      <c r="Z960" s="15">
        <f t="shared" si="480"/>
        <v>2.3084601183357125</v>
      </c>
      <c r="AA960" s="22" t="s">
        <v>4493</v>
      </c>
      <c r="AG960" s="94" t="s">
        <v>817</v>
      </c>
      <c r="AH960" s="89" t="str">
        <f>VLOOKUP(AG960,Sheet1!$B$3:$D$36,2,FALSE)</f>
        <v>Kitchen &amp; Dining</v>
      </c>
      <c r="AI960" s="89" t="s">
        <v>2077</v>
      </c>
      <c r="AJ960" s="1" t="str">
        <f t="shared" si="461"/>
        <v>Yelena plate riverstone</v>
      </c>
      <c r="AK960" s="1" t="str">
        <f t="shared" si="462"/>
        <v>w24 x d34 x h1</v>
      </c>
      <c r="AL960" s="1" t="str">
        <f t="shared" si="463"/>
        <v>riverstone indoor</v>
      </c>
      <c r="AM960" s="1" t="str">
        <f t="shared" si="464"/>
        <v>riverstone indoor</v>
      </c>
      <c r="AN960" s="1" t="str">
        <f t="shared" si="493"/>
        <v xml:space="preserve">riverstone </v>
      </c>
      <c r="AO960" s="1" t="s">
        <v>54</v>
      </c>
      <c r="AQ960" s="1" t="str">
        <f t="shared" si="466"/>
        <v>C</v>
      </c>
      <c r="AR960" s="1" t="str">
        <f>VLOOKUP(TRIM(AI960),Sheet1!$D$3:$E$36,2,FALSE)</f>
        <v>01</v>
      </c>
      <c r="AS960" s="90" t="str">
        <f t="shared" si="467"/>
        <v>05</v>
      </c>
      <c r="AT960" s="1" t="str">
        <f t="shared" si="468"/>
        <v>01</v>
      </c>
      <c r="AU960" s="90" t="s">
        <v>975</v>
      </c>
      <c r="AV960" s="90"/>
      <c r="AW960" s="90"/>
      <c r="AX960" s="95" t="str">
        <f>AQ960&amp;AR960&amp;AS960&amp;"-"&amp;AT960&amp;AU960&amp;BA960</f>
        <v>C0105-0118IND</v>
      </c>
      <c r="AY960" s="99" t="str">
        <f>AQ960&amp;AR960&amp;AS960&amp;"-"&amp;AT960&amp;BA960</f>
        <v>C0105-01IND</v>
      </c>
      <c r="AZ960" s="90"/>
      <c r="BA960" s="1" t="str">
        <f t="shared" si="469"/>
        <v>IND</v>
      </c>
      <c r="BC960" s="1" t="str">
        <f t="shared" si="486"/>
        <v/>
      </c>
      <c r="BD960" s="90">
        <f t="shared" si="487"/>
        <v>5</v>
      </c>
      <c r="BE960" s="1">
        <f t="shared" si="472"/>
        <v>1</v>
      </c>
      <c r="BF960" s="1">
        <f t="shared" si="473"/>
        <v>1</v>
      </c>
    </row>
    <row r="961" spans="1:58" ht="11.25" customHeight="1">
      <c r="A961" s="26" t="s">
        <v>4501</v>
      </c>
      <c r="B961" s="27" t="s">
        <v>4502</v>
      </c>
      <c r="C961" s="28">
        <v>14.99</v>
      </c>
      <c r="D961" s="28">
        <f t="shared" si="459"/>
        <v>7.4950000000000001</v>
      </c>
      <c r="E961" s="22" t="s">
        <v>4467</v>
      </c>
      <c r="F961" s="22" t="s">
        <v>4503</v>
      </c>
      <c r="G961" s="22" t="s">
        <v>335</v>
      </c>
      <c r="H961" s="22" t="s">
        <v>4504</v>
      </c>
      <c r="I961" s="23" t="s">
        <v>4484</v>
      </c>
      <c r="J961" s="22" t="s">
        <v>670</v>
      </c>
      <c r="L961" s="23">
        <v>13</v>
      </c>
      <c r="M961" s="23">
        <v>2</v>
      </c>
      <c r="N961" s="3">
        <f t="shared" si="488"/>
        <v>3.3799999999999998E-4</v>
      </c>
      <c r="O961" s="4" t="e">
        <f>(C961-(C961*#REF!))-((C961-(C961*#REF!))*#REF!)</f>
        <v>#REF!</v>
      </c>
      <c r="P961" s="7">
        <f>33081.5964740597-Q961</f>
        <v>81.596474059697357</v>
      </c>
      <c r="Q961" s="7">
        <v>33000</v>
      </c>
      <c r="R961" s="5">
        <f t="shared" si="489"/>
        <v>33081.596474059697</v>
      </c>
      <c r="S961" s="4">
        <f t="shared" si="490"/>
        <v>2.2054397649373132</v>
      </c>
      <c r="T961" s="13">
        <f t="shared" si="460"/>
        <v>10.493</v>
      </c>
      <c r="U961" s="13">
        <f t="shared" si="470"/>
        <v>5.2465000000000002</v>
      </c>
      <c r="V961" s="14">
        <f>U961/C961</f>
        <v>0.35000000000000003</v>
      </c>
      <c r="W961" s="14"/>
      <c r="X961" s="19">
        <f t="shared" si="491"/>
        <v>5.2465000000000002</v>
      </c>
      <c r="Y961" s="19">
        <f t="shared" si="492"/>
        <v>10.493</v>
      </c>
      <c r="Z961" s="15">
        <f t="shared" si="480"/>
        <v>2.3788906337004971</v>
      </c>
      <c r="AA961" s="22" t="s">
        <v>4505</v>
      </c>
      <c r="AG961" s="94" t="s">
        <v>817</v>
      </c>
      <c r="AH961" s="89" t="str">
        <f>VLOOKUP(AG961,Sheet1!$B$3:$D$36,2,FALSE)</f>
        <v>Kitchen &amp; Dining</v>
      </c>
      <c r="AI961" s="89" t="s">
        <v>2077</v>
      </c>
      <c r="AJ961" s="1" t="str">
        <f t="shared" si="461"/>
        <v>Han plate riverstone</v>
      </c>
      <c r="AK961" s="1" t="str">
        <f t="shared" si="462"/>
        <v>ø13 x h2</v>
      </c>
      <c r="AL961" s="1" t="str">
        <f t="shared" si="463"/>
        <v>riverstone indoor</v>
      </c>
      <c r="AM961" s="1" t="str">
        <f t="shared" si="464"/>
        <v>riverstone indoor</v>
      </c>
      <c r="AN961" s="1" t="str">
        <f t="shared" si="493"/>
        <v xml:space="preserve">riverstone </v>
      </c>
      <c r="AO961" s="1" t="s">
        <v>54</v>
      </c>
      <c r="AQ961" s="1" t="str">
        <f t="shared" si="466"/>
        <v>C</v>
      </c>
      <c r="AR961" s="1" t="str">
        <f>VLOOKUP(TRIM(AI961),Sheet1!$D$3:$E$36,2,FALSE)</f>
        <v>01</v>
      </c>
      <c r="AS961" s="90" t="str">
        <f t="shared" si="467"/>
        <v>01</v>
      </c>
      <c r="AT961" s="1" t="str">
        <f t="shared" si="468"/>
        <v>01</v>
      </c>
      <c r="AU961" s="90" t="s">
        <v>975</v>
      </c>
      <c r="AV961" s="90"/>
      <c r="AW961" s="90"/>
      <c r="AX961" s="95" t="str">
        <f>AQ961&amp;AR961&amp;AS961&amp;"-"&amp;AT961&amp;AU961&amp;BA961</f>
        <v>C0101-0118IND</v>
      </c>
      <c r="AY961" s="99" t="str">
        <f>AQ961&amp;AR961&amp;AS961&amp;"-"&amp;AT961&amp;BA961</f>
        <v>C0101-01IND</v>
      </c>
      <c r="AZ961" s="90"/>
      <c r="BA961" s="1" t="str">
        <f t="shared" si="469"/>
        <v>IND</v>
      </c>
      <c r="BC961" s="1">
        <f t="shared" si="486"/>
        <v>1</v>
      </c>
      <c r="BD961" s="90">
        <f t="shared" si="487"/>
        <v>1</v>
      </c>
      <c r="BE961" s="1">
        <f t="shared" si="472"/>
        <v>1</v>
      </c>
      <c r="BF961" s="1">
        <f t="shared" si="473"/>
        <v>1</v>
      </c>
    </row>
    <row r="962" spans="1:58" ht="11.25" customHeight="1">
      <c r="A962" s="26" t="s">
        <v>4506</v>
      </c>
      <c r="B962" s="27" t="s">
        <v>4502</v>
      </c>
      <c r="C962" s="28">
        <v>16.989999999999998</v>
      </c>
      <c r="D962" s="28">
        <f t="shared" si="459"/>
        <v>8.4949999999999992</v>
      </c>
      <c r="E962" s="22" t="s">
        <v>4467</v>
      </c>
      <c r="F962" s="22" t="s">
        <v>4507</v>
      </c>
      <c r="G962" s="22" t="s">
        <v>335</v>
      </c>
      <c r="H962" s="22" t="s">
        <v>4508</v>
      </c>
      <c r="I962" s="23" t="s">
        <v>4484</v>
      </c>
      <c r="J962" s="22" t="s">
        <v>670</v>
      </c>
      <c r="L962" s="23">
        <v>18</v>
      </c>
      <c r="M962" s="23">
        <v>2</v>
      </c>
      <c r="N962" s="3">
        <f t="shared" si="488"/>
        <v>6.4800000000000003E-4</v>
      </c>
      <c r="O962" s="4" t="e">
        <f>(C962-(C962*#REF!))-((C962-(C962*#REF!))*#REF!)</f>
        <v>#REF!</v>
      </c>
      <c r="P962" s="7">
        <f>38656.4334768955-Q962</f>
        <v>156.43347689550137</v>
      </c>
      <c r="Q962" s="7">
        <v>38500</v>
      </c>
      <c r="R962" s="5">
        <f t="shared" si="489"/>
        <v>38656.433476895501</v>
      </c>
      <c r="S962" s="4">
        <f t="shared" si="490"/>
        <v>2.5770955651263669</v>
      </c>
      <c r="T962" s="13">
        <f t="shared" si="460"/>
        <v>11.892999999999999</v>
      </c>
      <c r="U962" s="13">
        <f t="shared" si="470"/>
        <v>5.9464999999999995</v>
      </c>
      <c r="V962" s="14">
        <f>U962/C962</f>
        <v>0.35</v>
      </c>
      <c r="W962" s="14"/>
      <c r="X962" s="19">
        <f t="shared" si="491"/>
        <v>5.9464999999999995</v>
      </c>
      <c r="Y962" s="19">
        <f t="shared" si="492"/>
        <v>11.892999999999999</v>
      </c>
      <c r="Z962" s="15">
        <f t="shared" si="480"/>
        <v>2.3074425645943846</v>
      </c>
      <c r="AA962" s="22" t="s">
        <v>4509</v>
      </c>
      <c r="AG962" s="94" t="s">
        <v>817</v>
      </c>
      <c r="AH962" s="89" t="str">
        <f>VLOOKUP(AG962,Sheet1!$B$3:$D$36,2,FALSE)</f>
        <v>Kitchen &amp; Dining</v>
      </c>
      <c r="AI962" s="89" t="s">
        <v>2077</v>
      </c>
      <c r="AJ962" s="1" t="str">
        <f t="shared" si="461"/>
        <v>Han plate riverstone</v>
      </c>
      <c r="AK962" s="1" t="str">
        <f t="shared" si="462"/>
        <v>ø18 x h2</v>
      </c>
      <c r="AL962" s="1" t="str">
        <f t="shared" si="463"/>
        <v>riverstone indoor</v>
      </c>
      <c r="AM962" s="1" t="str">
        <f t="shared" si="464"/>
        <v>riverstone indoor</v>
      </c>
      <c r="AN962" s="1" t="str">
        <f t="shared" si="493"/>
        <v xml:space="preserve">riverstone </v>
      </c>
      <c r="AO962" s="1" t="s">
        <v>54</v>
      </c>
      <c r="AQ962" s="1" t="str">
        <f t="shared" si="466"/>
        <v>C</v>
      </c>
      <c r="AR962" s="1" t="str">
        <f>VLOOKUP(TRIM(AI962),Sheet1!$D$3:$E$36,2,FALSE)</f>
        <v>01</v>
      </c>
      <c r="AS962" s="90" t="str">
        <f t="shared" si="467"/>
        <v>02</v>
      </c>
      <c r="AT962" s="1" t="str">
        <f t="shared" si="468"/>
        <v>01</v>
      </c>
      <c r="AU962" s="90" t="s">
        <v>975</v>
      </c>
      <c r="AV962" s="90"/>
      <c r="AW962" s="90"/>
      <c r="AX962" s="95" t="str">
        <f>AQ962&amp;AR962&amp;AS962&amp;"-"&amp;AT962&amp;AU962&amp;BA962</f>
        <v>C0102-0118IND</v>
      </c>
      <c r="AY962" s="99" t="str">
        <f>AQ962&amp;AR962&amp;AS962&amp;"-"&amp;AT962&amp;BA962</f>
        <v>C0102-01IND</v>
      </c>
      <c r="AZ962" s="90"/>
      <c r="BA962" s="1" t="str">
        <f t="shared" si="469"/>
        <v>IND</v>
      </c>
      <c r="BC962" s="1" t="str">
        <f t="shared" si="486"/>
        <v/>
      </c>
      <c r="BD962" s="90">
        <f t="shared" si="487"/>
        <v>2</v>
      </c>
      <c r="BE962" s="1">
        <f t="shared" si="472"/>
        <v>1</v>
      </c>
      <c r="BF962" s="1">
        <f t="shared" si="473"/>
        <v>1</v>
      </c>
    </row>
    <row r="963" spans="1:58" ht="11.25" customHeight="1">
      <c r="A963" s="26" t="s">
        <v>4510</v>
      </c>
      <c r="B963" s="27" t="s">
        <v>4502</v>
      </c>
      <c r="C963" s="28">
        <v>21.99</v>
      </c>
      <c r="D963" s="28">
        <f t="shared" si="459"/>
        <v>10.994999999999999</v>
      </c>
      <c r="E963" s="22" t="s">
        <v>4467</v>
      </c>
      <c r="F963" s="22" t="s">
        <v>4511</v>
      </c>
      <c r="G963" s="22" t="s">
        <v>335</v>
      </c>
      <c r="H963" s="22" t="s">
        <v>4512</v>
      </c>
      <c r="I963" s="23" t="s">
        <v>4484</v>
      </c>
      <c r="J963" s="22" t="s">
        <v>670</v>
      </c>
      <c r="L963" s="23">
        <v>22</v>
      </c>
      <c r="M963" s="23">
        <v>2</v>
      </c>
      <c r="N963" s="3">
        <f t="shared" si="488"/>
        <v>9.68E-4</v>
      </c>
      <c r="O963" s="4" t="e">
        <f>(C963-(C963*#REF!))-((C963-(C963*#REF!))*#REF!)</f>
        <v>#REF!</v>
      </c>
      <c r="P963" s="7">
        <f>49733.684576597-Q963</f>
        <v>233.68457659699925</v>
      </c>
      <c r="Q963" s="7">
        <v>49500</v>
      </c>
      <c r="R963" s="5">
        <f t="shared" si="489"/>
        <v>49733.684576596999</v>
      </c>
      <c r="S963" s="4">
        <f t="shared" si="490"/>
        <v>3.3155789717731334</v>
      </c>
      <c r="T963" s="13">
        <f t="shared" si="460"/>
        <v>15.392999999999999</v>
      </c>
      <c r="U963" s="13">
        <f t="shared" si="470"/>
        <v>7.6964999999999995</v>
      </c>
      <c r="V963" s="14">
        <f>U963/C963</f>
        <v>0.35</v>
      </c>
      <c r="W963" s="14"/>
      <c r="X963" s="19">
        <f t="shared" si="491"/>
        <v>7.6964999999999995</v>
      </c>
      <c r="Y963" s="19">
        <f t="shared" si="492"/>
        <v>15.392999999999999</v>
      </c>
      <c r="Z963" s="15">
        <f t="shared" si="480"/>
        <v>2.3213140345995136</v>
      </c>
      <c r="AA963" s="22" t="s">
        <v>4505</v>
      </c>
      <c r="AG963" s="94" t="s">
        <v>817</v>
      </c>
      <c r="AH963" s="89" t="str">
        <f>VLOOKUP(AG963,Sheet1!$B$3:$D$36,2,FALSE)</f>
        <v>Kitchen &amp; Dining</v>
      </c>
      <c r="AI963" s="89" t="s">
        <v>2077</v>
      </c>
      <c r="AJ963" s="1" t="str">
        <f t="shared" si="461"/>
        <v>Han plate riverstone</v>
      </c>
      <c r="AK963" s="1" t="str">
        <f t="shared" si="462"/>
        <v>ø22 x h2</v>
      </c>
      <c r="AL963" s="1" t="str">
        <f t="shared" si="463"/>
        <v>riverstone indoor</v>
      </c>
      <c r="AM963" s="1" t="str">
        <f t="shared" si="464"/>
        <v>riverstone indoor</v>
      </c>
      <c r="AN963" s="1" t="str">
        <f t="shared" si="493"/>
        <v xml:space="preserve">riverstone </v>
      </c>
      <c r="AO963" s="1" t="s">
        <v>54</v>
      </c>
      <c r="AQ963" s="1" t="str">
        <f t="shared" si="466"/>
        <v>C</v>
      </c>
      <c r="AR963" s="1" t="str">
        <f>VLOOKUP(TRIM(AI963),Sheet1!$D$3:$E$36,2,FALSE)</f>
        <v>01</v>
      </c>
      <c r="AS963" s="90" t="str">
        <f t="shared" si="467"/>
        <v>03</v>
      </c>
      <c r="AT963" s="1" t="str">
        <f t="shared" si="468"/>
        <v>01</v>
      </c>
      <c r="AU963" s="90" t="s">
        <v>975</v>
      </c>
      <c r="AV963" s="90"/>
      <c r="AW963" s="90"/>
      <c r="AX963" s="95" t="str">
        <f>AQ963&amp;AR963&amp;AS963&amp;"-"&amp;AT963&amp;AU963&amp;BA963</f>
        <v>C0103-0118IND</v>
      </c>
      <c r="AY963" s="99" t="str">
        <f>AQ963&amp;AR963&amp;AS963&amp;"-"&amp;AT963&amp;BA963</f>
        <v>C0103-01IND</v>
      </c>
      <c r="AZ963" s="90"/>
      <c r="BA963" s="1" t="str">
        <f t="shared" si="469"/>
        <v>IND</v>
      </c>
      <c r="BC963" s="1" t="str">
        <f t="shared" si="486"/>
        <v/>
      </c>
      <c r="BD963" s="90">
        <f t="shared" si="487"/>
        <v>3</v>
      </c>
      <c r="BE963" s="1">
        <f t="shared" si="472"/>
        <v>1</v>
      </c>
      <c r="BF963" s="1">
        <f t="shared" si="473"/>
        <v>1</v>
      </c>
    </row>
    <row r="964" spans="1:58" ht="11.25" customHeight="1">
      <c r="A964" s="26" t="s">
        <v>4513</v>
      </c>
      <c r="B964" s="27" t="s">
        <v>4502</v>
      </c>
      <c r="C964" s="28">
        <v>31.99</v>
      </c>
      <c r="D964" s="28">
        <f t="shared" si="459"/>
        <v>15.994999999999999</v>
      </c>
      <c r="E964" s="22" t="s">
        <v>4467</v>
      </c>
      <c r="F964" s="22" t="s">
        <v>4514</v>
      </c>
      <c r="G964" s="22" t="s">
        <v>335</v>
      </c>
      <c r="H964" s="22" t="s">
        <v>4515</v>
      </c>
      <c r="I964" s="23" t="s">
        <v>4484</v>
      </c>
      <c r="J964" s="22" t="s">
        <v>670</v>
      </c>
      <c r="L964" s="23">
        <v>27</v>
      </c>
      <c r="M964" s="23">
        <v>2</v>
      </c>
      <c r="N964" s="3">
        <f t="shared" si="488"/>
        <v>1.4580000000000001E-3</v>
      </c>
      <c r="O964" s="4" t="e">
        <f>(C964-(C964*#REF!))-((C964-(C964*#REF!))*#REF!)</f>
        <v>#REF!</v>
      </c>
      <c r="P964" s="7">
        <f>77351.9753230149-Q964</f>
        <v>351.97532301490719</v>
      </c>
      <c r="Q964" s="7">
        <v>77000</v>
      </c>
      <c r="R964" s="5">
        <f t="shared" si="489"/>
        <v>77351.975323014907</v>
      </c>
      <c r="S964" s="4">
        <f t="shared" si="490"/>
        <v>5.1567983548676608</v>
      </c>
      <c r="T964" s="13">
        <f t="shared" si="460"/>
        <v>22.393000000000001</v>
      </c>
      <c r="U964" s="13">
        <f t="shared" si="470"/>
        <v>11.1965</v>
      </c>
      <c r="V964" s="14">
        <f>U964/C964</f>
        <v>0.35000000000000003</v>
      </c>
      <c r="W964" s="14"/>
      <c r="X964" s="19">
        <f t="shared" si="491"/>
        <v>11.1965</v>
      </c>
      <c r="Y964" s="19">
        <f t="shared" si="492"/>
        <v>22.393000000000001</v>
      </c>
      <c r="Z964" s="15">
        <f t="shared" si="480"/>
        <v>2.1712115210848375</v>
      </c>
      <c r="AA964" s="22" t="s">
        <v>4509</v>
      </c>
      <c r="AG964" s="94" t="s">
        <v>817</v>
      </c>
      <c r="AH964" s="89" t="str">
        <f>VLOOKUP(AG964,Sheet1!$B$3:$D$36,2,FALSE)</f>
        <v>Kitchen &amp; Dining</v>
      </c>
      <c r="AI964" s="89" t="s">
        <v>2077</v>
      </c>
      <c r="AJ964" s="1" t="str">
        <f t="shared" si="461"/>
        <v>Han plate riverstone</v>
      </c>
      <c r="AK964" s="1" t="str">
        <f t="shared" si="462"/>
        <v>ø27 x h2</v>
      </c>
      <c r="AL964" s="1" t="str">
        <f t="shared" si="463"/>
        <v>riverstone indoor</v>
      </c>
      <c r="AM964" s="1" t="str">
        <f t="shared" si="464"/>
        <v>riverstone indoor</v>
      </c>
      <c r="AN964" s="1" t="str">
        <f t="shared" si="493"/>
        <v xml:space="preserve">riverstone </v>
      </c>
      <c r="AO964" s="1" t="s">
        <v>54</v>
      </c>
      <c r="AQ964" s="1" t="str">
        <f t="shared" si="466"/>
        <v>C</v>
      </c>
      <c r="AR964" s="1" t="str">
        <f>VLOOKUP(TRIM(AI964),Sheet1!$D$3:$E$36,2,FALSE)</f>
        <v>01</v>
      </c>
      <c r="AS964" s="90" t="str">
        <f t="shared" si="467"/>
        <v>04</v>
      </c>
      <c r="AT964" s="1" t="str">
        <f t="shared" si="468"/>
        <v>01</v>
      </c>
      <c r="AU964" s="90" t="s">
        <v>975</v>
      </c>
      <c r="AV964" s="90"/>
      <c r="AW964" s="90"/>
      <c r="AX964" s="95" t="str">
        <f>AQ964&amp;AR964&amp;AS964&amp;"-"&amp;AT964&amp;AU964&amp;BA964</f>
        <v>C0104-0118IND</v>
      </c>
      <c r="AY964" s="99" t="str">
        <f>AQ964&amp;AR964&amp;AS964&amp;"-"&amp;AT964&amp;BA964</f>
        <v>C0104-01IND</v>
      </c>
      <c r="AZ964" s="90"/>
      <c r="BA964" s="1" t="str">
        <f t="shared" si="469"/>
        <v>IND</v>
      </c>
      <c r="BC964" s="1" t="str">
        <f t="shared" si="486"/>
        <v/>
      </c>
      <c r="BD964" s="90">
        <f t="shared" si="487"/>
        <v>4</v>
      </c>
      <c r="BE964" s="1">
        <f t="shared" si="472"/>
        <v>1</v>
      </c>
      <c r="BF964" s="1">
        <f t="shared" si="473"/>
        <v>1</v>
      </c>
    </row>
    <row r="965" spans="1:58" ht="11.25" customHeight="1">
      <c r="A965" s="26" t="s">
        <v>4516</v>
      </c>
      <c r="B965" s="27" t="s">
        <v>4502</v>
      </c>
      <c r="C965" s="28">
        <v>38.99</v>
      </c>
      <c r="D965" s="28">
        <f t="shared" ref="D965:D1028" si="494">C965*$D$1</f>
        <v>19.495000000000001</v>
      </c>
      <c r="E965" s="22" t="s">
        <v>4467</v>
      </c>
      <c r="F965" s="22" t="s">
        <v>4517</v>
      </c>
      <c r="G965" s="22" t="s">
        <v>335</v>
      </c>
      <c r="H965" s="22" t="s">
        <v>4518</v>
      </c>
      <c r="I965" s="23" t="s">
        <v>4484</v>
      </c>
      <c r="J965" s="22" t="s">
        <v>670</v>
      </c>
      <c r="L965" s="23">
        <v>32</v>
      </c>
      <c r="M965" s="23">
        <v>2</v>
      </c>
      <c r="N965" s="3">
        <f t="shared" si="488"/>
        <v>2.0479999999999999E-3</v>
      </c>
      <c r="O965" s="4" t="e">
        <f>(C965-(C965*#REF!))-((C965-(C965*#REF!))*#REF!)</f>
        <v>#REF!</v>
      </c>
      <c r="P965" s="7">
        <f>93994.4070380896-Q965</f>
        <v>494.40703808960097</v>
      </c>
      <c r="Q965" s="7">
        <v>93500</v>
      </c>
      <c r="R965" s="5">
        <f t="shared" si="489"/>
        <v>93994.407038089601</v>
      </c>
      <c r="S965" s="4">
        <f t="shared" si="490"/>
        <v>6.2662938025393071</v>
      </c>
      <c r="T965" s="13">
        <f t="shared" ref="T965:T1028" si="495">C965-(C965*$T$1)</f>
        <v>27.292999999999999</v>
      </c>
      <c r="U965" s="13">
        <f t="shared" si="470"/>
        <v>13.6465</v>
      </c>
      <c r="V965" s="14">
        <f>U965/C965</f>
        <v>0.35</v>
      </c>
      <c r="W965" s="14"/>
      <c r="X965" s="19">
        <f t="shared" si="491"/>
        <v>13.6465</v>
      </c>
      <c r="Y965" s="19">
        <f t="shared" si="492"/>
        <v>27.292999999999999</v>
      </c>
      <c r="Z965" s="15">
        <f t="shared" si="480"/>
        <v>2.1777625547129613</v>
      </c>
      <c r="AA965" s="22" t="s">
        <v>4505</v>
      </c>
      <c r="AG965" s="94" t="s">
        <v>817</v>
      </c>
      <c r="AH965" s="89" t="str">
        <f>VLOOKUP(AG965,Sheet1!$B$3:$D$36,2,FALSE)</f>
        <v>Kitchen &amp; Dining</v>
      </c>
      <c r="AI965" s="89" t="s">
        <v>2077</v>
      </c>
      <c r="AJ965" s="1" t="str">
        <f t="shared" ref="AJ965:AJ1028" si="496">G965</f>
        <v>Han plate riverstone</v>
      </c>
      <c r="AK965" s="1" t="str">
        <f t="shared" ref="AK965:AK1028" si="497">TRIM(H965)</f>
        <v>ø32 x h2</v>
      </c>
      <c r="AL965" s="1" t="str">
        <f t="shared" ref="AL965:AL1028" si="498">I965</f>
        <v>riverstone indoor</v>
      </c>
      <c r="AM965" s="1" t="str">
        <f t="shared" ref="AM965:AM1028" si="499">I965</f>
        <v>riverstone indoor</v>
      </c>
      <c r="AN965" s="1" t="str">
        <f t="shared" si="493"/>
        <v xml:space="preserve">riverstone </v>
      </c>
      <c r="AO965" s="1" t="s">
        <v>54</v>
      </c>
      <c r="AQ965" s="1" t="str">
        <f t="shared" ref="AQ965:AQ1028" si="500">IF(TRIM(AG965)="01","A",IF(TRIM(AG965)="02","B",IF(TRIM(AG965)="03","C",IF(TRIM(AG965)="04","D",IF(TRIM(AG965)="05","E","F")))))</f>
        <v>C</v>
      </c>
      <c r="AR965" s="1" t="str">
        <f>VLOOKUP(TRIM(AI965),Sheet1!$D$3:$E$36,2,FALSE)</f>
        <v>01</v>
      </c>
      <c r="AS965" s="90" t="str">
        <f t="shared" ref="AS965:AS1028" si="501">IF(LEN(BD965)=1,"0"&amp;BD965,BD965)</f>
        <v>05</v>
      </c>
      <c r="AT965" s="1" t="str">
        <f t="shared" ref="AT965:AT1028" si="502">IF(LEN(BF965)=1,"0"&amp;BF965,BF965)</f>
        <v>01</v>
      </c>
      <c r="AU965" s="90" t="s">
        <v>975</v>
      </c>
      <c r="AV965" s="90"/>
      <c r="AW965" s="90"/>
      <c r="AX965" s="95" t="str">
        <f>AQ965&amp;AR965&amp;AS965&amp;"-"&amp;AT965&amp;AU965&amp;BA965</f>
        <v>C0105-0118IND</v>
      </c>
      <c r="AY965" s="99" t="str">
        <f>AQ965&amp;AR965&amp;AS965&amp;"-"&amp;AT965&amp;BA965</f>
        <v>C0105-01IND</v>
      </c>
      <c r="AZ965" s="90"/>
      <c r="BA965" s="1" t="str">
        <f t="shared" ref="BA965:BA1028" si="503">IF(AO965="","",UPPER(LEFT(AO965,3)))</f>
        <v>IND</v>
      </c>
      <c r="BC965" s="1" t="str">
        <f t="shared" si="486"/>
        <v/>
      </c>
      <c r="BD965" s="90">
        <f t="shared" si="487"/>
        <v>5</v>
      </c>
      <c r="BE965" s="1">
        <f t="shared" si="472"/>
        <v>1</v>
      </c>
      <c r="BF965" s="1">
        <f t="shared" si="473"/>
        <v>1</v>
      </c>
    </row>
    <row r="966" spans="1:58" ht="11.25" customHeight="1">
      <c r="A966" s="26" t="s">
        <v>4519</v>
      </c>
      <c r="B966" s="27" t="s">
        <v>4520</v>
      </c>
      <c r="C966" s="28">
        <v>19.989999999999998</v>
      </c>
      <c r="D966" s="28">
        <f t="shared" si="494"/>
        <v>9.9949999999999992</v>
      </c>
      <c r="E966" s="22" t="s">
        <v>4467</v>
      </c>
      <c r="F966" s="22" t="s">
        <v>4521</v>
      </c>
      <c r="G966" s="22" t="s">
        <v>425</v>
      </c>
      <c r="H966" s="22" t="s">
        <v>4522</v>
      </c>
      <c r="I966" s="25" t="s">
        <v>3413</v>
      </c>
      <c r="J966" s="22" t="s">
        <v>670</v>
      </c>
      <c r="K966" s="23">
        <v>13.5</v>
      </c>
      <c r="L966" s="23">
        <v>17</v>
      </c>
      <c r="M966" s="23">
        <v>1</v>
      </c>
      <c r="N966" s="3">
        <f t="shared" si="488"/>
        <v>2.2949999999999999E-4</v>
      </c>
      <c r="O966" s="4" t="e">
        <f>(C966-(C966*#REF!))-((C966-(C966*#REF!))*#REF!)</f>
        <v>#REF!</v>
      </c>
      <c r="P966" s="7">
        <f>44055.4035230672-Q966</f>
        <v>55.403523067201604</v>
      </c>
      <c r="Q966" s="7">
        <v>44000</v>
      </c>
      <c r="R966" s="5">
        <f t="shared" si="489"/>
        <v>44055.403523067202</v>
      </c>
      <c r="S966" s="4">
        <f t="shared" si="490"/>
        <v>2.9370269015378137</v>
      </c>
      <c r="T966" s="13">
        <f t="shared" si="495"/>
        <v>13.992999999999999</v>
      </c>
      <c r="U966" s="13">
        <f t="shared" ref="U966:U1029" si="504">T966-(T966*$U$1)</f>
        <v>6.9964999999999993</v>
      </c>
      <c r="V966" s="14">
        <f>U966/C966</f>
        <v>0.35</v>
      </c>
      <c r="W966" s="14"/>
      <c r="X966" s="19">
        <f t="shared" si="491"/>
        <v>6.9964999999999993</v>
      </c>
      <c r="Y966" s="19">
        <f t="shared" si="492"/>
        <v>13.992999999999999</v>
      </c>
      <c r="Z966" s="15">
        <f t="shared" si="480"/>
        <v>2.3821708940890751</v>
      </c>
      <c r="AA966" s="22" t="s">
        <v>4523</v>
      </c>
      <c r="AG966" s="94" t="s">
        <v>817</v>
      </c>
      <c r="AH966" s="89" t="str">
        <f>VLOOKUP(AG966,Sheet1!$B$3:$D$36,2,FALSE)</f>
        <v>Kitchen &amp; Dining</v>
      </c>
      <c r="AI966" s="89" t="s">
        <v>2077</v>
      </c>
      <c r="AJ966" s="1" t="str">
        <f t="shared" si="496"/>
        <v>Kabochi</v>
      </c>
      <c r="AK966" s="1" t="str">
        <f t="shared" si="497"/>
        <v>w13,5 x d17 x h1 - 2 shots</v>
      </c>
      <c r="AL966" s="1" t="str">
        <f t="shared" si="498"/>
        <v>riverstone outdoor</v>
      </c>
      <c r="AM966" s="1" t="str">
        <f t="shared" si="499"/>
        <v>riverstone outdoor</v>
      </c>
      <c r="AN966" s="1" t="str">
        <f t="shared" ref="AN966:AN979" si="505">SUBSTITUTE(AL966,"outdoor","")</f>
        <v xml:space="preserve">riverstone </v>
      </c>
      <c r="AO966" s="1" t="s">
        <v>59</v>
      </c>
      <c r="AQ966" s="1" t="str">
        <f t="shared" si="500"/>
        <v>C</v>
      </c>
      <c r="AR966" s="1" t="str">
        <f>VLOOKUP(TRIM(AI966),Sheet1!$D$3:$E$36,2,FALSE)</f>
        <v>01</v>
      </c>
      <c r="AS966" s="90" t="str">
        <f t="shared" si="501"/>
        <v>01</v>
      </c>
      <c r="AT966" s="1" t="str">
        <f t="shared" si="502"/>
        <v>01</v>
      </c>
      <c r="AU966" s="90" t="s">
        <v>975</v>
      </c>
      <c r="AV966" s="90"/>
      <c r="AW966" s="90"/>
      <c r="AX966" s="95" t="str">
        <f>AQ966&amp;AR966&amp;AS966&amp;"-"&amp;AT966&amp;AU966&amp;BA966</f>
        <v>C0101-0118OUT</v>
      </c>
      <c r="AY966" s="99" t="str">
        <f>AQ966&amp;AR966&amp;AS966&amp;"-"&amp;AT966&amp;BA966</f>
        <v>C0101-01OUT</v>
      </c>
      <c r="AZ966" s="90"/>
      <c r="BA966" s="1" t="str">
        <f t="shared" si="503"/>
        <v>OUT</v>
      </c>
      <c r="BC966" s="1">
        <f t="shared" si="486"/>
        <v>1</v>
      </c>
      <c r="BD966" s="90">
        <f t="shared" si="487"/>
        <v>1</v>
      </c>
      <c r="BE966" s="1">
        <f t="shared" si="472"/>
        <v>1</v>
      </c>
      <c r="BF966" s="1">
        <f t="shared" si="473"/>
        <v>1</v>
      </c>
    </row>
    <row r="967" spans="1:58" ht="11.25" customHeight="1">
      <c r="A967" s="26" t="s">
        <v>4524</v>
      </c>
      <c r="B967" s="27" t="s">
        <v>4520</v>
      </c>
      <c r="C967" s="28">
        <v>29.99</v>
      </c>
      <c r="D967" s="28">
        <f t="shared" si="494"/>
        <v>14.994999999999999</v>
      </c>
      <c r="E967" s="22" t="s">
        <v>4467</v>
      </c>
      <c r="F967" s="22" t="s">
        <v>4525</v>
      </c>
      <c r="G967" s="22" t="s">
        <v>425</v>
      </c>
      <c r="H967" s="22" t="s">
        <v>4526</v>
      </c>
      <c r="I967" s="25" t="s">
        <v>3413</v>
      </c>
      <c r="J967" s="22" t="s">
        <v>670</v>
      </c>
      <c r="K967" s="23">
        <v>13</v>
      </c>
      <c r="L967" s="23">
        <v>23</v>
      </c>
      <c r="M967" s="23">
        <v>1</v>
      </c>
      <c r="N967" s="3">
        <f t="shared" si="488"/>
        <v>2.99E-4</v>
      </c>
      <c r="O967" s="4" t="e">
        <f>(C967-(C967*#REF!))-((C967-(C967*#REF!))*#REF!)</f>
        <v>#REF!</v>
      </c>
      <c r="P967" s="7">
        <f>66072.1814962836-Q967</f>
        <v>72.181496283606975</v>
      </c>
      <c r="Q967" s="7">
        <v>66000</v>
      </c>
      <c r="R967" s="5">
        <f t="shared" si="489"/>
        <v>66072.181496283607</v>
      </c>
      <c r="S967" s="4">
        <f t="shared" si="490"/>
        <v>4.4048120997522409</v>
      </c>
      <c r="T967" s="13">
        <f t="shared" si="495"/>
        <v>20.992999999999999</v>
      </c>
      <c r="U967" s="13">
        <f t="shared" si="504"/>
        <v>10.496499999999999</v>
      </c>
      <c r="V967" s="14">
        <f>U967/C967</f>
        <v>0.35</v>
      </c>
      <c r="W967" s="14"/>
      <c r="X967" s="19">
        <f t="shared" si="491"/>
        <v>10.496499999999999</v>
      </c>
      <c r="Y967" s="19">
        <f t="shared" si="492"/>
        <v>20.992999999999999</v>
      </c>
      <c r="Z967" s="15">
        <f t="shared" si="480"/>
        <v>2.3829620338607405</v>
      </c>
      <c r="AA967" s="22" t="s">
        <v>4527</v>
      </c>
      <c r="AG967" s="94" t="s">
        <v>817</v>
      </c>
      <c r="AH967" s="89" t="str">
        <f>VLOOKUP(AG967,Sheet1!$B$3:$D$36,2,FALSE)</f>
        <v>Kitchen &amp; Dining</v>
      </c>
      <c r="AI967" s="89" t="s">
        <v>2077</v>
      </c>
      <c r="AJ967" s="1" t="str">
        <f t="shared" si="496"/>
        <v>Kabochi</v>
      </c>
      <c r="AK967" s="1" t="str">
        <f t="shared" si="497"/>
        <v>w13 x d23 x h1 - 4 shots</v>
      </c>
      <c r="AL967" s="1" t="str">
        <f t="shared" si="498"/>
        <v>riverstone outdoor</v>
      </c>
      <c r="AM967" s="1" t="str">
        <f t="shared" si="499"/>
        <v>riverstone outdoor</v>
      </c>
      <c r="AN967" s="1" t="str">
        <f t="shared" si="505"/>
        <v xml:space="preserve">riverstone </v>
      </c>
      <c r="AO967" s="1" t="s">
        <v>59</v>
      </c>
      <c r="AQ967" s="1" t="str">
        <f t="shared" si="500"/>
        <v>C</v>
      </c>
      <c r="AR967" s="1" t="str">
        <f>VLOOKUP(TRIM(AI967),Sheet1!$D$3:$E$36,2,FALSE)</f>
        <v>01</v>
      </c>
      <c r="AS967" s="90" t="str">
        <f t="shared" si="501"/>
        <v>02</v>
      </c>
      <c r="AT967" s="1" t="str">
        <f t="shared" si="502"/>
        <v>01</v>
      </c>
      <c r="AU967" s="90" t="s">
        <v>975</v>
      </c>
      <c r="AV967" s="90"/>
      <c r="AW967" s="90"/>
      <c r="AX967" s="95" t="str">
        <f>AQ967&amp;AR967&amp;AS967&amp;"-"&amp;AT967&amp;AU967&amp;BA967</f>
        <v>C0102-0118OUT</v>
      </c>
      <c r="AY967" s="99" t="str">
        <f>AQ967&amp;AR967&amp;AS967&amp;"-"&amp;AT967&amp;BA967</f>
        <v>C0102-01OUT</v>
      </c>
      <c r="AZ967" s="90"/>
      <c r="BA967" s="1" t="str">
        <f t="shared" si="503"/>
        <v>OUT</v>
      </c>
      <c r="BC967" s="1" t="str">
        <f t="shared" si="486"/>
        <v/>
      </c>
      <c r="BD967" s="90">
        <f t="shared" si="487"/>
        <v>2</v>
      </c>
      <c r="BE967" s="1">
        <f t="shared" si="472"/>
        <v>1</v>
      </c>
      <c r="BF967" s="1">
        <f t="shared" si="473"/>
        <v>1</v>
      </c>
    </row>
    <row r="968" spans="1:58" ht="11.25" customHeight="1">
      <c r="A968" s="26" t="s">
        <v>4528</v>
      </c>
      <c r="B968" s="27" t="s">
        <v>4520</v>
      </c>
      <c r="C968" s="28">
        <v>60.99</v>
      </c>
      <c r="D968" s="28">
        <f t="shared" si="494"/>
        <v>30.495000000000001</v>
      </c>
      <c r="E968" s="22" t="s">
        <v>4467</v>
      </c>
      <c r="F968" s="22" t="s">
        <v>4529</v>
      </c>
      <c r="G968" s="22" t="s">
        <v>425</v>
      </c>
      <c r="H968" s="22" t="s">
        <v>4530</v>
      </c>
      <c r="I968" s="25" t="s">
        <v>3413</v>
      </c>
      <c r="J968" s="22" t="s">
        <v>670</v>
      </c>
      <c r="K968" s="23">
        <v>13</v>
      </c>
      <c r="L968" s="23">
        <v>29</v>
      </c>
      <c r="M968" s="23">
        <v>1</v>
      </c>
      <c r="N968" s="3">
        <f t="shared" si="488"/>
        <v>3.77E-4</v>
      </c>
      <c r="O968" s="4" t="e">
        <f>(C968-(C968*#REF!))-((C968-(C968*#REF!))*#REF!)</f>
        <v>#REF!</v>
      </c>
      <c r="P968" s="7">
        <f>137591.011451836-Q968</f>
        <v>91.011451836006017</v>
      </c>
      <c r="Q968" s="7">
        <v>137500</v>
      </c>
      <c r="R968" s="5">
        <f t="shared" si="489"/>
        <v>137591.01145183601</v>
      </c>
      <c r="S968" s="4">
        <f t="shared" si="490"/>
        <v>9.1727340967890676</v>
      </c>
      <c r="T968" s="13">
        <f t="shared" si="495"/>
        <v>42.692999999999998</v>
      </c>
      <c r="U968" s="13">
        <f t="shared" si="504"/>
        <v>21.346499999999999</v>
      </c>
      <c r="V968" s="14">
        <f>U968/C968</f>
        <v>0.35</v>
      </c>
      <c r="W968" s="14"/>
      <c r="X968" s="19">
        <f t="shared" si="491"/>
        <v>21.346499999999999</v>
      </c>
      <c r="Y968" s="19">
        <f t="shared" si="492"/>
        <v>42.692999999999998</v>
      </c>
      <c r="Z968" s="15">
        <f t="shared" si="480"/>
        <v>2.3271687345076733</v>
      </c>
      <c r="AA968" s="22" t="s">
        <v>4531</v>
      </c>
      <c r="AG968" s="94" t="s">
        <v>817</v>
      </c>
      <c r="AH968" s="89" t="str">
        <f>VLOOKUP(AG968,Sheet1!$B$3:$D$36,2,FALSE)</f>
        <v>Kitchen &amp; Dining</v>
      </c>
      <c r="AI968" s="89" t="s">
        <v>2077</v>
      </c>
      <c r="AJ968" s="1" t="str">
        <f t="shared" si="496"/>
        <v>Kabochi</v>
      </c>
      <c r="AK968" s="1" t="str">
        <f t="shared" si="497"/>
        <v>w13 x d29 x h1 - 6 shots</v>
      </c>
      <c r="AL968" s="1" t="str">
        <f t="shared" si="498"/>
        <v>riverstone outdoor</v>
      </c>
      <c r="AM968" s="1" t="str">
        <f t="shared" si="499"/>
        <v>riverstone outdoor</v>
      </c>
      <c r="AN968" s="1" t="str">
        <f t="shared" si="505"/>
        <v xml:space="preserve">riverstone </v>
      </c>
      <c r="AO968" s="1" t="s">
        <v>59</v>
      </c>
      <c r="AQ968" s="1" t="str">
        <f t="shared" si="500"/>
        <v>C</v>
      </c>
      <c r="AR968" s="1" t="str">
        <f>VLOOKUP(TRIM(AI968),Sheet1!$D$3:$E$36,2,FALSE)</f>
        <v>01</v>
      </c>
      <c r="AS968" s="90" t="str">
        <f t="shared" si="501"/>
        <v>03</v>
      </c>
      <c r="AT968" s="1" t="str">
        <f t="shared" si="502"/>
        <v>01</v>
      </c>
      <c r="AU968" s="90" t="s">
        <v>975</v>
      </c>
      <c r="AV968" s="90"/>
      <c r="AW968" s="90"/>
      <c r="AX968" s="95" t="str">
        <f>AQ968&amp;AR968&amp;AS968&amp;"-"&amp;AT968&amp;AU968&amp;BA968</f>
        <v>C0103-0118OUT</v>
      </c>
      <c r="AY968" s="99" t="str">
        <f>AQ968&amp;AR968&amp;AS968&amp;"-"&amp;AT968&amp;BA968</f>
        <v>C0103-01OUT</v>
      </c>
      <c r="AZ968" s="90"/>
      <c r="BA968" s="1" t="str">
        <f t="shared" si="503"/>
        <v>OUT</v>
      </c>
      <c r="BC968" s="1" t="str">
        <f t="shared" si="486"/>
        <v/>
      </c>
      <c r="BD968" s="90">
        <f t="shared" si="487"/>
        <v>3</v>
      </c>
      <c r="BE968" s="1">
        <f t="shared" si="472"/>
        <v>1</v>
      </c>
      <c r="BF968" s="1">
        <f t="shared" si="473"/>
        <v>1</v>
      </c>
    </row>
    <row r="969" spans="1:58" ht="11.25" customHeight="1">
      <c r="A969" s="26" t="s">
        <v>4532</v>
      </c>
      <c r="B969" s="27" t="s">
        <v>2914</v>
      </c>
      <c r="C969" s="28">
        <v>21.99</v>
      </c>
      <c r="D969" s="28">
        <f t="shared" si="494"/>
        <v>10.994999999999999</v>
      </c>
      <c r="E969" s="22" t="s">
        <v>4467</v>
      </c>
      <c r="F969" s="22" t="s">
        <v>4533</v>
      </c>
      <c r="G969" s="22" t="s">
        <v>442</v>
      </c>
      <c r="H969" s="22" t="s">
        <v>4534</v>
      </c>
      <c r="I969" s="23" t="s">
        <v>2866</v>
      </c>
      <c r="J969" s="22" t="s">
        <v>670</v>
      </c>
      <c r="L969" s="23">
        <v>25</v>
      </c>
      <c r="M969" s="23">
        <v>2</v>
      </c>
      <c r="N969" s="3">
        <f t="shared" si="488"/>
        <v>1.25E-3</v>
      </c>
      <c r="O969" s="4" t="e">
        <f>(C969-(C969*#REF!))-((C969-(C969*#REF!))*#REF!)</f>
        <v>#REF!</v>
      </c>
      <c r="P969" s="7"/>
      <c r="Q969" s="7"/>
      <c r="R969" s="5">
        <f t="shared" si="489"/>
        <v>0</v>
      </c>
      <c r="S969" s="4">
        <f t="shared" si="490"/>
        <v>0</v>
      </c>
      <c r="T969" s="13">
        <f t="shared" si="495"/>
        <v>15.392999999999999</v>
      </c>
      <c r="U969" s="13">
        <f t="shared" si="504"/>
        <v>7.6964999999999995</v>
      </c>
      <c r="V969" s="14">
        <f>U969/C969</f>
        <v>0.35</v>
      </c>
      <c r="W969" s="14"/>
      <c r="X969" s="19">
        <f t="shared" si="491"/>
        <v>7.6964999999999995</v>
      </c>
      <c r="Y969" s="19">
        <f t="shared" si="492"/>
        <v>15.392999999999999</v>
      </c>
      <c r="Z969" s="15" t="e">
        <f t="shared" si="480"/>
        <v>#DIV/0!</v>
      </c>
      <c r="AA969" s="22" t="s">
        <v>4535</v>
      </c>
      <c r="AG969" s="94" t="s">
        <v>817</v>
      </c>
      <c r="AH969" s="89" t="str">
        <f>VLOOKUP(AG969,Sheet1!$B$3:$D$36,2,FALSE)</f>
        <v>Kitchen &amp; Dining</v>
      </c>
      <c r="AI969" s="89" t="s">
        <v>2077</v>
      </c>
      <c r="AJ969" s="1" t="str">
        <f t="shared" si="496"/>
        <v>Krasak round plate</v>
      </c>
      <c r="AK969" s="1" t="str">
        <f t="shared" si="497"/>
        <v>ø25 x h2</v>
      </c>
      <c r="AL969" s="1" t="str">
        <f t="shared" si="498"/>
        <v>lavastone outdoor</v>
      </c>
      <c r="AM969" s="1" t="str">
        <f t="shared" si="499"/>
        <v>lavastone outdoor</v>
      </c>
      <c r="AN969" s="1" t="str">
        <f t="shared" si="505"/>
        <v xml:space="preserve">lavastone </v>
      </c>
      <c r="AO969" s="1" t="s">
        <v>59</v>
      </c>
      <c r="AQ969" s="1" t="str">
        <f t="shared" si="500"/>
        <v>C</v>
      </c>
      <c r="AR969" s="1" t="str">
        <f>VLOOKUP(TRIM(AI969),Sheet1!$D$3:$E$36,2,FALSE)</f>
        <v>01</v>
      </c>
      <c r="AS969" s="90" t="str">
        <f t="shared" si="501"/>
        <v>01</v>
      </c>
      <c r="AT969" s="1" t="str">
        <f t="shared" si="502"/>
        <v>01</v>
      </c>
      <c r="AU969" s="90" t="s">
        <v>823</v>
      </c>
      <c r="AV969" s="90"/>
      <c r="AW969" s="90"/>
      <c r="AX969" s="95" t="str">
        <f>AQ969&amp;AR969&amp;AS969&amp;"-"&amp;AT969&amp;AU969&amp;BA969</f>
        <v>C0101-0108OUT</v>
      </c>
      <c r="AY969" s="99" t="str">
        <f>AQ969&amp;AR969&amp;AS969&amp;"-"&amp;AT969&amp;BA969</f>
        <v>C0101-01OUT</v>
      </c>
      <c r="AZ969" s="90"/>
      <c r="BA969" s="1" t="str">
        <f t="shared" si="503"/>
        <v>OUT</v>
      </c>
      <c r="BC969" s="1">
        <f t="shared" si="486"/>
        <v>1</v>
      </c>
      <c r="BD969" s="90">
        <f t="shared" si="487"/>
        <v>1</v>
      </c>
      <c r="BE969" s="1">
        <f t="shared" si="472"/>
        <v>1</v>
      </c>
      <c r="BF969" s="1">
        <f t="shared" si="473"/>
        <v>1</v>
      </c>
    </row>
    <row r="970" spans="1:58" ht="11.25" customHeight="1">
      <c r="A970" s="26" t="s">
        <v>4536</v>
      </c>
      <c r="B970" s="27" t="s">
        <v>2914</v>
      </c>
      <c r="C970" s="28">
        <v>24.99</v>
      </c>
      <c r="D970" s="28">
        <f t="shared" si="494"/>
        <v>12.494999999999999</v>
      </c>
      <c r="E970" s="22" t="s">
        <v>4467</v>
      </c>
      <c r="F970" s="22" t="s">
        <v>4537</v>
      </c>
      <c r="G970" s="22" t="s">
        <v>442</v>
      </c>
      <c r="H970" s="22" t="s">
        <v>4538</v>
      </c>
      <c r="I970" s="23" t="s">
        <v>2866</v>
      </c>
      <c r="J970" s="22" t="s">
        <v>670</v>
      </c>
      <c r="L970" s="23">
        <v>30</v>
      </c>
      <c r="M970" s="23">
        <v>2</v>
      </c>
      <c r="N970" s="3">
        <f t="shared" si="488"/>
        <v>1.8E-3</v>
      </c>
      <c r="O970" s="4" t="e">
        <f>(C970-(C970*#REF!))-((C970-(C970*#REF!))*#REF!)</f>
        <v>#REF!</v>
      </c>
      <c r="P970" s="7">
        <f>38934.5374358209-Q970</f>
        <v>434.53743582090101</v>
      </c>
      <c r="Q970" s="7">
        <v>38500</v>
      </c>
      <c r="R970" s="5">
        <f t="shared" si="489"/>
        <v>38934.537435820901</v>
      </c>
      <c r="S970" s="4">
        <f t="shared" si="490"/>
        <v>2.5956358290547268</v>
      </c>
      <c r="T970" s="13">
        <f t="shared" si="495"/>
        <v>17.492999999999999</v>
      </c>
      <c r="U970" s="13">
        <f t="shared" si="504"/>
        <v>8.7464999999999993</v>
      </c>
      <c r="V970" s="14">
        <f>U970/C970</f>
        <v>0.35</v>
      </c>
      <c r="W970" s="14"/>
      <c r="X970" s="19">
        <f t="shared" si="491"/>
        <v>8.7464999999999993</v>
      </c>
      <c r="Y970" s="19">
        <f t="shared" si="492"/>
        <v>17.492999999999999</v>
      </c>
      <c r="Z970" s="15">
        <f t="shared" si="480"/>
        <v>3.369694585848463</v>
      </c>
      <c r="AA970" s="22" t="s">
        <v>4539</v>
      </c>
      <c r="AG970" s="94" t="s">
        <v>817</v>
      </c>
      <c r="AH970" s="89" t="str">
        <f>VLOOKUP(AG970,Sheet1!$B$3:$D$36,2,FALSE)</f>
        <v>Kitchen &amp; Dining</v>
      </c>
      <c r="AI970" s="89" t="s">
        <v>2077</v>
      </c>
      <c r="AJ970" s="1" t="str">
        <f t="shared" si="496"/>
        <v>Krasak round plate</v>
      </c>
      <c r="AK970" s="1" t="str">
        <f t="shared" si="497"/>
        <v>ø30 x h2</v>
      </c>
      <c r="AL970" s="1" t="str">
        <f t="shared" si="498"/>
        <v>lavastone outdoor</v>
      </c>
      <c r="AM970" s="1" t="str">
        <f t="shared" si="499"/>
        <v>lavastone outdoor</v>
      </c>
      <c r="AN970" s="1" t="str">
        <f t="shared" si="505"/>
        <v xml:space="preserve">lavastone </v>
      </c>
      <c r="AO970" s="1" t="s">
        <v>59</v>
      </c>
      <c r="AQ970" s="1" t="str">
        <f t="shared" si="500"/>
        <v>C</v>
      </c>
      <c r="AR970" s="1" t="str">
        <f>VLOOKUP(TRIM(AI970),Sheet1!$D$3:$E$36,2,FALSE)</f>
        <v>01</v>
      </c>
      <c r="AS970" s="90" t="str">
        <f t="shared" si="501"/>
        <v>02</v>
      </c>
      <c r="AT970" s="1" t="str">
        <f t="shared" si="502"/>
        <v>01</v>
      </c>
      <c r="AU970" s="90" t="s">
        <v>823</v>
      </c>
      <c r="AV970" s="90"/>
      <c r="AW970" s="90"/>
      <c r="AX970" s="95" t="str">
        <f>AQ970&amp;AR970&amp;AS970&amp;"-"&amp;AT970&amp;AU970&amp;BA970</f>
        <v>C0102-0108OUT</v>
      </c>
      <c r="AY970" s="99" t="str">
        <f>AQ970&amp;AR970&amp;AS970&amp;"-"&amp;AT970&amp;BA970</f>
        <v>C0102-01OUT</v>
      </c>
      <c r="AZ970" s="90"/>
      <c r="BA970" s="1" t="str">
        <f t="shared" si="503"/>
        <v>OUT</v>
      </c>
      <c r="BC970" s="1" t="str">
        <f t="shared" si="486"/>
        <v/>
      </c>
      <c r="BD970" s="90">
        <f t="shared" si="487"/>
        <v>2</v>
      </c>
      <c r="BE970" s="1">
        <f t="shared" si="472"/>
        <v>1</v>
      </c>
      <c r="BF970" s="1">
        <f t="shared" si="473"/>
        <v>1</v>
      </c>
    </row>
    <row r="971" spans="1:58" ht="11.25" customHeight="1">
      <c r="A971" s="26" t="s">
        <v>4540</v>
      </c>
      <c r="B971" s="27" t="s">
        <v>2914</v>
      </c>
      <c r="C971" s="28">
        <v>25.99</v>
      </c>
      <c r="D971" s="28">
        <f t="shared" si="494"/>
        <v>12.994999999999999</v>
      </c>
      <c r="E971" s="22" t="s">
        <v>4467</v>
      </c>
      <c r="F971" s="22" t="s">
        <v>4541</v>
      </c>
      <c r="G971" s="22" t="s">
        <v>442</v>
      </c>
      <c r="H971" s="22" t="s">
        <v>4542</v>
      </c>
      <c r="I971" s="23" t="s">
        <v>2866</v>
      </c>
      <c r="J971" s="22" t="s">
        <v>670</v>
      </c>
      <c r="L971" s="23">
        <v>32</v>
      </c>
      <c r="M971" s="23">
        <v>2</v>
      </c>
      <c r="N971" s="3">
        <f t="shared" si="488"/>
        <v>2.0479999999999999E-3</v>
      </c>
      <c r="O971" s="4" t="e">
        <f>(C971-(C971*#REF!))-((C971-(C971*#REF!))*#REF!)</f>
        <v>#REF!</v>
      </c>
      <c r="P971" s="7">
        <f>41744.4070380896-Q971</f>
        <v>494.40703808960097</v>
      </c>
      <c r="Q971" s="7">
        <v>41250</v>
      </c>
      <c r="R971" s="5">
        <f t="shared" si="489"/>
        <v>41744.407038089601</v>
      </c>
      <c r="S971" s="4">
        <f t="shared" si="490"/>
        <v>2.7829604692059733</v>
      </c>
      <c r="T971" s="13">
        <f t="shared" si="495"/>
        <v>18.192999999999998</v>
      </c>
      <c r="U971" s="13">
        <f t="shared" si="504"/>
        <v>9.0964999999999989</v>
      </c>
      <c r="V971" s="14">
        <f>U971/C971</f>
        <v>0.35</v>
      </c>
      <c r="W971" s="14"/>
      <c r="X971" s="19">
        <f t="shared" si="491"/>
        <v>9.0964999999999989</v>
      </c>
      <c r="Y971" s="19">
        <f t="shared" si="492"/>
        <v>18.192999999999998</v>
      </c>
      <c r="Z971" s="15">
        <f t="shared" si="480"/>
        <v>3.2686414703531121</v>
      </c>
      <c r="AA971" s="22" t="s">
        <v>4543</v>
      </c>
      <c r="AG971" s="94" t="s">
        <v>817</v>
      </c>
      <c r="AH971" s="89" t="str">
        <f>VLOOKUP(AG971,Sheet1!$B$3:$D$36,2,FALSE)</f>
        <v>Kitchen &amp; Dining</v>
      </c>
      <c r="AI971" s="89" t="s">
        <v>2077</v>
      </c>
      <c r="AJ971" s="1" t="str">
        <f t="shared" si="496"/>
        <v>Krasak round plate</v>
      </c>
      <c r="AK971" s="1" t="str">
        <f t="shared" si="497"/>
        <v>ø32 x h2</v>
      </c>
      <c r="AL971" s="1" t="str">
        <f t="shared" si="498"/>
        <v>lavastone outdoor</v>
      </c>
      <c r="AM971" s="1" t="str">
        <f t="shared" si="499"/>
        <v>lavastone outdoor</v>
      </c>
      <c r="AN971" s="1" t="str">
        <f t="shared" si="505"/>
        <v xml:space="preserve">lavastone </v>
      </c>
      <c r="AO971" s="1" t="s">
        <v>59</v>
      </c>
      <c r="AQ971" s="1" t="str">
        <f t="shared" si="500"/>
        <v>C</v>
      </c>
      <c r="AR971" s="1" t="str">
        <f>VLOOKUP(TRIM(AI971),Sheet1!$D$3:$E$36,2,FALSE)</f>
        <v>01</v>
      </c>
      <c r="AS971" s="90" t="str">
        <f t="shared" si="501"/>
        <v>03</v>
      </c>
      <c r="AT971" s="1" t="str">
        <f t="shared" si="502"/>
        <v>01</v>
      </c>
      <c r="AU971" s="90" t="s">
        <v>823</v>
      </c>
      <c r="AV971" s="90"/>
      <c r="AW971" s="90"/>
      <c r="AX971" s="95" t="str">
        <f>AQ971&amp;AR971&amp;AS971&amp;"-"&amp;AT971&amp;AU971&amp;BA971</f>
        <v>C0103-0108OUT</v>
      </c>
      <c r="AY971" s="99" t="str">
        <f>AQ971&amp;AR971&amp;AS971&amp;"-"&amp;AT971&amp;BA971</f>
        <v>C0103-01OUT</v>
      </c>
      <c r="AZ971" s="90"/>
      <c r="BA971" s="1" t="str">
        <f t="shared" si="503"/>
        <v>OUT</v>
      </c>
      <c r="BC971" s="1" t="str">
        <f t="shared" si="486"/>
        <v/>
      </c>
      <c r="BD971" s="90">
        <f t="shared" si="487"/>
        <v>3</v>
      </c>
      <c r="BE971" s="1">
        <f t="shared" si="472"/>
        <v>1</v>
      </c>
      <c r="BF971" s="1">
        <f t="shared" si="473"/>
        <v>1</v>
      </c>
    </row>
    <row r="972" spans="1:58" ht="11.25" customHeight="1">
      <c r="A972" s="26" t="s">
        <v>2071</v>
      </c>
      <c r="B972" s="27" t="s">
        <v>2072</v>
      </c>
      <c r="C972" s="28">
        <v>11.99</v>
      </c>
      <c r="D972" s="28">
        <f t="shared" si="494"/>
        <v>5.9950000000000001</v>
      </c>
      <c r="E972" s="22" t="s">
        <v>4467</v>
      </c>
      <c r="F972" s="22" t="s">
        <v>4544</v>
      </c>
      <c r="G972" s="22" t="s">
        <v>279</v>
      </c>
      <c r="H972" s="22" t="s">
        <v>2075</v>
      </c>
      <c r="I972" s="23" t="s">
        <v>2973</v>
      </c>
      <c r="J972" s="22" t="s">
        <v>646</v>
      </c>
      <c r="K972" s="23">
        <v>12</v>
      </c>
      <c r="L972" s="23">
        <v>12</v>
      </c>
      <c r="M972" s="23">
        <v>6</v>
      </c>
      <c r="N972" s="3">
        <f t="shared" si="488"/>
        <v>8.6399999999999997E-4</v>
      </c>
      <c r="O972" s="4" t="e">
        <f>(C972-(C972*#REF!))-((C972-(C972*#REF!))*#REF!)</f>
        <v>#REF!</v>
      </c>
      <c r="P972" s="7"/>
      <c r="Q972" s="7"/>
      <c r="R972" s="5">
        <f t="shared" si="489"/>
        <v>0</v>
      </c>
      <c r="S972" s="4">
        <f t="shared" si="490"/>
        <v>0</v>
      </c>
      <c r="T972" s="13">
        <f t="shared" si="495"/>
        <v>8.3930000000000007</v>
      </c>
      <c r="U972" s="13">
        <f t="shared" si="504"/>
        <v>4.1965000000000003</v>
      </c>
      <c r="V972" s="14">
        <f>U972/C972</f>
        <v>0.35000000000000003</v>
      </c>
      <c r="W972" s="14"/>
      <c r="X972" s="19">
        <f t="shared" si="491"/>
        <v>4.1965000000000003</v>
      </c>
      <c r="Y972" s="19">
        <f t="shared" si="492"/>
        <v>8.3930000000000007</v>
      </c>
      <c r="Z972" s="15" t="e">
        <f t="shared" si="480"/>
        <v>#DIV/0!</v>
      </c>
      <c r="AA972" s="22" t="s">
        <v>4545</v>
      </c>
      <c r="AG972" s="94" t="s">
        <v>817</v>
      </c>
      <c r="AH972" s="89" t="str">
        <f>VLOOKUP(AG972,Sheet1!$B$3:$D$36,2,FALSE)</f>
        <v>Kitchen &amp; Dining</v>
      </c>
      <c r="AI972" s="89" t="s">
        <v>2077</v>
      </c>
      <c r="AJ972" s="1" t="str">
        <f t="shared" si="496"/>
        <v>Gamora square</v>
      </c>
      <c r="AK972" s="1" t="str">
        <f t="shared" si="497"/>
        <v>w12 x d12 x h6</v>
      </c>
      <c r="AL972" s="1" t="str">
        <f t="shared" si="498"/>
        <v>teak root outdoor</v>
      </c>
      <c r="AM972" s="1" t="str">
        <f t="shared" si="499"/>
        <v>teak root outdoor</v>
      </c>
      <c r="AN972" s="1" t="str">
        <f t="shared" si="505"/>
        <v xml:space="preserve">teak root </v>
      </c>
      <c r="AO972" s="1" t="s">
        <v>59</v>
      </c>
      <c r="AQ972" s="1" t="str">
        <f t="shared" si="500"/>
        <v>C</v>
      </c>
      <c r="AR972" s="1" t="str">
        <f>VLOOKUP(TRIM(AI972),Sheet1!$D$3:$E$36,2,FALSE)</f>
        <v>01</v>
      </c>
      <c r="AS972" s="90" t="str">
        <f t="shared" si="501"/>
        <v>01</v>
      </c>
      <c r="AT972" s="1" t="str">
        <f t="shared" si="502"/>
        <v>01</v>
      </c>
      <c r="AU972" s="90" t="s">
        <v>648</v>
      </c>
      <c r="AV972" s="90"/>
      <c r="AW972" s="90"/>
      <c r="AX972" s="95" t="str">
        <f>AQ972&amp;AR972&amp;AS972&amp;"-"&amp;AT972&amp;AU972&amp;BA972</f>
        <v>C0101-0132OUT</v>
      </c>
      <c r="AY972" s="99" t="str">
        <f>AQ972&amp;AR972&amp;AS972&amp;"-"&amp;AT972&amp;BA972</f>
        <v>C0101-01OUT</v>
      </c>
      <c r="AZ972" s="90"/>
      <c r="BA972" s="1" t="str">
        <f t="shared" si="503"/>
        <v>OUT</v>
      </c>
      <c r="BC972" s="1">
        <f t="shared" si="486"/>
        <v>1</v>
      </c>
      <c r="BD972" s="90">
        <f t="shared" si="487"/>
        <v>1</v>
      </c>
      <c r="BE972" s="1">
        <f t="shared" si="472"/>
        <v>1</v>
      </c>
      <c r="BF972" s="1">
        <f t="shared" si="473"/>
        <v>1</v>
      </c>
    </row>
    <row r="973" spans="1:58" ht="11.25" customHeight="1">
      <c r="A973" s="26" t="s">
        <v>2078</v>
      </c>
      <c r="B973" s="27" t="s">
        <v>2072</v>
      </c>
      <c r="C973" s="28">
        <v>17.989999999999998</v>
      </c>
      <c r="D973" s="28">
        <f t="shared" si="494"/>
        <v>8.9949999999999992</v>
      </c>
      <c r="E973" s="22" t="s">
        <v>4467</v>
      </c>
      <c r="F973" s="22" t="s">
        <v>4546</v>
      </c>
      <c r="G973" s="22" t="s">
        <v>279</v>
      </c>
      <c r="H973" s="22" t="s">
        <v>2081</v>
      </c>
      <c r="I973" s="23" t="s">
        <v>2973</v>
      </c>
      <c r="J973" s="22" t="s">
        <v>646</v>
      </c>
      <c r="K973" s="23">
        <v>18</v>
      </c>
      <c r="L973" s="23">
        <v>18</v>
      </c>
      <c r="M973" s="23">
        <v>6</v>
      </c>
      <c r="N973" s="3">
        <f t="shared" si="488"/>
        <v>1.944E-3</v>
      </c>
      <c r="O973" s="4" t="e">
        <f>(C973-(C973*#REF!))-((C973-(C973*#REF!))*#REF!)</f>
        <v>#REF!</v>
      </c>
      <c r="P973" s="7"/>
      <c r="Q973" s="7"/>
      <c r="R973" s="5">
        <f t="shared" si="489"/>
        <v>0</v>
      </c>
      <c r="S973" s="4">
        <f t="shared" si="490"/>
        <v>0</v>
      </c>
      <c r="T973" s="13">
        <f t="shared" si="495"/>
        <v>12.593</v>
      </c>
      <c r="U973" s="13">
        <f t="shared" si="504"/>
        <v>6.2965</v>
      </c>
      <c r="V973" s="14">
        <f>U973/C973</f>
        <v>0.35000000000000003</v>
      </c>
      <c r="W973" s="14"/>
      <c r="X973" s="19">
        <f t="shared" si="491"/>
        <v>6.2965</v>
      </c>
      <c r="Y973" s="19">
        <f t="shared" si="492"/>
        <v>12.593</v>
      </c>
      <c r="Z973" s="15" t="e">
        <f t="shared" si="480"/>
        <v>#DIV/0!</v>
      </c>
      <c r="AA973" s="22" t="s">
        <v>4547</v>
      </c>
      <c r="AG973" s="94" t="s">
        <v>817</v>
      </c>
      <c r="AH973" s="89" t="str">
        <f>VLOOKUP(AG973,Sheet1!$B$3:$D$36,2,FALSE)</f>
        <v>Kitchen &amp; Dining</v>
      </c>
      <c r="AI973" s="89" t="s">
        <v>2077</v>
      </c>
      <c r="AJ973" s="1" t="str">
        <f t="shared" si="496"/>
        <v>Gamora square</v>
      </c>
      <c r="AK973" s="1" t="str">
        <f t="shared" si="497"/>
        <v>w18 x d18 x h6</v>
      </c>
      <c r="AL973" s="1" t="str">
        <f t="shared" si="498"/>
        <v>teak root outdoor</v>
      </c>
      <c r="AM973" s="1" t="str">
        <f t="shared" si="499"/>
        <v>teak root outdoor</v>
      </c>
      <c r="AN973" s="1" t="str">
        <f t="shared" si="505"/>
        <v xml:space="preserve">teak root </v>
      </c>
      <c r="AO973" s="1" t="s">
        <v>59</v>
      </c>
      <c r="AQ973" s="1" t="str">
        <f t="shared" si="500"/>
        <v>C</v>
      </c>
      <c r="AR973" s="1" t="str">
        <f>VLOOKUP(TRIM(AI973),Sheet1!$D$3:$E$36,2,FALSE)</f>
        <v>01</v>
      </c>
      <c r="AS973" s="90" t="str">
        <f t="shared" si="501"/>
        <v>02</v>
      </c>
      <c r="AT973" s="1" t="str">
        <f t="shared" si="502"/>
        <v>01</v>
      </c>
      <c r="AU973" s="90" t="s">
        <v>648</v>
      </c>
      <c r="AV973" s="90"/>
      <c r="AW973" s="90"/>
      <c r="AX973" s="95" t="str">
        <f>AQ973&amp;AR973&amp;AS973&amp;"-"&amp;AT973&amp;AU973&amp;BA973</f>
        <v>C0102-0132OUT</v>
      </c>
      <c r="AY973" s="99" t="str">
        <f>AQ973&amp;AR973&amp;AS973&amp;"-"&amp;AT973&amp;BA973</f>
        <v>C0102-01OUT</v>
      </c>
      <c r="AZ973" s="90"/>
      <c r="BA973" s="1" t="str">
        <f t="shared" si="503"/>
        <v>OUT</v>
      </c>
      <c r="BC973" s="1" t="str">
        <f t="shared" si="486"/>
        <v/>
      </c>
      <c r="BD973" s="90">
        <f t="shared" si="487"/>
        <v>2</v>
      </c>
      <c r="BE973" s="1">
        <f t="shared" ref="BE973:BE1036" si="506">IF(AK972&lt;&gt;AK973,1,"")</f>
        <v>1</v>
      </c>
      <c r="BF973" s="1">
        <f t="shared" ref="BF973:BF1036" si="507">IF(BE973=1,1,BF972+1)</f>
        <v>1</v>
      </c>
    </row>
    <row r="974" spans="1:58" ht="11.25" customHeight="1">
      <c r="A974" s="26" t="s">
        <v>2083</v>
      </c>
      <c r="B974" s="27" t="s">
        <v>2072</v>
      </c>
      <c r="C974" s="28">
        <v>44.99</v>
      </c>
      <c r="D974" s="28">
        <f t="shared" si="494"/>
        <v>22.495000000000001</v>
      </c>
      <c r="E974" s="22" t="s">
        <v>4467</v>
      </c>
      <c r="F974" s="22" t="s">
        <v>4548</v>
      </c>
      <c r="G974" s="22" t="s">
        <v>279</v>
      </c>
      <c r="H974" s="22" t="s">
        <v>2086</v>
      </c>
      <c r="I974" s="23" t="s">
        <v>2973</v>
      </c>
      <c r="J974" s="22" t="s">
        <v>646</v>
      </c>
      <c r="K974" s="23">
        <v>28</v>
      </c>
      <c r="L974" s="23">
        <v>28</v>
      </c>
      <c r="M974" s="23">
        <v>6</v>
      </c>
      <c r="N974" s="3">
        <f t="shared" si="488"/>
        <v>4.7039999999999998E-3</v>
      </c>
      <c r="O974" s="4" t="e">
        <f>(C974-(C974*#REF!))-((C974-(C974*#REF!))*#REF!)</f>
        <v>#REF!</v>
      </c>
      <c r="P974" s="7"/>
      <c r="Q974" s="7"/>
      <c r="R974" s="5">
        <f t="shared" si="489"/>
        <v>0</v>
      </c>
      <c r="S974" s="4">
        <f t="shared" si="490"/>
        <v>0</v>
      </c>
      <c r="T974" s="13">
        <f t="shared" si="495"/>
        <v>31.493000000000002</v>
      </c>
      <c r="U974" s="13">
        <f t="shared" si="504"/>
        <v>15.746500000000001</v>
      </c>
      <c r="V974" s="14">
        <f>U974/C974</f>
        <v>0.35000000000000003</v>
      </c>
      <c r="W974" s="14"/>
      <c r="X974" s="19">
        <f t="shared" si="491"/>
        <v>15.746500000000001</v>
      </c>
      <c r="Y974" s="19">
        <f t="shared" si="492"/>
        <v>31.493000000000002</v>
      </c>
      <c r="Z974" s="15" t="e">
        <f t="shared" si="480"/>
        <v>#DIV/0!</v>
      </c>
      <c r="AA974" s="22" t="s">
        <v>4549</v>
      </c>
      <c r="AG974" s="94" t="s">
        <v>817</v>
      </c>
      <c r="AH974" s="89" t="str">
        <f>VLOOKUP(AG974,Sheet1!$B$3:$D$36,2,FALSE)</f>
        <v>Kitchen &amp; Dining</v>
      </c>
      <c r="AI974" s="89" t="s">
        <v>2077</v>
      </c>
      <c r="AJ974" s="1" t="str">
        <f t="shared" si="496"/>
        <v>Gamora square</v>
      </c>
      <c r="AK974" s="1" t="str">
        <f t="shared" si="497"/>
        <v>w28 x d28 x h6</v>
      </c>
      <c r="AL974" s="1" t="str">
        <f t="shared" si="498"/>
        <v>teak root outdoor</v>
      </c>
      <c r="AM974" s="1" t="str">
        <f t="shared" si="499"/>
        <v>teak root outdoor</v>
      </c>
      <c r="AN974" s="1" t="str">
        <f t="shared" si="505"/>
        <v xml:space="preserve">teak root </v>
      </c>
      <c r="AO974" s="1" t="s">
        <v>59</v>
      </c>
      <c r="AQ974" s="1" t="str">
        <f t="shared" si="500"/>
        <v>C</v>
      </c>
      <c r="AR974" s="1" t="str">
        <f>VLOOKUP(TRIM(AI974),Sheet1!$D$3:$E$36,2,FALSE)</f>
        <v>01</v>
      </c>
      <c r="AS974" s="90" t="str">
        <f t="shared" si="501"/>
        <v>03</v>
      </c>
      <c r="AT974" s="1" t="str">
        <f t="shared" si="502"/>
        <v>01</v>
      </c>
      <c r="AU974" s="90" t="s">
        <v>648</v>
      </c>
      <c r="AV974" s="90"/>
      <c r="AW974" s="90"/>
      <c r="AX974" s="95" t="str">
        <f>AQ974&amp;AR974&amp;AS974&amp;"-"&amp;AT974&amp;AU974&amp;BA974</f>
        <v>C0103-0132OUT</v>
      </c>
      <c r="AY974" s="99" t="str">
        <f>AQ974&amp;AR974&amp;AS974&amp;"-"&amp;AT974&amp;BA974</f>
        <v>C0103-01OUT</v>
      </c>
      <c r="AZ974" s="90"/>
      <c r="BA974" s="1" t="str">
        <f t="shared" si="503"/>
        <v>OUT</v>
      </c>
      <c r="BC974" s="1" t="str">
        <f t="shared" si="486"/>
        <v/>
      </c>
      <c r="BD974" s="90">
        <f t="shared" si="487"/>
        <v>3</v>
      </c>
      <c r="BE974" s="1">
        <f t="shared" si="506"/>
        <v>1</v>
      </c>
      <c r="BF974" s="1">
        <f t="shared" si="507"/>
        <v>1</v>
      </c>
    </row>
    <row r="975" spans="1:58" ht="11.25" customHeight="1">
      <c r="A975" s="26" t="s">
        <v>2088</v>
      </c>
      <c r="B975" s="27" t="s">
        <v>2089</v>
      </c>
      <c r="C975" s="28">
        <v>29.99</v>
      </c>
      <c r="D975" s="28">
        <f t="shared" si="494"/>
        <v>14.994999999999999</v>
      </c>
      <c r="E975" s="22" t="s">
        <v>4467</v>
      </c>
      <c r="F975" s="22" t="s">
        <v>4550</v>
      </c>
      <c r="G975" s="22" t="s">
        <v>271</v>
      </c>
      <c r="H975" s="22" t="s">
        <v>2092</v>
      </c>
      <c r="I975" s="23" t="s">
        <v>2973</v>
      </c>
      <c r="J975" s="22" t="s">
        <v>646</v>
      </c>
      <c r="K975" s="23">
        <v>24</v>
      </c>
      <c r="L975" s="23">
        <v>16</v>
      </c>
      <c r="M975" s="23">
        <v>6</v>
      </c>
      <c r="N975" s="3">
        <f t="shared" si="488"/>
        <v>2.3040000000000001E-3</v>
      </c>
      <c r="O975" s="4" t="e">
        <f>(C975-(C975*#REF!))-((C975-(C975*#REF!))*#REF!)</f>
        <v>#REF!</v>
      </c>
      <c r="P975" s="7"/>
      <c r="Q975" s="7"/>
      <c r="R975" s="5">
        <f t="shared" si="489"/>
        <v>0</v>
      </c>
      <c r="S975" s="4">
        <f t="shared" si="490"/>
        <v>0</v>
      </c>
      <c r="T975" s="13">
        <f t="shared" si="495"/>
        <v>20.992999999999999</v>
      </c>
      <c r="U975" s="13">
        <f t="shared" si="504"/>
        <v>10.496499999999999</v>
      </c>
      <c r="V975" s="14">
        <f>U975/C975</f>
        <v>0.35</v>
      </c>
      <c r="W975" s="14"/>
      <c r="X975" s="19">
        <f t="shared" si="491"/>
        <v>10.496499999999999</v>
      </c>
      <c r="Y975" s="19">
        <f t="shared" si="492"/>
        <v>20.992999999999999</v>
      </c>
      <c r="Z975" s="15" t="e">
        <f t="shared" si="480"/>
        <v>#DIV/0!</v>
      </c>
      <c r="AA975" s="22" t="s">
        <v>4551</v>
      </c>
      <c r="AG975" s="94" t="s">
        <v>817</v>
      </c>
      <c r="AH975" s="89" t="str">
        <f>VLOOKUP(AG975,Sheet1!$B$3:$D$36,2,FALSE)</f>
        <v>Kitchen &amp; Dining</v>
      </c>
      <c r="AI975" s="89" t="s">
        <v>2077</v>
      </c>
      <c r="AJ975" s="1" t="str">
        <f t="shared" si="496"/>
        <v>Gamora rectangular</v>
      </c>
      <c r="AK975" s="1" t="str">
        <f t="shared" si="497"/>
        <v>w24 x d16 x h6</v>
      </c>
      <c r="AL975" s="1" t="str">
        <f t="shared" si="498"/>
        <v>teak root outdoor</v>
      </c>
      <c r="AM975" s="1" t="str">
        <f t="shared" si="499"/>
        <v>teak root outdoor</v>
      </c>
      <c r="AN975" s="1" t="str">
        <f t="shared" si="505"/>
        <v xml:space="preserve">teak root </v>
      </c>
      <c r="AO975" s="1" t="s">
        <v>59</v>
      </c>
      <c r="AQ975" s="1" t="str">
        <f t="shared" si="500"/>
        <v>C</v>
      </c>
      <c r="AR975" s="1" t="str">
        <f>VLOOKUP(TRIM(AI975),Sheet1!$D$3:$E$36,2,FALSE)</f>
        <v>01</v>
      </c>
      <c r="AS975" s="90" t="str">
        <f t="shared" si="501"/>
        <v>01</v>
      </c>
      <c r="AT975" s="1" t="str">
        <f t="shared" si="502"/>
        <v>01</v>
      </c>
      <c r="AU975" s="90" t="s">
        <v>648</v>
      </c>
      <c r="AV975" s="90"/>
      <c r="AW975" s="90"/>
      <c r="AX975" s="95" t="str">
        <f>AQ975&amp;AR975&amp;AS975&amp;"-"&amp;AT975&amp;AU975&amp;BA975</f>
        <v>C0101-0132OUT</v>
      </c>
      <c r="AY975" s="99" t="str">
        <f>AQ975&amp;AR975&amp;AS975&amp;"-"&amp;AT975&amp;BA975</f>
        <v>C0101-01OUT</v>
      </c>
      <c r="AZ975" s="90"/>
      <c r="BA975" s="1" t="str">
        <f t="shared" si="503"/>
        <v>OUT</v>
      </c>
      <c r="BC975" s="1">
        <f t="shared" si="486"/>
        <v>1</v>
      </c>
      <c r="BD975" s="90">
        <f t="shared" si="487"/>
        <v>1</v>
      </c>
      <c r="BE975" s="1">
        <f t="shared" si="506"/>
        <v>1</v>
      </c>
      <c r="BF975" s="1">
        <f t="shared" si="507"/>
        <v>1</v>
      </c>
    </row>
    <row r="976" spans="1:58" ht="11.25" customHeight="1">
      <c r="A976" s="26" t="s">
        <v>2094</v>
      </c>
      <c r="B976" s="27" t="s">
        <v>2089</v>
      </c>
      <c r="C976" s="28">
        <v>58.99</v>
      </c>
      <c r="D976" s="28">
        <f t="shared" si="494"/>
        <v>29.495000000000001</v>
      </c>
      <c r="E976" s="22" t="s">
        <v>4467</v>
      </c>
      <c r="F976" s="22" t="s">
        <v>4552</v>
      </c>
      <c r="G976" s="22" t="s">
        <v>271</v>
      </c>
      <c r="H976" s="22" t="s">
        <v>2097</v>
      </c>
      <c r="I976" s="23" t="s">
        <v>2973</v>
      </c>
      <c r="J976" s="22" t="s">
        <v>646</v>
      </c>
      <c r="K976" s="23">
        <v>40</v>
      </c>
      <c r="L976" s="23">
        <v>30</v>
      </c>
      <c r="M976" s="23">
        <v>6</v>
      </c>
      <c r="N976" s="3">
        <f t="shared" si="488"/>
        <v>7.1999999999999998E-3</v>
      </c>
      <c r="O976" s="4" t="e">
        <f>(C976-(C976*#REF!))-((C976-(C976*#REF!))*#REF!)</f>
        <v>#REF!</v>
      </c>
      <c r="P976" s="7"/>
      <c r="Q976" s="7"/>
      <c r="R976" s="5">
        <f t="shared" si="489"/>
        <v>0</v>
      </c>
      <c r="S976" s="4">
        <f t="shared" si="490"/>
        <v>0</v>
      </c>
      <c r="T976" s="13">
        <f t="shared" si="495"/>
        <v>41.293000000000006</v>
      </c>
      <c r="U976" s="13">
        <f t="shared" si="504"/>
        <v>20.646500000000003</v>
      </c>
      <c r="V976" s="14">
        <f>U976/C976</f>
        <v>0.35000000000000003</v>
      </c>
      <c r="W976" s="14"/>
      <c r="X976" s="19">
        <f t="shared" si="491"/>
        <v>20.646500000000003</v>
      </c>
      <c r="Y976" s="19">
        <f t="shared" si="492"/>
        <v>41.293000000000006</v>
      </c>
      <c r="Z976" s="15" t="e">
        <f t="shared" si="480"/>
        <v>#DIV/0!</v>
      </c>
      <c r="AA976" s="22" t="s">
        <v>4553</v>
      </c>
      <c r="AG976" s="94" t="s">
        <v>817</v>
      </c>
      <c r="AH976" s="89" t="str">
        <f>VLOOKUP(AG976,Sheet1!$B$3:$D$36,2,FALSE)</f>
        <v>Kitchen &amp; Dining</v>
      </c>
      <c r="AI976" s="89" t="s">
        <v>2077</v>
      </c>
      <c r="AJ976" s="1" t="str">
        <f t="shared" si="496"/>
        <v>Gamora rectangular</v>
      </c>
      <c r="AK976" s="1" t="str">
        <f t="shared" si="497"/>
        <v>w40 x d30 x h6</v>
      </c>
      <c r="AL976" s="1" t="str">
        <f t="shared" si="498"/>
        <v>teak root outdoor</v>
      </c>
      <c r="AM976" s="1" t="str">
        <f t="shared" si="499"/>
        <v>teak root outdoor</v>
      </c>
      <c r="AN976" s="1" t="str">
        <f t="shared" si="505"/>
        <v xml:space="preserve">teak root </v>
      </c>
      <c r="AO976" s="1" t="s">
        <v>59</v>
      </c>
      <c r="AQ976" s="1" t="str">
        <f t="shared" si="500"/>
        <v>C</v>
      </c>
      <c r="AR976" s="1" t="str">
        <f>VLOOKUP(TRIM(AI976),Sheet1!$D$3:$E$36,2,FALSE)</f>
        <v>01</v>
      </c>
      <c r="AS976" s="90" t="str">
        <f t="shared" si="501"/>
        <v>02</v>
      </c>
      <c r="AT976" s="1" t="str">
        <f t="shared" si="502"/>
        <v>01</v>
      </c>
      <c r="AU976" s="90" t="s">
        <v>648</v>
      </c>
      <c r="AV976" s="90"/>
      <c r="AW976" s="90"/>
      <c r="AX976" s="95" t="str">
        <f>AQ976&amp;AR976&amp;AS976&amp;"-"&amp;AT976&amp;AU976&amp;BA976</f>
        <v>C0102-0132OUT</v>
      </c>
      <c r="AY976" s="99" t="str">
        <f>AQ976&amp;AR976&amp;AS976&amp;"-"&amp;AT976&amp;BA976</f>
        <v>C0102-01OUT</v>
      </c>
      <c r="AZ976" s="90"/>
      <c r="BA976" s="1" t="str">
        <f t="shared" si="503"/>
        <v>OUT</v>
      </c>
      <c r="BC976" s="1" t="str">
        <f t="shared" si="486"/>
        <v/>
      </c>
      <c r="BD976" s="90">
        <f t="shared" si="487"/>
        <v>2</v>
      </c>
      <c r="BE976" s="1">
        <f t="shared" si="506"/>
        <v>1</v>
      </c>
      <c r="BF976" s="1">
        <f t="shared" si="507"/>
        <v>1</v>
      </c>
    </row>
    <row r="977" spans="1:58" ht="11.25" customHeight="1">
      <c r="A977" s="26" t="s">
        <v>2099</v>
      </c>
      <c r="B977" s="27" t="s">
        <v>2089</v>
      </c>
      <c r="C977" s="28">
        <v>76.989999999999995</v>
      </c>
      <c r="D977" s="28">
        <f t="shared" si="494"/>
        <v>38.494999999999997</v>
      </c>
      <c r="E977" s="22" t="s">
        <v>4467</v>
      </c>
      <c r="F977" s="22" t="s">
        <v>4554</v>
      </c>
      <c r="G977" s="22" t="s">
        <v>271</v>
      </c>
      <c r="H977" s="22" t="s">
        <v>2102</v>
      </c>
      <c r="I977" s="23" t="s">
        <v>2973</v>
      </c>
      <c r="J977" s="22" t="s">
        <v>646</v>
      </c>
      <c r="K977" s="23">
        <v>60</v>
      </c>
      <c r="L977" s="23">
        <v>22</v>
      </c>
      <c r="M977" s="23">
        <v>6</v>
      </c>
      <c r="N977" s="3">
        <f t="shared" si="488"/>
        <v>7.92E-3</v>
      </c>
      <c r="O977" s="4" t="e">
        <f>(C977-(C977*#REF!))-((C977-(C977*#REF!))*#REF!)</f>
        <v>#REF!</v>
      </c>
      <c r="P977" s="7"/>
      <c r="Q977" s="7"/>
      <c r="R977" s="5">
        <f t="shared" si="489"/>
        <v>0</v>
      </c>
      <c r="S977" s="4">
        <f t="shared" si="490"/>
        <v>0</v>
      </c>
      <c r="T977" s="13">
        <f t="shared" si="495"/>
        <v>53.893000000000001</v>
      </c>
      <c r="U977" s="13">
        <f t="shared" si="504"/>
        <v>26.9465</v>
      </c>
      <c r="V977" s="14">
        <f>U977/C977</f>
        <v>0.35000000000000003</v>
      </c>
      <c r="W977" s="14"/>
      <c r="X977" s="19">
        <f t="shared" si="491"/>
        <v>26.9465</v>
      </c>
      <c r="Y977" s="19">
        <f t="shared" si="492"/>
        <v>53.893000000000001</v>
      </c>
      <c r="Z977" s="15" t="e">
        <f t="shared" si="480"/>
        <v>#DIV/0!</v>
      </c>
      <c r="AA977" s="22" t="s">
        <v>4551</v>
      </c>
      <c r="AG977" s="94" t="s">
        <v>817</v>
      </c>
      <c r="AH977" s="89" t="str">
        <f>VLOOKUP(AG977,Sheet1!$B$3:$D$36,2,FALSE)</f>
        <v>Kitchen &amp; Dining</v>
      </c>
      <c r="AI977" s="89" t="s">
        <v>2077</v>
      </c>
      <c r="AJ977" s="1" t="str">
        <f t="shared" si="496"/>
        <v>Gamora rectangular</v>
      </c>
      <c r="AK977" s="1" t="str">
        <f t="shared" si="497"/>
        <v>w60 x d22 x h6</v>
      </c>
      <c r="AL977" s="1" t="str">
        <f t="shared" si="498"/>
        <v>teak root outdoor</v>
      </c>
      <c r="AM977" s="1" t="str">
        <f t="shared" si="499"/>
        <v>teak root outdoor</v>
      </c>
      <c r="AN977" s="1" t="str">
        <f t="shared" si="505"/>
        <v xml:space="preserve">teak root </v>
      </c>
      <c r="AO977" s="1" t="s">
        <v>59</v>
      </c>
      <c r="AQ977" s="1" t="str">
        <f t="shared" si="500"/>
        <v>C</v>
      </c>
      <c r="AR977" s="1" t="str">
        <f>VLOOKUP(TRIM(AI977),Sheet1!$D$3:$E$36,2,FALSE)</f>
        <v>01</v>
      </c>
      <c r="AS977" s="90" t="str">
        <f t="shared" si="501"/>
        <v>03</v>
      </c>
      <c r="AT977" s="1" t="str">
        <f t="shared" si="502"/>
        <v>01</v>
      </c>
      <c r="AU977" s="90" t="s">
        <v>648</v>
      </c>
      <c r="AV977" s="90"/>
      <c r="AW977" s="90"/>
      <c r="AX977" s="95" t="str">
        <f>AQ977&amp;AR977&amp;AS977&amp;"-"&amp;AT977&amp;AU977&amp;BA977</f>
        <v>C0103-0132OUT</v>
      </c>
      <c r="AY977" s="99" t="str">
        <f>AQ977&amp;AR977&amp;AS977&amp;"-"&amp;AT977&amp;BA977</f>
        <v>C0103-01OUT</v>
      </c>
      <c r="AZ977" s="90"/>
      <c r="BA977" s="1" t="str">
        <f t="shared" si="503"/>
        <v>OUT</v>
      </c>
      <c r="BC977" s="1" t="str">
        <f t="shared" si="486"/>
        <v/>
      </c>
      <c r="BD977" s="90">
        <f t="shared" si="487"/>
        <v>3</v>
      </c>
      <c r="BE977" s="1">
        <f t="shared" si="506"/>
        <v>1</v>
      </c>
      <c r="BF977" s="1">
        <f t="shared" si="507"/>
        <v>1</v>
      </c>
    </row>
    <row r="978" spans="1:58" ht="11.25" customHeight="1">
      <c r="A978" s="26" t="s">
        <v>2104</v>
      </c>
      <c r="B978" s="27" t="s">
        <v>2105</v>
      </c>
      <c r="C978" s="28">
        <v>17.989999999999998</v>
      </c>
      <c r="D978" s="28">
        <f t="shared" si="494"/>
        <v>8.9949999999999992</v>
      </c>
      <c r="E978" s="22" t="s">
        <v>4467</v>
      </c>
      <c r="F978" s="22" t="s">
        <v>4555</v>
      </c>
      <c r="G978" s="22" t="s">
        <v>275</v>
      </c>
      <c r="H978" s="22" t="s">
        <v>4556</v>
      </c>
      <c r="I978" s="23" t="s">
        <v>2973</v>
      </c>
      <c r="J978" s="22" t="s">
        <v>646</v>
      </c>
      <c r="L978" s="23">
        <v>18</v>
      </c>
      <c r="M978" s="23">
        <v>6</v>
      </c>
      <c r="N978" s="3">
        <f t="shared" si="488"/>
        <v>1.944E-3</v>
      </c>
      <c r="O978" s="4" t="e">
        <f>(C978-(C978*#REF!))-((C978-(C978*#REF!))*#REF!)</f>
        <v>#REF!</v>
      </c>
      <c r="P978" s="7">
        <f>39799.6504306866-Q978</f>
        <v>6799.6504306865972</v>
      </c>
      <c r="Q978" s="7">
        <v>33000</v>
      </c>
      <c r="R978" s="5">
        <f t="shared" si="489"/>
        <v>39799.650430686597</v>
      </c>
      <c r="S978" s="4">
        <f t="shared" si="490"/>
        <v>2.6533100287124398</v>
      </c>
      <c r="T978" s="13">
        <f t="shared" si="495"/>
        <v>12.593</v>
      </c>
      <c r="U978" s="13">
        <f t="shared" si="504"/>
        <v>6.2965</v>
      </c>
      <c r="V978" s="14">
        <f>U978/C978</f>
        <v>0.35000000000000003</v>
      </c>
      <c r="W978" s="14"/>
      <c r="X978" s="19">
        <f t="shared" si="491"/>
        <v>6.2965</v>
      </c>
      <c r="Y978" s="19">
        <f t="shared" si="492"/>
        <v>12.593</v>
      </c>
      <c r="Z978" s="15">
        <f t="shared" si="480"/>
        <v>2.3730736068771709</v>
      </c>
      <c r="AA978" s="22" t="s">
        <v>4557</v>
      </c>
      <c r="AG978" s="94" t="s">
        <v>817</v>
      </c>
      <c r="AH978" s="89" t="str">
        <f>VLOOKUP(AG978,Sheet1!$B$3:$D$36,2,FALSE)</f>
        <v>Kitchen &amp; Dining</v>
      </c>
      <c r="AI978" s="89" t="s">
        <v>2077</v>
      </c>
      <c r="AJ978" s="1" t="str">
        <f t="shared" si="496"/>
        <v>Gamora round</v>
      </c>
      <c r="AK978" s="1" t="str">
        <f t="shared" si="497"/>
        <v>ø18 x h6</v>
      </c>
      <c r="AL978" s="1" t="str">
        <f t="shared" si="498"/>
        <v>teak root outdoor</v>
      </c>
      <c r="AM978" s="1" t="str">
        <f t="shared" si="499"/>
        <v>teak root outdoor</v>
      </c>
      <c r="AN978" s="1" t="str">
        <f t="shared" si="505"/>
        <v xml:space="preserve">teak root </v>
      </c>
      <c r="AO978" s="1" t="s">
        <v>59</v>
      </c>
      <c r="AQ978" s="1" t="str">
        <f t="shared" si="500"/>
        <v>C</v>
      </c>
      <c r="AR978" s="1" t="str">
        <f>VLOOKUP(TRIM(AI978),Sheet1!$D$3:$E$36,2,FALSE)</f>
        <v>01</v>
      </c>
      <c r="AS978" s="90" t="str">
        <f t="shared" si="501"/>
        <v>01</v>
      </c>
      <c r="AT978" s="1" t="str">
        <f t="shared" si="502"/>
        <v>01</v>
      </c>
      <c r="AU978" s="90" t="s">
        <v>648</v>
      </c>
      <c r="AV978" s="90"/>
      <c r="AW978" s="90"/>
      <c r="AX978" s="95" t="str">
        <f>AQ978&amp;AR978&amp;AS978&amp;"-"&amp;AT978&amp;AU978&amp;BA978</f>
        <v>C0101-0132OUT</v>
      </c>
      <c r="AY978" s="99" t="str">
        <f>AQ978&amp;AR978&amp;AS978&amp;"-"&amp;AT978&amp;BA978</f>
        <v>C0101-01OUT</v>
      </c>
      <c r="AZ978" s="90"/>
      <c r="BA978" s="1" t="str">
        <f t="shared" si="503"/>
        <v>OUT</v>
      </c>
      <c r="BC978" s="1">
        <f t="shared" si="486"/>
        <v>1</v>
      </c>
      <c r="BD978" s="90">
        <f t="shared" si="487"/>
        <v>1</v>
      </c>
      <c r="BE978" s="1">
        <f t="shared" si="506"/>
        <v>1</v>
      </c>
      <c r="BF978" s="1">
        <f t="shared" si="507"/>
        <v>1</v>
      </c>
    </row>
    <row r="979" spans="1:58" ht="11.25" customHeight="1">
      <c r="A979" s="26" t="s">
        <v>2110</v>
      </c>
      <c r="B979" s="27" t="s">
        <v>2105</v>
      </c>
      <c r="C979" s="28">
        <v>36.99</v>
      </c>
      <c r="D979" s="28">
        <f t="shared" si="494"/>
        <v>18.495000000000001</v>
      </c>
      <c r="E979" s="22" t="s">
        <v>4467</v>
      </c>
      <c r="F979" s="22" t="s">
        <v>4558</v>
      </c>
      <c r="G979" s="22" t="s">
        <v>275</v>
      </c>
      <c r="H979" s="22" t="s">
        <v>4559</v>
      </c>
      <c r="I979" s="23" t="s">
        <v>2973</v>
      </c>
      <c r="J979" s="22" t="s">
        <v>646</v>
      </c>
      <c r="L979" s="23">
        <v>26</v>
      </c>
      <c r="M979" s="23">
        <v>6</v>
      </c>
      <c r="N979" s="3">
        <f t="shared" si="488"/>
        <v>4.0559999999999997E-3</v>
      </c>
      <c r="O979" s="4" t="e">
        <f>(C979-(C979*#REF!))-((C979-(C979*#REF!))*#REF!)</f>
        <v>#REF!</v>
      </c>
      <c r="P979" s="7">
        <f>Q979*0.2</f>
        <v>14520</v>
      </c>
      <c r="Q979" s="7">
        <v>72600</v>
      </c>
      <c r="R979" s="5">
        <f>P979+Q979</f>
        <v>87120</v>
      </c>
      <c r="S979" s="4">
        <f t="shared" si="490"/>
        <v>5.8079999999999998</v>
      </c>
      <c r="T979" s="13">
        <f t="shared" si="495"/>
        <v>25.893000000000001</v>
      </c>
      <c r="U979" s="13">
        <f t="shared" si="504"/>
        <v>12.9465</v>
      </c>
      <c r="V979" s="14">
        <f>U979/C979</f>
        <v>0.35</v>
      </c>
      <c r="X979" s="19">
        <f t="shared" si="491"/>
        <v>12.9465</v>
      </c>
      <c r="Y979" s="19">
        <f t="shared" si="492"/>
        <v>25.893000000000001</v>
      </c>
      <c r="Z979" s="15">
        <f t="shared" si="480"/>
        <v>2.2290805785123968</v>
      </c>
      <c r="AA979" s="22" t="s">
        <v>4560</v>
      </c>
      <c r="AG979" s="94" t="s">
        <v>817</v>
      </c>
      <c r="AH979" s="89" t="str">
        <f>VLOOKUP(AG979,Sheet1!$B$3:$D$36,2,FALSE)</f>
        <v>Kitchen &amp; Dining</v>
      </c>
      <c r="AI979" s="89" t="s">
        <v>2077</v>
      </c>
      <c r="AJ979" s="1" t="str">
        <f t="shared" si="496"/>
        <v>Gamora round</v>
      </c>
      <c r="AK979" s="1" t="str">
        <f t="shared" si="497"/>
        <v>ø26 x h6</v>
      </c>
      <c r="AL979" s="1" t="str">
        <f t="shared" si="498"/>
        <v>teak root outdoor</v>
      </c>
      <c r="AM979" s="1" t="str">
        <f t="shared" si="499"/>
        <v>teak root outdoor</v>
      </c>
      <c r="AN979" s="1" t="str">
        <f t="shared" si="505"/>
        <v xml:space="preserve">teak root </v>
      </c>
      <c r="AO979" s="1" t="s">
        <v>59</v>
      </c>
      <c r="AQ979" s="1" t="str">
        <f t="shared" si="500"/>
        <v>C</v>
      </c>
      <c r="AR979" s="1" t="str">
        <f>VLOOKUP(TRIM(AI979),Sheet1!$D$3:$E$36,2,FALSE)</f>
        <v>01</v>
      </c>
      <c r="AS979" s="90" t="str">
        <f t="shared" si="501"/>
        <v>02</v>
      </c>
      <c r="AT979" s="1" t="str">
        <f t="shared" si="502"/>
        <v>01</v>
      </c>
      <c r="AU979" s="90" t="s">
        <v>648</v>
      </c>
      <c r="AV979" s="90"/>
      <c r="AW979" s="90"/>
      <c r="AX979" s="95" t="str">
        <f>AQ979&amp;AR979&amp;AS979&amp;"-"&amp;AT979&amp;AU979&amp;BA979</f>
        <v>C0102-0132OUT</v>
      </c>
      <c r="AY979" s="99" t="str">
        <f>AQ979&amp;AR979&amp;AS979&amp;"-"&amp;AT979&amp;BA979</f>
        <v>C0102-01OUT</v>
      </c>
      <c r="AZ979" s="90"/>
      <c r="BA979" s="1" t="str">
        <f t="shared" si="503"/>
        <v>OUT</v>
      </c>
      <c r="BC979" s="1" t="str">
        <f t="shared" si="486"/>
        <v/>
      </c>
      <c r="BD979" s="90">
        <f t="shared" si="487"/>
        <v>2</v>
      </c>
      <c r="BE979" s="1">
        <f t="shared" si="506"/>
        <v>1</v>
      </c>
      <c r="BF979" s="1">
        <f t="shared" si="507"/>
        <v>1</v>
      </c>
    </row>
    <row r="980" spans="1:58" ht="11.25" customHeight="1">
      <c r="A980" s="26" t="s">
        <v>4561</v>
      </c>
      <c r="B980" s="27" t="s">
        <v>4562</v>
      </c>
      <c r="C980" s="28">
        <v>47.99</v>
      </c>
      <c r="D980" s="28">
        <f t="shared" si="494"/>
        <v>23.995000000000001</v>
      </c>
      <c r="E980" s="22" t="s">
        <v>4467</v>
      </c>
      <c r="F980" s="22" t="s">
        <v>4563</v>
      </c>
      <c r="G980" s="22" t="s">
        <v>4564</v>
      </c>
      <c r="H980" s="22" t="s">
        <v>4565</v>
      </c>
      <c r="I980" s="23" t="s">
        <v>2407</v>
      </c>
      <c r="J980" s="22" t="s">
        <v>646</v>
      </c>
      <c r="K980" s="23">
        <v>32</v>
      </c>
      <c r="L980" s="23">
        <v>16</v>
      </c>
      <c r="M980" s="23">
        <v>5</v>
      </c>
      <c r="N980" s="3">
        <f t="shared" si="488"/>
        <v>2.5600000000000002E-3</v>
      </c>
      <c r="O980" s="4" t="e">
        <f>(C980-(C980*#REF!))-((C980-(C980*#REF!))*#REF!)</f>
        <v>#REF!</v>
      </c>
      <c r="P980" s="7">
        <f>165083.934897313-Q980</f>
        <v>15083.934897313011</v>
      </c>
      <c r="Q980" s="7">
        <v>150000</v>
      </c>
      <c r="R980" s="5">
        <f t="shared" si="489"/>
        <v>165083.93489731301</v>
      </c>
      <c r="S980" s="4">
        <f t="shared" si="490"/>
        <v>11.005595659820868</v>
      </c>
      <c r="T980" s="13">
        <f t="shared" si="495"/>
        <v>33.593000000000004</v>
      </c>
      <c r="U980" s="13">
        <f t="shared" si="504"/>
        <v>16.796500000000002</v>
      </c>
      <c r="V980" s="14">
        <f>U980/C980</f>
        <v>0.35000000000000003</v>
      </c>
      <c r="W980" s="18">
        <f>S980*$W$1</f>
        <v>22.011191319641735</v>
      </c>
      <c r="X980" s="19">
        <f t="shared" si="491"/>
        <v>22.011191319641735</v>
      </c>
      <c r="Y980" s="19">
        <f t="shared" si="492"/>
        <v>44.022382639283471</v>
      </c>
      <c r="Z980" s="15">
        <v>2</v>
      </c>
      <c r="AA980" s="22" t="s">
        <v>4566</v>
      </c>
      <c r="AG980" s="94" t="s">
        <v>817</v>
      </c>
      <c r="AH980" s="89" t="str">
        <f>VLOOKUP(AG980,Sheet1!$B$3:$D$36,2,FALSE)</f>
        <v>Kitchen &amp; Dining</v>
      </c>
      <c r="AI980" s="89" t="s">
        <v>2077</v>
      </c>
      <c r="AJ980" s="1" t="str">
        <f t="shared" si="496"/>
        <v>Malacia bowl</v>
      </c>
      <c r="AK980" s="1" t="str">
        <f t="shared" si="497"/>
        <v>w32 x d16 x h5</v>
      </c>
      <c r="AL980" s="1" t="str">
        <f t="shared" si="498"/>
        <v>teak root indoor</v>
      </c>
      <c r="AM980" s="1" t="str">
        <f t="shared" si="499"/>
        <v>teak root indoor</v>
      </c>
      <c r="AN980" s="1" t="str">
        <f t="shared" ref="AN980:AN984" si="508">SUBSTITUTE(AL980,"indoor","")</f>
        <v xml:space="preserve">teak root </v>
      </c>
      <c r="AO980" s="1" t="s">
        <v>54</v>
      </c>
      <c r="AQ980" s="1" t="str">
        <f t="shared" si="500"/>
        <v>C</v>
      </c>
      <c r="AR980" s="1" t="str">
        <f>VLOOKUP(TRIM(AI980),Sheet1!$D$3:$E$36,2,FALSE)</f>
        <v>01</v>
      </c>
      <c r="AS980" s="90" t="str">
        <f t="shared" si="501"/>
        <v>01</v>
      </c>
      <c r="AT980" s="1" t="str">
        <f t="shared" si="502"/>
        <v>01</v>
      </c>
      <c r="AU980" s="90" t="s">
        <v>648</v>
      </c>
      <c r="AV980" s="90"/>
      <c r="AW980" s="90"/>
      <c r="AX980" s="95" t="str">
        <f>AQ980&amp;AR980&amp;AS980&amp;"-"&amp;AT980&amp;AU980&amp;BA980</f>
        <v>C0101-0132IND</v>
      </c>
      <c r="AY980" s="99" t="str">
        <f>AQ980&amp;AR980&amp;AS980&amp;"-"&amp;AT980&amp;BA980</f>
        <v>C0101-01IND</v>
      </c>
      <c r="AZ980" s="90"/>
      <c r="BA980" s="1" t="str">
        <f t="shared" si="503"/>
        <v>IND</v>
      </c>
      <c r="BC980" s="1">
        <f t="shared" si="486"/>
        <v>1</v>
      </c>
      <c r="BD980" s="90">
        <f t="shared" si="487"/>
        <v>1</v>
      </c>
      <c r="BE980" s="1">
        <f t="shared" si="506"/>
        <v>1</v>
      </c>
      <c r="BF980" s="1">
        <f t="shared" si="507"/>
        <v>1</v>
      </c>
    </row>
    <row r="981" spans="1:58" ht="11.25" customHeight="1">
      <c r="A981" s="26" t="s">
        <v>4567</v>
      </c>
      <c r="B981" s="27" t="s">
        <v>4568</v>
      </c>
      <c r="C981" s="28">
        <v>36.99</v>
      </c>
      <c r="D981" s="28">
        <f t="shared" si="494"/>
        <v>18.495000000000001</v>
      </c>
      <c r="E981" s="22" t="s">
        <v>4467</v>
      </c>
      <c r="F981" s="22" t="s">
        <v>4569</v>
      </c>
      <c r="G981" s="22" t="s">
        <v>873</v>
      </c>
      <c r="H981" s="22" t="s">
        <v>4570</v>
      </c>
      <c r="I981" s="23" t="s">
        <v>2407</v>
      </c>
      <c r="J981" s="22" t="s">
        <v>646</v>
      </c>
      <c r="K981" s="23">
        <v>30</v>
      </c>
      <c r="L981" s="23">
        <v>20</v>
      </c>
      <c r="M981" s="23">
        <v>4</v>
      </c>
      <c r="N981" s="3">
        <f t="shared" si="488"/>
        <v>2.3999999999999998E-3</v>
      </c>
      <c r="O981" s="4" t="e">
        <f>(C981-(C981*#REF!))-((C981-(C981*#REF!))*#REF!)</f>
        <v>#REF!</v>
      </c>
      <c r="P981" s="7">
        <f>84546.8568502457-Q981</f>
        <v>4546.8568502457056</v>
      </c>
      <c r="Q981" s="7">
        <v>80000</v>
      </c>
      <c r="R981" s="5">
        <f t="shared" si="489"/>
        <v>84546.856850245706</v>
      </c>
      <c r="S981" s="4">
        <f t="shared" si="490"/>
        <v>5.6364571233497136</v>
      </c>
      <c r="T981" s="13">
        <f t="shared" si="495"/>
        <v>25.893000000000001</v>
      </c>
      <c r="U981" s="13">
        <f t="shared" si="504"/>
        <v>12.9465</v>
      </c>
      <c r="V981" s="14">
        <f>U981/C981</f>
        <v>0.35</v>
      </c>
      <c r="W981" s="14"/>
      <c r="X981" s="19">
        <f t="shared" si="491"/>
        <v>12.9465</v>
      </c>
      <c r="Y981" s="19">
        <f t="shared" si="492"/>
        <v>25.893000000000001</v>
      </c>
      <c r="Z981" s="15">
        <f t="shared" ref="Z981:Z1011" si="509">U981/S981</f>
        <v>2.2969215797575289</v>
      </c>
      <c r="AA981" s="22" t="s">
        <v>4571</v>
      </c>
      <c r="AG981" s="94" t="s">
        <v>817</v>
      </c>
      <c r="AH981" s="89" t="str">
        <f>VLOOKUP(AG981,Sheet1!$B$3:$D$36,2,FALSE)</f>
        <v>Kitchen &amp; Dining</v>
      </c>
      <c r="AI981" s="89" t="s">
        <v>2077</v>
      </c>
      <c r="AJ981" s="1" t="str">
        <f t="shared" si="496"/>
        <v>Vania serving board</v>
      </c>
      <c r="AK981" s="1" t="str">
        <f t="shared" si="497"/>
        <v>w30 x d20 x h4</v>
      </c>
      <c r="AL981" s="1" t="str">
        <f t="shared" si="498"/>
        <v>teak root indoor</v>
      </c>
      <c r="AM981" s="1" t="str">
        <f t="shared" si="499"/>
        <v>teak root indoor</v>
      </c>
      <c r="AN981" s="1" t="str">
        <f t="shared" si="508"/>
        <v xml:space="preserve">teak root </v>
      </c>
      <c r="AO981" s="1" t="s">
        <v>54</v>
      </c>
      <c r="AQ981" s="1" t="str">
        <f t="shared" si="500"/>
        <v>C</v>
      </c>
      <c r="AR981" s="1" t="str">
        <f>VLOOKUP(TRIM(AI981),Sheet1!$D$3:$E$36,2,FALSE)</f>
        <v>01</v>
      </c>
      <c r="AS981" s="90" t="str">
        <f t="shared" si="501"/>
        <v>01</v>
      </c>
      <c r="AT981" s="1" t="str">
        <f t="shared" si="502"/>
        <v>01</v>
      </c>
      <c r="AU981" s="90" t="s">
        <v>648</v>
      </c>
      <c r="AV981" s="90"/>
      <c r="AW981" s="90"/>
      <c r="AX981" s="95" t="str">
        <f>AQ981&amp;AR981&amp;AS981&amp;"-"&amp;AT981&amp;AU981&amp;BA981</f>
        <v>C0101-0132IND</v>
      </c>
      <c r="AY981" s="99" t="str">
        <f>AQ981&amp;AR981&amp;AS981&amp;"-"&amp;AT981&amp;BA981</f>
        <v>C0101-01IND</v>
      </c>
      <c r="AZ981" s="90"/>
      <c r="BA981" s="1" t="str">
        <f t="shared" si="503"/>
        <v>IND</v>
      </c>
      <c r="BC981" s="1">
        <f t="shared" si="486"/>
        <v>1</v>
      </c>
      <c r="BD981" s="90">
        <f t="shared" si="487"/>
        <v>1</v>
      </c>
      <c r="BE981" s="1">
        <f t="shared" si="506"/>
        <v>1</v>
      </c>
      <c r="BF981" s="1">
        <f t="shared" si="507"/>
        <v>1</v>
      </c>
    </row>
    <row r="982" spans="1:58" ht="11.25" customHeight="1">
      <c r="A982" s="26" t="s">
        <v>4572</v>
      </c>
      <c r="B982" s="27" t="s">
        <v>4568</v>
      </c>
      <c r="C982" s="28">
        <v>38.99</v>
      </c>
      <c r="D982" s="28">
        <f t="shared" si="494"/>
        <v>19.495000000000001</v>
      </c>
      <c r="E982" s="22" t="s">
        <v>4467</v>
      </c>
      <c r="F982" s="22" t="s">
        <v>4573</v>
      </c>
      <c r="G982" s="22" t="s">
        <v>873</v>
      </c>
      <c r="H982" s="22" t="s">
        <v>4574</v>
      </c>
      <c r="I982" s="23" t="s">
        <v>2407</v>
      </c>
      <c r="J982" s="22" t="s">
        <v>646</v>
      </c>
      <c r="K982" s="23">
        <v>37</v>
      </c>
      <c r="L982" s="23">
        <v>20</v>
      </c>
      <c r="M982" s="23">
        <v>4</v>
      </c>
      <c r="N982" s="3">
        <f t="shared" si="488"/>
        <v>2.96E-3</v>
      </c>
      <c r="O982" s="4" t="e">
        <f>(C982-(C982*#REF!))-((C982-(C982*#REF!))*#REF!)</f>
        <v>#REF!</v>
      </c>
      <c r="P982" s="7">
        <f>95507.7060055721-Q982</f>
        <v>5507.706005572094</v>
      </c>
      <c r="Q982" s="7">
        <v>90000</v>
      </c>
      <c r="R982" s="5">
        <f t="shared" si="489"/>
        <v>95507.706005572094</v>
      </c>
      <c r="S982" s="4">
        <f t="shared" si="490"/>
        <v>6.3671804003714731</v>
      </c>
      <c r="T982" s="13">
        <f t="shared" si="495"/>
        <v>27.292999999999999</v>
      </c>
      <c r="U982" s="13">
        <f t="shared" si="504"/>
        <v>13.6465</v>
      </c>
      <c r="V982" s="14">
        <f>U982/C982</f>
        <v>0.35</v>
      </c>
      <c r="W982" s="14"/>
      <c r="X982" s="19">
        <f t="shared" si="491"/>
        <v>13.6465</v>
      </c>
      <c r="Y982" s="19">
        <f t="shared" si="492"/>
        <v>27.292999999999999</v>
      </c>
      <c r="Z982" s="15">
        <f t="shared" si="509"/>
        <v>2.1432563775331128</v>
      </c>
      <c r="AA982" s="22" t="s">
        <v>4571</v>
      </c>
      <c r="AG982" s="94" t="s">
        <v>817</v>
      </c>
      <c r="AH982" s="89" t="str">
        <f>VLOOKUP(AG982,Sheet1!$B$3:$D$36,2,FALSE)</f>
        <v>Kitchen &amp; Dining</v>
      </c>
      <c r="AI982" s="89" t="s">
        <v>2077</v>
      </c>
      <c r="AJ982" s="1" t="str">
        <f t="shared" si="496"/>
        <v>Vania serving board</v>
      </c>
      <c r="AK982" s="1" t="str">
        <f t="shared" si="497"/>
        <v>w37 x d20 x h4</v>
      </c>
      <c r="AL982" s="1" t="str">
        <f t="shared" si="498"/>
        <v>teak root indoor</v>
      </c>
      <c r="AM982" s="1" t="str">
        <f t="shared" si="499"/>
        <v>teak root indoor</v>
      </c>
      <c r="AN982" s="1" t="str">
        <f t="shared" si="508"/>
        <v xml:space="preserve">teak root </v>
      </c>
      <c r="AO982" s="1" t="s">
        <v>54</v>
      </c>
      <c r="AQ982" s="1" t="str">
        <f t="shared" si="500"/>
        <v>C</v>
      </c>
      <c r="AR982" s="1" t="str">
        <f>VLOOKUP(TRIM(AI982),Sheet1!$D$3:$E$36,2,FALSE)</f>
        <v>01</v>
      </c>
      <c r="AS982" s="90" t="str">
        <f t="shared" si="501"/>
        <v>02</v>
      </c>
      <c r="AT982" s="1" t="str">
        <f t="shared" si="502"/>
        <v>01</v>
      </c>
      <c r="AU982" s="90" t="s">
        <v>648</v>
      </c>
      <c r="AV982" s="90"/>
      <c r="AW982" s="90"/>
      <c r="AX982" s="95" t="str">
        <f>AQ982&amp;AR982&amp;AS982&amp;"-"&amp;AT982&amp;AU982&amp;BA982</f>
        <v>C0102-0132IND</v>
      </c>
      <c r="AY982" s="99" t="str">
        <f>AQ982&amp;AR982&amp;AS982&amp;"-"&amp;AT982&amp;BA982</f>
        <v>C0102-01IND</v>
      </c>
      <c r="AZ982" s="90"/>
      <c r="BA982" s="1" t="str">
        <f t="shared" si="503"/>
        <v>IND</v>
      </c>
      <c r="BC982" s="1" t="str">
        <f t="shared" si="486"/>
        <v/>
      </c>
      <c r="BD982" s="90">
        <f t="shared" si="487"/>
        <v>2</v>
      </c>
      <c r="BE982" s="1">
        <f t="shared" si="506"/>
        <v>1</v>
      </c>
      <c r="BF982" s="1">
        <f t="shared" si="507"/>
        <v>1</v>
      </c>
    </row>
    <row r="983" spans="1:58" ht="11.25" customHeight="1">
      <c r="A983" s="26" t="s">
        <v>4575</v>
      </c>
      <c r="B983" s="27" t="s">
        <v>4568</v>
      </c>
      <c r="C983" s="28">
        <v>88.99</v>
      </c>
      <c r="D983" s="28">
        <f t="shared" si="494"/>
        <v>44.494999999999997</v>
      </c>
      <c r="E983" s="22" t="s">
        <v>4467</v>
      </c>
      <c r="F983" s="22" t="s">
        <v>4576</v>
      </c>
      <c r="G983" s="22" t="s">
        <v>873</v>
      </c>
      <c r="H983" s="22" t="s">
        <v>4577</v>
      </c>
      <c r="I983" s="23" t="s">
        <v>2407</v>
      </c>
      <c r="J983" s="22" t="s">
        <v>646</v>
      </c>
      <c r="K983" s="23">
        <v>45</v>
      </c>
      <c r="L983" s="23">
        <v>25</v>
      </c>
      <c r="M983" s="23">
        <v>4</v>
      </c>
      <c r="N983" s="3">
        <f t="shared" si="488"/>
        <v>4.4999999999999997E-3</v>
      </c>
      <c r="O983" s="4" t="e">
        <f>(C983-(C983*#REF!))-((C983-(C983*#REF!))*#REF!)</f>
        <v>#REF!</v>
      </c>
      <c r="P983" s="7">
        <f>158520.593589552-Q983</f>
        <v>8520.5935895520088</v>
      </c>
      <c r="Q983" s="7">
        <v>150000</v>
      </c>
      <c r="R983" s="5">
        <f t="shared" si="489"/>
        <v>158520.59358955201</v>
      </c>
      <c r="S983" s="4">
        <f t="shared" si="490"/>
        <v>10.568039572636801</v>
      </c>
      <c r="T983" s="13">
        <f t="shared" si="495"/>
        <v>62.292999999999992</v>
      </c>
      <c r="U983" s="13">
        <f t="shared" si="504"/>
        <v>31.146499999999996</v>
      </c>
      <c r="V983" s="14">
        <f>U983/C983</f>
        <v>0.35</v>
      </c>
      <c r="W983" s="14"/>
      <c r="X983" s="19">
        <f t="shared" si="491"/>
        <v>31.146499999999996</v>
      </c>
      <c r="Y983" s="19">
        <f t="shared" si="492"/>
        <v>62.292999999999992</v>
      </c>
      <c r="Z983" s="15">
        <f t="shared" si="509"/>
        <v>2.9472353681042023</v>
      </c>
      <c r="AA983" s="22" t="s">
        <v>4578</v>
      </c>
      <c r="AG983" s="94" t="s">
        <v>817</v>
      </c>
      <c r="AH983" s="89" t="str">
        <f>VLOOKUP(AG983,Sheet1!$B$3:$D$36,2,FALSE)</f>
        <v>Kitchen &amp; Dining</v>
      </c>
      <c r="AI983" s="89" t="s">
        <v>2077</v>
      </c>
      <c r="AJ983" s="1" t="str">
        <f t="shared" si="496"/>
        <v>Vania serving board</v>
      </c>
      <c r="AK983" s="1" t="str">
        <f t="shared" si="497"/>
        <v>w45 x d25 x h4</v>
      </c>
      <c r="AL983" s="1" t="str">
        <f t="shared" si="498"/>
        <v>teak root indoor</v>
      </c>
      <c r="AM983" s="1" t="str">
        <f t="shared" si="499"/>
        <v>teak root indoor</v>
      </c>
      <c r="AN983" s="1" t="str">
        <f t="shared" si="508"/>
        <v xml:space="preserve">teak root </v>
      </c>
      <c r="AO983" s="1" t="s">
        <v>54</v>
      </c>
      <c r="AQ983" s="1" t="str">
        <f t="shared" si="500"/>
        <v>C</v>
      </c>
      <c r="AR983" s="1" t="str">
        <f>VLOOKUP(TRIM(AI983),Sheet1!$D$3:$E$36,2,FALSE)</f>
        <v>01</v>
      </c>
      <c r="AS983" s="90" t="str">
        <f t="shared" si="501"/>
        <v>03</v>
      </c>
      <c r="AT983" s="1" t="str">
        <f t="shared" si="502"/>
        <v>01</v>
      </c>
      <c r="AU983" s="90" t="s">
        <v>648</v>
      </c>
      <c r="AV983" s="90"/>
      <c r="AW983" s="90"/>
      <c r="AX983" s="95" t="str">
        <f>AQ983&amp;AR983&amp;AS983&amp;"-"&amp;AT983&amp;AU983&amp;BA983</f>
        <v>C0103-0132IND</v>
      </c>
      <c r="AY983" s="99" t="str">
        <f>AQ983&amp;AR983&amp;AS983&amp;"-"&amp;AT983&amp;BA983</f>
        <v>C0103-01IND</v>
      </c>
      <c r="AZ983" s="90"/>
      <c r="BA983" s="1" t="str">
        <f t="shared" si="503"/>
        <v>IND</v>
      </c>
      <c r="BC983" s="1" t="str">
        <f t="shared" si="486"/>
        <v/>
      </c>
      <c r="BD983" s="90">
        <f t="shared" si="487"/>
        <v>3</v>
      </c>
      <c r="BE983" s="1">
        <f t="shared" si="506"/>
        <v>1</v>
      </c>
      <c r="BF983" s="1">
        <f t="shared" si="507"/>
        <v>1</v>
      </c>
    </row>
    <row r="984" spans="1:58" ht="11.25" customHeight="1">
      <c r="A984" s="26" t="s">
        <v>4579</v>
      </c>
      <c r="B984" s="27" t="s">
        <v>4568</v>
      </c>
      <c r="C984" s="28">
        <v>81.99</v>
      </c>
      <c r="D984" s="28">
        <f t="shared" si="494"/>
        <v>40.994999999999997</v>
      </c>
      <c r="E984" s="22" t="s">
        <v>4467</v>
      </c>
      <c r="F984" s="22" t="s">
        <v>4580</v>
      </c>
      <c r="G984" s="22" t="s">
        <v>873</v>
      </c>
      <c r="H984" s="22" t="s">
        <v>4581</v>
      </c>
      <c r="I984" s="23" t="s">
        <v>2407</v>
      </c>
      <c r="J984" s="22" t="s">
        <v>646</v>
      </c>
      <c r="K984" s="23">
        <v>60</v>
      </c>
      <c r="L984" s="23">
        <v>25</v>
      </c>
      <c r="M984" s="23">
        <v>4</v>
      </c>
      <c r="N984" s="3">
        <f t="shared" si="488"/>
        <v>6.0000000000000001E-3</v>
      </c>
      <c r="O984" s="4" t="e">
        <f>(C984-(C984*#REF!))-((C984-(C984*#REF!))*#REF!)</f>
        <v>#REF!</v>
      </c>
      <c r="P984" s="7">
        <f>176926.12478607-Q984</f>
        <v>16926.124786069995</v>
      </c>
      <c r="Q984" s="7">
        <v>160000</v>
      </c>
      <c r="R984" s="5">
        <f t="shared" si="489"/>
        <v>176926.12478607</v>
      </c>
      <c r="S984" s="4">
        <f t="shared" si="490"/>
        <v>11.795074985737999</v>
      </c>
      <c r="T984" s="13">
        <f t="shared" si="495"/>
        <v>57.393000000000001</v>
      </c>
      <c r="U984" s="13">
        <f t="shared" si="504"/>
        <v>28.6965</v>
      </c>
      <c r="V984" s="14">
        <f>U984/C984</f>
        <v>0.35000000000000003</v>
      </c>
      <c r="W984" s="14"/>
      <c r="X984" s="19">
        <f t="shared" si="491"/>
        <v>28.6965</v>
      </c>
      <c r="Y984" s="19">
        <f t="shared" si="492"/>
        <v>57.393000000000001</v>
      </c>
      <c r="Z984" s="15">
        <f t="shared" si="509"/>
        <v>2.4329222183579451</v>
      </c>
      <c r="AA984" s="22" t="s">
        <v>4582</v>
      </c>
      <c r="AG984" s="94" t="s">
        <v>817</v>
      </c>
      <c r="AH984" s="89" t="str">
        <f>VLOOKUP(AG984,Sheet1!$B$3:$D$36,2,FALSE)</f>
        <v>Kitchen &amp; Dining</v>
      </c>
      <c r="AI984" s="89" t="s">
        <v>2077</v>
      </c>
      <c r="AJ984" s="1" t="str">
        <f t="shared" si="496"/>
        <v>Vania serving board</v>
      </c>
      <c r="AK984" s="1" t="str">
        <f t="shared" si="497"/>
        <v>w60 x d25 x h4</v>
      </c>
      <c r="AL984" s="1" t="str">
        <f t="shared" si="498"/>
        <v>teak root indoor</v>
      </c>
      <c r="AM984" s="1" t="str">
        <f t="shared" si="499"/>
        <v>teak root indoor</v>
      </c>
      <c r="AN984" s="1" t="str">
        <f t="shared" si="508"/>
        <v xml:space="preserve">teak root </v>
      </c>
      <c r="AO984" s="1" t="s">
        <v>54</v>
      </c>
      <c r="AQ984" s="1" t="str">
        <f t="shared" si="500"/>
        <v>C</v>
      </c>
      <c r="AR984" s="1" t="str">
        <f>VLOOKUP(TRIM(AI984),Sheet1!$D$3:$E$36,2,FALSE)</f>
        <v>01</v>
      </c>
      <c r="AS984" s="90" t="str">
        <f t="shared" si="501"/>
        <v>04</v>
      </c>
      <c r="AT984" s="1" t="str">
        <f t="shared" si="502"/>
        <v>01</v>
      </c>
      <c r="AU984" s="90" t="s">
        <v>648</v>
      </c>
      <c r="AV984" s="90"/>
      <c r="AW984" s="90"/>
      <c r="AX984" s="95" t="str">
        <f>AQ984&amp;AR984&amp;AS984&amp;"-"&amp;AT984&amp;AU984&amp;BA984</f>
        <v>C0104-0132IND</v>
      </c>
      <c r="AY984" s="99" t="str">
        <f>AQ984&amp;AR984&amp;AS984&amp;"-"&amp;AT984&amp;BA984</f>
        <v>C0104-01IND</v>
      </c>
      <c r="AZ984" s="90"/>
      <c r="BA984" s="1" t="str">
        <f t="shared" si="503"/>
        <v>IND</v>
      </c>
      <c r="BC984" s="1" t="str">
        <f t="shared" si="486"/>
        <v/>
      </c>
      <c r="BD984" s="90">
        <f t="shared" si="487"/>
        <v>4</v>
      </c>
      <c r="BE984" s="1">
        <f t="shared" si="506"/>
        <v>1</v>
      </c>
      <c r="BF984" s="1">
        <f t="shared" si="507"/>
        <v>1</v>
      </c>
    </row>
    <row r="985" spans="1:58" ht="11.25" customHeight="1">
      <c r="A985" s="26" t="s">
        <v>4583</v>
      </c>
      <c r="B985" s="27" t="s">
        <v>4584</v>
      </c>
      <c r="C985" s="28">
        <v>17.989999999999998</v>
      </c>
      <c r="D985" s="28">
        <f t="shared" si="494"/>
        <v>8.9949999999999992</v>
      </c>
      <c r="E985" s="22" t="s">
        <v>4467</v>
      </c>
      <c r="F985" s="22" t="s">
        <v>4585</v>
      </c>
      <c r="G985" s="22" t="s">
        <v>73</v>
      </c>
      <c r="H985" s="22" t="s">
        <v>4586</v>
      </c>
      <c r="I985" s="23" t="s">
        <v>3227</v>
      </c>
      <c r="J985" s="22" t="s">
        <v>646</v>
      </c>
      <c r="K985" s="23">
        <v>12</v>
      </c>
      <c r="L985" s="23">
        <v>12</v>
      </c>
      <c r="M985" s="23">
        <v>10</v>
      </c>
      <c r="N985" s="3">
        <f t="shared" si="488"/>
        <v>1.4400000000000001E-3</v>
      </c>
      <c r="O985" s="4" t="e">
        <f>(C985-(C985*#REF!))-((C985-(C985*#REF!))*#REF!)</f>
        <v>#REF!</v>
      </c>
      <c r="P985" s="7"/>
      <c r="Q985" s="7"/>
      <c r="R985" s="5">
        <f t="shared" si="489"/>
        <v>0</v>
      </c>
      <c r="S985" s="4">
        <f t="shared" si="490"/>
        <v>0</v>
      </c>
      <c r="T985" s="13">
        <f t="shared" si="495"/>
        <v>12.593</v>
      </c>
      <c r="U985" s="13">
        <f t="shared" si="504"/>
        <v>6.2965</v>
      </c>
      <c r="V985" s="14">
        <f>U985/C985</f>
        <v>0.35000000000000003</v>
      </c>
      <c r="W985" s="14"/>
      <c r="X985" s="19">
        <f t="shared" si="491"/>
        <v>6.2965</v>
      </c>
      <c r="Y985" s="19">
        <f t="shared" si="492"/>
        <v>12.593</v>
      </c>
      <c r="Z985" s="15" t="e">
        <f t="shared" si="509"/>
        <v>#DIV/0!</v>
      </c>
      <c r="AA985" s="22" t="s">
        <v>4587</v>
      </c>
      <c r="AG985" s="94" t="s">
        <v>817</v>
      </c>
      <c r="AH985" s="89" t="str">
        <f>VLOOKUP(AG985,Sheet1!$B$3:$D$36,2,FALSE)</f>
        <v>Kitchen &amp; Dining</v>
      </c>
      <c r="AI985" s="89" t="s">
        <v>2077</v>
      </c>
      <c r="AJ985" s="1" t="str">
        <f t="shared" si="496"/>
        <v>Angeline</v>
      </c>
      <c r="AK985" s="1" t="str">
        <f t="shared" si="497"/>
        <v>w12 x d12 x h10</v>
      </c>
      <c r="AL985" s="1" t="str">
        <f t="shared" si="498"/>
        <v>teak branches outdoor</v>
      </c>
      <c r="AM985" s="1" t="str">
        <f t="shared" si="499"/>
        <v>teak branches outdoor</v>
      </c>
      <c r="AN985" s="1" t="str">
        <f t="shared" ref="AN985:AN989" si="510">SUBSTITUTE(AL985,"outdoor","")</f>
        <v xml:space="preserve">teak branches </v>
      </c>
      <c r="AO985" s="1" t="s">
        <v>59</v>
      </c>
      <c r="AQ985" s="1" t="str">
        <f t="shared" si="500"/>
        <v>C</v>
      </c>
      <c r="AR985" s="1" t="str">
        <f>VLOOKUP(TRIM(AI985),Sheet1!$D$3:$E$36,2,FALSE)</f>
        <v>01</v>
      </c>
      <c r="AS985" s="90" t="str">
        <f t="shared" si="501"/>
        <v>01</v>
      </c>
      <c r="AT985" s="1" t="str">
        <f t="shared" si="502"/>
        <v>01</v>
      </c>
      <c r="AU985" s="90" t="s">
        <v>664</v>
      </c>
      <c r="AV985" s="90"/>
      <c r="AW985" s="90"/>
      <c r="AX985" s="95" t="str">
        <f>AQ985&amp;AR985&amp;AS985&amp;"-"&amp;AT985&amp;AU985&amp;BA985</f>
        <v>C0101-0127OUT</v>
      </c>
      <c r="AY985" s="99" t="str">
        <f>AQ985&amp;AR985&amp;AS985&amp;"-"&amp;AT985&amp;BA985</f>
        <v>C0101-01OUT</v>
      </c>
      <c r="AZ985" s="90"/>
      <c r="BA985" s="1" t="str">
        <f t="shared" si="503"/>
        <v>OUT</v>
      </c>
      <c r="BC985" s="1">
        <f t="shared" si="486"/>
        <v>1</v>
      </c>
      <c r="BD985" s="90">
        <f t="shared" si="487"/>
        <v>1</v>
      </c>
      <c r="BE985" s="1">
        <f t="shared" si="506"/>
        <v>1</v>
      </c>
      <c r="BF985" s="1">
        <f t="shared" si="507"/>
        <v>1</v>
      </c>
    </row>
    <row r="986" spans="1:58" ht="11.25" customHeight="1">
      <c r="A986" s="26" t="s">
        <v>4588</v>
      </c>
      <c r="B986" s="27" t="s">
        <v>4584</v>
      </c>
      <c r="C986" s="28">
        <v>17.989999999999998</v>
      </c>
      <c r="D986" s="28">
        <f t="shared" si="494"/>
        <v>8.9949999999999992</v>
      </c>
      <c r="E986" s="22" t="s">
        <v>4467</v>
      </c>
      <c r="F986" s="22" t="s">
        <v>4589</v>
      </c>
      <c r="G986" s="22" t="s">
        <v>73</v>
      </c>
      <c r="H986" s="22" t="s">
        <v>4590</v>
      </c>
      <c r="I986" s="23" t="s">
        <v>3227</v>
      </c>
      <c r="J986" s="22" t="s">
        <v>646</v>
      </c>
      <c r="K986" s="23">
        <v>15</v>
      </c>
      <c r="L986" s="23">
        <v>12</v>
      </c>
      <c r="M986" s="23">
        <v>10</v>
      </c>
      <c r="N986" s="3">
        <f t="shared" si="488"/>
        <v>1.8E-3</v>
      </c>
      <c r="O986" s="4" t="e">
        <f>(C986-(C986*#REF!))-((C986-(C986*#REF!))*#REF!)</f>
        <v>#REF!</v>
      </c>
      <c r="P986" s="7"/>
      <c r="Q986" s="7"/>
      <c r="R986" s="5">
        <f t="shared" si="489"/>
        <v>0</v>
      </c>
      <c r="S986" s="4">
        <f t="shared" si="490"/>
        <v>0</v>
      </c>
      <c r="T986" s="13">
        <f t="shared" si="495"/>
        <v>12.593</v>
      </c>
      <c r="U986" s="13">
        <f t="shared" si="504"/>
        <v>6.2965</v>
      </c>
      <c r="V986" s="14">
        <f>U986/C986</f>
        <v>0.35000000000000003</v>
      </c>
      <c r="W986" s="14"/>
      <c r="X986" s="19">
        <f t="shared" si="491"/>
        <v>6.2965</v>
      </c>
      <c r="Y986" s="19">
        <f t="shared" si="492"/>
        <v>12.593</v>
      </c>
      <c r="Z986" s="15" t="e">
        <f t="shared" si="509"/>
        <v>#DIV/0!</v>
      </c>
      <c r="AA986" s="22" t="s">
        <v>4591</v>
      </c>
      <c r="AG986" s="94" t="s">
        <v>817</v>
      </c>
      <c r="AH986" s="89" t="str">
        <f>VLOOKUP(AG986,Sheet1!$B$3:$D$36,2,FALSE)</f>
        <v>Kitchen &amp; Dining</v>
      </c>
      <c r="AI986" s="89" t="s">
        <v>2077</v>
      </c>
      <c r="AJ986" s="1" t="str">
        <f t="shared" si="496"/>
        <v>Angeline</v>
      </c>
      <c r="AK986" s="1" t="str">
        <f t="shared" si="497"/>
        <v>w15 x d12 x h10</v>
      </c>
      <c r="AL986" s="1" t="str">
        <f t="shared" si="498"/>
        <v>teak branches outdoor</v>
      </c>
      <c r="AM986" s="1" t="str">
        <f t="shared" si="499"/>
        <v>teak branches outdoor</v>
      </c>
      <c r="AN986" s="1" t="str">
        <f t="shared" si="510"/>
        <v xml:space="preserve">teak branches </v>
      </c>
      <c r="AO986" s="1" t="s">
        <v>59</v>
      </c>
      <c r="AQ986" s="1" t="str">
        <f t="shared" si="500"/>
        <v>C</v>
      </c>
      <c r="AR986" s="1" t="str">
        <f>VLOOKUP(TRIM(AI986),Sheet1!$D$3:$E$36,2,FALSE)</f>
        <v>01</v>
      </c>
      <c r="AS986" s="90" t="str">
        <f t="shared" si="501"/>
        <v>02</v>
      </c>
      <c r="AT986" s="1" t="str">
        <f t="shared" si="502"/>
        <v>01</v>
      </c>
      <c r="AU986" s="90" t="s">
        <v>664</v>
      </c>
      <c r="AV986" s="90"/>
      <c r="AW986" s="90"/>
      <c r="AX986" s="95" t="str">
        <f>AQ986&amp;AR986&amp;AS986&amp;"-"&amp;AT986&amp;AU986&amp;BA986</f>
        <v>C0102-0127OUT</v>
      </c>
      <c r="AY986" s="99" t="str">
        <f>AQ986&amp;AR986&amp;AS986&amp;"-"&amp;AT986&amp;BA986</f>
        <v>C0102-01OUT</v>
      </c>
      <c r="AZ986" s="90"/>
      <c r="BA986" s="1" t="str">
        <f t="shared" si="503"/>
        <v>OUT</v>
      </c>
      <c r="BC986" s="1" t="str">
        <f t="shared" si="486"/>
        <v/>
      </c>
      <c r="BD986" s="90">
        <f t="shared" si="487"/>
        <v>2</v>
      </c>
      <c r="BE986" s="1">
        <f t="shared" si="506"/>
        <v>1</v>
      </c>
      <c r="BF986" s="1">
        <f t="shared" si="507"/>
        <v>1</v>
      </c>
    </row>
    <row r="987" spans="1:58" ht="11.25" customHeight="1">
      <c r="A987" s="26" t="s">
        <v>4592</v>
      </c>
      <c r="B987" s="27" t="s">
        <v>4584</v>
      </c>
      <c r="C987" s="28">
        <v>35.99</v>
      </c>
      <c r="D987" s="28">
        <f t="shared" si="494"/>
        <v>17.995000000000001</v>
      </c>
      <c r="E987" s="22" t="s">
        <v>4467</v>
      </c>
      <c r="F987" s="22" t="s">
        <v>4593</v>
      </c>
      <c r="G987" s="22" t="s">
        <v>73</v>
      </c>
      <c r="H987" s="22" t="s">
        <v>4594</v>
      </c>
      <c r="I987" s="23" t="s">
        <v>3227</v>
      </c>
      <c r="J987" s="22" t="s">
        <v>646</v>
      </c>
      <c r="K987" s="23">
        <v>20</v>
      </c>
      <c r="L987" s="23">
        <v>12</v>
      </c>
      <c r="M987" s="23">
        <v>10</v>
      </c>
      <c r="N987" s="3">
        <f t="shared" si="488"/>
        <v>2.3999999999999998E-3</v>
      </c>
      <c r="O987" s="4" t="e">
        <f>(C987-(C987*#REF!))-((C987-(C987*#REF!))*#REF!)</f>
        <v>#REF!</v>
      </c>
      <c r="P987" s="7"/>
      <c r="Q987" s="7"/>
      <c r="R987" s="5">
        <f t="shared" si="489"/>
        <v>0</v>
      </c>
      <c r="S987" s="4">
        <f t="shared" si="490"/>
        <v>0</v>
      </c>
      <c r="T987" s="13">
        <f t="shared" si="495"/>
        <v>25.193000000000001</v>
      </c>
      <c r="U987" s="13">
        <f t="shared" si="504"/>
        <v>12.596500000000001</v>
      </c>
      <c r="V987" s="14">
        <f>U987/C987</f>
        <v>0.35</v>
      </c>
      <c r="W987" s="14"/>
      <c r="X987" s="19">
        <f t="shared" si="491"/>
        <v>12.596500000000001</v>
      </c>
      <c r="Y987" s="19">
        <f t="shared" si="492"/>
        <v>25.193000000000001</v>
      </c>
      <c r="Z987" s="15" t="e">
        <f t="shared" si="509"/>
        <v>#DIV/0!</v>
      </c>
      <c r="AA987" s="22" t="s">
        <v>4595</v>
      </c>
      <c r="AG987" s="94" t="s">
        <v>817</v>
      </c>
      <c r="AH987" s="89" t="str">
        <f>VLOOKUP(AG987,Sheet1!$B$3:$D$36,2,FALSE)</f>
        <v>Kitchen &amp; Dining</v>
      </c>
      <c r="AI987" s="89" t="s">
        <v>2077</v>
      </c>
      <c r="AJ987" s="1" t="str">
        <f t="shared" si="496"/>
        <v>Angeline</v>
      </c>
      <c r="AK987" s="1" t="str">
        <f t="shared" si="497"/>
        <v>w20 x d12 x h10</v>
      </c>
      <c r="AL987" s="1" t="str">
        <f t="shared" si="498"/>
        <v>teak branches outdoor</v>
      </c>
      <c r="AM987" s="1" t="str">
        <f t="shared" si="499"/>
        <v>teak branches outdoor</v>
      </c>
      <c r="AN987" s="1" t="str">
        <f t="shared" si="510"/>
        <v xml:space="preserve">teak branches </v>
      </c>
      <c r="AO987" s="1" t="s">
        <v>59</v>
      </c>
      <c r="AQ987" s="1" t="str">
        <f t="shared" si="500"/>
        <v>C</v>
      </c>
      <c r="AR987" s="1" t="str">
        <f>VLOOKUP(TRIM(AI987),Sheet1!$D$3:$E$36,2,FALSE)</f>
        <v>01</v>
      </c>
      <c r="AS987" s="90" t="str">
        <f t="shared" si="501"/>
        <v>03</v>
      </c>
      <c r="AT987" s="1" t="str">
        <f t="shared" si="502"/>
        <v>01</v>
      </c>
      <c r="AU987" s="90" t="s">
        <v>664</v>
      </c>
      <c r="AV987" s="90"/>
      <c r="AW987" s="90"/>
      <c r="AX987" s="95" t="str">
        <f>AQ987&amp;AR987&amp;AS987&amp;"-"&amp;AT987&amp;AU987&amp;BA987</f>
        <v>C0103-0127OUT</v>
      </c>
      <c r="AY987" s="99" t="str">
        <f>AQ987&amp;AR987&amp;AS987&amp;"-"&amp;AT987&amp;BA987</f>
        <v>C0103-01OUT</v>
      </c>
      <c r="AZ987" s="90"/>
      <c r="BA987" s="1" t="str">
        <f t="shared" si="503"/>
        <v>OUT</v>
      </c>
      <c r="BC987" s="1" t="str">
        <f t="shared" si="486"/>
        <v/>
      </c>
      <c r="BD987" s="90">
        <f t="shared" si="487"/>
        <v>3</v>
      </c>
      <c r="BE987" s="1">
        <f t="shared" si="506"/>
        <v>1</v>
      </c>
      <c r="BF987" s="1">
        <f t="shared" si="507"/>
        <v>1</v>
      </c>
    </row>
    <row r="988" spans="1:58" ht="11.25" customHeight="1">
      <c r="A988" s="26" t="s">
        <v>4596</v>
      </c>
      <c r="B988" s="27" t="s">
        <v>4584</v>
      </c>
      <c r="C988" s="28">
        <v>47.99</v>
      </c>
      <c r="D988" s="28">
        <f t="shared" si="494"/>
        <v>23.995000000000001</v>
      </c>
      <c r="E988" s="22" t="s">
        <v>4467</v>
      </c>
      <c r="F988" s="22" t="s">
        <v>4597</v>
      </c>
      <c r="G988" s="22" t="s">
        <v>73</v>
      </c>
      <c r="H988" s="22" t="s">
        <v>4598</v>
      </c>
      <c r="I988" s="23" t="s">
        <v>3227</v>
      </c>
      <c r="J988" s="22" t="s">
        <v>646</v>
      </c>
      <c r="K988" s="23">
        <v>30</v>
      </c>
      <c r="L988" s="23">
        <v>12</v>
      </c>
      <c r="M988" s="23">
        <v>10</v>
      </c>
      <c r="N988" s="3">
        <f t="shared" si="488"/>
        <v>3.5999999999999999E-3</v>
      </c>
      <c r="O988" s="4" t="e">
        <f>(C988-(C988*#REF!))-((C988-(C988*#REF!))*#REF!)</f>
        <v>#REF!</v>
      </c>
      <c r="P988" s="7"/>
      <c r="Q988" s="7"/>
      <c r="R988" s="5">
        <f t="shared" si="489"/>
        <v>0</v>
      </c>
      <c r="S988" s="4">
        <f t="shared" si="490"/>
        <v>0</v>
      </c>
      <c r="T988" s="13">
        <f t="shared" si="495"/>
        <v>33.593000000000004</v>
      </c>
      <c r="U988" s="13">
        <f t="shared" si="504"/>
        <v>16.796500000000002</v>
      </c>
      <c r="V988" s="14">
        <f>U988/C988</f>
        <v>0.35000000000000003</v>
      </c>
      <c r="W988" s="14"/>
      <c r="X988" s="19">
        <f t="shared" si="491"/>
        <v>16.796500000000002</v>
      </c>
      <c r="Y988" s="19">
        <f t="shared" si="492"/>
        <v>33.593000000000004</v>
      </c>
      <c r="Z988" s="15" t="e">
        <f t="shared" si="509"/>
        <v>#DIV/0!</v>
      </c>
      <c r="AA988" s="22" t="s">
        <v>4599</v>
      </c>
      <c r="AG988" s="94" t="s">
        <v>817</v>
      </c>
      <c r="AH988" s="89" t="str">
        <f>VLOOKUP(AG988,Sheet1!$B$3:$D$36,2,FALSE)</f>
        <v>Kitchen &amp; Dining</v>
      </c>
      <c r="AI988" s="89" t="s">
        <v>2077</v>
      </c>
      <c r="AJ988" s="1" t="str">
        <f t="shared" si="496"/>
        <v>Angeline</v>
      </c>
      <c r="AK988" s="1" t="str">
        <f t="shared" si="497"/>
        <v>w30 x d12 x h10</v>
      </c>
      <c r="AL988" s="1" t="str">
        <f t="shared" si="498"/>
        <v>teak branches outdoor</v>
      </c>
      <c r="AM988" s="1" t="str">
        <f t="shared" si="499"/>
        <v>teak branches outdoor</v>
      </c>
      <c r="AN988" s="1" t="str">
        <f t="shared" si="510"/>
        <v xml:space="preserve">teak branches </v>
      </c>
      <c r="AO988" s="1" t="s">
        <v>59</v>
      </c>
      <c r="AQ988" s="1" t="str">
        <f t="shared" si="500"/>
        <v>C</v>
      </c>
      <c r="AR988" s="1" t="str">
        <f>VLOOKUP(TRIM(AI988),Sheet1!$D$3:$E$36,2,FALSE)</f>
        <v>01</v>
      </c>
      <c r="AS988" s="90" t="str">
        <f t="shared" si="501"/>
        <v>04</v>
      </c>
      <c r="AT988" s="1" t="str">
        <f t="shared" si="502"/>
        <v>01</v>
      </c>
      <c r="AU988" s="90" t="s">
        <v>664</v>
      </c>
      <c r="AV988" s="90"/>
      <c r="AW988" s="90"/>
      <c r="AX988" s="95" t="str">
        <f>AQ988&amp;AR988&amp;AS988&amp;"-"&amp;AT988&amp;AU988&amp;BA988</f>
        <v>C0104-0127OUT</v>
      </c>
      <c r="AY988" s="99" t="str">
        <f>AQ988&amp;AR988&amp;AS988&amp;"-"&amp;AT988&amp;BA988</f>
        <v>C0104-01OUT</v>
      </c>
      <c r="AZ988" s="90"/>
      <c r="BA988" s="1" t="str">
        <f t="shared" si="503"/>
        <v>OUT</v>
      </c>
      <c r="BC988" s="1" t="str">
        <f t="shared" si="486"/>
        <v/>
      </c>
      <c r="BD988" s="90">
        <f t="shared" si="487"/>
        <v>4</v>
      </c>
      <c r="BE988" s="1">
        <f t="shared" si="506"/>
        <v>1</v>
      </c>
      <c r="BF988" s="1">
        <f t="shared" si="507"/>
        <v>1</v>
      </c>
    </row>
    <row r="989" spans="1:58" ht="11.25" customHeight="1">
      <c r="A989" s="26" t="s">
        <v>4600</v>
      </c>
      <c r="B989" s="27" t="s">
        <v>4584</v>
      </c>
      <c r="C989" s="28">
        <v>47.99</v>
      </c>
      <c r="D989" s="28">
        <f t="shared" si="494"/>
        <v>23.995000000000001</v>
      </c>
      <c r="E989" s="22" t="s">
        <v>4467</v>
      </c>
      <c r="F989" s="22" t="s">
        <v>4601</v>
      </c>
      <c r="G989" s="22" t="s">
        <v>73</v>
      </c>
      <c r="H989" s="22" t="s">
        <v>4602</v>
      </c>
      <c r="I989" s="23" t="s">
        <v>3227</v>
      </c>
      <c r="J989" s="22" t="s">
        <v>646</v>
      </c>
      <c r="K989" s="23">
        <v>40</v>
      </c>
      <c r="L989" s="23">
        <v>12</v>
      </c>
      <c r="M989" s="23">
        <v>10</v>
      </c>
      <c r="N989" s="3">
        <f t="shared" si="488"/>
        <v>4.7999999999999996E-3</v>
      </c>
      <c r="O989" s="4" t="e">
        <f>(C989-(C989*#REF!))-((C989-(C989*#REF!))*#REF!)</f>
        <v>#REF!</v>
      </c>
      <c r="P989" s="7"/>
      <c r="Q989" s="7"/>
      <c r="R989" s="5">
        <f t="shared" si="489"/>
        <v>0</v>
      </c>
      <c r="S989" s="4">
        <f t="shared" si="490"/>
        <v>0</v>
      </c>
      <c r="T989" s="13">
        <f t="shared" si="495"/>
        <v>33.593000000000004</v>
      </c>
      <c r="U989" s="13">
        <f t="shared" si="504"/>
        <v>16.796500000000002</v>
      </c>
      <c r="V989" s="14">
        <f>U989/C989</f>
        <v>0.35000000000000003</v>
      </c>
      <c r="W989" s="14"/>
      <c r="X989" s="19">
        <f t="shared" si="491"/>
        <v>16.796500000000002</v>
      </c>
      <c r="Y989" s="19">
        <f t="shared" si="492"/>
        <v>33.593000000000004</v>
      </c>
      <c r="Z989" s="15" t="e">
        <f t="shared" si="509"/>
        <v>#DIV/0!</v>
      </c>
      <c r="AA989" s="22" t="s">
        <v>4587</v>
      </c>
      <c r="AG989" s="94" t="s">
        <v>817</v>
      </c>
      <c r="AH989" s="89" t="str">
        <f>VLOOKUP(AG989,Sheet1!$B$3:$D$36,2,FALSE)</f>
        <v>Kitchen &amp; Dining</v>
      </c>
      <c r="AI989" s="89" t="s">
        <v>2077</v>
      </c>
      <c r="AJ989" s="1" t="str">
        <f t="shared" si="496"/>
        <v>Angeline</v>
      </c>
      <c r="AK989" s="1" t="str">
        <f t="shared" si="497"/>
        <v>w40 x d12 x h10</v>
      </c>
      <c r="AL989" s="1" t="str">
        <f t="shared" si="498"/>
        <v>teak branches outdoor</v>
      </c>
      <c r="AM989" s="1" t="str">
        <f t="shared" si="499"/>
        <v>teak branches outdoor</v>
      </c>
      <c r="AN989" s="1" t="str">
        <f t="shared" si="510"/>
        <v xml:space="preserve">teak branches </v>
      </c>
      <c r="AO989" s="1" t="s">
        <v>59</v>
      </c>
      <c r="AQ989" s="1" t="str">
        <f t="shared" si="500"/>
        <v>C</v>
      </c>
      <c r="AR989" s="1" t="str">
        <f>VLOOKUP(TRIM(AI989),Sheet1!$D$3:$E$36,2,FALSE)</f>
        <v>01</v>
      </c>
      <c r="AS989" s="90" t="str">
        <f t="shared" si="501"/>
        <v>05</v>
      </c>
      <c r="AT989" s="1" t="str">
        <f t="shared" si="502"/>
        <v>01</v>
      </c>
      <c r="AU989" s="90" t="s">
        <v>664</v>
      </c>
      <c r="AV989" s="90"/>
      <c r="AW989" s="90"/>
      <c r="AX989" s="95" t="str">
        <f>AQ989&amp;AR989&amp;AS989&amp;"-"&amp;AT989&amp;AU989&amp;BA989</f>
        <v>C0105-0127OUT</v>
      </c>
      <c r="AY989" s="99" t="str">
        <f>AQ989&amp;AR989&amp;AS989&amp;"-"&amp;AT989&amp;BA989</f>
        <v>C0105-01OUT</v>
      </c>
      <c r="AZ989" s="90"/>
      <c r="BA989" s="1" t="str">
        <f t="shared" si="503"/>
        <v>OUT</v>
      </c>
      <c r="BC989" s="1" t="str">
        <f t="shared" si="486"/>
        <v/>
      </c>
      <c r="BD989" s="90">
        <f t="shared" si="487"/>
        <v>5</v>
      </c>
      <c r="BE989" s="1">
        <f t="shared" si="506"/>
        <v>1</v>
      </c>
      <c r="BF989" s="1">
        <f t="shared" si="507"/>
        <v>1</v>
      </c>
    </row>
    <row r="990" spans="1:58" ht="11.25" customHeight="1">
      <c r="A990" s="26" t="s">
        <v>4603</v>
      </c>
      <c r="B990" s="27" t="s">
        <v>4604</v>
      </c>
      <c r="C990" s="28">
        <v>1.99</v>
      </c>
      <c r="D990" s="28">
        <f t="shared" si="494"/>
        <v>0.995</v>
      </c>
      <c r="E990" s="22" t="s">
        <v>4467</v>
      </c>
      <c r="F990" s="22" t="s">
        <v>4605</v>
      </c>
      <c r="G990" s="22" t="s">
        <v>478</v>
      </c>
      <c r="H990" s="22" t="s">
        <v>4606</v>
      </c>
      <c r="I990" s="25" t="s">
        <v>2407</v>
      </c>
      <c r="J990" s="22" t="s">
        <v>646</v>
      </c>
      <c r="K990" s="23">
        <v>8</v>
      </c>
      <c r="L990" s="23">
        <v>5</v>
      </c>
      <c r="M990" s="23">
        <v>1</v>
      </c>
      <c r="N990" s="3">
        <f t="shared" si="488"/>
        <v>4.0000000000000003E-5</v>
      </c>
      <c r="O990" s="4" t="e">
        <f>(C990-(C990*#REF!))-((C990-(C990*#REF!))*#REF!)</f>
        <v>#REF!</v>
      </c>
      <c r="P990" s="7"/>
      <c r="Q990" s="7"/>
      <c r="R990" s="5">
        <f t="shared" si="489"/>
        <v>0</v>
      </c>
      <c r="S990" s="4">
        <f t="shared" si="490"/>
        <v>0</v>
      </c>
      <c r="T990" s="13">
        <f t="shared" si="495"/>
        <v>1.393</v>
      </c>
      <c r="U990" s="13">
        <f t="shared" si="504"/>
        <v>0.69650000000000001</v>
      </c>
      <c r="V990" s="14">
        <f>U990/C990</f>
        <v>0.35000000000000003</v>
      </c>
      <c r="W990" s="14"/>
      <c r="X990" s="19">
        <f t="shared" si="491"/>
        <v>0.69650000000000001</v>
      </c>
      <c r="Y990" s="19">
        <f t="shared" si="492"/>
        <v>1.393</v>
      </c>
      <c r="Z990" s="15" t="e">
        <f t="shared" si="509"/>
        <v>#DIV/0!</v>
      </c>
      <c r="AA990" s="22" t="s">
        <v>4607</v>
      </c>
      <c r="AG990" s="94" t="s">
        <v>817</v>
      </c>
      <c r="AH990" s="89" t="str">
        <f>VLOOKUP(AG990,Sheet1!$B$3:$D$36,2,FALSE)</f>
        <v>Kitchen &amp; Dining</v>
      </c>
      <c r="AI990" s="89" t="s">
        <v>2077</v>
      </c>
      <c r="AJ990" s="1" t="str">
        <f t="shared" si="496"/>
        <v>Marina plate teak</v>
      </c>
      <c r="AK990" s="1" t="str">
        <f t="shared" si="497"/>
        <v>w8 x d5 x h1</v>
      </c>
      <c r="AL990" s="1" t="str">
        <f t="shared" si="498"/>
        <v>teak root indoor</v>
      </c>
      <c r="AM990" s="1" t="str">
        <f t="shared" si="499"/>
        <v>teak root indoor</v>
      </c>
      <c r="AN990" s="1" t="str">
        <f t="shared" ref="AN990:AN997" si="511">SUBSTITUTE(AL990,"indoor","")</f>
        <v xml:space="preserve">teak root </v>
      </c>
      <c r="AO990" s="1" t="s">
        <v>54</v>
      </c>
      <c r="AQ990" s="1" t="str">
        <f t="shared" si="500"/>
        <v>C</v>
      </c>
      <c r="AR990" s="1" t="str">
        <f>VLOOKUP(TRIM(AI990),Sheet1!$D$3:$E$36,2,FALSE)</f>
        <v>01</v>
      </c>
      <c r="AS990" s="90" t="str">
        <f t="shared" si="501"/>
        <v>01</v>
      </c>
      <c r="AT990" s="1" t="str">
        <f t="shared" si="502"/>
        <v>01</v>
      </c>
      <c r="AU990" s="90" t="s">
        <v>648</v>
      </c>
      <c r="AV990" s="90"/>
      <c r="AW990" s="90"/>
      <c r="AX990" s="95" t="str">
        <f>AQ990&amp;AR990&amp;AS990&amp;"-"&amp;AT990&amp;AU990&amp;BA990</f>
        <v>C0101-0132IND</v>
      </c>
      <c r="AY990" s="99" t="str">
        <f>AQ990&amp;AR990&amp;AS990&amp;"-"&amp;AT990&amp;BA990</f>
        <v>C0101-01IND</v>
      </c>
      <c r="AZ990" s="90"/>
      <c r="BA990" s="1" t="str">
        <f t="shared" si="503"/>
        <v>IND</v>
      </c>
      <c r="BC990" s="1">
        <f t="shared" si="486"/>
        <v>1</v>
      </c>
      <c r="BD990" s="90">
        <f t="shared" si="487"/>
        <v>1</v>
      </c>
      <c r="BE990" s="1">
        <f t="shared" si="506"/>
        <v>1</v>
      </c>
      <c r="BF990" s="1">
        <f t="shared" si="507"/>
        <v>1</v>
      </c>
    </row>
    <row r="991" spans="1:58" ht="11.25" customHeight="1">
      <c r="A991" s="26" t="s">
        <v>4608</v>
      </c>
      <c r="B991" s="27" t="s">
        <v>4604</v>
      </c>
      <c r="C991" s="28">
        <v>2.99</v>
      </c>
      <c r="D991" s="28">
        <f t="shared" si="494"/>
        <v>1.4950000000000001</v>
      </c>
      <c r="E991" s="22" t="s">
        <v>4467</v>
      </c>
      <c r="F991" s="22" t="s">
        <v>4609</v>
      </c>
      <c r="G991" s="22" t="s">
        <v>478</v>
      </c>
      <c r="H991" s="22" t="s">
        <v>4610</v>
      </c>
      <c r="I991" s="25" t="s">
        <v>2407</v>
      </c>
      <c r="J991" s="22" t="s">
        <v>646</v>
      </c>
      <c r="K991" s="23">
        <v>8</v>
      </c>
      <c r="L991" s="23">
        <v>7</v>
      </c>
      <c r="M991" s="23">
        <v>0.3</v>
      </c>
      <c r="N991" s="3">
        <f t="shared" si="488"/>
        <v>1.6800000000000002E-5</v>
      </c>
      <c r="O991" s="4" t="e">
        <f>(C991-(C991*#REF!))-((C991-(C991*#REF!))*#REF!)</f>
        <v>#REF!</v>
      </c>
      <c r="P991" s="7"/>
      <c r="Q991" s="7"/>
      <c r="R991" s="5">
        <f t="shared" si="489"/>
        <v>0</v>
      </c>
      <c r="S991" s="4">
        <f t="shared" si="490"/>
        <v>0</v>
      </c>
      <c r="T991" s="13">
        <f t="shared" si="495"/>
        <v>2.093</v>
      </c>
      <c r="U991" s="13">
        <f t="shared" si="504"/>
        <v>1.0465</v>
      </c>
      <c r="V991" s="14">
        <f>U991/C991</f>
        <v>0.35</v>
      </c>
      <c r="W991" s="14"/>
      <c r="X991" s="19">
        <f t="shared" si="491"/>
        <v>1.0465</v>
      </c>
      <c r="Y991" s="19">
        <f t="shared" si="492"/>
        <v>2.093</v>
      </c>
      <c r="Z991" s="15" t="e">
        <f t="shared" si="509"/>
        <v>#DIV/0!</v>
      </c>
      <c r="AA991" s="22" t="s">
        <v>4611</v>
      </c>
      <c r="AG991" s="94" t="s">
        <v>817</v>
      </c>
      <c r="AH991" s="89" t="str">
        <f>VLOOKUP(AG991,Sheet1!$B$3:$D$36,2,FALSE)</f>
        <v>Kitchen &amp; Dining</v>
      </c>
      <c r="AI991" s="89" t="s">
        <v>2077</v>
      </c>
      <c r="AJ991" s="1" t="str">
        <f t="shared" si="496"/>
        <v>Marina plate teak</v>
      </c>
      <c r="AK991" s="1" t="str">
        <f t="shared" si="497"/>
        <v>w8 x d7 x h0,3</v>
      </c>
      <c r="AL991" s="1" t="str">
        <f t="shared" si="498"/>
        <v>teak root indoor</v>
      </c>
      <c r="AM991" s="1" t="str">
        <f t="shared" si="499"/>
        <v>teak root indoor</v>
      </c>
      <c r="AN991" s="1" t="str">
        <f t="shared" si="511"/>
        <v xml:space="preserve">teak root </v>
      </c>
      <c r="AO991" s="1" t="s">
        <v>54</v>
      </c>
      <c r="AQ991" s="1" t="str">
        <f t="shared" si="500"/>
        <v>C</v>
      </c>
      <c r="AR991" s="1" t="str">
        <f>VLOOKUP(TRIM(AI991),Sheet1!$D$3:$E$36,2,FALSE)</f>
        <v>01</v>
      </c>
      <c r="AS991" s="90" t="str">
        <f t="shared" si="501"/>
        <v>02</v>
      </c>
      <c r="AT991" s="1" t="str">
        <f t="shared" si="502"/>
        <v>01</v>
      </c>
      <c r="AU991" s="90" t="s">
        <v>648</v>
      </c>
      <c r="AV991" s="90"/>
      <c r="AW991" s="90"/>
      <c r="AX991" s="95" t="str">
        <f>AQ991&amp;AR991&amp;AS991&amp;"-"&amp;AT991&amp;AU991&amp;BA991</f>
        <v>C0102-0132IND</v>
      </c>
      <c r="AY991" s="99" t="str">
        <f>AQ991&amp;AR991&amp;AS991&amp;"-"&amp;AT991&amp;BA991</f>
        <v>C0102-01IND</v>
      </c>
      <c r="AZ991" s="90"/>
      <c r="BA991" s="1" t="str">
        <f t="shared" si="503"/>
        <v>IND</v>
      </c>
      <c r="BC991" s="1" t="str">
        <f t="shared" si="486"/>
        <v/>
      </c>
      <c r="BD991" s="90">
        <f t="shared" si="487"/>
        <v>2</v>
      </c>
      <c r="BE991" s="1">
        <f t="shared" si="506"/>
        <v>1</v>
      </c>
      <c r="BF991" s="1">
        <f t="shared" si="507"/>
        <v>1</v>
      </c>
    </row>
    <row r="992" spans="1:58" ht="11.25" customHeight="1">
      <c r="A992" s="26" t="s">
        <v>4612</v>
      </c>
      <c r="B992" s="27" t="s">
        <v>4604</v>
      </c>
      <c r="C992" s="28">
        <v>5.99</v>
      </c>
      <c r="D992" s="28">
        <f t="shared" si="494"/>
        <v>2.9950000000000001</v>
      </c>
      <c r="E992" s="22" t="s">
        <v>4467</v>
      </c>
      <c r="F992" s="22" t="s">
        <v>4613</v>
      </c>
      <c r="G992" s="22" t="s">
        <v>478</v>
      </c>
      <c r="H992" s="22" t="s">
        <v>4614</v>
      </c>
      <c r="I992" s="25" t="s">
        <v>2407</v>
      </c>
      <c r="J992" s="22" t="s">
        <v>646</v>
      </c>
      <c r="K992" s="23">
        <v>15</v>
      </c>
      <c r="L992" s="23">
        <v>10</v>
      </c>
      <c r="M992" s="23">
        <v>0.3</v>
      </c>
      <c r="N992" s="3">
        <f t="shared" si="488"/>
        <v>4.5000000000000003E-5</v>
      </c>
      <c r="O992" s="4" t="e">
        <f>(C992-(C992*#REF!))-((C992-(C992*#REF!))*#REF!)</f>
        <v>#REF!</v>
      </c>
      <c r="P992" s="7"/>
      <c r="Q992" s="7"/>
      <c r="R992" s="5">
        <f t="shared" si="489"/>
        <v>0</v>
      </c>
      <c r="S992" s="4">
        <f t="shared" si="490"/>
        <v>0</v>
      </c>
      <c r="T992" s="13">
        <f t="shared" si="495"/>
        <v>4.1930000000000005</v>
      </c>
      <c r="U992" s="13">
        <f t="shared" si="504"/>
        <v>2.0965000000000003</v>
      </c>
      <c r="V992" s="14">
        <f>U992/C992</f>
        <v>0.35000000000000003</v>
      </c>
      <c r="W992" s="14"/>
      <c r="X992" s="19">
        <f t="shared" si="491"/>
        <v>2.0965000000000003</v>
      </c>
      <c r="Y992" s="19">
        <f t="shared" si="492"/>
        <v>4.1930000000000005</v>
      </c>
      <c r="Z992" s="15" t="e">
        <f t="shared" si="509"/>
        <v>#DIV/0!</v>
      </c>
      <c r="AA992" s="22" t="s">
        <v>4615</v>
      </c>
      <c r="AG992" s="94" t="s">
        <v>817</v>
      </c>
      <c r="AH992" s="89" t="str">
        <f>VLOOKUP(AG992,Sheet1!$B$3:$D$36,2,FALSE)</f>
        <v>Kitchen &amp; Dining</v>
      </c>
      <c r="AI992" s="89" t="s">
        <v>2077</v>
      </c>
      <c r="AJ992" s="1" t="str">
        <f t="shared" si="496"/>
        <v>Marina plate teak</v>
      </c>
      <c r="AK992" s="1" t="str">
        <f t="shared" si="497"/>
        <v>w15 x d10 x h0,3</v>
      </c>
      <c r="AL992" s="1" t="str">
        <f t="shared" si="498"/>
        <v>teak root indoor</v>
      </c>
      <c r="AM992" s="1" t="str">
        <f t="shared" si="499"/>
        <v>teak root indoor</v>
      </c>
      <c r="AN992" s="1" t="str">
        <f t="shared" si="511"/>
        <v xml:space="preserve">teak root </v>
      </c>
      <c r="AO992" s="1" t="s">
        <v>54</v>
      </c>
      <c r="AQ992" s="1" t="str">
        <f t="shared" si="500"/>
        <v>C</v>
      </c>
      <c r="AR992" s="1" t="str">
        <f>VLOOKUP(TRIM(AI992),Sheet1!$D$3:$E$36,2,FALSE)</f>
        <v>01</v>
      </c>
      <c r="AS992" s="90" t="str">
        <f t="shared" si="501"/>
        <v>03</v>
      </c>
      <c r="AT992" s="1" t="str">
        <f t="shared" si="502"/>
        <v>01</v>
      </c>
      <c r="AU992" s="90" t="s">
        <v>648</v>
      </c>
      <c r="AV992" s="90"/>
      <c r="AW992" s="90"/>
      <c r="AX992" s="95" t="str">
        <f>AQ992&amp;AR992&amp;AS992&amp;"-"&amp;AT992&amp;AU992&amp;BA992</f>
        <v>C0103-0132IND</v>
      </c>
      <c r="AY992" s="99" t="str">
        <f>AQ992&amp;AR992&amp;AS992&amp;"-"&amp;AT992&amp;BA992</f>
        <v>C0103-01IND</v>
      </c>
      <c r="AZ992" s="90"/>
      <c r="BA992" s="1" t="str">
        <f t="shared" si="503"/>
        <v>IND</v>
      </c>
      <c r="BC992" s="1" t="str">
        <f t="shared" si="486"/>
        <v/>
      </c>
      <c r="BD992" s="90">
        <f t="shared" si="487"/>
        <v>3</v>
      </c>
      <c r="BE992" s="1">
        <f t="shared" si="506"/>
        <v>1</v>
      </c>
      <c r="BF992" s="1">
        <f t="shared" si="507"/>
        <v>1</v>
      </c>
    </row>
    <row r="993" spans="1:58" ht="11.25" customHeight="1">
      <c r="A993" s="26" t="s">
        <v>4616</v>
      </c>
      <c r="B993" s="27" t="s">
        <v>4604</v>
      </c>
      <c r="C993" s="28">
        <v>27.99</v>
      </c>
      <c r="D993" s="28">
        <f t="shared" si="494"/>
        <v>13.994999999999999</v>
      </c>
      <c r="E993" s="22" t="s">
        <v>4467</v>
      </c>
      <c r="F993" s="22" t="s">
        <v>4617</v>
      </c>
      <c r="G993" s="22" t="s">
        <v>478</v>
      </c>
      <c r="H993" s="22" t="s">
        <v>4618</v>
      </c>
      <c r="I993" s="25" t="s">
        <v>2407</v>
      </c>
      <c r="J993" s="22" t="s">
        <v>646</v>
      </c>
      <c r="K993" s="23">
        <v>40</v>
      </c>
      <c r="L993" s="23">
        <v>30</v>
      </c>
      <c r="M993" s="23">
        <v>0.3</v>
      </c>
      <c r="N993" s="3">
        <f t="shared" si="488"/>
        <v>3.6000000000000002E-4</v>
      </c>
      <c r="O993" s="4" t="e">
        <f>(C993-(C993*#REF!))-((C993-(C993*#REF!))*#REF!)</f>
        <v>#REF!</v>
      </c>
      <c r="P993" s="7"/>
      <c r="Q993" s="7"/>
      <c r="R993" s="5">
        <f t="shared" si="489"/>
        <v>0</v>
      </c>
      <c r="S993" s="4">
        <f t="shared" si="490"/>
        <v>0</v>
      </c>
      <c r="T993" s="13">
        <f t="shared" si="495"/>
        <v>19.593</v>
      </c>
      <c r="U993" s="13">
        <f t="shared" si="504"/>
        <v>9.7965</v>
      </c>
      <c r="V993" s="14">
        <f>U993/C993</f>
        <v>0.35000000000000003</v>
      </c>
      <c r="W993" s="14"/>
      <c r="X993" s="19">
        <f t="shared" si="491"/>
        <v>9.7965</v>
      </c>
      <c r="Y993" s="19">
        <f t="shared" si="492"/>
        <v>19.593</v>
      </c>
      <c r="Z993" s="15" t="e">
        <f t="shared" si="509"/>
        <v>#DIV/0!</v>
      </c>
      <c r="AA993" s="22" t="s">
        <v>4611</v>
      </c>
      <c r="AG993" s="94" t="s">
        <v>817</v>
      </c>
      <c r="AH993" s="89" t="str">
        <f>VLOOKUP(AG993,Sheet1!$B$3:$D$36,2,FALSE)</f>
        <v>Kitchen &amp; Dining</v>
      </c>
      <c r="AI993" s="89" t="s">
        <v>2077</v>
      </c>
      <c r="AJ993" s="1" t="str">
        <f t="shared" si="496"/>
        <v>Marina plate teak</v>
      </c>
      <c r="AK993" s="1" t="str">
        <f t="shared" si="497"/>
        <v>w40 x d30 x h0,3</v>
      </c>
      <c r="AL993" s="1" t="str">
        <f t="shared" si="498"/>
        <v>teak root indoor</v>
      </c>
      <c r="AM993" s="1" t="str">
        <f t="shared" si="499"/>
        <v>teak root indoor</v>
      </c>
      <c r="AN993" s="1" t="str">
        <f t="shared" si="511"/>
        <v xml:space="preserve">teak root </v>
      </c>
      <c r="AO993" s="1" t="s">
        <v>54</v>
      </c>
      <c r="AQ993" s="1" t="str">
        <f t="shared" si="500"/>
        <v>C</v>
      </c>
      <c r="AR993" s="1" t="str">
        <f>VLOOKUP(TRIM(AI993),Sheet1!$D$3:$E$36,2,FALSE)</f>
        <v>01</v>
      </c>
      <c r="AS993" s="90" t="str">
        <f t="shared" si="501"/>
        <v>04</v>
      </c>
      <c r="AT993" s="1" t="str">
        <f t="shared" si="502"/>
        <v>01</v>
      </c>
      <c r="AU993" s="90" t="s">
        <v>648</v>
      </c>
      <c r="AV993" s="90"/>
      <c r="AW993" s="90"/>
      <c r="AX993" s="95" t="str">
        <f>AQ993&amp;AR993&amp;AS993&amp;"-"&amp;AT993&amp;AU993&amp;BA993</f>
        <v>C0104-0132IND</v>
      </c>
      <c r="AY993" s="99" t="str">
        <f>AQ993&amp;AR993&amp;AS993&amp;"-"&amp;AT993&amp;BA993</f>
        <v>C0104-01IND</v>
      </c>
      <c r="AZ993" s="90"/>
      <c r="BA993" s="1" t="str">
        <f t="shared" si="503"/>
        <v>IND</v>
      </c>
      <c r="BC993" s="1" t="str">
        <f t="shared" si="486"/>
        <v/>
      </c>
      <c r="BD993" s="90">
        <f t="shared" si="487"/>
        <v>4</v>
      </c>
      <c r="BE993" s="1">
        <f t="shared" si="506"/>
        <v>1</v>
      </c>
      <c r="BF993" s="1">
        <f t="shared" si="507"/>
        <v>1</v>
      </c>
    </row>
    <row r="994" spans="1:58" ht="11.25" customHeight="1">
      <c r="A994" s="26" t="s">
        <v>4619</v>
      </c>
      <c r="B994" s="27" t="s">
        <v>4620</v>
      </c>
      <c r="C994" s="28">
        <v>11.99</v>
      </c>
      <c r="D994" s="28">
        <f t="shared" si="494"/>
        <v>5.9950000000000001</v>
      </c>
      <c r="E994" s="22" t="s">
        <v>4467</v>
      </c>
      <c r="F994" s="22" t="s">
        <v>4621</v>
      </c>
      <c r="G994" s="22" t="s">
        <v>296</v>
      </c>
      <c r="H994" s="22" t="s">
        <v>4622</v>
      </c>
      <c r="I994" s="25" t="s">
        <v>2407</v>
      </c>
      <c r="J994" s="22" t="s">
        <v>646</v>
      </c>
      <c r="L994" s="23">
        <v>18</v>
      </c>
      <c r="M994" s="23">
        <v>1</v>
      </c>
      <c r="N994" s="3">
        <f t="shared" si="488"/>
        <v>3.2400000000000001E-4</v>
      </c>
      <c r="O994" s="4" t="e">
        <f>(C994-(C994*#REF!))-((C994-(C994*#REF!))*#REF!)</f>
        <v>#REF!</v>
      </c>
      <c r="P994" s="7"/>
      <c r="Q994" s="7"/>
      <c r="R994" s="5">
        <f t="shared" si="489"/>
        <v>0</v>
      </c>
      <c r="S994" s="4">
        <f t="shared" si="490"/>
        <v>0</v>
      </c>
      <c r="T994" s="13">
        <f t="shared" si="495"/>
        <v>8.3930000000000007</v>
      </c>
      <c r="U994" s="13">
        <f t="shared" si="504"/>
        <v>4.1965000000000003</v>
      </c>
      <c r="V994" s="14">
        <f>U994/C994</f>
        <v>0.35000000000000003</v>
      </c>
      <c r="W994" s="14"/>
      <c r="X994" s="19">
        <f t="shared" si="491"/>
        <v>4.1965000000000003</v>
      </c>
      <c r="Y994" s="19">
        <f t="shared" si="492"/>
        <v>8.3930000000000007</v>
      </c>
      <c r="Z994" s="15" t="e">
        <f t="shared" si="509"/>
        <v>#DIV/0!</v>
      </c>
      <c r="AA994" s="22" t="s">
        <v>4623</v>
      </c>
      <c r="AG994" s="94" t="s">
        <v>817</v>
      </c>
      <c r="AH994" s="89" t="str">
        <f>VLOOKUP(AG994,Sheet1!$B$3:$D$36,2,FALSE)</f>
        <v>Kitchen &amp; Dining</v>
      </c>
      <c r="AI994" s="89" t="s">
        <v>2077</v>
      </c>
      <c r="AJ994" s="1" t="str">
        <f t="shared" si="496"/>
        <v>Grany plate</v>
      </c>
      <c r="AK994" s="1" t="str">
        <f t="shared" si="497"/>
        <v>ø18 x h1</v>
      </c>
      <c r="AL994" s="1" t="str">
        <f t="shared" si="498"/>
        <v>teak root indoor</v>
      </c>
      <c r="AM994" s="1" t="str">
        <f t="shared" si="499"/>
        <v>teak root indoor</v>
      </c>
      <c r="AN994" s="1" t="str">
        <f t="shared" si="511"/>
        <v xml:space="preserve">teak root </v>
      </c>
      <c r="AO994" s="1" t="s">
        <v>54</v>
      </c>
      <c r="AQ994" s="1" t="str">
        <f t="shared" si="500"/>
        <v>C</v>
      </c>
      <c r="AR994" s="1" t="str">
        <f>VLOOKUP(TRIM(AI994),Sheet1!$D$3:$E$36,2,FALSE)</f>
        <v>01</v>
      </c>
      <c r="AS994" s="90" t="str">
        <f t="shared" si="501"/>
        <v>01</v>
      </c>
      <c r="AT994" s="1" t="str">
        <f t="shared" si="502"/>
        <v>01</v>
      </c>
      <c r="AU994" s="90" t="s">
        <v>648</v>
      </c>
      <c r="AV994" s="90"/>
      <c r="AW994" s="90"/>
      <c r="AX994" s="95" t="str">
        <f>AQ994&amp;AR994&amp;AS994&amp;"-"&amp;AT994&amp;AU994&amp;BA994</f>
        <v>C0101-0132IND</v>
      </c>
      <c r="AY994" s="99" t="str">
        <f>AQ994&amp;AR994&amp;AS994&amp;"-"&amp;AT994&amp;BA994</f>
        <v>C0101-01IND</v>
      </c>
      <c r="AZ994" s="90"/>
      <c r="BA994" s="1" t="str">
        <f t="shared" si="503"/>
        <v>IND</v>
      </c>
      <c r="BC994" s="1">
        <f t="shared" si="486"/>
        <v>1</v>
      </c>
      <c r="BD994" s="90">
        <f t="shared" si="487"/>
        <v>1</v>
      </c>
      <c r="BE994" s="1">
        <f t="shared" si="506"/>
        <v>1</v>
      </c>
      <c r="BF994" s="1">
        <f t="shared" si="507"/>
        <v>1</v>
      </c>
    </row>
    <row r="995" spans="1:58" ht="11.25" customHeight="1">
      <c r="A995" s="26" t="s">
        <v>4624</v>
      </c>
      <c r="B995" s="27" t="s">
        <v>4620</v>
      </c>
      <c r="C995" s="28">
        <v>14.99</v>
      </c>
      <c r="D995" s="28">
        <f t="shared" si="494"/>
        <v>7.4950000000000001</v>
      </c>
      <c r="E995" s="22" t="s">
        <v>4467</v>
      </c>
      <c r="F995" s="22" t="s">
        <v>4625</v>
      </c>
      <c r="G995" s="22" t="s">
        <v>296</v>
      </c>
      <c r="H995" s="22" t="s">
        <v>4626</v>
      </c>
      <c r="I995" s="25" t="s">
        <v>2407</v>
      </c>
      <c r="J995" s="22" t="s">
        <v>646</v>
      </c>
      <c r="L995" s="23">
        <v>24</v>
      </c>
      <c r="M995" s="23">
        <v>1</v>
      </c>
      <c r="N995" s="3">
        <f t="shared" si="488"/>
        <v>5.7600000000000001E-4</v>
      </c>
      <c r="O995" s="4" t="e">
        <f>(C995-(C995*#REF!))-((C995-(C995*#REF!))*#REF!)</f>
        <v>#REF!</v>
      </c>
      <c r="P995" s="7"/>
      <c r="Q995" s="7"/>
      <c r="R995" s="5">
        <f t="shared" si="489"/>
        <v>0</v>
      </c>
      <c r="S995" s="4">
        <f t="shared" si="490"/>
        <v>0</v>
      </c>
      <c r="T995" s="13">
        <f t="shared" si="495"/>
        <v>10.493</v>
      </c>
      <c r="U995" s="13">
        <f t="shared" si="504"/>
        <v>5.2465000000000002</v>
      </c>
      <c r="V995" s="14">
        <f>U995/C995</f>
        <v>0.35000000000000003</v>
      </c>
      <c r="W995" s="14"/>
      <c r="X995" s="19">
        <f t="shared" si="491"/>
        <v>5.2465000000000002</v>
      </c>
      <c r="Y995" s="19">
        <f t="shared" si="492"/>
        <v>10.493</v>
      </c>
      <c r="Z995" s="15" t="e">
        <f t="shared" si="509"/>
        <v>#DIV/0!</v>
      </c>
      <c r="AA995" s="22" t="s">
        <v>4623</v>
      </c>
      <c r="AG995" s="94" t="s">
        <v>817</v>
      </c>
      <c r="AH995" s="89" t="str">
        <f>VLOOKUP(AG995,Sheet1!$B$3:$D$36,2,FALSE)</f>
        <v>Kitchen &amp; Dining</v>
      </c>
      <c r="AI995" s="89" t="s">
        <v>2077</v>
      </c>
      <c r="AJ995" s="1" t="str">
        <f t="shared" si="496"/>
        <v>Grany plate</v>
      </c>
      <c r="AK995" s="1" t="str">
        <f t="shared" si="497"/>
        <v>ø24 x h1</v>
      </c>
      <c r="AL995" s="1" t="str">
        <f t="shared" si="498"/>
        <v>teak root indoor</v>
      </c>
      <c r="AM995" s="1" t="str">
        <f t="shared" si="499"/>
        <v>teak root indoor</v>
      </c>
      <c r="AN995" s="1" t="str">
        <f t="shared" si="511"/>
        <v xml:space="preserve">teak root </v>
      </c>
      <c r="AO995" s="1" t="s">
        <v>54</v>
      </c>
      <c r="AQ995" s="1" t="str">
        <f t="shared" si="500"/>
        <v>C</v>
      </c>
      <c r="AR995" s="1" t="str">
        <f>VLOOKUP(TRIM(AI995),Sheet1!$D$3:$E$36,2,FALSE)</f>
        <v>01</v>
      </c>
      <c r="AS995" s="90" t="str">
        <f t="shared" si="501"/>
        <v>02</v>
      </c>
      <c r="AT995" s="1" t="str">
        <f t="shared" si="502"/>
        <v>01</v>
      </c>
      <c r="AU995" s="90" t="s">
        <v>648</v>
      </c>
      <c r="AV995" s="90"/>
      <c r="AW995" s="90"/>
      <c r="AX995" s="95" t="str">
        <f>AQ995&amp;AR995&amp;AS995&amp;"-"&amp;AT995&amp;AU995&amp;BA995</f>
        <v>C0102-0132IND</v>
      </c>
      <c r="AY995" s="99" t="str">
        <f>AQ995&amp;AR995&amp;AS995&amp;"-"&amp;AT995&amp;BA995</f>
        <v>C0102-01IND</v>
      </c>
      <c r="AZ995" s="90"/>
      <c r="BA995" s="1" t="str">
        <f t="shared" si="503"/>
        <v>IND</v>
      </c>
      <c r="BC995" s="1" t="str">
        <f t="shared" si="486"/>
        <v/>
      </c>
      <c r="BD995" s="90">
        <f t="shared" si="487"/>
        <v>2</v>
      </c>
      <c r="BE995" s="1">
        <f t="shared" si="506"/>
        <v>1</v>
      </c>
      <c r="BF995" s="1">
        <f t="shared" si="507"/>
        <v>1</v>
      </c>
    </row>
    <row r="996" spans="1:58" ht="11.25" customHeight="1">
      <c r="A996" s="26" t="s">
        <v>4627</v>
      </c>
      <c r="B996" s="27" t="s">
        <v>4620</v>
      </c>
      <c r="C996" s="28">
        <v>17.989999999999998</v>
      </c>
      <c r="D996" s="28">
        <f t="shared" si="494"/>
        <v>8.9949999999999992</v>
      </c>
      <c r="E996" s="22" t="s">
        <v>4467</v>
      </c>
      <c r="F996" s="22" t="s">
        <v>4628</v>
      </c>
      <c r="G996" s="22" t="s">
        <v>296</v>
      </c>
      <c r="H996" s="22" t="s">
        <v>4629</v>
      </c>
      <c r="I996" s="25" t="s">
        <v>2407</v>
      </c>
      <c r="J996" s="22" t="s">
        <v>646</v>
      </c>
      <c r="L996" s="23">
        <v>27</v>
      </c>
      <c r="M996" s="23">
        <v>1</v>
      </c>
      <c r="N996" s="3">
        <f t="shared" si="488"/>
        <v>7.2900000000000005E-4</v>
      </c>
      <c r="O996" s="4" t="e">
        <f>(C996-(C996*#REF!))-((C996-(C996*#REF!))*#REF!)</f>
        <v>#REF!</v>
      </c>
      <c r="P996" s="7"/>
      <c r="Q996" s="7"/>
      <c r="R996" s="5">
        <f t="shared" si="489"/>
        <v>0</v>
      </c>
      <c r="S996" s="4">
        <f t="shared" si="490"/>
        <v>0</v>
      </c>
      <c r="T996" s="13">
        <f t="shared" si="495"/>
        <v>12.593</v>
      </c>
      <c r="U996" s="13">
        <f t="shared" si="504"/>
        <v>6.2965</v>
      </c>
      <c r="V996" s="14">
        <f>U996/C996</f>
        <v>0.35000000000000003</v>
      </c>
      <c r="W996" s="14"/>
      <c r="X996" s="19">
        <f t="shared" si="491"/>
        <v>6.2965</v>
      </c>
      <c r="Y996" s="19">
        <f t="shared" si="492"/>
        <v>12.593</v>
      </c>
      <c r="Z996" s="15" t="e">
        <f t="shared" si="509"/>
        <v>#DIV/0!</v>
      </c>
      <c r="AA996" s="22" t="s">
        <v>4630</v>
      </c>
      <c r="AG996" s="94" t="s">
        <v>817</v>
      </c>
      <c r="AH996" s="89" t="str">
        <f>VLOOKUP(AG996,Sheet1!$B$3:$D$36,2,FALSE)</f>
        <v>Kitchen &amp; Dining</v>
      </c>
      <c r="AI996" s="89" t="s">
        <v>2077</v>
      </c>
      <c r="AJ996" s="1" t="str">
        <f t="shared" si="496"/>
        <v>Grany plate</v>
      </c>
      <c r="AK996" s="1" t="str">
        <f t="shared" si="497"/>
        <v>ø27 x h1</v>
      </c>
      <c r="AL996" s="1" t="str">
        <f t="shared" si="498"/>
        <v>teak root indoor</v>
      </c>
      <c r="AM996" s="1" t="str">
        <f t="shared" si="499"/>
        <v>teak root indoor</v>
      </c>
      <c r="AN996" s="1" t="str">
        <f t="shared" si="511"/>
        <v xml:space="preserve">teak root </v>
      </c>
      <c r="AO996" s="1" t="s">
        <v>54</v>
      </c>
      <c r="AQ996" s="1" t="str">
        <f t="shared" si="500"/>
        <v>C</v>
      </c>
      <c r="AR996" s="1" t="str">
        <f>VLOOKUP(TRIM(AI996),Sheet1!$D$3:$E$36,2,FALSE)</f>
        <v>01</v>
      </c>
      <c r="AS996" s="90" t="str">
        <f t="shared" si="501"/>
        <v>03</v>
      </c>
      <c r="AT996" s="1" t="str">
        <f t="shared" si="502"/>
        <v>01</v>
      </c>
      <c r="AU996" s="90" t="s">
        <v>648</v>
      </c>
      <c r="AV996" s="90"/>
      <c r="AW996" s="90"/>
      <c r="AX996" s="95" t="str">
        <f>AQ996&amp;AR996&amp;AS996&amp;"-"&amp;AT996&amp;AU996&amp;BA996</f>
        <v>C0103-0132IND</v>
      </c>
      <c r="AY996" s="99" t="str">
        <f>AQ996&amp;AR996&amp;AS996&amp;"-"&amp;AT996&amp;BA996</f>
        <v>C0103-01IND</v>
      </c>
      <c r="AZ996" s="90"/>
      <c r="BA996" s="1" t="str">
        <f t="shared" si="503"/>
        <v>IND</v>
      </c>
      <c r="BC996" s="1" t="str">
        <f t="shared" si="486"/>
        <v/>
      </c>
      <c r="BD996" s="90">
        <f t="shared" si="487"/>
        <v>3</v>
      </c>
      <c r="BE996" s="1">
        <f t="shared" si="506"/>
        <v>1</v>
      </c>
      <c r="BF996" s="1">
        <f t="shared" si="507"/>
        <v>1</v>
      </c>
    </row>
    <row r="997" spans="1:58" ht="11.25" customHeight="1">
      <c r="A997" s="26" t="s">
        <v>4631</v>
      </c>
      <c r="B997" s="27" t="s">
        <v>4620</v>
      </c>
      <c r="C997" s="28">
        <v>20.99</v>
      </c>
      <c r="D997" s="28">
        <f t="shared" si="494"/>
        <v>10.494999999999999</v>
      </c>
      <c r="E997" s="22" t="s">
        <v>4467</v>
      </c>
      <c r="F997" s="22" t="s">
        <v>4632</v>
      </c>
      <c r="G997" s="22" t="s">
        <v>296</v>
      </c>
      <c r="H997" s="22" t="s">
        <v>4633</v>
      </c>
      <c r="I997" s="25" t="s">
        <v>2407</v>
      </c>
      <c r="J997" s="22" t="s">
        <v>646</v>
      </c>
      <c r="L997" s="23">
        <v>32</v>
      </c>
      <c r="M997" s="23">
        <v>1</v>
      </c>
      <c r="N997" s="3">
        <f t="shared" si="488"/>
        <v>1.024E-3</v>
      </c>
      <c r="O997" s="4" t="e">
        <f>(C997-(C997*#REF!))-((C997-(C997*#REF!))*#REF!)</f>
        <v>#REF!</v>
      </c>
      <c r="P997" s="7"/>
      <c r="Q997" s="7"/>
      <c r="R997" s="5">
        <f t="shared" si="489"/>
        <v>0</v>
      </c>
      <c r="S997" s="4">
        <f t="shared" si="490"/>
        <v>0</v>
      </c>
      <c r="T997" s="13">
        <f t="shared" si="495"/>
        <v>14.692999999999998</v>
      </c>
      <c r="U997" s="13">
        <f t="shared" si="504"/>
        <v>7.3464999999999989</v>
      </c>
      <c r="V997" s="14">
        <f>U997/C997</f>
        <v>0.35</v>
      </c>
      <c r="W997" s="14"/>
      <c r="X997" s="19">
        <f t="shared" si="491"/>
        <v>7.3464999999999989</v>
      </c>
      <c r="Y997" s="19">
        <f t="shared" si="492"/>
        <v>14.692999999999998</v>
      </c>
      <c r="Z997" s="15" t="e">
        <f t="shared" si="509"/>
        <v>#DIV/0!</v>
      </c>
      <c r="AA997" s="22" t="s">
        <v>4634</v>
      </c>
      <c r="AG997" s="94" t="s">
        <v>817</v>
      </c>
      <c r="AH997" s="89" t="str">
        <f>VLOOKUP(AG997,Sheet1!$B$3:$D$36,2,FALSE)</f>
        <v>Kitchen &amp; Dining</v>
      </c>
      <c r="AI997" s="89" t="s">
        <v>2077</v>
      </c>
      <c r="AJ997" s="1" t="str">
        <f t="shared" si="496"/>
        <v>Grany plate</v>
      </c>
      <c r="AK997" s="1" t="str">
        <f t="shared" si="497"/>
        <v>ø32 x h1</v>
      </c>
      <c r="AL997" s="1" t="str">
        <f t="shared" si="498"/>
        <v>teak root indoor</v>
      </c>
      <c r="AM997" s="1" t="str">
        <f t="shared" si="499"/>
        <v>teak root indoor</v>
      </c>
      <c r="AN997" s="1" t="str">
        <f t="shared" si="511"/>
        <v xml:space="preserve">teak root </v>
      </c>
      <c r="AO997" s="1" t="s">
        <v>54</v>
      </c>
      <c r="AQ997" s="1" t="str">
        <f t="shared" si="500"/>
        <v>C</v>
      </c>
      <c r="AR997" s="1" t="str">
        <f>VLOOKUP(TRIM(AI997),Sheet1!$D$3:$E$36,2,FALSE)</f>
        <v>01</v>
      </c>
      <c r="AS997" s="90" t="str">
        <f t="shared" si="501"/>
        <v>04</v>
      </c>
      <c r="AT997" s="1" t="str">
        <f t="shared" si="502"/>
        <v>01</v>
      </c>
      <c r="AU997" s="90" t="s">
        <v>648</v>
      </c>
      <c r="AV997" s="90"/>
      <c r="AW997" s="90"/>
      <c r="AX997" s="95" t="str">
        <f>AQ997&amp;AR997&amp;AS997&amp;"-"&amp;AT997&amp;AU997&amp;BA997</f>
        <v>C0104-0132IND</v>
      </c>
      <c r="AY997" s="99" t="str">
        <f>AQ997&amp;AR997&amp;AS997&amp;"-"&amp;AT997&amp;BA997</f>
        <v>C0104-01IND</v>
      </c>
      <c r="AZ997" s="90"/>
      <c r="BA997" s="1" t="str">
        <f t="shared" si="503"/>
        <v>IND</v>
      </c>
      <c r="BC997" s="1" t="str">
        <f t="shared" si="486"/>
        <v/>
      </c>
      <c r="BD997" s="90">
        <f t="shared" si="487"/>
        <v>4</v>
      </c>
      <c r="BE997" s="1">
        <f t="shared" si="506"/>
        <v>1</v>
      </c>
      <c r="BF997" s="1">
        <f t="shared" si="507"/>
        <v>1</v>
      </c>
    </row>
    <row r="998" spans="1:58" ht="11.25" customHeight="1">
      <c r="A998" s="26" t="s">
        <v>4635</v>
      </c>
      <c r="B998" s="27" t="s">
        <v>4636</v>
      </c>
      <c r="C998" s="28">
        <v>4.99</v>
      </c>
      <c r="D998" s="28">
        <f t="shared" si="494"/>
        <v>2.4950000000000001</v>
      </c>
      <c r="E998" s="22" t="s">
        <v>4467</v>
      </c>
      <c r="F998" s="22" t="s">
        <v>4637</v>
      </c>
      <c r="G998" s="22" t="s">
        <v>4638</v>
      </c>
      <c r="H998" s="22" t="s">
        <v>4639</v>
      </c>
      <c r="I998" s="23" t="s">
        <v>2973</v>
      </c>
      <c r="J998" s="22" t="s">
        <v>646</v>
      </c>
      <c r="L998" s="23">
        <v>14</v>
      </c>
      <c r="M998" s="23">
        <v>2</v>
      </c>
      <c r="N998" s="3">
        <f t="shared" si="488"/>
        <v>3.9199999999999999E-4</v>
      </c>
      <c r="O998" s="4" t="e">
        <f>(C998-(C998*#REF!))-((C998-(C998*#REF!))*#REF!)</f>
        <v>#REF!</v>
      </c>
      <c r="P998" s="7"/>
      <c r="Q998" s="7"/>
      <c r="R998" s="5">
        <f t="shared" si="489"/>
        <v>0</v>
      </c>
      <c r="S998" s="4">
        <f t="shared" si="490"/>
        <v>0</v>
      </c>
      <c r="T998" s="13">
        <f t="shared" si="495"/>
        <v>3.4930000000000003</v>
      </c>
      <c r="U998" s="13">
        <f t="shared" si="504"/>
        <v>1.7465000000000002</v>
      </c>
      <c r="V998" s="14">
        <f>U998/C998</f>
        <v>0.35000000000000003</v>
      </c>
      <c r="W998" s="14"/>
      <c r="X998" s="19">
        <f t="shared" si="491"/>
        <v>1.7465000000000002</v>
      </c>
      <c r="Y998" s="19">
        <f t="shared" si="492"/>
        <v>3.4930000000000003</v>
      </c>
      <c r="Z998" s="15" t="e">
        <f t="shared" si="509"/>
        <v>#DIV/0!</v>
      </c>
      <c r="AA998" s="22" t="s">
        <v>4640</v>
      </c>
      <c r="AG998" s="94" t="s">
        <v>817</v>
      </c>
      <c r="AH998" s="89" t="str">
        <f>VLOOKUP(AG998,Sheet1!$B$3:$D$36,2,FALSE)</f>
        <v>Kitchen &amp; Dining</v>
      </c>
      <c r="AI998" s="89" t="s">
        <v>2077</v>
      </c>
      <c r="AJ998" s="1" t="str">
        <f t="shared" si="496"/>
        <v>Bierhoff</v>
      </c>
      <c r="AK998" s="1" t="str">
        <f t="shared" si="497"/>
        <v>ø14 x h2</v>
      </c>
      <c r="AL998" s="1" t="str">
        <f t="shared" si="498"/>
        <v>teak root outdoor</v>
      </c>
      <c r="AM998" s="1" t="str">
        <f t="shared" si="499"/>
        <v>teak root outdoor</v>
      </c>
      <c r="AN998" s="1" t="str">
        <f t="shared" ref="AN998:AN1011" si="512">SUBSTITUTE(AL998,"outdoor","")</f>
        <v xml:space="preserve">teak root </v>
      </c>
      <c r="AO998" s="1" t="s">
        <v>59</v>
      </c>
      <c r="AQ998" s="1" t="str">
        <f t="shared" si="500"/>
        <v>C</v>
      </c>
      <c r="AR998" s="1" t="str">
        <f>VLOOKUP(TRIM(AI998),Sheet1!$D$3:$E$36,2,FALSE)</f>
        <v>01</v>
      </c>
      <c r="AS998" s="90" t="str">
        <f t="shared" si="501"/>
        <v>01</v>
      </c>
      <c r="AT998" s="1" t="str">
        <f t="shared" si="502"/>
        <v>01</v>
      </c>
      <c r="AU998" s="90" t="s">
        <v>648</v>
      </c>
      <c r="AV998" s="90"/>
      <c r="AW998" s="90"/>
      <c r="AX998" s="95" t="str">
        <f>AQ998&amp;AR998&amp;AS998&amp;"-"&amp;AT998&amp;AU998&amp;BA998</f>
        <v>C0101-0132OUT</v>
      </c>
      <c r="AY998" s="99" t="str">
        <f>AQ998&amp;AR998&amp;AS998&amp;"-"&amp;AT998&amp;BA998</f>
        <v>C0101-01OUT</v>
      </c>
      <c r="AZ998" s="90"/>
      <c r="BA998" s="1" t="str">
        <f t="shared" si="503"/>
        <v>OUT</v>
      </c>
      <c r="BC998" s="1">
        <f t="shared" si="486"/>
        <v>1</v>
      </c>
      <c r="BD998" s="90">
        <f t="shared" si="487"/>
        <v>1</v>
      </c>
      <c r="BE998" s="1">
        <f t="shared" si="506"/>
        <v>1</v>
      </c>
      <c r="BF998" s="1">
        <f t="shared" si="507"/>
        <v>1</v>
      </c>
    </row>
    <row r="999" spans="1:58" ht="11.25" customHeight="1">
      <c r="A999" s="26" t="s">
        <v>4641</v>
      </c>
      <c r="B999" s="27" t="s">
        <v>4642</v>
      </c>
      <c r="C999" s="28">
        <v>15.99</v>
      </c>
      <c r="D999" s="28">
        <f t="shared" si="494"/>
        <v>7.9950000000000001</v>
      </c>
      <c r="E999" s="22" t="s">
        <v>4467</v>
      </c>
      <c r="F999" s="22" t="s">
        <v>4643</v>
      </c>
      <c r="G999" s="22" t="s">
        <v>665</v>
      </c>
      <c r="H999" s="22" t="s">
        <v>4644</v>
      </c>
      <c r="I999" s="23" t="s">
        <v>2973</v>
      </c>
      <c r="J999" s="22" t="s">
        <v>646</v>
      </c>
      <c r="K999" s="23">
        <v>25</v>
      </c>
      <c r="L999" s="23">
        <v>20</v>
      </c>
      <c r="M999" s="23">
        <v>4</v>
      </c>
      <c r="N999" s="3">
        <f t="shared" si="488"/>
        <v>2E-3</v>
      </c>
      <c r="O999" s="4" t="e">
        <f>(C999-(C999*#REF!))-((C999-(C999*#REF!))*#REF!)</f>
        <v>#REF!</v>
      </c>
      <c r="P999" s="7"/>
      <c r="Q999" s="7"/>
      <c r="R999" s="5">
        <f t="shared" si="489"/>
        <v>0</v>
      </c>
      <c r="S999" s="4">
        <f t="shared" si="490"/>
        <v>0</v>
      </c>
      <c r="T999" s="13">
        <f t="shared" si="495"/>
        <v>11.193000000000001</v>
      </c>
      <c r="U999" s="13">
        <f t="shared" si="504"/>
        <v>5.5965000000000007</v>
      </c>
      <c r="V999" s="14">
        <f>U999/C999</f>
        <v>0.35000000000000003</v>
      </c>
      <c r="W999" s="14"/>
      <c r="X999" s="19">
        <f t="shared" si="491"/>
        <v>5.5965000000000007</v>
      </c>
      <c r="Y999" s="19">
        <f t="shared" si="492"/>
        <v>11.193000000000001</v>
      </c>
      <c r="Z999" s="15" t="e">
        <f t="shared" si="509"/>
        <v>#DIV/0!</v>
      </c>
      <c r="AA999" s="22" t="s">
        <v>4645</v>
      </c>
      <c r="AG999" s="94" t="s">
        <v>817</v>
      </c>
      <c r="AH999" s="89" t="str">
        <f>VLOOKUP(AG999,Sheet1!$B$3:$D$36,2,FALSE)</f>
        <v>Kitchen &amp; Dining</v>
      </c>
      <c r="AI999" s="89" t="s">
        <v>2077</v>
      </c>
      <c r="AJ999" s="1" t="str">
        <f t="shared" si="496"/>
        <v>Regina Tray</v>
      </c>
      <c r="AK999" s="1" t="str">
        <f t="shared" si="497"/>
        <v>w25 x d20 x h4</v>
      </c>
      <c r="AL999" s="1" t="str">
        <f t="shared" si="498"/>
        <v>teak root outdoor</v>
      </c>
      <c r="AM999" s="1" t="str">
        <f t="shared" si="499"/>
        <v>teak root outdoor</v>
      </c>
      <c r="AN999" s="1" t="str">
        <f t="shared" si="512"/>
        <v xml:space="preserve">teak root </v>
      </c>
      <c r="AO999" s="1" t="s">
        <v>59</v>
      </c>
      <c r="AQ999" s="1" t="str">
        <f t="shared" si="500"/>
        <v>C</v>
      </c>
      <c r="AR999" s="1" t="str">
        <f>VLOOKUP(TRIM(AI999),Sheet1!$D$3:$E$36,2,FALSE)</f>
        <v>01</v>
      </c>
      <c r="AS999" s="90" t="str">
        <f t="shared" si="501"/>
        <v>01</v>
      </c>
      <c r="AT999" s="1" t="str">
        <f t="shared" si="502"/>
        <v>01</v>
      </c>
      <c r="AU999" s="90" t="s">
        <v>648</v>
      </c>
      <c r="AV999" s="90"/>
      <c r="AW999" s="90"/>
      <c r="AX999" s="95" t="str">
        <f>AQ999&amp;AR999&amp;AS999&amp;"-"&amp;AT999&amp;AU999&amp;BA999</f>
        <v>C0101-0132OUT</v>
      </c>
      <c r="AY999" s="99" t="str">
        <f>AQ999&amp;AR999&amp;AS999&amp;"-"&amp;AT999&amp;BA999</f>
        <v>C0101-01OUT</v>
      </c>
      <c r="AZ999" s="90"/>
      <c r="BA999" s="1" t="str">
        <f t="shared" si="503"/>
        <v>OUT</v>
      </c>
      <c r="BC999" s="1">
        <f t="shared" si="486"/>
        <v>1</v>
      </c>
      <c r="BD999" s="90">
        <f t="shared" si="487"/>
        <v>1</v>
      </c>
      <c r="BE999" s="1">
        <f t="shared" si="506"/>
        <v>1</v>
      </c>
      <c r="BF999" s="1">
        <f t="shared" si="507"/>
        <v>1</v>
      </c>
    </row>
    <row r="1000" spans="1:58" ht="11.25" customHeight="1">
      <c r="A1000" s="26" t="s">
        <v>4646</v>
      </c>
      <c r="B1000" s="27" t="s">
        <v>4642</v>
      </c>
      <c r="C1000" s="28">
        <v>37.99</v>
      </c>
      <c r="D1000" s="28">
        <f t="shared" si="494"/>
        <v>18.995000000000001</v>
      </c>
      <c r="E1000" s="22" t="s">
        <v>4467</v>
      </c>
      <c r="F1000" s="22" t="s">
        <v>4647</v>
      </c>
      <c r="G1000" s="22" t="s">
        <v>665</v>
      </c>
      <c r="H1000" s="22" t="s">
        <v>4648</v>
      </c>
      <c r="I1000" s="23" t="s">
        <v>2973</v>
      </c>
      <c r="J1000" s="22" t="s">
        <v>646</v>
      </c>
      <c r="K1000" s="23">
        <v>40</v>
      </c>
      <c r="L1000" s="23">
        <v>30</v>
      </c>
      <c r="M1000" s="23">
        <v>4</v>
      </c>
      <c r="N1000" s="3">
        <f t="shared" si="488"/>
        <v>4.7999999999999996E-3</v>
      </c>
      <c r="O1000" s="4" t="e">
        <f>(C1000-(C1000*#REF!))-((C1000-(C1000*#REF!))*#REF!)</f>
        <v>#REF!</v>
      </c>
      <c r="P1000" s="7"/>
      <c r="Q1000" s="7"/>
      <c r="R1000" s="5">
        <f t="shared" si="489"/>
        <v>0</v>
      </c>
      <c r="S1000" s="4">
        <f t="shared" si="490"/>
        <v>0</v>
      </c>
      <c r="T1000" s="13">
        <f t="shared" si="495"/>
        <v>26.593000000000004</v>
      </c>
      <c r="U1000" s="13">
        <f t="shared" si="504"/>
        <v>13.296500000000002</v>
      </c>
      <c r="V1000" s="14">
        <f>U1000/C1000</f>
        <v>0.35000000000000003</v>
      </c>
      <c r="W1000" s="14"/>
      <c r="X1000" s="19">
        <f t="shared" si="491"/>
        <v>13.296500000000002</v>
      </c>
      <c r="Y1000" s="19">
        <f t="shared" si="492"/>
        <v>26.593000000000004</v>
      </c>
      <c r="Z1000" s="15" t="e">
        <f t="shared" si="509"/>
        <v>#DIV/0!</v>
      </c>
      <c r="AA1000" s="22" t="s">
        <v>4649</v>
      </c>
      <c r="AG1000" s="94" t="s">
        <v>817</v>
      </c>
      <c r="AH1000" s="89" t="str">
        <f>VLOOKUP(AG1000,Sheet1!$B$3:$D$36,2,FALSE)</f>
        <v>Kitchen &amp; Dining</v>
      </c>
      <c r="AI1000" s="89" t="s">
        <v>2077</v>
      </c>
      <c r="AJ1000" s="1" t="str">
        <f t="shared" si="496"/>
        <v>Regina Tray</v>
      </c>
      <c r="AK1000" s="1" t="str">
        <f t="shared" si="497"/>
        <v>w40 x d30 x h4</v>
      </c>
      <c r="AL1000" s="1" t="str">
        <f t="shared" si="498"/>
        <v>teak root outdoor</v>
      </c>
      <c r="AM1000" s="1" t="str">
        <f t="shared" si="499"/>
        <v>teak root outdoor</v>
      </c>
      <c r="AN1000" s="1" t="str">
        <f t="shared" si="512"/>
        <v xml:space="preserve">teak root </v>
      </c>
      <c r="AO1000" s="1" t="s">
        <v>59</v>
      </c>
      <c r="AQ1000" s="1" t="str">
        <f t="shared" si="500"/>
        <v>C</v>
      </c>
      <c r="AR1000" s="1" t="str">
        <f>VLOOKUP(TRIM(AI1000),Sheet1!$D$3:$E$36,2,FALSE)</f>
        <v>01</v>
      </c>
      <c r="AS1000" s="90" t="str">
        <f t="shared" si="501"/>
        <v>02</v>
      </c>
      <c r="AT1000" s="1" t="str">
        <f t="shared" si="502"/>
        <v>01</v>
      </c>
      <c r="AU1000" s="90" t="s">
        <v>648</v>
      </c>
      <c r="AV1000" s="90"/>
      <c r="AW1000" s="90"/>
      <c r="AX1000" s="95" t="str">
        <f>AQ1000&amp;AR1000&amp;AS1000&amp;"-"&amp;AT1000&amp;AU1000&amp;BA1000</f>
        <v>C0102-0132OUT</v>
      </c>
      <c r="AY1000" s="99" t="str">
        <f>AQ1000&amp;AR1000&amp;AS1000&amp;"-"&amp;AT1000&amp;BA1000</f>
        <v>C0102-01OUT</v>
      </c>
      <c r="AZ1000" s="90"/>
      <c r="BA1000" s="1" t="str">
        <f t="shared" si="503"/>
        <v>OUT</v>
      </c>
      <c r="BC1000" s="1" t="str">
        <f t="shared" si="486"/>
        <v/>
      </c>
      <c r="BD1000" s="90">
        <f t="shared" si="487"/>
        <v>2</v>
      </c>
      <c r="BE1000" s="1">
        <f t="shared" si="506"/>
        <v>1</v>
      </c>
      <c r="BF1000" s="1">
        <f t="shared" si="507"/>
        <v>1</v>
      </c>
    </row>
    <row r="1001" spans="1:58" ht="11.25" customHeight="1">
      <c r="A1001" s="26" t="s">
        <v>4650</v>
      </c>
      <c r="B1001" s="27" t="s">
        <v>4651</v>
      </c>
      <c r="C1001" s="28">
        <v>11.99</v>
      </c>
      <c r="D1001" s="28">
        <f t="shared" si="494"/>
        <v>5.9950000000000001</v>
      </c>
      <c r="E1001" s="22" t="s">
        <v>4467</v>
      </c>
      <c r="F1001" s="22" t="s">
        <v>4652</v>
      </c>
      <c r="G1001" s="22" t="s">
        <v>546</v>
      </c>
      <c r="H1001" s="22" t="s">
        <v>4653</v>
      </c>
      <c r="I1001" s="23" t="s">
        <v>2973</v>
      </c>
      <c r="J1001" s="22" t="s">
        <v>646</v>
      </c>
      <c r="K1001" s="23">
        <v>30</v>
      </c>
      <c r="L1001" s="23">
        <v>5</v>
      </c>
      <c r="M1001" s="23">
        <v>5</v>
      </c>
      <c r="N1001" s="3">
        <f t="shared" si="488"/>
        <v>7.5000000000000002E-4</v>
      </c>
      <c r="O1001" s="4" t="e">
        <f>(C1001-(C1001*#REF!))-((C1001-(C1001*#REF!))*#REF!)</f>
        <v>#REF!</v>
      </c>
      <c r="P1001" s="7"/>
      <c r="Q1001" s="7"/>
      <c r="R1001" s="5">
        <f t="shared" si="489"/>
        <v>0</v>
      </c>
      <c r="S1001" s="4">
        <f t="shared" si="490"/>
        <v>0</v>
      </c>
      <c r="T1001" s="13">
        <f t="shared" si="495"/>
        <v>8.3930000000000007</v>
      </c>
      <c r="U1001" s="13">
        <f t="shared" si="504"/>
        <v>4.1965000000000003</v>
      </c>
      <c r="V1001" s="14">
        <f>U1001/C1001</f>
        <v>0.35000000000000003</v>
      </c>
      <c r="W1001" s="14"/>
      <c r="X1001" s="19">
        <f t="shared" si="491"/>
        <v>4.1965000000000003</v>
      </c>
      <c r="Y1001" s="19">
        <f t="shared" si="492"/>
        <v>8.3930000000000007</v>
      </c>
      <c r="Z1001" s="15" t="e">
        <f t="shared" si="509"/>
        <v>#DIV/0!</v>
      </c>
      <c r="AA1001" s="22" t="s">
        <v>4654</v>
      </c>
      <c r="AG1001" s="94" t="s">
        <v>817</v>
      </c>
      <c r="AH1001" s="89" t="str">
        <f>VLOOKUP(AG1001,Sheet1!$B$3:$D$36,2,FALSE)</f>
        <v>Kitchen &amp; Dining</v>
      </c>
      <c r="AI1001" s="89" t="s">
        <v>2077</v>
      </c>
      <c r="AJ1001" s="1" t="str">
        <f t="shared" si="496"/>
        <v>Nada oval server</v>
      </c>
      <c r="AK1001" s="1" t="str">
        <f t="shared" si="497"/>
        <v>w30 x d5 x h5</v>
      </c>
      <c r="AL1001" s="1" t="str">
        <f t="shared" si="498"/>
        <v>teak root outdoor</v>
      </c>
      <c r="AM1001" s="1" t="str">
        <f t="shared" si="499"/>
        <v>teak root outdoor</v>
      </c>
      <c r="AN1001" s="1" t="str">
        <f t="shared" si="512"/>
        <v xml:space="preserve">teak root </v>
      </c>
      <c r="AO1001" s="1" t="s">
        <v>59</v>
      </c>
      <c r="AQ1001" s="1" t="str">
        <f t="shared" si="500"/>
        <v>C</v>
      </c>
      <c r="AR1001" s="1" t="str">
        <f>VLOOKUP(TRIM(AI1001),Sheet1!$D$3:$E$36,2,FALSE)</f>
        <v>01</v>
      </c>
      <c r="AS1001" s="90" t="str">
        <f t="shared" si="501"/>
        <v>01</v>
      </c>
      <c r="AT1001" s="1" t="str">
        <f t="shared" si="502"/>
        <v>01</v>
      </c>
      <c r="AU1001" s="90" t="s">
        <v>648</v>
      </c>
      <c r="AV1001" s="90"/>
      <c r="AW1001" s="90"/>
      <c r="AX1001" s="95" t="str">
        <f>AQ1001&amp;AR1001&amp;AS1001&amp;"-"&amp;AT1001&amp;AU1001&amp;BA1001</f>
        <v>C0101-0132OUT</v>
      </c>
      <c r="AY1001" s="99" t="str">
        <f>AQ1001&amp;AR1001&amp;AS1001&amp;"-"&amp;AT1001&amp;BA1001</f>
        <v>C0101-01OUT</v>
      </c>
      <c r="AZ1001" s="90"/>
      <c r="BA1001" s="1" t="str">
        <f t="shared" si="503"/>
        <v>OUT</v>
      </c>
      <c r="BC1001" s="1">
        <f t="shared" ref="BC1001:BC1064" si="513">IF(AJ1000&lt;&gt;AJ1001,1,"")</f>
        <v>1</v>
      </c>
      <c r="BD1001" s="90">
        <f t="shared" ref="BD1001:BD1064" si="514">IF(BC1001=1,1,BD1000+1)</f>
        <v>1</v>
      </c>
      <c r="BE1001" s="1">
        <f t="shared" si="506"/>
        <v>1</v>
      </c>
      <c r="BF1001" s="1">
        <f t="shared" si="507"/>
        <v>1</v>
      </c>
    </row>
    <row r="1002" spans="1:58" ht="11.25" customHeight="1">
      <c r="A1002" s="26" t="s">
        <v>4655</v>
      </c>
      <c r="B1002" s="27" t="s">
        <v>4651</v>
      </c>
      <c r="C1002" s="28">
        <v>14.99</v>
      </c>
      <c r="D1002" s="28">
        <f t="shared" si="494"/>
        <v>7.4950000000000001</v>
      </c>
      <c r="E1002" s="22" t="s">
        <v>4467</v>
      </c>
      <c r="F1002" s="22" t="s">
        <v>4656</v>
      </c>
      <c r="G1002" s="22" t="s">
        <v>546</v>
      </c>
      <c r="H1002" s="22" t="s">
        <v>4657</v>
      </c>
      <c r="I1002" s="23" t="s">
        <v>2973</v>
      </c>
      <c r="J1002" s="22" t="s">
        <v>646</v>
      </c>
      <c r="K1002" s="23">
        <v>30</v>
      </c>
      <c r="L1002" s="23">
        <v>15</v>
      </c>
      <c r="M1002" s="23">
        <v>10</v>
      </c>
      <c r="N1002" s="3">
        <f t="shared" si="488"/>
        <v>4.4999999999999997E-3</v>
      </c>
      <c r="O1002" s="4" t="e">
        <f>(C1002-(C1002*#REF!))-((C1002-(C1002*#REF!))*#REF!)</f>
        <v>#REF!</v>
      </c>
      <c r="P1002" s="7"/>
      <c r="Q1002" s="7"/>
      <c r="R1002" s="5">
        <f t="shared" si="489"/>
        <v>0</v>
      </c>
      <c r="S1002" s="4">
        <f t="shared" si="490"/>
        <v>0</v>
      </c>
      <c r="T1002" s="13">
        <f t="shared" si="495"/>
        <v>10.493</v>
      </c>
      <c r="U1002" s="13">
        <f t="shared" si="504"/>
        <v>5.2465000000000002</v>
      </c>
      <c r="V1002" s="14">
        <f>U1002/C1002</f>
        <v>0.35000000000000003</v>
      </c>
      <c r="W1002" s="14"/>
      <c r="X1002" s="19">
        <f t="shared" si="491"/>
        <v>5.2465000000000002</v>
      </c>
      <c r="Y1002" s="19">
        <f t="shared" si="492"/>
        <v>10.493</v>
      </c>
      <c r="Z1002" s="15" t="e">
        <f t="shared" si="509"/>
        <v>#DIV/0!</v>
      </c>
      <c r="AA1002" s="22" t="s">
        <v>4654</v>
      </c>
      <c r="AG1002" s="94" t="s">
        <v>817</v>
      </c>
      <c r="AH1002" s="89" t="str">
        <f>VLOOKUP(AG1002,Sheet1!$B$3:$D$36,2,FALSE)</f>
        <v>Kitchen &amp; Dining</v>
      </c>
      <c r="AI1002" s="89" t="s">
        <v>2077</v>
      </c>
      <c r="AJ1002" s="1" t="str">
        <f t="shared" si="496"/>
        <v>Nada oval server</v>
      </c>
      <c r="AK1002" s="1" t="str">
        <f t="shared" si="497"/>
        <v>w30 x d15 x h10</v>
      </c>
      <c r="AL1002" s="1" t="str">
        <f t="shared" si="498"/>
        <v>teak root outdoor</v>
      </c>
      <c r="AM1002" s="1" t="str">
        <f t="shared" si="499"/>
        <v>teak root outdoor</v>
      </c>
      <c r="AN1002" s="1" t="str">
        <f t="shared" si="512"/>
        <v xml:space="preserve">teak root </v>
      </c>
      <c r="AO1002" s="1" t="s">
        <v>59</v>
      </c>
      <c r="AQ1002" s="1" t="str">
        <f t="shared" si="500"/>
        <v>C</v>
      </c>
      <c r="AR1002" s="1" t="str">
        <f>VLOOKUP(TRIM(AI1002),Sheet1!$D$3:$E$36,2,FALSE)</f>
        <v>01</v>
      </c>
      <c r="AS1002" s="90" t="str">
        <f t="shared" si="501"/>
        <v>02</v>
      </c>
      <c r="AT1002" s="1" t="str">
        <f t="shared" si="502"/>
        <v>01</v>
      </c>
      <c r="AU1002" s="90" t="s">
        <v>648</v>
      </c>
      <c r="AV1002" s="90"/>
      <c r="AW1002" s="90"/>
      <c r="AX1002" s="95" t="str">
        <f>AQ1002&amp;AR1002&amp;AS1002&amp;"-"&amp;AT1002&amp;AU1002&amp;BA1002</f>
        <v>C0102-0132OUT</v>
      </c>
      <c r="AY1002" s="99" t="str">
        <f>AQ1002&amp;AR1002&amp;AS1002&amp;"-"&amp;AT1002&amp;BA1002</f>
        <v>C0102-01OUT</v>
      </c>
      <c r="AZ1002" s="90"/>
      <c r="BA1002" s="1" t="str">
        <f t="shared" si="503"/>
        <v>OUT</v>
      </c>
      <c r="BC1002" s="1" t="str">
        <f t="shared" si="513"/>
        <v/>
      </c>
      <c r="BD1002" s="90">
        <f t="shared" si="514"/>
        <v>2</v>
      </c>
      <c r="BE1002" s="1">
        <f t="shared" si="506"/>
        <v>1</v>
      </c>
      <c r="BF1002" s="1">
        <f t="shared" si="507"/>
        <v>1</v>
      </c>
    </row>
    <row r="1003" spans="1:58" ht="11.25" customHeight="1">
      <c r="A1003" s="26" t="s">
        <v>4658</v>
      </c>
      <c r="B1003" s="27" t="s">
        <v>4659</v>
      </c>
      <c r="C1003" s="28">
        <v>35.99</v>
      </c>
      <c r="D1003" s="28">
        <f t="shared" si="494"/>
        <v>17.995000000000001</v>
      </c>
      <c r="E1003" s="22" t="s">
        <v>4467</v>
      </c>
      <c r="F1003" s="22" t="s">
        <v>4660</v>
      </c>
      <c r="G1003" s="22" t="s">
        <v>4661</v>
      </c>
      <c r="H1003" s="22" t="s">
        <v>4662</v>
      </c>
      <c r="I1003" s="23" t="s">
        <v>2973</v>
      </c>
      <c r="J1003" s="22" t="s">
        <v>646</v>
      </c>
      <c r="K1003" s="23">
        <v>12</v>
      </c>
      <c r="L1003" s="23">
        <v>20</v>
      </c>
      <c r="M1003" s="23">
        <v>50</v>
      </c>
      <c r="N1003" s="3">
        <f t="shared" si="488"/>
        <v>1.2E-2</v>
      </c>
      <c r="O1003" s="4" t="e">
        <f>(C1003-(C1003*#REF!))-((C1003-(C1003*#REF!))*#REF!)</f>
        <v>#REF!</v>
      </c>
      <c r="P1003" s="7"/>
      <c r="Q1003" s="7"/>
      <c r="R1003" s="5">
        <f t="shared" si="489"/>
        <v>0</v>
      </c>
      <c r="S1003" s="4">
        <f t="shared" si="490"/>
        <v>0</v>
      </c>
      <c r="T1003" s="13">
        <f t="shared" si="495"/>
        <v>25.193000000000001</v>
      </c>
      <c r="U1003" s="13">
        <f t="shared" si="504"/>
        <v>12.596500000000001</v>
      </c>
      <c r="V1003" s="14">
        <f>U1003/C1003</f>
        <v>0.35</v>
      </c>
      <c r="W1003" s="14"/>
      <c r="X1003" s="19">
        <f t="shared" si="491"/>
        <v>12.596500000000001</v>
      </c>
      <c r="Y1003" s="19">
        <f t="shared" si="492"/>
        <v>25.193000000000001</v>
      </c>
      <c r="Z1003" s="15" t="e">
        <f t="shared" si="509"/>
        <v>#DIV/0!</v>
      </c>
      <c r="AA1003" s="22" t="s">
        <v>4663</v>
      </c>
      <c r="AG1003" s="94" t="s">
        <v>817</v>
      </c>
      <c r="AH1003" s="89" t="str">
        <f>VLOOKUP(AG1003,Sheet1!$B$3:$D$36,2,FALSE)</f>
        <v>Kitchen &amp; Dining</v>
      </c>
      <c r="AI1003" s="89" t="s">
        <v>2077</v>
      </c>
      <c r="AJ1003" s="1" t="str">
        <f t="shared" si="496"/>
        <v>Humpty plate with rope set_2</v>
      </c>
      <c r="AK1003" s="1" t="str">
        <f t="shared" si="497"/>
        <v>w12 x d20 x h50</v>
      </c>
      <c r="AL1003" s="1" t="str">
        <f t="shared" si="498"/>
        <v>teak root outdoor</v>
      </c>
      <c r="AM1003" s="1" t="str">
        <f t="shared" si="499"/>
        <v>teak root outdoor</v>
      </c>
      <c r="AN1003" s="1" t="str">
        <f t="shared" si="512"/>
        <v xml:space="preserve">teak root </v>
      </c>
      <c r="AO1003" s="1" t="s">
        <v>59</v>
      </c>
      <c r="AQ1003" s="1" t="str">
        <f t="shared" si="500"/>
        <v>C</v>
      </c>
      <c r="AR1003" s="1" t="str">
        <f>VLOOKUP(TRIM(AI1003),Sheet1!$D$3:$E$36,2,FALSE)</f>
        <v>01</v>
      </c>
      <c r="AS1003" s="90" t="str">
        <f t="shared" si="501"/>
        <v>01</v>
      </c>
      <c r="AT1003" s="1" t="str">
        <f t="shared" si="502"/>
        <v>01</v>
      </c>
      <c r="AU1003" s="90" t="s">
        <v>648</v>
      </c>
      <c r="AV1003" s="90"/>
      <c r="AW1003" s="90"/>
      <c r="AX1003" s="95" t="str">
        <f>AQ1003&amp;AR1003&amp;AS1003&amp;"-"&amp;AT1003&amp;AU1003&amp;BA1003</f>
        <v>C0101-0132OUT</v>
      </c>
      <c r="AY1003" s="99" t="str">
        <f>AQ1003&amp;AR1003&amp;AS1003&amp;"-"&amp;AT1003&amp;BA1003</f>
        <v>C0101-01OUT</v>
      </c>
      <c r="AZ1003" s="90"/>
      <c r="BA1003" s="1" t="str">
        <f t="shared" si="503"/>
        <v>OUT</v>
      </c>
      <c r="BC1003" s="1">
        <f t="shared" si="513"/>
        <v>1</v>
      </c>
      <c r="BD1003" s="90">
        <f t="shared" si="514"/>
        <v>1</v>
      </c>
      <c r="BE1003" s="1">
        <f t="shared" si="506"/>
        <v>1</v>
      </c>
      <c r="BF1003" s="1">
        <f t="shared" si="507"/>
        <v>1</v>
      </c>
    </row>
    <row r="1004" spans="1:58" ht="11.25" customHeight="1">
      <c r="A1004" s="26" t="s">
        <v>4664</v>
      </c>
      <c r="B1004" s="27" t="s">
        <v>4665</v>
      </c>
      <c r="C1004" s="28">
        <v>35.99</v>
      </c>
      <c r="D1004" s="28">
        <f t="shared" si="494"/>
        <v>17.995000000000001</v>
      </c>
      <c r="E1004" s="22" t="s">
        <v>4467</v>
      </c>
      <c r="F1004" s="22" t="s">
        <v>4666</v>
      </c>
      <c r="G1004" s="22" t="s">
        <v>4667</v>
      </c>
      <c r="H1004" s="22" t="s">
        <v>4668</v>
      </c>
      <c r="I1004" s="23" t="s">
        <v>2973</v>
      </c>
      <c r="J1004" s="22" t="s">
        <v>646</v>
      </c>
      <c r="K1004" s="23">
        <v>12</v>
      </c>
      <c r="L1004" s="23">
        <v>25</v>
      </c>
      <c r="M1004" s="23">
        <v>50</v>
      </c>
      <c r="N1004" s="3">
        <f t="shared" si="488"/>
        <v>1.4999999999999999E-2</v>
      </c>
      <c r="O1004" s="4" t="e">
        <f>(C1004-(C1004*#REF!))-((C1004-(C1004*#REF!))*#REF!)</f>
        <v>#REF!</v>
      </c>
      <c r="P1004" s="7"/>
      <c r="Q1004" s="7"/>
      <c r="R1004" s="5">
        <f t="shared" si="489"/>
        <v>0</v>
      </c>
      <c r="S1004" s="4">
        <f t="shared" si="490"/>
        <v>0</v>
      </c>
      <c r="T1004" s="13">
        <f t="shared" si="495"/>
        <v>25.193000000000001</v>
      </c>
      <c r="U1004" s="13">
        <f t="shared" si="504"/>
        <v>12.596500000000001</v>
      </c>
      <c r="V1004" s="14">
        <f>U1004/C1004</f>
        <v>0.35</v>
      </c>
      <c r="W1004" s="14"/>
      <c r="X1004" s="19">
        <f t="shared" si="491"/>
        <v>12.596500000000001</v>
      </c>
      <c r="Y1004" s="19">
        <f t="shared" si="492"/>
        <v>25.193000000000001</v>
      </c>
      <c r="Z1004" s="15" t="e">
        <f t="shared" si="509"/>
        <v>#DIV/0!</v>
      </c>
      <c r="AA1004" s="22" t="s">
        <v>4669</v>
      </c>
      <c r="AG1004" s="94" t="s">
        <v>817</v>
      </c>
      <c r="AH1004" s="89" t="str">
        <f>VLOOKUP(AG1004,Sheet1!$B$3:$D$36,2,FALSE)</f>
        <v>Kitchen &amp; Dining</v>
      </c>
      <c r="AI1004" s="89" t="s">
        <v>2077</v>
      </c>
      <c r="AJ1004" s="1" t="str">
        <f t="shared" si="496"/>
        <v>Humpty plate with rope set_3</v>
      </c>
      <c r="AK1004" s="1" t="str">
        <f t="shared" si="497"/>
        <v>w12 x d25 x h50</v>
      </c>
      <c r="AL1004" s="1" t="str">
        <f t="shared" si="498"/>
        <v>teak root outdoor</v>
      </c>
      <c r="AM1004" s="1" t="str">
        <f t="shared" si="499"/>
        <v>teak root outdoor</v>
      </c>
      <c r="AN1004" s="1" t="str">
        <f t="shared" si="512"/>
        <v xml:space="preserve">teak root </v>
      </c>
      <c r="AO1004" s="1" t="s">
        <v>59</v>
      </c>
      <c r="AQ1004" s="1" t="str">
        <f t="shared" si="500"/>
        <v>C</v>
      </c>
      <c r="AR1004" s="1" t="str">
        <f>VLOOKUP(TRIM(AI1004),Sheet1!$D$3:$E$36,2,FALSE)</f>
        <v>01</v>
      </c>
      <c r="AS1004" s="90" t="str">
        <f t="shared" si="501"/>
        <v>01</v>
      </c>
      <c r="AT1004" s="1" t="str">
        <f t="shared" si="502"/>
        <v>01</v>
      </c>
      <c r="AU1004" s="90" t="s">
        <v>648</v>
      </c>
      <c r="AV1004" s="90"/>
      <c r="AW1004" s="90"/>
      <c r="AX1004" s="95" t="str">
        <f>AQ1004&amp;AR1004&amp;AS1004&amp;"-"&amp;AT1004&amp;AU1004&amp;BA1004</f>
        <v>C0101-0132OUT</v>
      </c>
      <c r="AY1004" s="99" t="str">
        <f>AQ1004&amp;AR1004&amp;AS1004&amp;"-"&amp;AT1004&amp;BA1004</f>
        <v>C0101-01OUT</v>
      </c>
      <c r="AZ1004" s="90"/>
      <c r="BA1004" s="1" t="str">
        <f t="shared" si="503"/>
        <v>OUT</v>
      </c>
      <c r="BC1004" s="1">
        <f t="shared" si="513"/>
        <v>1</v>
      </c>
      <c r="BD1004" s="90">
        <f t="shared" si="514"/>
        <v>1</v>
      </c>
      <c r="BE1004" s="1">
        <f t="shared" si="506"/>
        <v>1</v>
      </c>
      <c r="BF1004" s="1">
        <f t="shared" si="507"/>
        <v>1</v>
      </c>
    </row>
    <row r="1005" spans="1:58" ht="11.25" customHeight="1">
      <c r="A1005" s="26" t="s">
        <v>4670</v>
      </c>
      <c r="B1005" s="27" t="s">
        <v>4671</v>
      </c>
      <c r="C1005" s="28">
        <v>53.99</v>
      </c>
      <c r="D1005" s="28">
        <f t="shared" si="494"/>
        <v>26.995000000000001</v>
      </c>
      <c r="E1005" s="22" t="s">
        <v>4467</v>
      </c>
      <c r="F1005" s="22" t="s">
        <v>4672</v>
      </c>
      <c r="G1005" s="22" t="s">
        <v>4673</v>
      </c>
      <c r="H1005" s="22" t="s">
        <v>4674</v>
      </c>
      <c r="I1005" s="23" t="s">
        <v>2973</v>
      </c>
      <c r="J1005" s="22" t="s">
        <v>646</v>
      </c>
      <c r="K1005" s="23">
        <v>12</v>
      </c>
      <c r="L1005" s="23">
        <v>35</v>
      </c>
      <c r="M1005" s="23">
        <v>50</v>
      </c>
      <c r="N1005" s="3">
        <f t="shared" si="488"/>
        <v>2.1000000000000001E-2</v>
      </c>
      <c r="O1005" s="4" t="e">
        <f>(C1005-(C1005*#REF!))-((C1005-(C1005*#REF!))*#REF!)</f>
        <v>#REF!</v>
      </c>
      <c r="P1005" s="7"/>
      <c r="Q1005" s="7"/>
      <c r="R1005" s="5">
        <f t="shared" si="489"/>
        <v>0</v>
      </c>
      <c r="S1005" s="4">
        <f t="shared" si="490"/>
        <v>0</v>
      </c>
      <c r="T1005" s="13">
        <f t="shared" si="495"/>
        <v>37.793000000000006</v>
      </c>
      <c r="U1005" s="13">
        <f t="shared" si="504"/>
        <v>18.896500000000003</v>
      </c>
      <c r="V1005" s="14">
        <f>U1005/C1005</f>
        <v>0.35000000000000003</v>
      </c>
      <c r="W1005" s="14"/>
      <c r="X1005" s="19">
        <f t="shared" si="491"/>
        <v>18.896500000000003</v>
      </c>
      <c r="Y1005" s="19">
        <f t="shared" si="492"/>
        <v>37.793000000000006</v>
      </c>
      <c r="Z1005" s="15" t="e">
        <f t="shared" si="509"/>
        <v>#DIV/0!</v>
      </c>
      <c r="AA1005" s="22" t="s">
        <v>4675</v>
      </c>
      <c r="AG1005" s="94" t="s">
        <v>817</v>
      </c>
      <c r="AH1005" s="89" t="str">
        <f>VLOOKUP(AG1005,Sheet1!$B$3:$D$36,2,FALSE)</f>
        <v>Kitchen &amp; Dining</v>
      </c>
      <c r="AI1005" s="89" t="s">
        <v>2077</v>
      </c>
      <c r="AJ1005" s="1" t="str">
        <f t="shared" si="496"/>
        <v>Humpty plate with rope set_5</v>
      </c>
      <c r="AK1005" s="1" t="str">
        <f t="shared" si="497"/>
        <v>w12 x d35 x h50</v>
      </c>
      <c r="AL1005" s="1" t="str">
        <f t="shared" si="498"/>
        <v>teak root outdoor</v>
      </c>
      <c r="AM1005" s="1" t="str">
        <f t="shared" si="499"/>
        <v>teak root outdoor</v>
      </c>
      <c r="AN1005" s="1" t="str">
        <f t="shared" si="512"/>
        <v xml:space="preserve">teak root </v>
      </c>
      <c r="AO1005" s="1" t="s">
        <v>59</v>
      </c>
      <c r="AQ1005" s="1" t="str">
        <f t="shared" si="500"/>
        <v>C</v>
      </c>
      <c r="AR1005" s="1" t="str">
        <f>VLOOKUP(TRIM(AI1005),Sheet1!$D$3:$E$36,2,FALSE)</f>
        <v>01</v>
      </c>
      <c r="AS1005" s="90" t="str">
        <f t="shared" si="501"/>
        <v>01</v>
      </c>
      <c r="AT1005" s="1" t="str">
        <f t="shared" si="502"/>
        <v>01</v>
      </c>
      <c r="AU1005" s="90" t="s">
        <v>648</v>
      </c>
      <c r="AV1005" s="90"/>
      <c r="AW1005" s="90"/>
      <c r="AX1005" s="95" t="str">
        <f>AQ1005&amp;AR1005&amp;AS1005&amp;"-"&amp;AT1005&amp;AU1005&amp;BA1005</f>
        <v>C0101-0132OUT</v>
      </c>
      <c r="AY1005" s="99" t="str">
        <f>AQ1005&amp;AR1005&amp;AS1005&amp;"-"&amp;AT1005&amp;BA1005</f>
        <v>C0101-01OUT</v>
      </c>
      <c r="AZ1005" s="90"/>
      <c r="BA1005" s="1" t="str">
        <f t="shared" si="503"/>
        <v>OUT</v>
      </c>
      <c r="BC1005" s="1">
        <f t="shared" si="513"/>
        <v>1</v>
      </c>
      <c r="BD1005" s="90">
        <f t="shared" si="514"/>
        <v>1</v>
      </c>
      <c r="BE1005" s="1">
        <f t="shared" si="506"/>
        <v>1</v>
      </c>
      <c r="BF1005" s="1">
        <f t="shared" si="507"/>
        <v>1</v>
      </c>
    </row>
    <row r="1006" spans="1:58" ht="11.25" customHeight="1">
      <c r="A1006" s="26" t="s">
        <v>4676</v>
      </c>
      <c r="B1006" s="27" t="s">
        <v>4677</v>
      </c>
      <c r="C1006" s="28">
        <v>83.99</v>
      </c>
      <c r="D1006" s="28">
        <f t="shared" si="494"/>
        <v>41.994999999999997</v>
      </c>
      <c r="E1006" s="22" t="s">
        <v>4467</v>
      </c>
      <c r="F1006" s="22" t="s">
        <v>4678</v>
      </c>
      <c r="G1006" s="22" t="s">
        <v>4679</v>
      </c>
      <c r="H1006" s="22" t="s">
        <v>4680</v>
      </c>
      <c r="I1006" s="23" t="s">
        <v>2973</v>
      </c>
      <c r="J1006" s="22" t="s">
        <v>646</v>
      </c>
      <c r="K1006" s="23">
        <v>12</v>
      </c>
      <c r="L1006" s="23">
        <v>50</v>
      </c>
      <c r="M1006" s="23">
        <v>50</v>
      </c>
      <c r="N1006" s="3">
        <f t="shared" si="488"/>
        <v>0.03</v>
      </c>
      <c r="O1006" s="4" t="e">
        <f>(C1006-(C1006*#REF!))-((C1006-(C1006*#REF!))*#REF!)</f>
        <v>#REF!</v>
      </c>
      <c r="P1006" s="7"/>
      <c r="Q1006" s="7"/>
      <c r="R1006" s="5">
        <f t="shared" si="489"/>
        <v>0</v>
      </c>
      <c r="S1006" s="4">
        <f t="shared" si="490"/>
        <v>0</v>
      </c>
      <c r="T1006" s="13">
        <f t="shared" si="495"/>
        <v>58.792999999999992</v>
      </c>
      <c r="U1006" s="13">
        <f t="shared" si="504"/>
        <v>29.396499999999996</v>
      </c>
      <c r="V1006" s="14">
        <f>U1006/C1006</f>
        <v>0.35</v>
      </c>
      <c r="W1006" s="14"/>
      <c r="X1006" s="19">
        <f t="shared" si="491"/>
        <v>29.396499999999996</v>
      </c>
      <c r="Y1006" s="19">
        <f t="shared" si="492"/>
        <v>58.792999999999992</v>
      </c>
      <c r="Z1006" s="15" t="e">
        <f t="shared" si="509"/>
        <v>#DIV/0!</v>
      </c>
      <c r="AA1006" s="22" t="s">
        <v>4681</v>
      </c>
      <c r="AG1006" s="94" t="s">
        <v>817</v>
      </c>
      <c r="AH1006" s="89" t="str">
        <f>VLOOKUP(AG1006,Sheet1!$B$3:$D$36,2,FALSE)</f>
        <v>Kitchen &amp; Dining</v>
      </c>
      <c r="AI1006" s="89" t="s">
        <v>2077</v>
      </c>
      <c r="AJ1006" s="1" t="str">
        <f t="shared" si="496"/>
        <v>Humpty plate with rope set_8</v>
      </c>
      <c r="AK1006" s="1" t="str">
        <f t="shared" si="497"/>
        <v>w12 x d50 x h50</v>
      </c>
      <c r="AL1006" s="1" t="str">
        <f t="shared" si="498"/>
        <v>teak root outdoor</v>
      </c>
      <c r="AM1006" s="1" t="str">
        <f t="shared" si="499"/>
        <v>teak root outdoor</v>
      </c>
      <c r="AN1006" s="1" t="str">
        <f t="shared" si="512"/>
        <v xml:space="preserve">teak root </v>
      </c>
      <c r="AO1006" s="1" t="s">
        <v>59</v>
      </c>
      <c r="AQ1006" s="1" t="str">
        <f t="shared" si="500"/>
        <v>C</v>
      </c>
      <c r="AR1006" s="1" t="str">
        <f>VLOOKUP(TRIM(AI1006),Sheet1!$D$3:$E$36,2,FALSE)</f>
        <v>01</v>
      </c>
      <c r="AS1006" s="90" t="str">
        <f t="shared" si="501"/>
        <v>01</v>
      </c>
      <c r="AT1006" s="1" t="str">
        <f t="shared" si="502"/>
        <v>01</v>
      </c>
      <c r="AU1006" s="90" t="s">
        <v>648</v>
      </c>
      <c r="AV1006" s="90"/>
      <c r="AW1006" s="90"/>
      <c r="AX1006" s="95" t="str">
        <f>AQ1006&amp;AR1006&amp;AS1006&amp;"-"&amp;AT1006&amp;AU1006&amp;BA1006</f>
        <v>C0101-0132OUT</v>
      </c>
      <c r="AY1006" s="99" t="str">
        <f>AQ1006&amp;AR1006&amp;AS1006&amp;"-"&amp;AT1006&amp;BA1006</f>
        <v>C0101-01OUT</v>
      </c>
      <c r="AZ1006" s="90"/>
      <c r="BA1006" s="1" t="str">
        <f t="shared" si="503"/>
        <v>OUT</v>
      </c>
      <c r="BC1006" s="1">
        <f t="shared" si="513"/>
        <v>1</v>
      </c>
      <c r="BD1006" s="90">
        <f t="shared" si="514"/>
        <v>1</v>
      </c>
      <c r="BE1006" s="1">
        <f t="shared" si="506"/>
        <v>1</v>
      </c>
      <c r="BF1006" s="1">
        <f t="shared" si="507"/>
        <v>1</v>
      </c>
    </row>
    <row r="1007" spans="1:58" ht="11.25" customHeight="1">
      <c r="A1007" s="26" t="s">
        <v>4682</v>
      </c>
      <c r="B1007" s="27" t="s">
        <v>4683</v>
      </c>
      <c r="C1007" s="28">
        <v>107.99</v>
      </c>
      <c r="D1007" s="28">
        <f t="shared" si="494"/>
        <v>53.994999999999997</v>
      </c>
      <c r="E1007" s="22" t="s">
        <v>4467</v>
      </c>
      <c r="F1007" s="22" t="s">
        <v>4684</v>
      </c>
      <c r="G1007" s="22" t="s">
        <v>4685</v>
      </c>
      <c r="H1007" s="22" t="s">
        <v>4686</v>
      </c>
      <c r="I1007" s="23" t="s">
        <v>2973</v>
      </c>
      <c r="J1007" s="22" t="s">
        <v>646</v>
      </c>
      <c r="K1007" s="23">
        <v>12</v>
      </c>
      <c r="L1007" s="23">
        <v>70</v>
      </c>
      <c r="M1007" s="23">
        <v>50</v>
      </c>
      <c r="N1007" s="3">
        <f t="shared" si="488"/>
        <v>4.2000000000000003E-2</v>
      </c>
      <c r="O1007" s="4" t="e">
        <f>(C1007-(C1007*#REF!))-((C1007-(C1007*#REF!))*#REF!)</f>
        <v>#REF!</v>
      </c>
      <c r="P1007" s="7"/>
      <c r="Q1007" s="7"/>
      <c r="R1007" s="5">
        <f t="shared" si="489"/>
        <v>0</v>
      </c>
      <c r="S1007" s="4">
        <f t="shared" si="490"/>
        <v>0</v>
      </c>
      <c r="T1007" s="13">
        <f t="shared" si="495"/>
        <v>75.592999999999989</v>
      </c>
      <c r="U1007" s="13">
        <f t="shared" si="504"/>
        <v>37.796499999999995</v>
      </c>
      <c r="V1007" s="14">
        <f>U1007/C1007</f>
        <v>0.35</v>
      </c>
      <c r="W1007" s="14"/>
      <c r="X1007" s="19">
        <f t="shared" si="491"/>
        <v>37.796499999999995</v>
      </c>
      <c r="Y1007" s="19">
        <f t="shared" si="492"/>
        <v>75.592999999999989</v>
      </c>
      <c r="Z1007" s="15" t="e">
        <f t="shared" si="509"/>
        <v>#DIV/0!</v>
      </c>
      <c r="AA1007" s="22" t="s">
        <v>4687</v>
      </c>
      <c r="AG1007" s="94" t="s">
        <v>817</v>
      </c>
      <c r="AH1007" s="89" t="str">
        <f>VLOOKUP(AG1007,Sheet1!$B$3:$D$36,2,FALSE)</f>
        <v>Kitchen &amp; Dining</v>
      </c>
      <c r="AI1007" s="89" t="s">
        <v>2077</v>
      </c>
      <c r="AJ1007" s="1" t="str">
        <f t="shared" si="496"/>
        <v>Humpty plate with rope set_12</v>
      </c>
      <c r="AK1007" s="1" t="str">
        <f t="shared" si="497"/>
        <v>w12 x d70 x h50</v>
      </c>
      <c r="AL1007" s="1" t="str">
        <f t="shared" si="498"/>
        <v>teak root outdoor</v>
      </c>
      <c r="AM1007" s="1" t="str">
        <f t="shared" si="499"/>
        <v>teak root outdoor</v>
      </c>
      <c r="AN1007" s="1" t="str">
        <f t="shared" si="512"/>
        <v xml:space="preserve">teak root </v>
      </c>
      <c r="AO1007" s="1" t="s">
        <v>59</v>
      </c>
      <c r="AQ1007" s="1" t="str">
        <f t="shared" si="500"/>
        <v>C</v>
      </c>
      <c r="AR1007" s="1" t="str">
        <f>VLOOKUP(TRIM(AI1007),Sheet1!$D$3:$E$36,2,FALSE)</f>
        <v>01</v>
      </c>
      <c r="AS1007" s="90" t="str">
        <f t="shared" si="501"/>
        <v>01</v>
      </c>
      <c r="AT1007" s="1" t="str">
        <f t="shared" si="502"/>
        <v>01</v>
      </c>
      <c r="AU1007" s="90" t="s">
        <v>648</v>
      </c>
      <c r="AV1007" s="90"/>
      <c r="AW1007" s="90"/>
      <c r="AX1007" s="95" t="str">
        <f>AQ1007&amp;AR1007&amp;AS1007&amp;"-"&amp;AT1007&amp;AU1007&amp;BA1007</f>
        <v>C0101-0132OUT</v>
      </c>
      <c r="AY1007" s="99" t="str">
        <f>AQ1007&amp;AR1007&amp;AS1007&amp;"-"&amp;AT1007&amp;BA1007</f>
        <v>C0101-01OUT</v>
      </c>
      <c r="AZ1007" s="90"/>
      <c r="BA1007" s="1" t="str">
        <f t="shared" si="503"/>
        <v>OUT</v>
      </c>
      <c r="BC1007" s="1">
        <f t="shared" si="513"/>
        <v>1</v>
      </c>
      <c r="BD1007" s="90">
        <f t="shared" si="514"/>
        <v>1</v>
      </c>
      <c r="BE1007" s="1">
        <f t="shared" si="506"/>
        <v>1</v>
      </c>
      <c r="BF1007" s="1">
        <f t="shared" si="507"/>
        <v>1</v>
      </c>
    </row>
    <row r="1008" spans="1:58" ht="11.25" customHeight="1">
      <c r="A1008" s="26" t="s">
        <v>4688</v>
      </c>
      <c r="B1008" s="27" t="s">
        <v>4689</v>
      </c>
      <c r="C1008" s="28">
        <v>25.99</v>
      </c>
      <c r="D1008" s="28">
        <f t="shared" si="494"/>
        <v>12.994999999999999</v>
      </c>
      <c r="E1008" s="22" t="s">
        <v>4467</v>
      </c>
      <c r="F1008" s="22" t="s">
        <v>4690</v>
      </c>
      <c r="G1008" s="22" t="s">
        <v>4691</v>
      </c>
      <c r="H1008" s="22" t="s">
        <v>4692</v>
      </c>
      <c r="I1008" s="23" t="s">
        <v>4693</v>
      </c>
      <c r="J1008" s="22" t="s">
        <v>646</v>
      </c>
      <c r="L1008" s="23">
        <v>40</v>
      </c>
      <c r="M1008" s="23">
        <v>20</v>
      </c>
      <c r="N1008" s="3">
        <f t="shared" si="488"/>
        <v>3.2000000000000001E-2</v>
      </c>
      <c r="O1008" s="4" t="e">
        <f>(C1008-(C1008*#REF!))-((C1008-(C1008*#REF!))*#REF!)</f>
        <v>#REF!</v>
      </c>
      <c r="P1008" s="7">
        <f>53070.6925558482-Q1008</f>
        <v>20070.692555848203</v>
      </c>
      <c r="Q1008" s="7">
        <v>33000</v>
      </c>
      <c r="R1008" s="5">
        <f t="shared" si="489"/>
        <v>53070.692555848203</v>
      </c>
      <c r="S1008" s="4">
        <f t="shared" si="490"/>
        <v>3.5380461703898805</v>
      </c>
      <c r="T1008" s="13">
        <f t="shared" si="495"/>
        <v>18.192999999999998</v>
      </c>
      <c r="U1008" s="13">
        <f t="shared" si="504"/>
        <v>9.0964999999999989</v>
      </c>
      <c r="V1008" s="14">
        <f>U1008/C1008</f>
        <v>0.35</v>
      </c>
      <c r="W1008" s="14"/>
      <c r="X1008" s="19">
        <f t="shared" si="491"/>
        <v>9.0964999999999989</v>
      </c>
      <c r="Y1008" s="19">
        <f t="shared" si="492"/>
        <v>18.192999999999998</v>
      </c>
      <c r="Z1008" s="15">
        <f t="shared" si="509"/>
        <v>2.5710518071044834</v>
      </c>
      <c r="AA1008" s="22" t="s">
        <v>4694</v>
      </c>
      <c r="AG1008" s="94" t="s">
        <v>817</v>
      </c>
      <c r="AH1008" s="89" t="str">
        <f>VLOOKUP(AG1008,Sheet1!$B$3:$D$36,2,FALSE)</f>
        <v>Kitchen &amp; Dining</v>
      </c>
      <c r="AI1008" s="89" t="s">
        <v>2077</v>
      </c>
      <c r="AJ1008" s="1" t="str">
        <f t="shared" si="496"/>
        <v>Felix Bowl</v>
      </c>
      <c r="AK1008" s="1" t="str">
        <f t="shared" si="497"/>
        <v>ø40 x h20</v>
      </c>
      <c r="AL1008" s="1" t="str">
        <f t="shared" si="498"/>
        <v>teak root - limited edition outdoor</v>
      </c>
      <c r="AM1008" s="1" t="str">
        <f t="shared" si="499"/>
        <v>teak root - limited edition outdoor</v>
      </c>
      <c r="AN1008" s="1" t="str">
        <f t="shared" si="512"/>
        <v xml:space="preserve">teak root - limited edition </v>
      </c>
      <c r="AO1008" s="1" t="s">
        <v>59</v>
      </c>
      <c r="AQ1008" s="1" t="str">
        <f t="shared" si="500"/>
        <v>C</v>
      </c>
      <c r="AR1008" s="1" t="str">
        <f>VLOOKUP(TRIM(AI1008),Sheet1!$D$3:$E$36,2,FALSE)</f>
        <v>01</v>
      </c>
      <c r="AS1008" s="90" t="str">
        <f t="shared" si="501"/>
        <v>01</v>
      </c>
      <c r="AT1008" s="1" t="str">
        <f t="shared" si="502"/>
        <v>01</v>
      </c>
      <c r="AU1008" s="90" t="s">
        <v>648</v>
      </c>
      <c r="AV1008" s="90"/>
      <c r="AW1008" s="90"/>
      <c r="AX1008" s="95" t="str">
        <f>AQ1008&amp;AR1008&amp;AS1008&amp;"-"&amp;AT1008&amp;AU1008&amp;BA1008</f>
        <v>C0101-0132OUT</v>
      </c>
      <c r="AY1008" s="99" t="str">
        <f>AQ1008&amp;AR1008&amp;AS1008&amp;"-"&amp;AT1008&amp;BA1008</f>
        <v>C0101-01OUT</v>
      </c>
      <c r="AZ1008" s="90"/>
      <c r="BA1008" s="1" t="str">
        <f t="shared" si="503"/>
        <v>OUT</v>
      </c>
      <c r="BC1008" s="1">
        <f t="shared" si="513"/>
        <v>1</v>
      </c>
      <c r="BD1008" s="90">
        <f t="shared" si="514"/>
        <v>1</v>
      </c>
      <c r="BE1008" s="1">
        <f t="shared" si="506"/>
        <v>1</v>
      </c>
      <c r="BF1008" s="1">
        <f t="shared" si="507"/>
        <v>1</v>
      </c>
    </row>
    <row r="1009" spans="1:58" ht="11.25" customHeight="1">
      <c r="A1009" s="26" t="s">
        <v>4695</v>
      </c>
      <c r="B1009" s="27" t="s">
        <v>4696</v>
      </c>
      <c r="C1009" s="28">
        <v>438.99</v>
      </c>
      <c r="D1009" s="28">
        <f t="shared" si="494"/>
        <v>219.495</v>
      </c>
      <c r="E1009" s="22" t="s">
        <v>4467</v>
      </c>
      <c r="F1009" s="22" t="s">
        <v>4697</v>
      </c>
      <c r="G1009" s="22" t="s">
        <v>4698</v>
      </c>
      <c r="H1009" s="22" t="s">
        <v>4699</v>
      </c>
      <c r="I1009" s="23" t="s">
        <v>4693</v>
      </c>
      <c r="J1009" s="22" t="s">
        <v>646</v>
      </c>
      <c r="K1009" s="23">
        <v>25</v>
      </c>
      <c r="L1009" s="23">
        <v>60</v>
      </c>
      <c r="M1009" s="23">
        <v>25</v>
      </c>
      <c r="N1009" s="3">
        <f t="shared" si="488"/>
        <v>3.7499999999999999E-2</v>
      </c>
      <c r="O1009" s="4" t="e">
        <f>(C1009-(C1009*#REF!))-((C1009-(C1009*#REF!))*#REF!)</f>
        <v>#REF!</v>
      </c>
      <c r="P1009" s="7">
        <f>929182.988460199-Q1009</f>
        <v>29182.988460198976</v>
      </c>
      <c r="Q1009" s="7">
        <v>900000</v>
      </c>
      <c r="R1009" s="5">
        <f t="shared" si="489"/>
        <v>929182.98846019898</v>
      </c>
      <c r="S1009" s="4">
        <f t="shared" si="490"/>
        <v>61.945532564013263</v>
      </c>
      <c r="T1009" s="13">
        <f t="shared" si="495"/>
        <v>307.29300000000001</v>
      </c>
      <c r="U1009" s="13">
        <f t="shared" si="504"/>
        <v>153.6465</v>
      </c>
      <c r="V1009" s="14">
        <f>U1009/C1009</f>
        <v>0.35</v>
      </c>
      <c r="W1009" s="14"/>
      <c r="X1009" s="19">
        <f t="shared" si="491"/>
        <v>153.6465</v>
      </c>
      <c r="Y1009" s="19">
        <f t="shared" si="492"/>
        <v>307.29300000000001</v>
      </c>
      <c r="Z1009" s="15">
        <f t="shared" si="509"/>
        <v>2.4803483583134072</v>
      </c>
      <c r="AA1009" s="22" t="s">
        <v>4700</v>
      </c>
      <c r="AG1009" s="94" t="s">
        <v>817</v>
      </c>
      <c r="AH1009" s="89" t="str">
        <f>VLOOKUP(AG1009,Sheet1!$B$3:$D$36,2,FALSE)</f>
        <v>Kitchen &amp; Dining</v>
      </c>
      <c r="AI1009" s="89" t="s">
        <v>2077</v>
      </c>
      <c r="AJ1009" s="1" t="str">
        <f t="shared" si="496"/>
        <v>Jerome oval bowl</v>
      </c>
      <c r="AK1009" s="1" t="str">
        <f t="shared" si="497"/>
        <v>w25 x d60 x h25</v>
      </c>
      <c r="AL1009" s="1" t="str">
        <f t="shared" si="498"/>
        <v>teak root - limited edition outdoor</v>
      </c>
      <c r="AM1009" s="1" t="str">
        <f t="shared" si="499"/>
        <v>teak root - limited edition outdoor</v>
      </c>
      <c r="AN1009" s="1" t="str">
        <f t="shared" si="512"/>
        <v xml:space="preserve">teak root - limited edition </v>
      </c>
      <c r="AO1009" s="1" t="s">
        <v>59</v>
      </c>
      <c r="AQ1009" s="1" t="str">
        <f t="shared" si="500"/>
        <v>C</v>
      </c>
      <c r="AR1009" s="1" t="str">
        <f>VLOOKUP(TRIM(AI1009),Sheet1!$D$3:$E$36,2,FALSE)</f>
        <v>01</v>
      </c>
      <c r="AS1009" s="90" t="str">
        <f t="shared" si="501"/>
        <v>01</v>
      </c>
      <c r="AT1009" s="1" t="str">
        <f t="shared" si="502"/>
        <v>01</v>
      </c>
      <c r="AU1009" s="90" t="s">
        <v>648</v>
      </c>
      <c r="AV1009" s="90"/>
      <c r="AW1009" s="90"/>
      <c r="AX1009" s="95" t="str">
        <f>AQ1009&amp;AR1009&amp;AS1009&amp;"-"&amp;AT1009&amp;AU1009&amp;BA1009</f>
        <v>C0101-0132OUT</v>
      </c>
      <c r="AY1009" s="99" t="str">
        <f>AQ1009&amp;AR1009&amp;AS1009&amp;"-"&amp;AT1009&amp;BA1009</f>
        <v>C0101-01OUT</v>
      </c>
      <c r="AZ1009" s="90"/>
      <c r="BA1009" s="1" t="str">
        <f t="shared" si="503"/>
        <v>OUT</v>
      </c>
      <c r="BC1009" s="1">
        <f t="shared" si="513"/>
        <v>1</v>
      </c>
      <c r="BD1009" s="90">
        <f t="shared" si="514"/>
        <v>1</v>
      </c>
      <c r="BE1009" s="1">
        <f t="shared" si="506"/>
        <v>1</v>
      </c>
      <c r="BF1009" s="1">
        <f t="shared" si="507"/>
        <v>1</v>
      </c>
    </row>
    <row r="1010" spans="1:58" ht="11.25" customHeight="1">
      <c r="A1010" s="26" t="s">
        <v>4701</v>
      </c>
      <c r="B1010" s="27" t="s">
        <v>4702</v>
      </c>
      <c r="C1010" s="28">
        <v>441.99</v>
      </c>
      <c r="D1010" s="28">
        <f t="shared" si="494"/>
        <v>220.995</v>
      </c>
      <c r="E1010" s="22" t="s">
        <v>4467</v>
      </c>
      <c r="F1010" s="22" t="s">
        <v>4703</v>
      </c>
      <c r="G1010" s="22" t="s">
        <v>4704</v>
      </c>
      <c r="H1010" s="22" t="s">
        <v>4705</v>
      </c>
      <c r="I1010" s="23" t="s">
        <v>4693</v>
      </c>
      <c r="J1010" s="22" t="s">
        <v>646</v>
      </c>
      <c r="L1010" s="23">
        <v>60</v>
      </c>
      <c r="M1010" s="23">
        <v>15</v>
      </c>
      <c r="N1010" s="3">
        <f t="shared" si="488"/>
        <v>5.3999999999999999E-2</v>
      </c>
      <c r="O1010" s="4" t="e">
        <f>(C1010-(C1010*#REF!))-((C1010-(C1010*#REF!))*#REF!)</f>
        <v>#REF!</v>
      </c>
      <c r="P1010" s="7"/>
      <c r="Q1010" s="7"/>
      <c r="R1010" s="5">
        <f t="shared" si="489"/>
        <v>0</v>
      </c>
      <c r="S1010" s="4">
        <f t="shared" si="490"/>
        <v>0</v>
      </c>
      <c r="T1010" s="13">
        <f t="shared" si="495"/>
        <v>309.39300000000003</v>
      </c>
      <c r="U1010" s="13">
        <f t="shared" si="504"/>
        <v>154.69650000000001</v>
      </c>
      <c r="V1010" s="14">
        <f>U1010/C1010</f>
        <v>0.35000000000000003</v>
      </c>
      <c r="W1010" s="14"/>
      <c r="X1010" s="19">
        <f t="shared" si="491"/>
        <v>154.69650000000001</v>
      </c>
      <c r="Y1010" s="19">
        <f t="shared" si="492"/>
        <v>309.39300000000003</v>
      </c>
      <c r="Z1010" s="15" t="e">
        <f t="shared" si="509"/>
        <v>#DIV/0!</v>
      </c>
      <c r="AA1010" s="22" t="s">
        <v>4706</v>
      </c>
      <c r="AG1010" s="94" t="s">
        <v>817</v>
      </c>
      <c r="AH1010" s="89" t="str">
        <f>VLOOKUP(AG1010,Sheet1!$B$3:$D$36,2,FALSE)</f>
        <v>Kitchen &amp; Dining</v>
      </c>
      <c r="AI1010" s="89" t="s">
        <v>2077</v>
      </c>
      <c r="AJ1010" s="1" t="str">
        <f t="shared" si="496"/>
        <v>Habibie big bowl</v>
      </c>
      <c r="AK1010" s="1" t="str">
        <f t="shared" si="497"/>
        <v>ø60 x h15</v>
      </c>
      <c r="AL1010" s="1" t="str">
        <f t="shared" si="498"/>
        <v>teak root - limited edition outdoor</v>
      </c>
      <c r="AM1010" s="1" t="str">
        <f t="shared" si="499"/>
        <v>teak root - limited edition outdoor</v>
      </c>
      <c r="AN1010" s="1" t="str">
        <f t="shared" si="512"/>
        <v xml:space="preserve">teak root - limited edition </v>
      </c>
      <c r="AO1010" s="1" t="s">
        <v>59</v>
      </c>
      <c r="AQ1010" s="1" t="str">
        <f t="shared" si="500"/>
        <v>C</v>
      </c>
      <c r="AR1010" s="1" t="str">
        <f>VLOOKUP(TRIM(AI1010),Sheet1!$D$3:$E$36,2,FALSE)</f>
        <v>01</v>
      </c>
      <c r="AS1010" s="90" t="str">
        <f t="shared" si="501"/>
        <v>01</v>
      </c>
      <c r="AT1010" s="1" t="str">
        <f t="shared" si="502"/>
        <v>01</v>
      </c>
      <c r="AU1010" s="90" t="s">
        <v>648</v>
      </c>
      <c r="AV1010" s="90"/>
      <c r="AW1010" s="90"/>
      <c r="AX1010" s="95" t="str">
        <f>AQ1010&amp;AR1010&amp;AS1010&amp;"-"&amp;AT1010&amp;AU1010&amp;BA1010</f>
        <v>C0101-0132OUT</v>
      </c>
      <c r="AY1010" s="99" t="str">
        <f>AQ1010&amp;AR1010&amp;AS1010&amp;"-"&amp;AT1010&amp;BA1010</f>
        <v>C0101-01OUT</v>
      </c>
      <c r="AZ1010" s="90"/>
      <c r="BA1010" s="1" t="str">
        <f t="shared" si="503"/>
        <v>OUT</v>
      </c>
      <c r="BC1010" s="1">
        <f t="shared" si="513"/>
        <v>1</v>
      </c>
      <c r="BD1010" s="90">
        <f t="shared" si="514"/>
        <v>1</v>
      </c>
      <c r="BE1010" s="1">
        <f t="shared" si="506"/>
        <v>1</v>
      </c>
      <c r="BF1010" s="1">
        <f t="shared" si="507"/>
        <v>1</v>
      </c>
    </row>
    <row r="1011" spans="1:58" ht="11.25" customHeight="1">
      <c r="A1011" s="26" t="s">
        <v>4707</v>
      </c>
      <c r="B1011" s="27" t="s">
        <v>4708</v>
      </c>
      <c r="C1011" s="28">
        <v>37.99</v>
      </c>
      <c r="D1011" s="28">
        <f t="shared" si="494"/>
        <v>18.995000000000001</v>
      </c>
      <c r="E1011" s="22" t="s">
        <v>4467</v>
      </c>
      <c r="F1011" s="22" t="s">
        <v>4709</v>
      </c>
      <c r="G1011" s="22" t="s">
        <v>4710</v>
      </c>
      <c r="H1011" s="22" t="s">
        <v>4711</v>
      </c>
      <c r="I1011" s="23" t="s">
        <v>2973</v>
      </c>
      <c r="J1011" s="22" t="s">
        <v>646</v>
      </c>
      <c r="K1011" s="23">
        <v>40</v>
      </c>
      <c r="L1011" s="23">
        <v>40</v>
      </c>
      <c r="M1011" s="23">
        <v>30</v>
      </c>
      <c r="N1011" s="3">
        <f t="shared" si="488"/>
        <v>4.8000000000000001E-2</v>
      </c>
      <c r="O1011" s="4" t="e">
        <f>(C1011-(C1011*#REF!))-((C1011-(C1011*#REF!))*#REF!)</f>
        <v>#REF!</v>
      </c>
      <c r="P1011" s="7"/>
      <c r="Q1011" s="7"/>
      <c r="R1011" s="5">
        <f t="shared" si="489"/>
        <v>0</v>
      </c>
      <c r="S1011" s="4">
        <f t="shared" si="490"/>
        <v>0</v>
      </c>
      <c r="T1011" s="13">
        <f t="shared" si="495"/>
        <v>26.593000000000004</v>
      </c>
      <c r="U1011" s="13">
        <f t="shared" si="504"/>
        <v>13.296500000000002</v>
      </c>
      <c r="V1011" s="14">
        <f>U1011/C1011</f>
        <v>0.35000000000000003</v>
      </c>
      <c r="W1011" s="14"/>
      <c r="X1011" s="19">
        <f t="shared" si="491"/>
        <v>13.296500000000002</v>
      </c>
      <c r="Y1011" s="19">
        <f t="shared" si="492"/>
        <v>26.593000000000004</v>
      </c>
      <c r="Z1011" s="15" t="e">
        <f t="shared" si="509"/>
        <v>#DIV/0!</v>
      </c>
      <c r="AA1011" s="22" t="s">
        <v>4712</v>
      </c>
      <c r="AG1011" s="94" t="s">
        <v>817</v>
      </c>
      <c r="AH1011" s="89" t="str">
        <f>VLOOKUP(AG1011,Sheet1!$B$3:$D$36,2,FALSE)</f>
        <v>Kitchen &amp; Dining</v>
      </c>
      <c r="AI1011" s="89" t="s">
        <v>2077</v>
      </c>
      <c r="AJ1011" s="1" t="str">
        <f t="shared" si="496"/>
        <v>Cheeta fruit bowl</v>
      </c>
      <c r="AK1011" s="1" t="str">
        <f t="shared" si="497"/>
        <v>w40 x d40 x h30</v>
      </c>
      <c r="AL1011" s="1" t="str">
        <f t="shared" si="498"/>
        <v>teak root outdoor</v>
      </c>
      <c r="AM1011" s="1" t="str">
        <f t="shared" si="499"/>
        <v>teak root outdoor</v>
      </c>
      <c r="AN1011" s="1" t="str">
        <f t="shared" si="512"/>
        <v xml:space="preserve">teak root </v>
      </c>
      <c r="AO1011" s="1" t="s">
        <v>59</v>
      </c>
      <c r="AQ1011" s="1" t="str">
        <f t="shared" si="500"/>
        <v>C</v>
      </c>
      <c r="AR1011" s="1" t="str">
        <f>VLOOKUP(TRIM(AI1011),Sheet1!$D$3:$E$36,2,FALSE)</f>
        <v>01</v>
      </c>
      <c r="AS1011" s="90" t="str">
        <f t="shared" si="501"/>
        <v>01</v>
      </c>
      <c r="AT1011" s="1" t="str">
        <f t="shared" si="502"/>
        <v>01</v>
      </c>
      <c r="AU1011" s="90" t="s">
        <v>648</v>
      </c>
      <c r="AV1011" s="90"/>
      <c r="AW1011" s="90"/>
      <c r="AX1011" s="95" t="str">
        <f>AQ1011&amp;AR1011&amp;AS1011&amp;"-"&amp;AT1011&amp;AU1011&amp;BA1011</f>
        <v>C0101-0132OUT</v>
      </c>
      <c r="AY1011" s="99" t="str">
        <f>AQ1011&amp;AR1011&amp;AS1011&amp;"-"&amp;AT1011&amp;BA1011</f>
        <v>C0101-01OUT</v>
      </c>
      <c r="AZ1011" s="90"/>
      <c r="BA1011" s="1" t="str">
        <f t="shared" si="503"/>
        <v>OUT</v>
      </c>
      <c r="BC1011" s="1">
        <f t="shared" si="513"/>
        <v>1</v>
      </c>
      <c r="BD1011" s="90">
        <f t="shared" si="514"/>
        <v>1</v>
      </c>
      <c r="BE1011" s="1">
        <f t="shared" si="506"/>
        <v>1</v>
      </c>
      <c r="BF1011" s="1">
        <f t="shared" si="507"/>
        <v>1</v>
      </c>
    </row>
    <row r="1012" spans="1:58" ht="11.25" customHeight="1">
      <c r="A1012" s="26">
        <v>33014</v>
      </c>
      <c r="B1012" s="27" t="s">
        <v>4713</v>
      </c>
      <c r="C1012" s="28">
        <v>66.989999999999995</v>
      </c>
      <c r="D1012" s="28">
        <f t="shared" si="494"/>
        <v>33.494999999999997</v>
      </c>
      <c r="E1012" s="22" t="s">
        <v>4467</v>
      </c>
      <c r="F1012" s="22" t="s">
        <v>4714</v>
      </c>
      <c r="G1012" s="22" t="s">
        <v>4715</v>
      </c>
      <c r="H1012" s="22" t="s">
        <v>4716</v>
      </c>
      <c r="I1012" s="23" t="s">
        <v>4717</v>
      </c>
      <c r="J1012" s="22" t="s">
        <v>670</v>
      </c>
      <c r="K1012" s="23">
        <v>45</v>
      </c>
      <c r="L1012" s="23">
        <v>27</v>
      </c>
      <c r="M1012" s="23">
        <v>8</v>
      </c>
      <c r="N1012" s="3">
        <f t="shared" si="488"/>
        <v>9.7199999999999995E-3</v>
      </c>
      <c r="O1012" s="4" t="e">
        <f>(C1012-(C1012*#REF!))-((C1012-(C1012*#REF!))*#REF!)</f>
        <v>#REF!</v>
      </c>
      <c r="P1012" s="7">
        <f>212346.502153433-Q1012</f>
        <v>2346.5021534329862</v>
      </c>
      <c r="Q1012" s="7">
        <v>210000</v>
      </c>
      <c r="R1012" s="5">
        <f t="shared" si="489"/>
        <v>212346.50215343299</v>
      </c>
      <c r="S1012" s="4">
        <f t="shared" si="490"/>
        <v>14.156433476895533</v>
      </c>
      <c r="T1012" s="13">
        <f t="shared" si="495"/>
        <v>46.893000000000001</v>
      </c>
      <c r="U1012" s="13">
        <f t="shared" si="504"/>
        <v>23.4465</v>
      </c>
      <c r="V1012" s="14">
        <f>U1012/C1012</f>
        <v>0.35000000000000003</v>
      </c>
      <c r="W1012" s="18">
        <f t="shared" ref="W1012:W1053" si="515">S1012*$W$1</f>
        <v>28.312866953791065</v>
      </c>
      <c r="X1012" s="19">
        <f t="shared" si="491"/>
        <v>28.312866953791065</v>
      </c>
      <c r="Y1012" s="19">
        <f t="shared" si="492"/>
        <v>56.625733907582131</v>
      </c>
      <c r="Z1012" s="15">
        <v>2</v>
      </c>
      <c r="AA1012" s="22" t="s">
        <v>4718</v>
      </c>
      <c r="AG1012" s="94" t="s">
        <v>817</v>
      </c>
      <c r="AH1012" s="89" t="str">
        <f>VLOOKUP(AG1012,Sheet1!$B$3:$D$36,2,FALSE)</f>
        <v>Kitchen &amp; Dining</v>
      </c>
      <c r="AI1012" s="89" t="s">
        <v>2077</v>
      </c>
      <c r="AJ1012" s="1" t="str">
        <f t="shared" si="496"/>
        <v>Eve Tray basket</v>
      </c>
      <c r="AK1012" s="1" t="str">
        <f t="shared" si="497"/>
        <v>w45 x d27 x h8</v>
      </c>
      <c r="AL1012" s="1" t="str">
        <f t="shared" si="498"/>
        <v>rattan indoor</v>
      </c>
      <c r="AM1012" s="1" t="str">
        <f t="shared" si="499"/>
        <v>rattan indoor</v>
      </c>
      <c r="AN1012" s="1" t="str">
        <f t="shared" ref="AN1012:AN1075" si="516">SUBSTITUTE(AL1012,"indoor","")</f>
        <v xml:space="preserve">rattan </v>
      </c>
      <c r="AO1012" s="1" t="s">
        <v>54</v>
      </c>
      <c r="AQ1012" s="1" t="str">
        <f t="shared" si="500"/>
        <v>C</v>
      </c>
      <c r="AR1012" s="1" t="str">
        <f>VLOOKUP(TRIM(AI1012),Sheet1!$D$3:$E$36,2,FALSE)</f>
        <v>01</v>
      </c>
      <c r="AS1012" s="90" t="str">
        <f t="shared" si="501"/>
        <v>01</v>
      </c>
      <c r="AT1012" s="1" t="str">
        <f t="shared" si="502"/>
        <v>01</v>
      </c>
      <c r="AU1012" s="90" t="s">
        <v>1878</v>
      </c>
      <c r="AV1012" s="90"/>
      <c r="AW1012" s="90"/>
      <c r="AX1012" s="95" t="str">
        <f>AQ1012&amp;AR1012&amp;AS1012&amp;"-"&amp;AT1012&amp;AU1012&amp;BA1012</f>
        <v>C0101-0116IND</v>
      </c>
      <c r="AY1012" s="99" t="str">
        <f>AQ1012&amp;AR1012&amp;AS1012&amp;"-"&amp;AT1012&amp;BA1012</f>
        <v>C0101-01IND</v>
      </c>
      <c r="AZ1012" s="90"/>
      <c r="BA1012" s="1" t="str">
        <f t="shared" si="503"/>
        <v>IND</v>
      </c>
      <c r="BC1012" s="1">
        <f t="shared" si="513"/>
        <v>1</v>
      </c>
      <c r="BD1012" s="90">
        <f t="shared" si="514"/>
        <v>1</v>
      </c>
      <c r="BE1012" s="1">
        <f t="shared" si="506"/>
        <v>1</v>
      </c>
      <c r="BF1012" s="1">
        <f t="shared" si="507"/>
        <v>1</v>
      </c>
    </row>
    <row r="1013" spans="1:58" ht="11.25" customHeight="1">
      <c r="A1013" s="26" t="s">
        <v>4719</v>
      </c>
      <c r="B1013" s="27" t="s">
        <v>4720</v>
      </c>
      <c r="C1013" s="28">
        <v>11.99</v>
      </c>
      <c r="D1013" s="28">
        <f t="shared" si="494"/>
        <v>5.9950000000000001</v>
      </c>
      <c r="E1013" s="22" t="s">
        <v>4467</v>
      </c>
      <c r="F1013" s="22" t="s">
        <v>4721</v>
      </c>
      <c r="G1013" s="22" t="s">
        <v>818</v>
      </c>
      <c r="H1013" s="22" t="s">
        <v>4722</v>
      </c>
      <c r="I1013" s="23" t="s">
        <v>4723</v>
      </c>
      <c r="J1013" s="22" t="s">
        <v>670</v>
      </c>
      <c r="L1013" s="23">
        <v>13</v>
      </c>
      <c r="M1013" s="23">
        <v>1.5</v>
      </c>
      <c r="N1013" s="3">
        <f t="shared" si="488"/>
        <v>2.5349999999999998E-4</v>
      </c>
      <c r="O1013" s="4" t="e">
        <f>(C1013-(C1013*#REF!))-((C1013-(C1013*#REF!))*#REF!)</f>
        <v>#REF!</v>
      </c>
      <c r="P1013" s="7">
        <f>88061.1973555448-Q1013</f>
        <v>61.19735554480576</v>
      </c>
      <c r="Q1013" s="7">
        <v>88000</v>
      </c>
      <c r="R1013" s="5">
        <f t="shared" si="489"/>
        <v>88061.197355544806</v>
      </c>
      <c r="S1013" s="4">
        <f t="shared" si="490"/>
        <v>5.8707464903696538</v>
      </c>
      <c r="T1013" s="13">
        <f t="shared" si="495"/>
        <v>8.3930000000000007</v>
      </c>
      <c r="U1013" s="13">
        <f t="shared" si="504"/>
        <v>4.1965000000000003</v>
      </c>
      <c r="V1013" s="14">
        <f>U1013/C1013</f>
        <v>0.35000000000000003</v>
      </c>
      <c r="W1013" s="18">
        <f t="shared" si="515"/>
        <v>11.741492980739308</v>
      </c>
      <c r="X1013" s="19">
        <f t="shared" si="491"/>
        <v>11.741492980739308</v>
      </c>
      <c r="Y1013" s="19">
        <f t="shared" si="492"/>
        <v>23.482985961478615</v>
      </c>
      <c r="Z1013" s="15">
        <v>2</v>
      </c>
      <c r="AA1013" s="22" t="s">
        <v>4724</v>
      </c>
      <c r="AG1013" s="94" t="s">
        <v>817</v>
      </c>
      <c r="AH1013" s="89" t="str">
        <f>VLOOKUP(AG1013,Sheet1!$B$3:$D$36,2,FALSE)</f>
        <v>Kitchen &amp; Dining</v>
      </c>
      <c r="AI1013" s="89" t="s">
        <v>2077</v>
      </c>
      <c r="AJ1013" s="1" t="str">
        <f t="shared" si="496"/>
        <v>Tom plate flat white</v>
      </c>
      <c r="AK1013" s="1" t="str">
        <f t="shared" si="497"/>
        <v>ø13 x h1,5</v>
      </c>
      <c r="AL1013" s="1" t="str">
        <f t="shared" si="498"/>
        <v>stoneware indoor</v>
      </c>
      <c r="AM1013" s="1" t="str">
        <f t="shared" si="499"/>
        <v>stoneware indoor</v>
      </c>
      <c r="AN1013" s="1" t="str">
        <f t="shared" si="516"/>
        <v xml:space="preserve">stoneware </v>
      </c>
      <c r="AO1013" s="1" t="s">
        <v>54</v>
      </c>
      <c r="AQ1013" s="1" t="str">
        <f t="shared" si="500"/>
        <v>C</v>
      </c>
      <c r="AR1013" s="1" t="str">
        <f>VLOOKUP(TRIM(AI1013),Sheet1!$D$3:$E$36,2,FALSE)</f>
        <v>01</v>
      </c>
      <c r="AS1013" s="90" t="str">
        <f t="shared" si="501"/>
        <v>01</v>
      </c>
      <c r="AT1013" s="1" t="str">
        <f t="shared" si="502"/>
        <v>01</v>
      </c>
      <c r="AU1013" s="90" t="s">
        <v>4319</v>
      </c>
      <c r="AV1013" s="90"/>
      <c r="AW1013" s="90"/>
      <c r="AX1013" s="95" t="str">
        <f>AQ1013&amp;AR1013&amp;AS1013&amp;"-"&amp;AT1013&amp;AU1013&amp;BA1013</f>
        <v>C0101-0124IND</v>
      </c>
      <c r="AY1013" s="99" t="str">
        <f>AQ1013&amp;AR1013&amp;AS1013&amp;"-"&amp;AT1013&amp;BA1013</f>
        <v>C0101-01IND</v>
      </c>
      <c r="AZ1013" s="90"/>
      <c r="BA1013" s="1" t="str">
        <f t="shared" si="503"/>
        <v>IND</v>
      </c>
      <c r="BC1013" s="1">
        <f t="shared" si="513"/>
        <v>1</v>
      </c>
      <c r="BD1013" s="90">
        <f t="shared" si="514"/>
        <v>1</v>
      </c>
      <c r="BE1013" s="1">
        <f t="shared" si="506"/>
        <v>1</v>
      </c>
      <c r="BF1013" s="1">
        <f t="shared" si="507"/>
        <v>1</v>
      </c>
    </row>
    <row r="1014" spans="1:58" ht="11.25" customHeight="1">
      <c r="A1014" s="26" t="s">
        <v>4725</v>
      </c>
      <c r="B1014" s="27" t="s">
        <v>4720</v>
      </c>
      <c r="C1014" s="28">
        <v>15.99</v>
      </c>
      <c r="D1014" s="28">
        <f t="shared" si="494"/>
        <v>7.9950000000000001</v>
      </c>
      <c r="E1014" s="22" t="s">
        <v>4467</v>
      </c>
      <c r="F1014" s="22" t="s">
        <v>4726</v>
      </c>
      <c r="G1014" s="22" t="s">
        <v>818</v>
      </c>
      <c r="H1014" s="22" t="s">
        <v>4727</v>
      </c>
      <c r="I1014" s="23" t="s">
        <v>4723</v>
      </c>
      <c r="J1014" s="22" t="s">
        <v>670</v>
      </c>
      <c r="L1014" s="23">
        <v>18</v>
      </c>
      <c r="M1014" s="23">
        <v>1.5</v>
      </c>
      <c r="N1014" s="3">
        <f t="shared" si="488"/>
        <v>4.86E-4</v>
      </c>
      <c r="O1014" s="4" t="e">
        <f>(C1014-(C1014*#REF!))-((C1014-(C1014*#REF!))*#REF!)</f>
        <v>#REF!</v>
      </c>
      <c r="P1014" s="7">
        <f>132117.325107672-Q1014</f>
        <v>117.32510767198983</v>
      </c>
      <c r="Q1014" s="7">
        <v>132000</v>
      </c>
      <c r="R1014" s="5">
        <f t="shared" si="489"/>
        <v>132117.32510767199</v>
      </c>
      <c r="S1014" s="4">
        <f t="shared" si="490"/>
        <v>8.8078216738447992</v>
      </c>
      <c r="T1014" s="13">
        <f t="shared" si="495"/>
        <v>11.193000000000001</v>
      </c>
      <c r="U1014" s="13">
        <f t="shared" si="504"/>
        <v>5.5965000000000007</v>
      </c>
      <c r="V1014" s="14">
        <f>U1014/C1014</f>
        <v>0.35000000000000003</v>
      </c>
      <c r="W1014" s="18">
        <f t="shared" si="515"/>
        <v>17.615643347689598</v>
      </c>
      <c r="X1014" s="19">
        <f t="shared" si="491"/>
        <v>17.615643347689598</v>
      </c>
      <c r="Y1014" s="19">
        <f t="shared" si="492"/>
        <v>35.231286695379197</v>
      </c>
      <c r="Z1014" s="15">
        <v>2</v>
      </c>
      <c r="AA1014" s="22" t="s">
        <v>4728</v>
      </c>
      <c r="AG1014" s="94" t="s">
        <v>817</v>
      </c>
      <c r="AH1014" s="89" t="str">
        <f>VLOOKUP(AG1014,Sheet1!$B$3:$D$36,2,FALSE)</f>
        <v>Kitchen &amp; Dining</v>
      </c>
      <c r="AI1014" s="89" t="s">
        <v>2077</v>
      </c>
      <c r="AJ1014" s="1" t="str">
        <f t="shared" si="496"/>
        <v>Tom plate flat white</v>
      </c>
      <c r="AK1014" s="1" t="str">
        <f t="shared" si="497"/>
        <v>ø18 x h1,5</v>
      </c>
      <c r="AL1014" s="1" t="str">
        <f t="shared" si="498"/>
        <v>stoneware indoor</v>
      </c>
      <c r="AM1014" s="1" t="str">
        <f t="shared" si="499"/>
        <v>stoneware indoor</v>
      </c>
      <c r="AN1014" s="1" t="str">
        <f t="shared" si="516"/>
        <v xml:space="preserve">stoneware </v>
      </c>
      <c r="AO1014" s="1" t="s">
        <v>54</v>
      </c>
      <c r="AQ1014" s="1" t="str">
        <f t="shared" si="500"/>
        <v>C</v>
      </c>
      <c r="AR1014" s="1" t="str">
        <f>VLOOKUP(TRIM(AI1014),Sheet1!$D$3:$E$36,2,FALSE)</f>
        <v>01</v>
      </c>
      <c r="AS1014" s="90" t="str">
        <f t="shared" si="501"/>
        <v>02</v>
      </c>
      <c r="AT1014" s="1" t="str">
        <f t="shared" si="502"/>
        <v>01</v>
      </c>
      <c r="AU1014" s="90" t="s">
        <v>4319</v>
      </c>
      <c r="AV1014" s="90"/>
      <c r="AW1014" s="90"/>
      <c r="AX1014" s="95" t="str">
        <f>AQ1014&amp;AR1014&amp;AS1014&amp;"-"&amp;AT1014&amp;AU1014&amp;BA1014</f>
        <v>C0102-0124IND</v>
      </c>
      <c r="AY1014" s="99" t="str">
        <f>AQ1014&amp;AR1014&amp;AS1014&amp;"-"&amp;AT1014&amp;BA1014</f>
        <v>C0102-01IND</v>
      </c>
      <c r="AZ1014" s="90"/>
      <c r="BA1014" s="1" t="str">
        <f t="shared" si="503"/>
        <v>IND</v>
      </c>
      <c r="BC1014" s="1" t="str">
        <f t="shared" si="513"/>
        <v/>
      </c>
      <c r="BD1014" s="90">
        <f t="shared" si="514"/>
        <v>2</v>
      </c>
      <c r="BE1014" s="1">
        <f t="shared" si="506"/>
        <v>1</v>
      </c>
      <c r="BF1014" s="1">
        <f t="shared" si="507"/>
        <v>1</v>
      </c>
    </row>
    <row r="1015" spans="1:58" ht="11.25" customHeight="1">
      <c r="A1015" s="26" t="s">
        <v>4729</v>
      </c>
      <c r="B1015" s="27" t="s">
        <v>4720</v>
      </c>
      <c r="C1015" s="28">
        <v>17.989999999999998</v>
      </c>
      <c r="D1015" s="28">
        <f t="shared" si="494"/>
        <v>8.9949999999999992</v>
      </c>
      <c r="E1015" s="22" t="s">
        <v>4467</v>
      </c>
      <c r="F1015" s="22" t="s">
        <v>4730</v>
      </c>
      <c r="G1015" s="22" t="s">
        <v>818</v>
      </c>
      <c r="H1015" s="22" t="s">
        <v>4731</v>
      </c>
      <c r="I1015" s="23" t="s">
        <v>4723</v>
      </c>
      <c r="J1015" s="22" t="s">
        <v>670</v>
      </c>
      <c r="L1015" s="23">
        <v>24</v>
      </c>
      <c r="M1015" s="23">
        <v>1.5</v>
      </c>
      <c r="N1015" s="3">
        <f t="shared" si="488"/>
        <v>8.6399999999999997E-4</v>
      </c>
      <c r="O1015" s="4" t="e">
        <f>(C1015-(C1015*#REF!))-((C1015-(C1015*#REF!))*#REF!)</f>
        <v>#REF!</v>
      </c>
      <c r="P1015" s="7">
        <f>187208.577969194-Q1015</f>
        <v>208.57796919401153</v>
      </c>
      <c r="Q1015" s="7">
        <v>187000</v>
      </c>
      <c r="R1015" s="5">
        <f t="shared" si="489"/>
        <v>187208.57796919401</v>
      </c>
      <c r="S1015" s="4">
        <f t="shared" si="490"/>
        <v>12.480571864612934</v>
      </c>
      <c r="T1015" s="13">
        <f t="shared" si="495"/>
        <v>12.593</v>
      </c>
      <c r="U1015" s="13">
        <f t="shared" si="504"/>
        <v>6.2965</v>
      </c>
      <c r="V1015" s="14">
        <f>U1015/C1015</f>
        <v>0.35000000000000003</v>
      </c>
      <c r="W1015" s="18">
        <f t="shared" si="515"/>
        <v>24.961143729225867</v>
      </c>
      <c r="X1015" s="19">
        <f t="shared" si="491"/>
        <v>24.961143729225867</v>
      </c>
      <c r="Y1015" s="19">
        <f t="shared" si="492"/>
        <v>49.922287458451734</v>
      </c>
      <c r="Z1015" s="15">
        <v>2</v>
      </c>
      <c r="AA1015" s="22" t="s">
        <v>4732</v>
      </c>
      <c r="AG1015" s="94" t="s">
        <v>817</v>
      </c>
      <c r="AH1015" s="89" t="str">
        <f>VLOOKUP(AG1015,Sheet1!$B$3:$D$36,2,FALSE)</f>
        <v>Kitchen &amp; Dining</v>
      </c>
      <c r="AI1015" s="89" t="s">
        <v>2077</v>
      </c>
      <c r="AJ1015" s="1" t="str">
        <f t="shared" si="496"/>
        <v>Tom plate flat white</v>
      </c>
      <c r="AK1015" s="1" t="str">
        <f t="shared" si="497"/>
        <v>ø24 x h1,5</v>
      </c>
      <c r="AL1015" s="1" t="str">
        <f t="shared" si="498"/>
        <v>stoneware indoor</v>
      </c>
      <c r="AM1015" s="1" t="str">
        <f t="shared" si="499"/>
        <v>stoneware indoor</v>
      </c>
      <c r="AN1015" s="1" t="str">
        <f t="shared" si="516"/>
        <v xml:space="preserve">stoneware </v>
      </c>
      <c r="AO1015" s="1" t="s">
        <v>54</v>
      </c>
      <c r="AQ1015" s="1" t="str">
        <f t="shared" si="500"/>
        <v>C</v>
      </c>
      <c r="AR1015" s="1" t="str">
        <f>VLOOKUP(TRIM(AI1015),Sheet1!$D$3:$E$36,2,FALSE)</f>
        <v>01</v>
      </c>
      <c r="AS1015" s="90" t="str">
        <f t="shared" si="501"/>
        <v>03</v>
      </c>
      <c r="AT1015" s="1" t="str">
        <f t="shared" si="502"/>
        <v>01</v>
      </c>
      <c r="AU1015" s="90" t="s">
        <v>4319</v>
      </c>
      <c r="AV1015" s="90"/>
      <c r="AW1015" s="90"/>
      <c r="AX1015" s="95" t="str">
        <f>AQ1015&amp;AR1015&amp;AS1015&amp;"-"&amp;AT1015&amp;AU1015&amp;BA1015</f>
        <v>C0103-0124IND</v>
      </c>
      <c r="AY1015" s="99" t="str">
        <f>AQ1015&amp;AR1015&amp;AS1015&amp;"-"&amp;AT1015&amp;BA1015</f>
        <v>C0103-01IND</v>
      </c>
      <c r="AZ1015" s="90"/>
      <c r="BA1015" s="1" t="str">
        <f t="shared" si="503"/>
        <v>IND</v>
      </c>
      <c r="BC1015" s="1" t="str">
        <f t="shared" si="513"/>
        <v/>
      </c>
      <c r="BD1015" s="90">
        <f t="shared" si="514"/>
        <v>3</v>
      </c>
      <c r="BE1015" s="1">
        <f t="shared" si="506"/>
        <v>1</v>
      </c>
      <c r="BF1015" s="1">
        <f t="shared" si="507"/>
        <v>1</v>
      </c>
    </row>
    <row r="1016" spans="1:58" ht="11.25" customHeight="1">
      <c r="A1016" s="26" t="s">
        <v>4733</v>
      </c>
      <c r="B1016" s="27" t="s">
        <v>4720</v>
      </c>
      <c r="C1016" s="28">
        <v>23.99</v>
      </c>
      <c r="D1016" s="28">
        <f t="shared" si="494"/>
        <v>11.994999999999999</v>
      </c>
      <c r="E1016" s="22" t="s">
        <v>4467</v>
      </c>
      <c r="F1016" s="22" t="s">
        <v>4734</v>
      </c>
      <c r="G1016" s="22" t="s">
        <v>818</v>
      </c>
      <c r="H1016" s="22" t="s">
        <v>4735</v>
      </c>
      <c r="I1016" s="23" t="s">
        <v>4723</v>
      </c>
      <c r="J1016" s="22" t="s">
        <v>670</v>
      </c>
      <c r="L1016" s="23">
        <v>27</v>
      </c>
      <c r="M1016" s="23">
        <v>1.5</v>
      </c>
      <c r="N1016" s="3">
        <f t="shared" si="488"/>
        <v>1.0935000000000001E-3</v>
      </c>
      <c r="O1016" s="4" t="e">
        <f>(C1016-(C1016*#REF!))-((C1016-(C1016*#REF!))*#REF!)</f>
        <v>#REF!</v>
      </c>
      <c r="P1016" s="7">
        <f>220263.981492261-Q1016</f>
        <v>263.98149226099486</v>
      </c>
      <c r="Q1016" s="7">
        <v>220000</v>
      </c>
      <c r="R1016" s="5">
        <f t="shared" si="489"/>
        <v>220263.98149226099</v>
      </c>
      <c r="S1016" s="4">
        <f t="shared" si="490"/>
        <v>14.6842654328174</v>
      </c>
      <c r="T1016" s="13">
        <f t="shared" si="495"/>
        <v>16.792999999999999</v>
      </c>
      <c r="U1016" s="13">
        <f t="shared" si="504"/>
        <v>8.3964999999999996</v>
      </c>
      <c r="V1016" s="14">
        <f>U1016/C1016</f>
        <v>0.35000000000000003</v>
      </c>
      <c r="W1016" s="18">
        <f t="shared" si="515"/>
        <v>29.368530865634799</v>
      </c>
      <c r="X1016" s="19">
        <f t="shared" si="491"/>
        <v>29.368530865634799</v>
      </c>
      <c r="Y1016" s="19">
        <f t="shared" si="492"/>
        <v>58.737061731269598</v>
      </c>
      <c r="Z1016" s="15">
        <v>2</v>
      </c>
      <c r="AA1016" s="22" t="s">
        <v>4736</v>
      </c>
      <c r="AG1016" s="94" t="s">
        <v>817</v>
      </c>
      <c r="AH1016" s="89" t="str">
        <f>VLOOKUP(AG1016,Sheet1!$B$3:$D$36,2,FALSE)</f>
        <v>Kitchen &amp; Dining</v>
      </c>
      <c r="AI1016" s="89" t="s">
        <v>2077</v>
      </c>
      <c r="AJ1016" s="1" t="str">
        <f t="shared" si="496"/>
        <v>Tom plate flat white</v>
      </c>
      <c r="AK1016" s="1" t="str">
        <f t="shared" si="497"/>
        <v>ø27 x h1,5</v>
      </c>
      <c r="AL1016" s="1" t="str">
        <f t="shared" si="498"/>
        <v>stoneware indoor</v>
      </c>
      <c r="AM1016" s="1" t="str">
        <f t="shared" si="499"/>
        <v>stoneware indoor</v>
      </c>
      <c r="AN1016" s="1" t="str">
        <f t="shared" si="516"/>
        <v xml:space="preserve">stoneware </v>
      </c>
      <c r="AO1016" s="1" t="s">
        <v>54</v>
      </c>
      <c r="AQ1016" s="1" t="str">
        <f t="shared" si="500"/>
        <v>C</v>
      </c>
      <c r="AR1016" s="1" t="str">
        <f>VLOOKUP(TRIM(AI1016),Sheet1!$D$3:$E$36,2,FALSE)</f>
        <v>01</v>
      </c>
      <c r="AS1016" s="90" t="str">
        <f t="shared" si="501"/>
        <v>04</v>
      </c>
      <c r="AT1016" s="1" t="str">
        <f t="shared" si="502"/>
        <v>01</v>
      </c>
      <c r="AU1016" s="90" t="s">
        <v>4319</v>
      </c>
      <c r="AV1016" s="90"/>
      <c r="AW1016" s="90"/>
      <c r="AX1016" s="95" t="str">
        <f>AQ1016&amp;AR1016&amp;AS1016&amp;"-"&amp;AT1016&amp;AU1016&amp;BA1016</f>
        <v>C0104-0124IND</v>
      </c>
      <c r="AY1016" s="99" t="str">
        <f>AQ1016&amp;AR1016&amp;AS1016&amp;"-"&amp;AT1016&amp;BA1016</f>
        <v>C0104-01IND</v>
      </c>
      <c r="AZ1016" s="90"/>
      <c r="BA1016" s="1" t="str">
        <f t="shared" si="503"/>
        <v>IND</v>
      </c>
      <c r="BC1016" s="1" t="str">
        <f t="shared" si="513"/>
        <v/>
      </c>
      <c r="BD1016" s="90">
        <f t="shared" si="514"/>
        <v>4</v>
      </c>
      <c r="BE1016" s="1">
        <f t="shared" si="506"/>
        <v>1</v>
      </c>
      <c r="BF1016" s="1">
        <f t="shared" si="507"/>
        <v>1</v>
      </c>
    </row>
    <row r="1017" spans="1:58" ht="11.25" customHeight="1">
      <c r="A1017" s="26" t="s">
        <v>4737</v>
      </c>
      <c r="B1017" s="27" t="s">
        <v>4720</v>
      </c>
      <c r="C1017" s="28">
        <v>30.99</v>
      </c>
      <c r="D1017" s="28">
        <f t="shared" si="494"/>
        <v>15.494999999999999</v>
      </c>
      <c r="E1017" s="22" t="s">
        <v>4467</v>
      </c>
      <c r="F1017" s="22" t="s">
        <v>4738</v>
      </c>
      <c r="G1017" s="22" t="s">
        <v>818</v>
      </c>
      <c r="H1017" s="22" t="s">
        <v>4739</v>
      </c>
      <c r="I1017" s="23" t="s">
        <v>4723</v>
      </c>
      <c r="J1017" s="22" t="s">
        <v>670</v>
      </c>
      <c r="L1017" s="23">
        <v>32</v>
      </c>
      <c r="M1017" s="23">
        <v>1.5</v>
      </c>
      <c r="N1017" s="3">
        <f t="shared" si="488"/>
        <v>1.536E-3</v>
      </c>
      <c r="O1017" s="4" t="e">
        <f>(C1017-(C1017*#REF!))-((C1017-(C1017*#REF!))*#REF!)</f>
        <v>#REF!</v>
      </c>
      <c r="P1017" s="7">
        <f>275370.805278567-Q1017</f>
        <v>370.80527856701519</v>
      </c>
      <c r="Q1017" s="7">
        <v>275000</v>
      </c>
      <c r="R1017" s="5">
        <f t="shared" si="489"/>
        <v>275370.80527856702</v>
      </c>
      <c r="S1017" s="4">
        <f t="shared" si="490"/>
        <v>18.358053685237802</v>
      </c>
      <c r="T1017" s="13">
        <f t="shared" si="495"/>
        <v>21.692999999999998</v>
      </c>
      <c r="U1017" s="13">
        <f t="shared" si="504"/>
        <v>10.846499999999999</v>
      </c>
      <c r="V1017" s="14">
        <f>U1017/C1017</f>
        <v>0.35</v>
      </c>
      <c r="W1017" s="18">
        <f t="shared" si="515"/>
        <v>36.716107370475605</v>
      </c>
      <c r="X1017" s="19">
        <f t="shared" si="491"/>
        <v>36.716107370475605</v>
      </c>
      <c r="Y1017" s="19">
        <f t="shared" si="492"/>
        <v>73.43221474095121</v>
      </c>
      <c r="Z1017" s="15">
        <v>2</v>
      </c>
      <c r="AA1017" s="22" t="s">
        <v>4732</v>
      </c>
      <c r="AG1017" s="94" t="s">
        <v>817</v>
      </c>
      <c r="AH1017" s="89" t="str">
        <f>VLOOKUP(AG1017,Sheet1!$B$3:$D$36,2,FALSE)</f>
        <v>Kitchen &amp; Dining</v>
      </c>
      <c r="AI1017" s="89" t="s">
        <v>2077</v>
      </c>
      <c r="AJ1017" s="1" t="str">
        <f t="shared" si="496"/>
        <v>Tom plate flat white</v>
      </c>
      <c r="AK1017" s="1" t="str">
        <f t="shared" si="497"/>
        <v>ø32 x h1,5</v>
      </c>
      <c r="AL1017" s="1" t="str">
        <f t="shared" si="498"/>
        <v>stoneware indoor</v>
      </c>
      <c r="AM1017" s="1" t="str">
        <f t="shared" si="499"/>
        <v>stoneware indoor</v>
      </c>
      <c r="AN1017" s="1" t="str">
        <f t="shared" si="516"/>
        <v xml:space="preserve">stoneware </v>
      </c>
      <c r="AO1017" s="1" t="s">
        <v>54</v>
      </c>
      <c r="AQ1017" s="1" t="str">
        <f t="shared" si="500"/>
        <v>C</v>
      </c>
      <c r="AR1017" s="1" t="str">
        <f>VLOOKUP(TRIM(AI1017),Sheet1!$D$3:$E$36,2,FALSE)</f>
        <v>01</v>
      </c>
      <c r="AS1017" s="90" t="str">
        <f t="shared" si="501"/>
        <v>05</v>
      </c>
      <c r="AT1017" s="1" t="str">
        <f t="shared" si="502"/>
        <v>01</v>
      </c>
      <c r="AU1017" s="90" t="s">
        <v>4319</v>
      </c>
      <c r="AV1017" s="90"/>
      <c r="AW1017" s="90"/>
      <c r="AX1017" s="95" t="str">
        <f>AQ1017&amp;AR1017&amp;AS1017&amp;"-"&amp;AT1017&amp;AU1017&amp;BA1017</f>
        <v>C0105-0124IND</v>
      </c>
      <c r="AY1017" s="99" t="str">
        <f>AQ1017&amp;AR1017&amp;AS1017&amp;"-"&amp;AT1017&amp;BA1017</f>
        <v>C0105-01IND</v>
      </c>
      <c r="AZ1017" s="90"/>
      <c r="BA1017" s="1" t="str">
        <f t="shared" si="503"/>
        <v>IND</v>
      </c>
      <c r="BC1017" s="1" t="str">
        <f t="shared" si="513"/>
        <v/>
      </c>
      <c r="BD1017" s="90">
        <f t="shared" si="514"/>
        <v>5</v>
      </c>
      <c r="BE1017" s="1">
        <f t="shared" si="506"/>
        <v>1</v>
      </c>
      <c r="BF1017" s="1">
        <f t="shared" si="507"/>
        <v>1</v>
      </c>
    </row>
    <row r="1018" spans="1:58" ht="11.25" customHeight="1">
      <c r="A1018" s="26" t="s">
        <v>4740</v>
      </c>
      <c r="B1018" s="27" t="s">
        <v>4741</v>
      </c>
      <c r="C1018" s="28">
        <v>12.99</v>
      </c>
      <c r="D1018" s="28">
        <f t="shared" si="494"/>
        <v>6.4950000000000001</v>
      </c>
      <c r="E1018" s="22" t="s">
        <v>4467</v>
      </c>
      <c r="F1018" s="22" t="s">
        <v>4721</v>
      </c>
      <c r="G1018" s="22" t="s">
        <v>841</v>
      </c>
      <c r="H1018" s="22" t="s">
        <v>4722</v>
      </c>
      <c r="I1018" s="23" t="s">
        <v>4723</v>
      </c>
      <c r="J1018" s="22" t="s">
        <v>670</v>
      </c>
      <c r="L1018" s="23">
        <v>13</v>
      </c>
      <c r="M1018" s="23">
        <v>1.5</v>
      </c>
      <c r="N1018" s="3">
        <f t="shared" ref="N1018:N1081" si="517">(IF(ISBLANK(K1018),(L1018*L1018*M1018),(K1018*L1018*M1018)))/1000000</f>
        <v>2.5349999999999998E-4</v>
      </c>
      <c r="O1018" s="4" t="e">
        <f>(C1018-(C1018*#REF!))-((C1018-(C1018*#REF!))*#REF!)</f>
        <v>#REF!</v>
      </c>
      <c r="P1018" s="7">
        <f>88061.1973555448-Q1018</f>
        <v>61.19735554480576</v>
      </c>
      <c r="Q1018" s="7">
        <v>88000</v>
      </c>
      <c r="R1018" s="5">
        <f t="shared" ref="R1018:R1081" si="518">P1018+Q1018</f>
        <v>88061.197355544806</v>
      </c>
      <c r="S1018" s="4">
        <f t="shared" ref="S1018:S1081" si="519">R1018/15000</f>
        <v>5.8707464903696538</v>
      </c>
      <c r="T1018" s="13">
        <f t="shared" si="495"/>
        <v>9.093</v>
      </c>
      <c r="U1018" s="13">
        <f t="shared" si="504"/>
        <v>4.5465</v>
      </c>
      <c r="V1018" s="14">
        <f>U1018/C1018</f>
        <v>0.35</v>
      </c>
      <c r="W1018" s="18">
        <f t="shared" si="515"/>
        <v>11.741492980739308</v>
      </c>
      <c r="X1018" s="19">
        <f t="shared" ref="X1018:X1081" si="520">IF(ISBLANK(W1018),U1018, W1018)</f>
        <v>11.741492980739308</v>
      </c>
      <c r="Y1018" s="19">
        <f t="shared" ref="Y1018:Y1081" si="521">X1018*2</f>
        <v>23.482985961478615</v>
      </c>
      <c r="Z1018" s="15">
        <v>2</v>
      </c>
      <c r="AA1018" s="22" t="s">
        <v>4742</v>
      </c>
      <c r="AG1018" s="94" t="s">
        <v>817</v>
      </c>
      <c r="AH1018" s="89" t="str">
        <f>VLOOKUP(AG1018,Sheet1!$B$3:$D$36,2,FALSE)</f>
        <v>Kitchen &amp; Dining</v>
      </c>
      <c r="AI1018" s="89" t="s">
        <v>2077</v>
      </c>
      <c r="AJ1018" s="1" t="str">
        <f t="shared" si="496"/>
        <v>Tom plate soft curved white</v>
      </c>
      <c r="AK1018" s="1" t="str">
        <f t="shared" si="497"/>
        <v>ø13 x h1,5</v>
      </c>
      <c r="AL1018" s="1" t="str">
        <f t="shared" si="498"/>
        <v>stoneware indoor</v>
      </c>
      <c r="AM1018" s="1" t="str">
        <f t="shared" si="499"/>
        <v>stoneware indoor</v>
      </c>
      <c r="AN1018" s="1" t="str">
        <f t="shared" si="516"/>
        <v xml:space="preserve">stoneware </v>
      </c>
      <c r="AO1018" s="1" t="s">
        <v>54</v>
      </c>
      <c r="AQ1018" s="1" t="str">
        <f t="shared" si="500"/>
        <v>C</v>
      </c>
      <c r="AR1018" s="1" t="str">
        <f>VLOOKUP(TRIM(AI1018),Sheet1!$D$3:$E$36,2,FALSE)</f>
        <v>01</v>
      </c>
      <c r="AS1018" s="90" t="str">
        <f t="shared" si="501"/>
        <v>01</v>
      </c>
      <c r="AT1018" s="1" t="str">
        <f t="shared" si="502"/>
        <v>01</v>
      </c>
      <c r="AU1018" s="90" t="s">
        <v>4319</v>
      </c>
      <c r="AV1018" s="90"/>
      <c r="AW1018" s="90"/>
      <c r="AX1018" s="95" t="str">
        <f>AQ1018&amp;AR1018&amp;AS1018&amp;"-"&amp;AT1018&amp;AU1018&amp;BA1018</f>
        <v>C0101-0124IND</v>
      </c>
      <c r="AY1018" s="99" t="str">
        <f>AQ1018&amp;AR1018&amp;AS1018&amp;"-"&amp;AT1018&amp;BA1018</f>
        <v>C0101-01IND</v>
      </c>
      <c r="AZ1018" s="90"/>
      <c r="BA1018" s="1" t="str">
        <f t="shared" si="503"/>
        <v>IND</v>
      </c>
      <c r="BC1018" s="1">
        <f t="shared" si="513"/>
        <v>1</v>
      </c>
      <c r="BD1018" s="90">
        <f t="shared" si="514"/>
        <v>1</v>
      </c>
      <c r="BE1018" s="1">
        <f t="shared" si="506"/>
        <v>1</v>
      </c>
      <c r="BF1018" s="1">
        <f t="shared" si="507"/>
        <v>1</v>
      </c>
    </row>
    <row r="1019" spans="1:58" ht="11.25" customHeight="1">
      <c r="A1019" s="26" t="s">
        <v>4743</v>
      </c>
      <c r="B1019" s="27" t="s">
        <v>4741</v>
      </c>
      <c r="C1019" s="28">
        <v>16.989999999999998</v>
      </c>
      <c r="D1019" s="28">
        <f t="shared" si="494"/>
        <v>8.4949999999999992</v>
      </c>
      <c r="E1019" s="22" t="s">
        <v>4467</v>
      </c>
      <c r="F1019" s="22" t="s">
        <v>4726</v>
      </c>
      <c r="G1019" s="22" t="s">
        <v>841</v>
      </c>
      <c r="H1019" s="22" t="s">
        <v>4727</v>
      </c>
      <c r="I1019" s="23" t="s">
        <v>4723</v>
      </c>
      <c r="J1019" s="22" t="s">
        <v>670</v>
      </c>
      <c r="L1019" s="23">
        <v>18</v>
      </c>
      <c r="M1019" s="23">
        <v>1.5</v>
      </c>
      <c r="N1019" s="3">
        <f t="shared" si="517"/>
        <v>4.86E-4</v>
      </c>
      <c r="O1019" s="4" t="e">
        <f>(C1019-(C1019*#REF!))-((C1019-(C1019*#REF!))*#REF!)</f>
        <v>#REF!</v>
      </c>
      <c r="P1019" s="7">
        <f>132117.325107672-Q1019</f>
        <v>117.32510767198983</v>
      </c>
      <c r="Q1019" s="7">
        <v>132000</v>
      </c>
      <c r="R1019" s="5">
        <f t="shared" si="518"/>
        <v>132117.32510767199</v>
      </c>
      <c r="S1019" s="4">
        <f t="shared" si="519"/>
        <v>8.8078216738447992</v>
      </c>
      <c r="T1019" s="13">
        <f t="shared" si="495"/>
        <v>11.892999999999999</v>
      </c>
      <c r="U1019" s="13">
        <f t="shared" si="504"/>
        <v>5.9464999999999995</v>
      </c>
      <c r="V1019" s="14">
        <f>U1019/C1019</f>
        <v>0.35</v>
      </c>
      <c r="W1019" s="18">
        <f t="shared" si="515"/>
        <v>17.615643347689598</v>
      </c>
      <c r="X1019" s="19">
        <f t="shared" si="520"/>
        <v>17.615643347689598</v>
      </c>
      <c r="Y1019" s="19">
        <f t="shared" si="521"/>
        <v>35.231286695379197</v>
      </c>
      <c r="Z1019" s="15">
        <v>2</v>
      </c>
      <c r="AA1019" s="22" t="s">
        <v>4744</v>
      </c>
      <c r="AG1019" s="94" t="s">
        <v>817</v>
      </c>
      <c r="AH1019" s="89" t="str">
        <f>VLOOKUP(AG1019,Sheet1!$B$3:$D$36,2,FALSE)</f>
        <v>Kitchen &amp; Dining</v>
      </c>
      <c r="AI1019" s="89" t="s">
        <v>2077</v>
      </c>
      <c r="AJ1019" s="1" t="str">
        <f t="shared" si="496"/>
        <v>Tom plate soft curved white</v>
      </c>
      <c r="AK1019" s="1" t="str">
        <f t="shared" si="497"/>
        <v>ø18 x h1,5</v>
      </c>
      <c r="AL1019" s="1" t="str">
        <f t="shared" si="498"/>
        <v>stoneware indoor</v>
      </c>
      <c r="AM1019" s="1" t="str">
        <f t="shared" si="499"/>
        <v>stoneware indoor</v>
      </c>
      <c r="AN1019" s="1" t="str">
        <f t="shared" si="516"/>
        <v xml:space="preserve">stoneware </v>
      </c>
      <c r="AO1019" s="1" t="s">
        <v>54</v>
      </c>
      <c r="AQ1019" s="1" t="str">
        <f t="shared" si="500"/>
        <v>C</v>
      </c>
      <c r="AR1019" s="1" t="str">
        <f>VLOOKUP(TRIM(AI1019),Sheet1!$D$3:$E$36,2,FALSE)</f>
        <v>01</v>
      </c>
      <c r="AS1019" s="90" t="str">
        <f t="shared" si="501"/>
        <v>02</v>
      </c>
      <c r="AT1019" s="1" t="str">
        <f t="shared" si="502"/>
        <v>01</v>
      </c>
      <c r="AU1019" s="90" t="s">
        <v>4319</v>
      </c>
      <c r="AV1019" s="90"/>
      <c r="AW1019" s="90"/>
      <c r="AX1019" s="95" t="str">
        <f>AQ1019&amp;AR1019&amp;AS1019&amp;"-"&amp;AT1019&amp;AU1019&amp;BA1019</f>
        <v>C0102-0124IND</v>
      </c>
      <c r="AY1019" s="99" t="str">
        <f>AQ1019&amp;AR1019&amp;AS1019&amp;"-"&amp;AT1019&amp;BA1019</f>
        <v>C0102-01IND</v>
      </c>
      <c r="AZ1019" s="90"/>
      <c r="BA1019" s="1" t="str">
        <f t="shared" si="503"/>
        <v>IND</v>
      </c>
      <c r="BC1019" s="1" t="str">
        <f t="shared" si="513"/>
        <v/>
      </c>
      <c r="BD1019" s="90">
        <f t="shared" si="514"/>
        <v>2</v>
      </c>
      <c r="BE1019" s="1">
        <f t="shared" si="506"/>
        <v>1</v>
      </c>
      <c r="BF1019" s="1">
        <f t="shared" si="507"/>
        <v>1</v>
      </c>
    </row>
    <row r="1020" spans="1:58" ht="11.25" customHeight="1">
      <c r="A1020" s="26" t="s">
        <v>4745</v>
      </c>
      <c r="B1020" s="27" t="s">
        <v>4741</v>
      </c>
      <c r="C1020" s="28">
        <v>20.99</v>
      </c>
      <c r="D1020" s="28">
        <f t="shared" si="494"/>
        <v>10.494999999999999</v>
      </c>
      <c r="E1020" s="22" t="s">
        <v>4467</v>
      </c>
      <c r="F1020" s="22" t="s">
        <v>4730</v>
      </c>
      <c r="G1020" s="22" t="s">
        <v>841</v>
      </c>
      <c r="H1020" s="22" t="s">
        <v>4731</v>
      </c>
      <c r="I1020" s="23" t="s">
        <v>4723</v>
      </c>
      <c r="J1020" s="22" t="s">
        <v>670</v>
      </c>
      <c r="L1020" s="23">
        <v>24</v>
      </c>
      <c r="M1020" s="23">
        <v>1.5</v>
      </c>
      <c r="N1020" s="3">
        <f t="shared" si="517"/>
        <v>8.6399999999999997E-4</v>
      </c>
      <c r="O1020" s="4" t="e">
        <f>(C1020-(C1020*#REF!))-((C1020-(C1020*#REF!))*#REF!)</f>
        <v>#REF!</v>
      </c>
      <c r="P1020" s="7">
        <f>198208.577969194-Q1020</f>
        <v>208.57796919401153</v>
      </c>
      <c r="Q1020" s="7">
        <v>198000</v>
      </c>
      <c r="R1020" s="5">
        <f t="shared" si="518"/>
        <v>198208.57796919401</v>
      </c>
      <c r="S1020" s="4">
        <f t="shared" si="519"/>
        <v>13.213905197946268</v>
      </c>
      <c r="T1020" s="13">
        <f t="shared" si="495"/>
        <v>14.692999999999998</v>
      </c>
      <c r="U1020" s="13">
        <f t="shared" si="504"/>
        <v>7.3464999999999989</v>
      </c>
      <c r="V1020" s="14">
        <f>U1020/C1020</f>
        <v>0.35</v>
      </c>
      <c r="W1020" s="18">
        <f t="shared" si="515"/>
        <v>26.427810395892536</v>
      </c>
      <c r="X1020" s="19">
        <f t="shared" si="520"/>
        <v>26.427810395892536</v>
      </c>
      <c r="Y1020" s="19">
        <f t="shared" si="521"/>
        <v>52.855620791785071</v>
      </c>
      <c r="Z1020" s="15">
        <v>2</v>
      </c>
      <c r="AA1020" s="22" t="s">
        <v>4746</v>
      </c>
      <c r="AG1020" s="94" t="s">
        <v>817</v>
      </c>
      <c r="AH1020" s="89" t="str">
        <f>VLOOKUP(AG1020,Sheet1!$B$3:$D$36,2,FALSE)</f>
        <v>Kitchen &amp; Dining</v>
      </c>
      <c r="AI1020" s="89" t="s">
        <v>2077</v>
      </c>
      <c r="AJ1020" s="1" t="str">
        <f t="shared" si="496"/>
        <v>Tom plate soft curved white</v>
      </c>
      <c r="AK1020" s="1" t="str">
        <f t="shared" si="497"/>
        <v>ø24 x h1,5</v>
      </c>
      <c r="AL1020" s="1" t="str">
        <f t="shared" si="498"/>
        <v>stoneware indoor</v>
      </c>
      <c r="AM1020" s="1" t="str">
        <f t="shared" si="499"/>
        <v>stoneware indoor</v>
      </c>
      <c r="AN1020" s="1" t="str">
        <f t="shared" si="516"/>
        <v xml:space="preserve">stoneware </v>
      </c>
      <c r="AO1020" s="1" t="s">
        <v>54</v>
      </c>
      <c r="AQ1020" s="1" t="str">
        <f t="shared" si="500"/>
        <v>C</v>
      </c>
      <c r="AR1020" s="1" t="str">
        <f>VLOOKUP(TRIM(AI1020),Sheet1!$D$3:$E$36,2,FALSE)</f>
        <v>01</v>
      </c>
      <c r="AS1020" s="90" t="str">
        <f t="shared" si="501"/>
        <v>03</v>
      </c>
      <c r="AT1020" s="1" t="str">
        <f t="shared" si="502"/>
        <v>01</v>
      </c>
      <c r="AU1020" s="90" t="s">
        <v>4319</v>
      </c>
      <c r="AV1020" s="90"/>
      <c r="AW1020" s="90"/>
      <c r="AX1020" s="95" t="str">
        <f>AQ1020&amp;AR1020&amp;AS1020&amp;"-"&amp;AT1020&amp;AU1020&amp;BA1020</f>
        <v>C0103-0124IND</v>
      </c>
      <c r="AY1020" s="99" t="str">
        <f>AQ1020&amp;AR1020&amp;AS1020&amp;"-"&amp;AT1020&amp;BA1020</f>
        <v>C0103-01IND</v>
      </c>
      <c r="AZ1020" s="90"/>
      <c r="BA1020" s="1" t="str">
        <f t="shared" si="503"/>
        <v>IND</v>
      </c>
      <c r="BC1020" s="1" t="str">
        <f t="shared" si="513"/>
        <v/>
      </c>
      <c r="BD1020" s="90">
        <f t="shared" si="514"/>
        <v>3</v>
      </c>
      <c r="BE1020" s="1">
        <f t="shared" si="506"/>
        <v>1</v>
      </c>
      <c r="BF1020" s="1">
        <f t="shared" si="507"/>
        <v>1</v>
      </c>
    </row>
    <row r="1021" spans="1:58" ht="11.25" customHeight="1">
      <c r="A1021" s="26" t="s">
        <v>4747</v>
      </c>
      <c r="B1021" s="27" t="s">
        <v>4741</v>
      </c>
      <c r="C1021" s="28">
        <v>27.99</v>
      </c>
      <c r="D1021" s="28">
        <f t="shared" si="494"/>
        <v>13.994999999999999</v>
      </c>
      <c r="E1021" s="22" t="s">
        <v>4467</v>
      </c>
      <c r="F1021" s="22" t="s">
        <v>4748</v>
      </c>
      <c r="G1021" s="22" t="s">
        <v>841</v>
      </c>
      <c r="H1021" s="22" t="s">
        <v>4749</v>
      </c>
      <c r="I1021" s="23" t="s">
        <v>4750</v>
      </c>
      <c r="J1021" s="22" t="s">
        <v>670</v>
      </c>
      <c r="N1021" s="3">
        <f t="shared" si="517"/>
        <v>0</v>
      </c>
      <c r="O1021" s="4" t="e">
        <f>(C1021-(C1021*#REF!))-((C1021-(C1021*#REF!))*#REF!)</f>
        <v>#REF!</v>
      </c>
      <c r="P1021" s="7">
        <f>231263.981492261-Q1021</f>
        <v>263.98149226099486</v>
      </c>
      <c r="Q1021" s="7">
        <v>231000</v>
      </c>
      <c r="R1021" s="5">
        <f t="shared" si="518"/>
        <v>231263.98149226099</v>
      </c>
      <c r="S1021" s="4">
        <f t="shared" si="519"/>
        <v>15.417598766150732</v>
      </c>
      <c r="T1021" s="13">
        <f t="shared" si="495"/>
        <v>19.593</v>
      </c>
      <c r="U1021" s="13">
        <f t="shared" si="504"/>
        <v>9.7965</v>
      </c>
      <c r="V1021" s="14">
        <f>U1021/C1021</f>
        <v>0.35000000000000003</v>
      </c>
      <c r="W1021" s="18">
        <f t="shared" si="515"/>
        <v>30.835197532301464</v>
      </c>
      <c r="X1021" s="19">
        <f t="shared" si="520"/>
        <v>30.835197532301464</v>
      </c>
      <c r="Y1021" s="19">
        <f t="shared" si="521"/>
        <v>61.670395064602928</v>
      </c>
      <c r="Z1021" s="15">
        <v>2</v>
      </c>
      <c r="AA1021" s="22" t="s">
        <v>4744</v>
      </c>
      <c r="AG1021" s="94" t="s">
        <v>817</v>
      </c>
      <c r="AH1021" s="89" t="str">
        <f>VLOOKUP(AG1021,Sheet1!$B$3:$D$36,2,FALSE)</f>
        <v>Kitchen &amp; Dining</v>
      </c>
      <c r="AI1021" s="89" t="s">
        <v>2077</v>
      </c>
      <c r="AJ1021" s="1" t="str">
        <f t="shared" si="496"/>
        <v>Tom plate soft curved white</v>
      </c>
      <c r="AK1021" s="1" t="str">
        <f t="shared" si="497"/>
        <v xml:space="preserve">
ø27 x h1,5</v>
      </c>
      <c r="AL1021" s="1" t="str">
        <f t="shared" si="498"/>
        <v>stoneware
indoor
# 4</v>
      </c>
      <c r="AM1021" s="1" t="str">
        <f t="shared" si="499"/>
        <v>stoneware
indoor
# 4</v>
      </c>
      <c r="AN1021" s="1" t="str">
        <f t="shared" si="516"/>
        <v>stoneware
# 4</v>
      </c>
      <c r="AO1021" s="1" t="s">
        <v>54</v>
      </c>
      <c r="AQ1021" s="1" t="str">
        <f t="shared" si="500"/>
        <v>C</v>
      </c>
      <c r="AR1021" s="1" t="str">
        <f>VLOOKUP(TRIM(AI1021),Sheet1!$D$3:$E$36,2,FALSE)</f>
        <v>01</v>
      </c>
      <c r="AS1021" s="90" t="str">
        <f t="shared" si="501"/>
        <v>04</v>
      </c>
      <c r="AT1021" s="1" t="str">
        <f t="shared" si="502"/>
        <v>01</v>
      </c>
      <c r="AU1021" s="90" t="s">
        <v>4319</v>
      </c>
      <c r="AV1021" s="90"/>
      <c r="AW1021" s="90"/>
      <c r="AX1021" s="95" t="str">
        <f>AQ1021&amp;AR1021&amp;AS1021&amp;"-"&amp;AT1021&amp;AU1021&amp;BA1021</f>
        <v>C0104-0124IND</v>
      </c>
      <c r="AY1021" s="99" t="str">
        <f>AQ1021&amp;AR1021&amp;AS1021&amp;"-"&amp;AT1021&amp;BA1021</f>
        <v>C0104-01IND</v>
      </c>
      <c r="AZ1021" s="90"/>
      <c r="BA1021" s="1" t="str">
        <f t="shared" si="503"/>
        <v>IND</v>
      </c>
      <c r="BC1021" s="1" t="str">
        <f t="shared" si="513"/>
        <v/>
      </c>
      <c r="BD1021" s="90">
        <f t="shared" si="514"/>
        <v>4</v>
      </c>
      <c r="BE1021" s="1">
        <f t="shared" si="506"/>
        <v>1</v>
      </c>
      <c r="BF1021" s="1">
        <f t="shared" si="507"/>
        <v>1</v>
      </c>
    </row>
    <row r="1022" spans="1:58" ht="11.25" customHeight="1">
      <c r="A1022" s="26" t="s">
        <v>4751</v>
      </c>
      <c r="B1022" s="27" t="s">
        <v>4741</v>
      </c>
      <c r="C1022" s="28">
        <v>31.99</v>
      </c>
      <c r="D1022" s="28">
        <f t="shared" si="494"/>
        <v>15.994999999999999</v>
      </c>
      <c r="E1022" s="22" t="s">
        <v>4467</v>
      </c>
      <c r="F1022" s="22" t="s">
        <v>4738</v>
      </c>
      <c r="G1022" s="22" t="s">
        <v>841</v>
      </c>
      <c r="H1022" s="22" t="s">
        <v>4739</v>
      </c>
      <c r="I1022" s="23" t="s">
        <v>4723</v>
      </c>
      <c r="J1022" s="22" t="s">
        <v>670</v>
      </c>
      <c r="L1022" s="23">
        <v>32</v>
      </c>
      <c r="M1022" s="23">
        <v>1.5</v>
      </c>
      <c r="N1022" s="3">
        <f t="shared" si="517"/>
        <v>1.536E-3</v>
      </c>
      <c r="O1022" s="4" t="e">
        <f>(C1022-(C1022*#REF!))-((C1022-(C1022*#REF!))*#REF!)</f>
        <v>#REF!</v>
      </c>
      <c r="P1022" s="7">
        <f>297370.805278567-Q1022</f>
        <v>370.80527856701519</v>
      </c>
      <c r="Q1022" s="7">
        <v>297000</v>
      </c>
      <c r="R1022" s="5">
        <f t="shared" si="518"/>
        <v>297370.80527856702</v>
      </c>
      <c r="S1022" s="4">
        <f t="shared" si="519"/>
        <v>19.824720351904467</v>
      </c>
      <c r="T1022" s="13">
        <f t="shared" si="495"/>
        <v>22.393000000000001</v>
      </c>
      <c r="U1022" s="13">
        <f t="shared" si="504"/>
        <v>11.1965</v>
      </c>
      <c r="V1022" s="14">
        <f>U1022/C1022</f>
        <v>0.35000000000000003</v>
      </c>
      <c r="W1022" s="18">
        <f t="shared" si="515"/>
        <v>39.649440703808935</v>
      </c>
      <c r="X1022" s="19">
        <f t="shared" si="520"/>
        <v>39.649440703808935</v>
      </c>
      <c r="Y1022" s="19">
        <f t="shared" si="521"/>
        <v>79.29888140761787</v>
      </c>
      <c r="Z1022" s="15">
        <v>2</v>
      </c>
      <c r="AA1022" s="22" t="s">
        <v>4752</v>
      </c>
      <c r="AG1022" s="94" t="s">
        <v>817</v>
      </c>
      <c r="AH1022" s="89" t="str">
        <f>VLOOKUP(AG1022,Sheet1!$B$3:$D$36,2,FALSE)</f>
        <v>Kitchen &amp; Dining</v>
      </c>
      <c r="AI1022" s="89" t="s">
        <v>2077</v>
      </c>
      <c r="AJ1022" s="1" t="str">
        <f t="shared" si="496"/>
        <v>Tom plate soft curved white</v>
      </c>
      <c r="AK1022" s="1" t="str">
        <f t="shared" si="497"/>
        <v>ø32 x h1,5</v>
      </c>
      <c r="AL1022" s="1" t="str">
        <f t="shared" si="498"/>
        <v>stoneware indoor</v>
      </c>
      <c r="AM1022" s="1" t="str">
        <f t="shared" si="499"/>
        <v>stoneware indoor</v>
      </c>
      <c r="AN1022" s="1" t="str">
        <f t="shared" si="516"/>
        <v xml:space="preserve">stoneware </v>
      </c>
      <c r="AO1022" s="1" t="s">
        <v>54</v>
      </c>
      <c r="AQ1022" s="1" t="str">
        <f t="shared" si="500"/>
        <v>C</v>
      </c>
      <c r="AR1022" s="1" t="str">
        <f>VLOOKUP(TRIM(AI1022),Sheet1!$D$3:$E$36,2,FALSE)</f>
        <v>01</v>
      </c>
      <c r="AS1022" s="90" t="str">
        <f t="shared" si="501"/>
        <v>05</v>
      </c>
      <c r="AT1022" s="1" t="str">
        <f t="shared" si="502"/>
        <v>01</v>
      </c>
      <c r="AU1022" s="90" t="s">
        <v>4319</v>
      </c>
      <c r="AV1022" s="90"/>
      <c r="AW1022" s="90"/>
      <c r="AX1022" s="95" t="str">
        <f>AQ1022&amp;AR1022&amp;AS1022&amp;"-"&amp;AT1022&amp;AU1022&amp;BA1022</f>
        <v>C0105-0124IND</v>
      </c>
      <c r="AY1022" s="99" t="str">
        <f>AQ1022&amp;AR1022&amp;AS1022&amp;"-"&amp;AT1022&amp;BA1022</f>
        <v>C0105-01IND</v>
      </c>
      <c r="AZ1022" s="90"/>
      <c r="BA1022" s="1" t="str">
        <f t="shared" si="503"/>
        <v>IND</v>
      </c>
      <c r="BC1022" s="1" t="str">
        <f t="shared" si="513"/>
        <v/>
      </c>
      <c r="BD1022" s="90">
        <f t="shared" si="514"/>
        <v>5</v>
      </c>
      <c r="BE1022" s="1">
        <f t="shared" si="506"/>
        <v>1</v>
      </c>
      <c r="BF1022" s="1">
        <f t="shared" si="507"/>
        <v>1</v>
      </c>
    </row>
    <row r="1023" spans="1:58" ht="11.25" customHeight="1">
      <c r="A1023" s="26" t="s">
        <v>4753</v>
      </c>
      <c r="B1023" s="27" t="s">
        <v>4754</v>
      </c>
      <c r="C1023" s="28">
        <v>12.99</v>
      </c>
      <c r="D1023" s="28">
        <f t="shared" si="494"/>
        <v>6.4950000000000001</v>
      </c>
      <c r="E1023" s="22" t="s">
        <v>4467</v>
      </c>
      <c r="F1023" s="22" t="s">
        <v>4755</v>
      </c>
      <c r="G1023" s="22" t="s">
        <v>830</v>
      </c>
      <c r="H1023" s="22" t="s">
        <v>4756</v>
      </c>
      <c r="I1023" s="23" t="s">
        <v>4723</v>
      </c>
      <c r="J1023" s="22" t="s">
        <v>670</v>
      </c>
      <c r="L1023" s="23">
        <v>13</v>
      </c>
      <c r="M1023" s="23">
        <v>3</v>
      </c>
      <c r="N1023" s="3">
        <f t="shared" si="517"/>
        <v>5.0699999999999996E-4</v>
      </c>
      <c r="O1023" s="4" t="e">
        <f>(C1023-(C1023*#REF!))-((C1023-(C1023*#REF!))*#REF!)</f>
        <v>#REF!</v>
      </c>
      <c r="P1023" s="7">
        <f>110122.39471109-Q1023</f>
        <v>122.39471109000442</v>
      </c>
      <c r="Q1023" s="7">
        <v>110000</v>
      </c>
      <c r="R1023" s="5">
        <f t="shared" si="518"/>
        <v>110122.39471109</v>
      </c>
      <c r="S1023" s="4">
        <f t="shared" si="519"/>
        <v>7.3414929807393339</v>
      </c>
      <c r="T1023" s="13">
        <f t="shared" si="495"/>
        <v>9.093</v>
      </c>
      <c r="U1023" s="13">
        <f t="shared" si="504"/>
        <v>4.5465</v>
      </c>
      <c r="V1023" s="14">
        <f>U1023/C1023</f>
        <v>0.35</v>
      </c>
      <c r="W1023" s="18">
        <f t="shared" si="515"/>
        <v>14.682985961478668</v>
      </c>
      <c r="X1023" s="19">
        <f t="shared" si="520"/>
        <v>14.682985961478668</v>
      </c>
      <c r="Y1023" s="19">
        <f t="shared" si="521"/>
        <v>29.365971922957335</v>
      </c>
      <c r="Z1023" s="15">
        <v>2</v>
      </c>
      <c r="AA1023" s="22" t="s">
        <v>4757</v>
      </c>
      <c r="AG1023" s="94" t="s">
        <v>817</v>
      </c>
      <c r="AH1023" s="89" t="str">
        <f>VLOOKUP(AG1023,Sheet1!$B$3:$D$36,2,FALSE)</f>
        <v>Kitchen &amp; Dining</v>
      </c>
      <c r="AI1023" s="89" t="s">
        <v>2077</v>
      </c>
      <c r="AJ1023" s="1" t="str">
        <f t="shared" si="496"/>
        <v>Tom plate high curved white</v>
      </c>
      <c r="AK1023" s="1" t="str">
        <f t="shared" si="497"/>
        <v>ø13 x h3</v>
      </c>
      <c r="AL1023" s="1" t="str">
        <f t="shared" si="498"/>
        <v>stoneware indoor</v>
      </c>
      <c r="AM1023" s="1" t="str">
        <f t="shared" si="499"/>
        <v>stoneware indoor</v>
      </c>
      <c r="AN1023" s="1" t="str">
        <f t="shared" si="516"/>
        <v xml:space="preserve">stoneware </v>
      </c>
      <c r="AO1023" s="1" t="s">
        <v>54</v>
      </c>
      <c r="AQ1023" s="1" t="str">
        <f t="shared" si="500"/>
        <v>C</v>
      </c>
      <c r="AR1023" s="1" t="str">
        <f>VLOOKUP(TRIM(AI1023),Sheet1!$D$3:$E$36,2,FALSE)</f>
        <v>01</v>
      </c>
      <c r="AS1023" s="90" t="str">
        <f t="shared" si="501"/>
        <v>01</v>
      </c>
      <c r="AT1023" s="1" t="str">
        <f t="shared" si="502"/>
        <v>01</v>
      </c>
      <c r="AU1023" s="90" t="s">
        <v>4319</v>
      </c>
      <c r="AV1023" s="90"/>
      <c r="AW1023" s="90"/>
      <c r="AX1023" s="95" t="str">
        <f>AQ1023&amp;AR1023&amp;AS1023&amp;"-"&amp;AT1023&amp;AU1023&amp;BA1023</f>
        <v>C0101-0124IND</v>
      </c>
      <c r="AY1023" s="99" t="str">
        <f>AQ1023&amp;AR1023&amp;AS1023&amp;"-"&amp;AT1023&amp;BA1023</f>
        <v>C0101-01IND</v>
      </c>
      <c r="AZ1023" s="90"/>
      <c r="BA1023" s="1" t="str">
        <f t="shared" si="503"/>
        <v>IND</v>
      </c>
      <c r="BC1023" s="1">
        <f t="shared" si="513"/>
        <v>1</v>
      </c>
      <c r="BD1023" s="90">
        <f t="shared" si="514"/>
        <v>1</v>
      </c>
      <c r="BE1023" s="1">
        <f t="shared" si="506"/>
        <v>1</v>
      </c>
      <c r="BF1023" s="1">
        <f t="shared" si="507"/>
        <v>1</v>
      </c>
    </row>
    <row r="1024" spans="1:58" ht="11.25" customHeight="1">
      <c r="A1024" s="26" t="s">
        <v>4758</v>
      </c>
      <c r="B1024" s="27" t="s">
        <v>4754</v>
      </c>
      <c r="C1024" s="28">
        <v>17.989999999999998</v>
      </c>
      <c r="D1024" s="28">
        <f t="shared" si="494"/>
        <v>8.9949999999999992</v>
      </c>
      <c r="E1024" s="22" t="s">
        <v>4467</v>
      </c>
      <c r="F1024" s="22" t="s">
        <v>4759</v>
      </c>
      <c r="G1024" s="22" t="s">
        <v>830</v>
      </c>
      <c r="H1024" s="22" t="s">
        <v>4760</v>
      </c>
      <c r="I1024" s="23" t="s">
        <v>4723</v>
      </c>
      <c r="J1024" s="22" t="s">
        <v>670</v>
      </c>
      <c r="L1024" s="23">
        <v>20</v>
      </c>
      <c r="M1024" s="23">
        <v>3</v>
      </c>
      <c r="N1024" s="3">
        <f t="shared" si="517"/>
        <v>1.1999999999999999E-3</v>
      </c>
      <c r="O1024" s="4" t="e">
        <f>(C1024-(C1024*#REF!))-((C1024-(C1024*#REF!))*#REF!)</f>
        <v>#REF!</v>
      </c>
      <c r="P1024" s="7">
        <f>165289.691623881-Q1024</f>
        <v>289.69162388099357</v>
      </c>
      <c r="Q1024" s="7">
        <v>165000</v>
      </c>
      <c r="R1024" s="5">
        <f t="shared" si="518"/>
        <v>165289.69162388099</v>
      </c>
      <c r="S1024" s="4">
        <f t="shared" si="519"/>
        <v>11.0193127749254</v>
      </c>
      <c r="T1024" s="13">
        <f t="shared" si="495"/>
        <v>12.593</v>
      </c>
      <c r="U1024" s="13">
        <f t="shared" si="504"/>
        <v>6.2965</v>
      </c>
      <c r="V1024" s="14">
        <f>U1024/C1024</f>
        <v>0.35000000000000003</v>
      </c>
      <c r="W1024" s="18">
        <f t="shared" si="515"/>
        <v>22.038625549850799</v>
      </c>
      <c r="X1024" s="19">
        <f t="shared" si="520"/>
        <v>22.038625549850799</v>
      </c>
      <c r="Y1024" s="19">
        <f t="shared" si="521"/>
        <v>44.077251099701598</v>
      </c>
      <c r="Z1024" s="15">
        <v>2</v>
      </c>
      <c r="AA1024" s="22" t="s">
        <v>4761</v>
      </c>
      <c r="AG1024" s="94" t="s">
        <v>817</v>
      </c>
      <c r="AH1024" s="89" t="str">
        <f>VLOOKUP(AG1024,Sheet1!$B$3:$D$36,2,FALSE)</f>
        <v>Kitchen &amp; Dining</v>
      </c>
      <c r="AI1024" s="89" t="s">
        <v>2077</v>
      </c>
      <c r="AJ1024" s="1" t="str">
        <f t="shared" si="496"/>
        <v>Tom plate high curved white</v>
      </c>
      <c r="AK1024" s="1" t="str">
        <f t="shared" si="497"/>
        <v>ø20 x h3</v>
      </c>
      <c r="AL1024" s="1" t="str">
        <f t="shared" si="498"/>
        <v>stoneware indoor</v>
      </c>
      <c r="AM1024" s="1" t="str">
        <f t="shared" si="499"/>
        <v>stoneware indoor</v>
      </c>
      <c r="AN1024" s="1" t="str">
        <f t="shared" si="516"/>
        <v xml:space="preserve">stoneware </v>
      </c>
      <c r="AO1024" s="1" t="s">
        <v>54</v>
      </c>
      <c r="AQ1024" s="1" t="str">
        <f t="shared" si="500"/>
        <v>C</v>
      </c>
      <c r="AR1024" s="1" t="str">
        <f>VLOOKUP(TRIM(AI1024),Sheet1!$D$3:$E$36,2,FALSE)</f>
        <v>01</v>
      </c>
      <c r="AS1024" s="90" t="str">
        <f t="shared" si="501"/>
        <v>02</v>
      </c>
      <c r="AT1024" s="1" t="str">
        <f t="shared" si="502"/>
        <v>01</v>
      </c>
      <c r="AU1024" s="90" t="s">
        <v>4319</v>
      </c>
      <c r="AV1024" s="90"/>
      <c r="AW1024" s="90"/>
      <c r="AX1024" s="95" t="str">
        <f>AQ1024&amp;AR1024&amp;AS1024&amp;"-"&amp;AT1024&amp;AU1024&amp;BA1024</f>
        <v>C0102-0124IND</v>
      </c>
      <c r="AY1024" s="99" t="str">
        <f>AQ1024&amp;AR1024&amp;AS1024&amp;"-"&amp;AT1024&amp;BA1024</f>
        <v>C0102-01IND</v>
      </c>
      <c r="AZ1024" s="90"/>
      <c r="BA1024" s="1" t="str">
        <f t="shared" si="503"/>
        <v>IND</v>
      </c>
      <c r="BC1024" s="1" t="str">
        <f t="shared" si="513"/>
        <v/>
      </c>
      <c r="BD1024" s="90">
        <f t="shared" si="514"/>
        <v>2</v>
      </c>
      <c r="BE1024" s="1">
        <f t="shared" si="506"/>
        <v>1</v>
      </c>
      <c r="BF1024" s="1">
        <f t="shared" si="507"/>
        <v>1</v>
      </c>
    </row>
    <row r="1025" spans="1:58" ht="11.25" customHeight="1">
      <c r="A1025" s="26" t="s">
        <v>4762</v>
      </c>
      <c r="B1025" s="27" t="s">
        <v>4754</v>
      </c>
      <c r="C1025" s="28">
        <v>20.99</v>
      </c>
      <c r="D1025" s="28">
        <f t="shared" si="494"/>
        <v>10.494999999999999</v>
      </c>
      <c r="E1025" s="22" t="s">
        <v>4467</v>
      </c>
      <c r="F1025" s="22" t="s">
        <v>4763</v>
      </c>
      <c r="G1025" s="22" t="s">
        <v>830</v>
      </c>
      <c r="H1025" s="22" t="s">
        <v>4764</v>
      </c>
      <c r="I1025" s="23" t="s">
        <v>4723</v>
      </c>
      <c r="J1025" s="22" t="s">
        <v>670</v>
      </c>
      <c r="L1025" s="23">
        <v>22</v>
      </c>
      <c r="M1025" s="23">
        <v>3</v>
      </c>
      <c r="N1025" s="3">
        <f t="shared" si="517"/>
        <v>1.4519999999999999E-3</v>
      </c>
      <c r="O1025" s="4" t="e">
        <f>(C1025-(C1025*#REF!))-((C1025-(C1025*#REF!))*#REF!)</f>
        <v>#REF!</v>
      </c>
      <c r="P1025" s="7">
        <f>198350.526864896-Q1025</f>
        <v>350.52686489600455</v>
      </c>
      <c r="Q1025" s="7">
        <v>198000</v>
      </c>
      <c r="R1025" s="5">
        <f t="shared" si="518"/>
        <v>198350.526864896</v>
      </c>
      <c r="S1025" s="4">
        <f t="shared" si="519"/>
        <v>13.223368457659733</v>
      </c>
      <c r="T1025" s="13">
        <f t="shared" si="495"/>
        <v>14.692999999999998</v>
      </c>
      <c r="U1025" s="13">
        <f t="shared" si="504"/>
        <v>7.3464999999999989</v>
      </c>
      <c r="V1025" s="14">
        <f>U1025/C1025</f>
        <v>0.35</v>
      </c>
      <c r="W1025" s="18">
        <f t="shared" si="515"/>
        <v>26.446736915319466</v>
      </c>
      <c r="X1025" s="19">
        <f t="shared" si="520"/>
        <v>26.446736915319466</v>
      </c>
      <c r="Y1025" s="19">
        <f t="shared" si="521"/>
        <v>52.893473830638932</v>
      </c>
      <c r="Z1025" s="15">
        <v>2</v>
      </c>
      <c r="AA1025" s="22" t="s">
        <v>4757</v>
      </c>
      <c r="AG1025" s="94" t="s">
        <v>817</v>
      </c>
      <c r="AH1025" s="89" t="str">
        <f>VLOOKUP(AG1025,Sheet1!$B$3:$D$36,2,FALSE)</f>
        <v>Kitchen &amp; Dining</v>
      </c>
      <c r="AI1025" s="89" t="s">
        <v>2077</v>
      </c>
      <c r="AJ1025" s="1" t="str">
        <f t="shared" si="496"/>
        <v>Tom plate high curved white</v>
      </c>
      <c r="AK1025" s="1" t="str">
        <f t="shared" si="497"/>
        <v>ø22 x h3</v>
      </c>
      <c r="AL1025" s="1" t="str">
        <f t="shared" si="498"/>
        <v>stoneware indoor</v>
      </c>
      <c r="AM1025" s="1" t="str">
        <f t="shared" si="499"/>
        <v>stoneware indoor</v>
      </c>
      <c r="AN1025" s="1" t="str">
        <f t="shared" si="516"/>
        <v xml:space="preserve">stoneware </v>
      </c>
      <c r="AO1025" s="1" t="s">
        <v>54</v>
      </c>
      <c r="AQ1025" s="1" t="str">
        <f t="shared" si="500"/>
        <v>C</v>
      </c>
      <c r="AR1025" s="1" t="str">
        <f>VLOOKUP(TRIM(AI1025),Sheet1!$D$3:$E$36,2,FALSE)</f>
        <v>01</v>
      </c>
      <c r="AS1025" s="90" t="str">
        <f t="shared" si="501"/>
        <v>03</v>
      </c>
      <c r="AT1025" s="1" t="str">
        <f t="shared" si="502"/>
        <v>01</v>
      </c>
      <c r="AU1025" s="90" t="s">
        <v>4319</v>
      </c>
      <c r="AV1025" s="90"/>
      <c r="AW1025" s="90"/>
      <c r="AX1025" s="95" t="str">
        <f>AQ1025&amp;AR1025&amp;AS1025&amp;"-"&amp;AT1025&amp;AU1025&amp;BA1025</f>
        <v>C0103-0124IND</v>
      </c>
      <c r="AY1025" s="99" t="str">
        <f>AQ1025&amp;AR1025&amp;AS1025&amp;"-"&amp;AT1025&amp;BA1025</f>
        <v>C0103-01IND</v>
      </c>
      <c r="AZ1025" s="90"/>
      <c r="BA1025" s="1" t="str">
        <f t="shared" si="503"/>
        <v>IND</v>
      </c>
      <c r="BC1025" s="1" t="str">
        <f t="shared" si="513"/>
        <v/>
      </c>
      <c r="BD1025" s="90">
        <f t="shared" si="514"/>
        <v>3</v>
      </c>
      <c r="BE1025" s="1">
        <f t="shared" si="506"/>
        <v>1</v>
      </c>
      <c r="BF1025" s="1">
        <f t="shared" si="507"/>
        <v>1</v>
      </c>
    </row>
    <row r="1026" spans="1:58" ht="11.25" customHeight="1">
      <c r="A1026" s="26" t="s">
        <v>4765</v>
      </c>
      <c r="B1026" s="27" t="s">
        <v>4754</v>
      </c>
      <c r="C1026" s="28">
        <v>26.99</v>
      </c>
      <c r="D1026" s="28">
        <f t="shared" si="494"/>
        <v>13.494999999999999</v>
      </c>
      <c r="E1026" s="22" t="s">
        <v>4467</v>
      </c>
      <c r="F1026" s="22" t="s">
        <v>4766</v>
      </c>
      <c r="G1026" s="22" t="s">
        <v>830</v>
      </c>
      <c r="H1026" s="22" t="s">
        <v>4767</v>
      </c>
      <c r="I1026" s="23" t="s">
        <v>4723</v>
      </c>
      <c r="J1026" s="22" t="s">
        <v>670</v>
      </c>
      <c r="L1026" s="23">
        <v>27</v>
      </c>
      <c r="M1026" s="23">
        <v>3</v>
      </c>
      <c r="N1026" s="3">
        <f t="shared" si="517"/>
        <v>2.1870000000000001E-3</v>
      </c>
      <c r="O1026" s="4" t="e">
        <f>(C1026-(C1026*#REF!))-((C1026-(C1026*#REF!))*#REF!)</f>
        <v>#REF!</v>
      </c>
      <c r="P1026" s="7">
        <f>264527.962984522-Q1026</f>
        <v>527.96298452198971</v>
      </c>
      <c r="Q1026" s="7">
        <v>264000</v>
      </c>
      <c r="R1026" s="5">
        <f t="shared" si="518"/>
        <v>264527.96298452199</v>
      </c>
      <c r="S1026" s="4">
        <f t="shared" si="519"/>
        <v>17.635197532301465</v>
      </c>
      <c r="T1026" s="13">
        <f t="shared" si="495"/>
        <v>18.893000000000001</v>
      </c>
      <c r="U1026" s="13">
        <f t="shared" si="504"/>
        <v>9.4465000000000003</v>
      </c>
      <c r="V1026" s="14">
        <f>U1026/C1026</f>
        <v>0.35000000000000003</v>
      </c>
      <c r="W1026" s="18">
        <f t="shared" si="515"/>
        <v>35.27039506460293</v>
      </c>
      <c r="X1026" s="19">
        <f t="shared" si="520"/>
        <v>35.27039506460293</v>
      </c>
      <c r="Y1026" s="19">
        <f t="shared" si="521"/>
        <v>70.54079012920586</v>
      </c>
      <c r="Z1026" s="15">
        <v>2</v>
      </c>
      <c r="AA1026" s="22" t="s">
        <v>4757</v>
      </c>
      <c r="AG1026" s="94" t="s">
        <v>817</v>
      </c>
      <c r="AH1026" s="89" t="str">
        <f>VLOOKUP(AG1026,Sheet1!$B$3:$D$36,2,FALSE)</f>
        <v>Kitchen &amp; Dining</v>
      </c>
      <c r="AI1026" s="89" t="s">
        <v>2077</v>
      </c>
      <c r="AJ1026" s="1" t="str">
        <f t="shared" si="496"/>
        <v>Tom plate high curved white</v>
      </c>
      <c r="AK1026" s="1" t="str">
        <f t="shared" si="497"/>
        <v>ø27 x h3</v>
      </c>
      <c r="AL1026" s="1" t="str">
        <f t="shared" si="498"/>
        <v>stoneware indoor</v>
      </c>
      <c r="AM1026" s="1" t="str">
        <f t="shared" si="499"/>
        <v>stoneware indoor</v>
      </c>
      <c r="AN1026" s="1" t="str">
        <f t="shared" si="516"/>
        <v xml:space="preserve">stoneware </v>
      </c>
      <c r="AO1026" s="1" t="s">
        <v>54</v>
      </c>
      <c r="AQ1026" s="1" t="str">
        <f t="shared" si="500"/>
        <v>C</v>
      </c>
      <c r="AR1026" s="1" t="str">
        <f>VLOOKUP(TRIM(AI1026),Sheet1!$D$3:$E$36,2,FALSE)</f>
        <v>01</v>
      </c>
      <c r="AS1026" s="90" t="str">
        <f t="shared" si="501"/>
        <v>04</v>
      </c>
      <c r="AT1026" s="1" t="str">
        <f t="shared" si="502"/>
        <v>01</v>
      </c>
      <c r="AU1026" s="90" t="s">
        <v>4319</v>
      </c>
      <c r="AV1026" s="90"/>
      <c r="AW1026" s="90"/>
      <c r="AX1026" s="95" t="str">
        <f>AQ1026&amp;AR1026&amp;AS1026&amp;"-"&amp;AT1026&amp;AU1026&amp;BA1026</f>
        <v>C0104-0124IND</v>
      </c>
      <c r="AY1026" s="99" t="str">
        <f>AQ1026&amp;AR1026&amp;AS1026&amp;"-"&amp;AT1026&amp;BA1026</f>
        <v>C0104-01IND</v>
      </c>
      <c r="AZ1026" s="90"/>
      <c r="BA1026" s="1" t="str">
        <f t="shared" si="503"/>
        <v>IND</v>
      </c>
      <c r="BC1026" s="1" t="str">
        <f t="shared" si="513"/>
        <v/>
      </c>
      <c r="BD1026" s="90">
        <f t="shared" si="514"/>
        <v>4</v>
      </c>
      <c r="BE1026" s="1">
        <f t="shared" si="506"/>
        <v>1</v>
      </c>
      <c r="BF1026" s="1">
        <f t="shared" si="507"/>
        <v>1</v>
      </c>
    </row>
    <row r="1027" spans="1:58" ht="11.25" customHeight="1">
      <c r="A1027" s="26" t="s">
        <v>4768</v>
      </c>
      <c r="B1027" s="27" t="s">
        <v>4754</v>
      </c>
      <c r="C1027" s="28">
        <v>32.99</v>
      </c>
      <c r="D1027" s="28">
        <f t="shared" si="494"/>
        <v>16.495000000000001</v>
      </c>
      <c r="E1027" s="22" t="s">
        <v>4467</v>
      </c>
      <c r="F1027" s="22" t="s">
        <v>4769</v>
      </c>
      <c r="G1027" s="22" t="s">
        <v>830</v>
      </c>
      <c r="H1027" s="22" t="s">
        <v>4770</v>
      </c>
      <c r="I1027" s="23" t="s">
        <v>4723</v>
      </c>
      <c r="J1027" s="22" t="s">
        <v>670</v>
      </c>
      <c r="L1027" s="23">
        <v>32</v>
      </c>
      <c r="M1027" s="23">
        <v>3</v>
      </c>
      <c r="N1027" s="3">
        <f t="shared" si="517"/>
        <v>3.0720000000000001E-3</v>
      </c>
      <c r="O1027" s="4" t="e">
        <f>(C1027-(C1027*#REF!))-((C1027-(C1027*#REF!))*#REF!)</f>
        <v>#REF!</v>
      </c>
      <c r="P1027" s="7">
        <f>330741.610557134-Q1027</f>
        <v>741.61055713397218</v>
      </c>
      <c r="Q1027" s="7">
        <v>330000</v>
      </c>
      <c r="R1027" s="5">
        <f t="shared" si="518"/>
        <v>330741.61055713397</v>
      </c>
      <c r="S1027" s="4">
        <f t="shared" si="519"/>
        <v>22.04944070380893</v>
      </c>
      <c r="T1027" s="13">
        <f t="shared" si="495"/>
        <v>23.093000000000004</v>
      </c>
      <c r="U1027" s="13">
        <f t="shared" si="504"/>
        <v>11.546500000000002</v>
      </c>
      <c r="V1027" s="14">
        <f>U1027/C1027</f>
        <v>0.35000000000000003</v>
      </c>
      <c r="W1027" s="18">
        <f t="shared" si="515"/>
        <v>44.09888140761786</v>
      </c>
      <c r="X1027" s="19">
        <f t="shared" si="520"/>
        <v>44.09888140761786</v>
      </c>
      <c r="Y1027" s="19">
        <f t="shared" si="521"/>
        <v>88.19776281523572</v>
      </c>
      <c r="Z1027" s="15">
        <v>2</v>
      </c>
      <c r="AA1027" s="22" t="s">
        <v>4771</v>
      </c>
      <c r="AG1027" s="94" t="s">
        <v>817</v>
      </c>
      <c r="AH1027" s="89" t="str">
        <f>VLOOKUP(AG1027,Sheet1!$B$3:$D$36,2,FALSE)</f>
        <v>Kitchen &amp; Dining</v>
      </c>
      <c r="AI1027" s="89" t="s">
        <v>2077</v>
      </c>
      <c r="AJ1027" s="1" t="str">
        <f t="shared" si="496"/>
        <v>Tom plate high curved white</v>
      </c>
      <c r="AK1027" s="1" t="str">
        <f t="shared" si="497"/>
        <v>ø32 x h3</v>
      </c>
      <c r="AL1027" s="1" t="str">
        <f t="shared" si="498"/>
        <v>stoneware indoor</v>
      </c>
      <c r="AM1027" s="1" t="str">
        <f t="shared" si="499"/>
        <v>stoneware indoor</v>
      </c>
      <c r="AN1027" s="1" t="str">
        <f t="shared" si="516"/>
        <v xml:space="preserve">stoneware </v>
      </c>
      <c r="AO1027" s="1" t="s">
        <v>54</v>
      </c>
      <c r="AQ1027" s="1" t="str">
        <f t="shared" si="500"/>
        <v>C</v>
      </c>
      <c r="AR1027" s="1" t="str">
        <f>VLOOKUP(TRIM(AI1027),Sheet1!$D$3:$E$36,2,FALSE)</f>
        <v>01</v>
      </c>
      <c r="AS1027" s="90" t="str">
        <f t="shared" si="501"/>
        <v>05</v>
      </c>
      <c r="AT1027" s="1" t="str">
        <f t="shared" si="502"/>
        <v>01</v>
      </c>
      <c r="AU1027" s="90" t="s">
        <v>4319</v>
      </c>
      <c r="AV1027" s="90"/>
      <c r="AW1027" s="90"/>
      <c r="AX1027" s="95" t="str">
        <f>AQ1027&amp;AR1027&amp;AS1027&amp;"-"&amp;AT1027&amp;AU1027&amp;BA1027</f>
        <v>C0105-0124IND</v>
      </c>
      <c r="AY1027" s="99" t="str">
        <f>AQ1027&amp;AR1027&amp;AS1027&amp;"-"&amp;AT1027&amp;BA1027</f>
        <v>C0105-01IND</v>
      </c>
      <c r="AZ1027" s="90"/>
      <c r="BA1027" s="1" t="str">
        <f t="shared" si="503"/>
        <v>IND</v>
      </c>
      <c r="BC1027" s="1" t="str">
        <f t="shared" si="513"/>
        <v/>
      </c>
      <c r="BD1027" s="90">
        <f t="shared" si="514"/>
        <v>5</v>
      </c>
      <c r="BE1027" s="1">
        <f t="shared" si="506"/>
        <v>1</v>
      </c>
      <c r="BF1027" s="1">
        <f t="shared" si="507"/>
        <v>1</v>
      </c>
    </row>
    <row r="1028" spans="1:58" ht="11.25" customHeight="1">
      <c r="A1028" s="26" t="s">
        <v>4772</v>
      </c>
      <c r="B1028" s="27" t="s">
        <v>4773</v>
      </c>
      <c r="C1028" s="28">
        <v>11.99</v>
      </c>
      <c r="D1028" s="28">
        <f t="shared" si="494"/>
        <v>5.9950000000000001</v>
      </c>
      <c r="E1028" s="22" t="s">
        <v>4467</v>
      </c>
      <c r="F1028" s="22" t="s">
        <v>4774</v>
      </c>
      <c r="G1028" s="22" t="s">
        <v>810</v>
      </c>
      <c r="H1028" s="22" t="s">
        <v>4722</v>
      </c>
      <c r="I1028" s="23" t="s">
        <v>4723</v>
      </c>
      <c r="J1028" s="22" t="s">
        <v>670</v>
      </c>
      <c r="L1028" s="23">
        <v>13</v>
      </c>
      <c r="M1028" s="23">
        <v>1.5</v>
      </c>
      <c r="N1028" s="3">
        <f t="shared" si="517"/>
        <v>2.5349999999999998E-4</v>
      </c>
      <c r="O1028" s="4" t="e">
        <f>(C1028-(C1028*#REF!))-((C1028-(C1028*#REF!))*#REF!)</f>
        <v>#REF!</v>
      </c>
      <c r="P1028" s="7">
        <f>96861.1973555448-Q1028</f>
        <v>61.19735554480576</v>
      </c>
      <c r="Q1028" s="7">
        <v>96800</v>
      </c>
      <c r="R1028" s="5">
        <f t="shared" si="518"/>
        <v>96861.197355544806</v>
      </c>
      <c r="S1028" s="4">
        <f t="shared" si="519"/>
        <v>6.4574131570363207</v>
      </c>
      <c r="T1028" s="13">
        <f t="shared" si="495"/>
        <v>8.3930000000000007</v>
      </c>
      <c r="U1028" s="13">
        <f t="shared" si="504"/>
        <v>4.1965000000000003</v>
      </c>
      <c r="V1028" s="14">
        <f>U1028/C1028</f>
        <v>0.35000000000000003</v>
      </c>
      <c r="W1028" s="18">
        <f t="shared" si="515"/>
        <v>12.914826314072641</v>
      </c>
      <c r="X1028" s="19">
        <f t="shared" si="520"/>
        <v>12.914826314072641</v>
      </c>
      <c r="Y1028" s="19">
        <f t="shared" si="521"/>
        <v>25.829652628145283</v>
      </c>
      <c r="Z1028" s="15">
        <v>2</v>
      </c>
      <c r="AA1028" s="22" t="s">
        <v>4775</v>
      </c>
      <c r="AG1028" s="94" t="s">
        <v>817</v>
      </c>
      <c r="AH1028" s="89" t="str">
        <f>VLOOKUP(AG1028,Sheet1!$B$3:$D$36,2,FALSE)</f>
        <v>Kitchen &amp; Dining</v>
      </c>
      <c r="AI1028" s="89" t="s">
        <v>2077</v>
      </c>
      <c r="AJ1028" s="1" t="str">
        <f t="shared" si="496"/>
        <v>Tom plate flat black</v>
      </c>
      <c r="AK1028" s="1" t="str">
        <f t="shared" si="497"/>
        <v>ø13 x h1,5</v>
      </c>
      <c r="AL1028" s="1" t="str">
        <f t="shared" si="498"/>
        <v>stoneware indoor</v>
      </c>
      <c r="AM1028" s="1" t="str">
        <f t="shared" si="499"/>
        <v>stoneware indoor</v>
      </c>
      <c r="AN1028" s="1" t="str">
        <f t="shared" si="516"/>
        <v xml:space="preserve">stoneware </v>
      </c>
      <c r="AO1028" s="1" t="s">
        <v>54</v>
      </c>
      <c r="AQ1028" s="1" t="str">
        <f t="shared" si="500"/>
        <v>C</v>
      </c>
      <c r="AR1028" s="1" t="str">
        <f>VLOOKUP(TRIM(AI1028),Sheet1!$D$3:$E$36,2,FALSE)</f>
        <v>01</v>
      </c>
      <c r="AS1028" s="90" t="str">
        <f t="shared" si="501"/>
        <v>01</v>
      </c>
      <c r="AT1028" s="1" t="str">
        <f t="shared" si="502"/>
        <v>01</v>
      </c>
      <c r="AU1028" s="90" t="s">
        <v>4319</v>
      </c>
      <c r="AV1028" s="90"/>
      <c r="AW1028" s="90"/>
      <c r="AX1028" s="95" t="str">
        <f>AQ1028&amp;AR1028&amp;AS1028&amp;"-"&amp;AT1028&amp;AU1028&amp;BA1028</f>
        <v>C0101-0124IND</v>
      </c>
      <c r="AY1028" s="99" t="str">
        <f>AQ1028&amp;AR1028&amp;AS1028&amp;"-"&amp;AT1028&amp;BA1028</f>
        <v>C0101-01IND</v>
      </c>
      <c r="AZ1028" s="90"/>
      <c r="BA1028" s="1" t="str">
        <f t="shared" si="503"/>
        <v>IND</v>
      </c>
      <c r="BC1028" s="1">
        <f t="shared" si="513"/>
        <v>1</v>
      </c>
      <c r="BD1028" s="90">
        <f t="shared" si="514"/>
        <v>1</v>
      </c>
      <c r="BE1028" s="1">
        <f t="shared" si="506"/>
        <v>1</v>
      </c>
      <c r="BF1028" s="1">
        <f t="shared" si="507"/>
        <v>1</v>
      </c>
    </row>
    <row r="1029" spans="1:58" ht="11.25" customHeight="1">
      <c r="A1029" s="26" t="s">
        <v>4776</v>
      </c>
      <c r="B1029" s="27" t="s">
        <v>4773</v>
      </c>
      <c r="C1029" s="28">
        <v>17.989999999999998</v>
      </c>
      <c r="D1029" s="28">
        <f t="shared" ref="D1029:D1092" si="522">C1029*$D$1</f>
        <v>8.9949999999999992</v>
      </c>
      <c r="E1029" s="22" t="s">
        <v>4467</v>
      </c>
      <c r="F1029" s="22" t="s">
        <v>4777</v>
      </c>
      <c r="G1029" s="22" t="s">
        <v>810</v>
      </c>
      <c r="H1029" s="22" t="s">
        <v>4727</v>
      </c>
      <c r="I1029" s="23" t="s">
        <v>4723</v>
      </c>
      <c r="J1029" s="22" t="s">
        <v>670</v>
      </c>
      <c r="L1029" s="23">
        <v>18</v>
      </c>
      <c r="M1029" s="23">
        <v>1.5</v>
      </c>
      <c r="N1029" s="3">
        <f t="shared" si="517"/>
        <v>4.86E-4</v>
      </c>
      <c r="O1029" s="4" t="e">
        <f>(C1029-(C1029*#REF!))-((C1029-(C1029*#REF!))*#REF!)</f>
        <v>#REF!</v>
      </c>
      <c r="P1029" s="7">
        <f>145317.325107672-Q1029</f>
        <v>117.32510767198983</v>
      </c>
      <c r="Q1029" s="7">
        <v>145200</v>
      </c>
      <c r="R1029" s="5">
        <f t="shared" si="518"/>
        <v>145317.32510767199</v>
      </c>
      <c r="S1029" s="4">
        <f t="shared" si="519"/>
        <v>9.6878216738448</v>
      </c>
      <c r="T1029" s="13">
        <f t="shared" ref="T1029:T1092" si="523">C1029-(C1029*$T$1)</f>
        <v>12.593</v>
      </c>
      <c r="U1029" s="13">
        <f t="shared" si="504"/>
        <v>6.2965</v>
      </c>
      <c r="V1029" s="14">
        <f>U1029/C1029</f>
        <v>0.35000000000000003</v>
      </c>
      <c r="W1029" s="18">
        <f t="shared" si="515"/>
        <v>19.3756433476896</v>
      </c>
      <c r="X1029" s="19">
        <f t="shared" si="520"/>
        <v>19.3756433476896</v>
      </c>
      <c r="Y1029" s="19">
        <f t="shared" si="521"/>
        <v>38.7512866953792</v>
      </c>
      <c r="Z1029" s="15">
        <v>2</v>
      </c>
      <c r="AA1029" s="22" t="s">
        <v>4778</v>
      </c>
      <c r="AG1029" s="94" t="s">
        <v>817</v>
      </c>
      <c r="AH1029" s="89" t="str">
        <f>VLOOKUP(AG1029,Sheet1!$B$3:$D$36,2,FALSE)</f>
        <v>Kitchen &amp; Dining</v>
      </c>
      <c r="AI1029" s="89" t="s">
        <v>2077</v>
      </c>
      <c r="AJ1029" s="1" t="str">
        <f t="shared" ref="AJ1029:AJ1092" si="524">G1029</f>
        <v>Tom plate flat black</v>
      </c>
      <c r="AK1029" s="1" t="str">
        <f t="shared" ref="AK1029:AK1092" si="525">TRIM(H1029)</f>
        <v>ø18 x h1,5</v>
      </c>
      <c r="AL1029" s="1" t="str">
        <f t="shared" ref="AL1029:AL1092" si="526">I1029</f>
        <v>stoneware indoor</v>
      </c>
      <c r="AM1029" s="1" t="str">
        <f t="shared" ref="AM1029:AM1092" si="527">I1029</f>
        <v>stoneware indoor</v>
      </c>
      <c r="AN1029" s="1" t="str">
        <f t="shared" si="516"/>
        <v xml:space="preserve">stoneware </v>
      </c>
      <c r="AO1029" s="1" t="s">
        <v>54</v>
      </c>
      <c r="AQ1029" s="1" t="str">
        <f t="shared" ref="AQ1029:AQ1092" si="528">IF(TRIM(AG1029)="01","A",IF(TRIM(AG1029)="02","B",IF(TRIM(AG1029)="03","C",IF(TRIM(AG1029)="04","D",IF(TRIM(AG1029)="05","E","F")))))</f>
        <v>C</v>
      </c>
      <c r="AR1029" s="1" t="str">
        <f>VLOOKUP(TRIM(AI1029),Sheet1!$D$3:$E$36,2,FALSE)</f>
        <v>01</v>
      </c>
      <c r="AS1029" s="90" t="str">
        <f t="shared" ref="AS1029:AS1092" si="529">IF(LEN(BD1029)=1,"0"&amp;BD1029,BD1029)</f>
        <v>02</v>
      </c>
      <c r="AT1029" s="1" t="str">
        <f t="shared" ref="AT1029:AT1092" si="530">IF(LEN(BF1029)=1,"0"&amp;BF1029,BF1029)</f>
        <v>01</v>
      </c>
      <c r="AU1029" s="90" t="s">
        <v>4319</v>
      </c>
      <c r="AV1029" s="90"/>
      <c r="AW1029" s="90"/>
      <c r="AX1029" s="95" t="str">
        <f>AQ1029&amp;AR1029&amp;AS1029&amp;"-"&amp;AT1029&amp;AU1029&amp;BA1029</f>
        <v>C0102-0124IND</v>
      </c>
      <c r="AY1029" s="99" t="str">
        <f>AQ1029&amp;AR1029&amp;AS1029&amp;"-"&amp;AT1029&amp;BA1029</f>
        <v>C0102-01IND</v>
      </c>
      <c r="AZ1029" s="90"/>
      <c r="BA1029" s="1" t="str">
        <f t="shared" ref="BA1029:BA1092" si="531">IF(AO1029="","",UPPER(LEFT(AO1029,3)))</f>
        <v>IND</v>
      </c>
      <c r="BC1029" s="1" t="str">
        <f t="shared" si="513"/>
        <v/>
      </c>
      <c r="BD1029" s="90">
        <f t="shared" si="514"/>
        <v>2</v>
      </c>
      <c r="BE1029" s="1">
        <f t="shared" si="506"/>
        <v>1</v>
      </c>
      <c r="BF1029" s="1">
        <f t="shared" si="507"/>
        <v>1</v>
      </c>
    </row>
    <row r="1030" spans="1:58" ht="11.25" customHeight="1">
      <c r="A1030" s="26" t="s">
        <v>4779</v>
      </c>
      <c r="B1030" s="27" t="s">
        <v>4773</v>
      </c>
      <c r="C1030" s="28">
        <v>19.989999999999998</v>
      </c>
      <c r="D1030" s="28">
        <f t="shared" si="522"/>
        <v>9.9949999999999992</v>
      </c>
      <c r="E1030" s="22" t="s">
        <v>4467</v>
      </c>
      <c r="F1030" s="22" t="s">
        <v>4780</v>
      </c>
      <c r="G1030" s="22" t="s">
        <v>810</v>
      </c>
      <c r="H1030" s="22" t="s">
        <v>4731</v>
      </c>
      <c r="I1030" s="23" t="s">
        <v>4723</v>
      </c>
      <c r="J1030" s="22" t="s">
        <v>670</v>
      </c>
      <c r="L1030" s="23">
        <v>24</v>
      </c>
      <c r="M1030" s="23">
        <v>1.5</v>
      </c>
      <c r="N1030" s="3">
        <f t="shared" si="517"/>
        <v>8.6399999999999997E-4</v>
      </c>
      <c r="O1030" s="4" t="e">
        <f>(C1030-(C1030*#REF!))-((C1030-(C1030*#REF!))*#REF!)</f>
        <v>#REF!</v>
      </c>
      <c r="P1030" s="7">
        <f>205908.577969194-Q1030</f>
        <v>208.57796919401153</v>
      </c>
      <c r="Q1030" s="7">
        <v>205700</v>
      </c>
      <c r="R1030" s="5">
        <f t="shared" si="518"/>
        <v>205908.57796919401</v>
      </c>
      <c r="S1030" s="4">
        <f t="shared" si="519"/>
        <v>13.727238531279601</v>
      </c>
      <c r="T1030" s="13">
        <f t="shared" si="523"/>
        <v>13.992999999999999</v>
      </c>
      <c r="U1030" s="13">
        <f t="shared" ref="U1030:U1093" si="532">T1030-(T1030*$U$1)</f>
        <v>6.9964999999999993</v>
      </c>
      <c r="V1030" s="14">
        <f>U1030/C1030</f>
        <v>0.35</v>
      </c>
      <c r="W1030" s="18">
        <f t="shared" si="515"/>
        <v>27.454477062559203</v>
      </c>
      <c r="X1030" s="19">
        <f t="shared" si="520"/>
        <v>27.454477062559203</v>
      </c>
      <c r="Y1030" s="19">
        <f t="shared" si="521"/>
        <v>54.908954125118406</v>
      </c>
      <c r="Z1030" s="15">
        <v>2</v>
      </c>
      <c r="AA1030" s="22" t="s">
        <v>4781</v>
      </c>
      <c r="AG1030" s="94" t="s">
        <v>817</v>
      </c>
      <c r="AH1030" s="89" t="str">
        <f>VLOOKUP(AG1030,Sheet1!$B$3:$D$36,2,FALSE)</f>
        <v>Kitchen &amp; Dining</v>
      </c>
      <c r="AI1030" s="89" t="s">
        <v>2077</v>
      </c>
      <c r="AJ1030" s="1" t="str">
        <f t="shared" si="524"/>
        <v>Tom plate flat black</v>
      </c>
      <c r="AK1030" s="1" t="str">
        <f t="shared" si="525"/>
        <v>ø24 x h1,5</v>
      </c>
      <c r="AL1030" s="1" t="str">
        <f t="shared" si="526"/>
        <v>stoneware indoor</v>
      </c>
      <c r="AM1030" s="1" t="str">
        <f t="shared" si="527"/>
        <v>stoneware indoor</v>
      </c>
      <c r="AN1030" s="1" t="str">
        <f t="shared" si="516"/>
        <v xml:space="preserve">stoneware </v>
      </c>
      <c r="AO1030" s="1" t="s">
        <v>54</v>
      </c>
      <c r="AQ1030" s="1" t="str">
        <f t="shared" si="528"/>
        <v>C</v>
      </c>
      <c r="AR1030" s="1" t="str">
        <f>VLOOKUP(TRIM(AI1030),Sheet1!$D$3:$E$36,2,FALSE)</f>
        <v>01</v>
      </c>
      <c r="AS1030" s="90" t="str">
        <f t="shared" si="529"/>
        <v>03</v>
      </c>
      <c r="AT1030" s="1" t="str">
        <f t="shared" si="530"/>
        <v>01</v>
      </c>
      <c r="AU1030" s="90" t="s">
        <v>4319</v>
      </c>
      <c r="AV1030" s="90"/>
      <c r="AW1030" s="90"/>
      <c r="AX1030" s="95" t="str">
        <f>AQ1030&amp;AR1030&amp;AS1030&amp;"-"&amp;AT1030&amp;AU1030&amp;BA1030</f>
        <v>C0103-0124IND</v>
      </c>
      <c r="AY1030" s="99" t="str">
        <f>AQ1030&amp;AR1030&amp;AS1030&amp;"-"&amp;AT1030&amp;BA1030</f>
        <v>C0103-01IND</v>
      </c>
      <c r="AZ1030" s="90"/>
      <c r="BA1030" s="1" t="str">
        <f t="shared" si="531"/>
        <v>IND</v>
      </c>
      <c r="BC1030" s="1" t="str">
        <f t="shared" si="513"/>
        <v/>
      </c>
      <c r="BD1030" s="90">
        <f t="shared" si="514"/>
        <v>3</v>
      </c>
      <c r="BE1030" s="1">
        <f t="shared" si="506"/>
        <v>1</v>
      </c>
      <c r="BF1030" s="1">
        <f t="shared" si="507"/>
        <v>1</v>
      </c>
    </row>
    <row r="1031" spans="1:58" ht="11.25" customHeight="1">
      <c r="A1031" s="26" t="s">
        <v>4782</v>
      </c>
      <c r="B1031" s="27" t="s">
        <v>4773</v>
      </c>
      <c r="C1031" s="28">
        <v>26.99</v>
      </c>
      <c r="D1031" s="28">
        <f t="shared" si="522"/>
        <v>13.494999999999999</v>
      </c>
      <c r="E1031" s="22" t="s">
        <v>4467</v>
      </c>
      <c r="F1031" s="22" t="s">
        <v>4783</v>
      </c>
      <c r="G1031" s="22" t="s">
        <v>810</v>
      </c>
      <c r="H1031" s="22" t="s">
        <v>4735</v>
      </c>
      <c r="I1031" s="23" t="s">
        <v>4723</v>
      </c>
      <c r="J1031" s="22" t="s">
        <v>670</v>
      </c>
      <c r="L1031" s="23">
        <v>27</v>
      </c>
      <c r="M1031" s="23">
        <v>1.5</v>
      </c>
      <c r="N1031" s="3">
        <f t="shared" si="517"/>
        <v>1.0935000000000001E-3</v>
      </c>
      <c r="O1031" s="4" t="e">
        <f>(C1031-(C1031*#REF!))-((C1031-(C1031*#REF!))*#REF!)</f>
        <v>#REF!</v>
      </c>
      <c r="P1031" s="7">
        <f>242263.981492261-Q1031</f>
        <v>263.98149226099486</v>
      </c>
      <c r="Q1031" s="7">
        <v>242000</v>
      </c>
      <c r="R1031" s="5">
        <f t="shared" si="518"/>
        <v>242263.98149226099</v>
      </c>
      <c r="S1031" s="4">
        <f t="shared" si="519"/>
        <v>16.150932099484066</v>
      </c>
      <c r="T1031" s="13">
        <f t="shared" si="523"/>
        <v>18.893000000000001</v>
      </c>
      <c r="U1031" s="13">
        <f t="shared" si="532"/>
        <v>9.4465000000000003</v>
      </c>
      <c r="V1031" s="14">
        <f>U1031/C1031</f>
        <v>0.35000000000000003</v>
      </c>
      <c r="W1031" s="18">
        <f t="shared" si="515"/>
        <v>32.301864198968133</v>
      </c>
      <c r="X1031" s="19">
        <f t="shared" si="520"/>
        <v>32.301864198968133</v>
      </c>
      <c r="Y1031" s="19">
        <f t="shared" si="521"/>
        <v>64.603728397936266</v>
      </c>
      <c r="Z1031" s="15">
        <v>2</v>
      </c>
      <c r="AA1031" s="22" t="s">
        <v>4778</v>
      </c>
      <c r="AG1031" s="94" t="s">
        <v>817</v>
      </c>
      <c r="AH1031" s="89" t="str">
        <f>VLOOKUP(AG1031,Sheet1!$B$3:$D$36,2,FALSE)</f>
        <v>Kitchen &amp; Dining</v>
      </c>
      <c r="AI1031" s="89" t="s">
        <v>2077</v>
      </c>
      <c r="AJ1031" s="1" t="str">
        <f t="shared" si="524"/>
        <v>Tom plate flat black</v>
      </c>
      <c r="AK1031" s="1" t="str">
        <f t="shared" si="525"/>
        <v>ø27 x h1,5</v>
      </c>
      <c r="AL1031" s="1" t="str">
        <f t="shared" si="526"/>
        <v>stoneware indoor</v>
      </c>
      <c r="AM1031" s="1" t="str">
        <f t="shared" si="527"/>
        <v>stoneware indoor</v>
      </c>
      <c r="AN1031" s="1" t="str">
        <f t="shared" si="516"/>
        <v xml:space="preserve">stoneware </v>
      </c>
      <c r="AO1031" s="1" t="s">
        <v>54</v>
      </c>
      <c r="AQ1031" s="1" t="str">
        <f t="shared" si="528"/>
        <v>C</v>
      </c>
      <c r="AR1031" s="1" t="str">
        <f>VLOOKUP(TRIM(AI1031),Sheet1!$D$3:$E$36,2,FALSE)</f>
        <v>01</v>
      </c>
      <c r="AS1031" s="90" t="str">
        <f t="shared" si="529"/>
        <v>04</v>
      </c>
      <c r="AT1031" s="1" t="str">
        <f t="shared" si="530"/>
        <v>01</v>
      </c>
      <c r="AU1031" s="90" t="s">
        <v>4319</v>
      </c>
      <c r="AV1031" s="90"/>
      <c r="AW1031" s="90"/>
      <c r="AX1031" s="95" t="str">
        <f>AQ1031&amp;AR1031&amp;AS1031&amp;"-"&amp;AT1031&amp;AU1031&amp;BA1031</f>
        <v>C0104-0124IND</v>
      </c>
      <c r="AY1031" s="99" t="str">
        <f>AQ1031&amp;AR1031&amp;AS1031&amp;"-"&amp;AT1031&amp;BA1031</f>
        <v>C0104-01IND</v>
      </c>
      <c r="AZ1031" s="90"/>
      <c r="BA1031" s="1" t="str">
        <f t="shared" si="531"/>
        <v>IND</v>
      </c>
      <c r="BC1031" s="1" t="str">
        <f t="shared" si="513"/>
        <v/>
      </c>
      <c r="BD1031" s="90">
        <f t="shared" si="514"/>
        <v>4</v>
      </c>
      <c r="BE1031" s="1">
        <f t="shared" si="506"/>
        <v>1</v>
      </c>
      <c r="BF1031" s="1">
        <f t="shared" si="507"/>
        <v>1</v>
      </c>
    </row>
    <row r="1032" spans="1:58" ht="11.25" customHeight="1">
      <c r="A1032" s="26" t="s">
        <v>4784</v>
      </c>
      <c r="B1032" s="27" t="s">
        <v>4773</v>
      </c>
      <c r="C1032" s="28">
        <v>30.99</v>
      </c>
      <c r="D1032" s="28">
        <f t="shared" si="522"/>
        <v>15.494999999999999</v>
      </c>
      <c r="E1032" s="22" t="s">
        <v>4467</v>
      </c>
      <c r="F1032" s="22" t="s">
        <v>4785</v>
      </c>
      <c r="G1032" s="22" t="s">
        <v>810</v>
      </c>
      <c r="H1032" s="22" t="s">
        <v>4739</v>
      </c>
      <c r="I1032" s="23" t="s">
        <v>4723</v>
      </c>
      <c r="J1032" s="22" t="s">
        <v>670</v>
      </c>
      <c r="L1032" s="23">
        <v>32</v>
      </c>
      <c r="M1032" s="23">
        <v>1.5</v>
      </c>
      <c r="N1032" s="3">
        <f t="shared" si="517"/>
        <v>1.536E-3</v>
      </c>
      <c r="O1032" s="4" t="e">
        <f>(C1032-(C1032*#REF!))-((C1032-(C1032*#REF!))*#REF!)</f>
        <v>#REF!</v>
      </c>
      <c r="P1032" s="7">
        <f>302870.805278567-Q1032</f>
        <v>370.80527856701519</v>
      </c>
      <c r="Q1032" s="7">
        <v>302500</v>
      </c>
      <c r="R1032" s="5">
        <f t="shared" si="518"/>
        <v>302870.80527856702</v>
      </c>
      <c r="S1032" s="4">
        <f t="shared" si="519"/>
        <v>20.191387018571135</v>
      </c>
      <c r="T1032" s="13">
        <f t="shared" si="523"/>
        <v>21.692999999999998</v>
      </c>
      <c r="U1032" s="13">
        <f t="shared" si="532"/>
        <v>10.846499999999999</v>
      </c>
      <c r="V1032" s="14">
        <f>U1032/C1032</f>
        <v>0.35</v>
      </c>
      <c r="W1032" s="18">
        <f t="shared" si="515"/>
        <v>40.382774037142269</v>
      </c>
      <c r="X1032" s="19">
        <f t="shared" si="520"/>
        <v>40.382774037142269</v>
      </c>
      <c r="Y1032" s="19">
        <f t="shared" si="521"/>
        <v>80.765548074284538</v>
      </c>
      <c r="Z1032" s="15">
        <v>2</v>
      </c>
      <c r="AA1032" s="22" t="s">
        <v>4786</v>
      </c>
      <c r="AG1032" s="94" t="s">
        <v>817</v>
      </c>
      <c r="AH1032" s="89" t="str">
        <f>VLOOKUP(AG1032,Sheet1!$B$3:$D$36,2,FALSE)</f>
        <v>Kitchen &amp; Dining</v>
      </c>
      <c r="AI1032" s="89" t="s">
        <v>2077</v>
      </c>
      <c r="AJ1032" s="1" t="str">
        <f t="shared" si="524"/>
        <v>Tom plate flat black</v>
      </c>
      <c r="AK1032" s="1" t="str">
        <f t="shared" si="525"/>
        <v>ø32 x h1,5</v>
      </c>
      <c r="AL1032" s="1" t="str">
        <f t="shared" si="526"/>
        <v>stoneware indoor</v>
      </c>
      <c r="AM1032" s="1" t="str">
        <f t="shared" si="527"/>
        <v>stoneware indoor</v>
      </c>
      <c r="AN1032" s="1" t="str">
        <f t="shared" si="516"/>
        <v xml:space="preserve">stoneware </v>
      </c>
      <c r="AO1032" s="1" t="s">
        <v>54</v>
      </c>
      <c r="AQ1032" s="1" t="str">
        <f t="shared" si="528"/>
        <v>C</v>
      </c>
      <c r="AR1032" s="1" t="str">
        <f>VLOOKUP(TRIM(AI1032),Sheet1!$D$3:$E$36,2,FALSE)</f>
        <v>01</v>
      </c>
      <c r="AS1032" s="90" t="str">
        <f t="shared" si="529"/>
        <v>05</v>
      </c>
      <c r="AT1032" s="1" t="str">
        <f t="shared" si="530"/>
        <v>01</v>
      </c>
      <c r="AU1032" s="90" t="s">
        <v>4319</v>
      </c>
      <c r="AV1032" s="90"/>
      <c r="AW1032" s="90"/>
      <c r="AX1032" s="95" t="str">
        <f>AQ1032&amp;AR1032&amp;AS1032&amp;"-"&amp;AT1032&amp;AU1032&amp;BA1032</f>
        <v>C0105-0124IND</v>
      </c>
      <c r="AY1032" s="99" t="str">
        <f>AQ1032&amp;AR1032&amp;AS1032&amp;"-"&amp;AT1032&amp;BA1032</f>
        <v>C0105-01IND</v>
      </c>
      <c r="AZ1032" s="90"/>
      <c r="BA1032" s="1" t="str">
        <f t="shared" si="531"/>
        <v>IND</v>
      </c>
      <c r="BC1032" s="1" t="str">
        <f t="shared" si="513"/>
        <v/>
      </c>
      <c r="BD1032" s="90">
        <f t="shared" si="514"/>
        <v>5</v>
      </c>
      <c r="BE1032" s="1">
        <f t="shared" si="506"/>
        <v>1</v>
      </c>
      <c r="BF1032" s="1">
        <f t="shared" si="507"/>
        <v>1</v>
      </c>
    </row>
    <row r="1033" spans="1:58" ht="11.25" customHeight="1">
      <c r="A1033" s="26" t="s">
        <v>4787</v>
      </c>
      <c r="B1033" s="27" t="s">
        <v>4788</v>
      </c>
      <c r="C1033" s="28">
        <v>12.99</v>
      </c>
      <c r="D1033" s="28">
        <f t="shared" si="522"/>
        <v>6.4950000000000001</v>
      </c>
      <c r="E1033" s="22" t="s">
        <v>4467</v>
      </c>
      <c r="F1033" s="22" t="s">
        <v>4774</v>
      </c>
      <c r="G1033" s="22" t="s">
        <v>834</v>
      </c>
      <c r="H1033" s="22" t="s">
        <v>4722</v>
      </c>
      <c r="I1033" s="23" t="s">
        <v>4723</v>
      </c>
      <c r="J1033" s="22" t="s">
        <v>670</v>
      </c>
      <c r="L1033" s="23">
        <v>13</v>
      </c>
      <c r="M1033" s="23">
        <v>1.5</v>
      </c>
      <c r="N1033" s="3">
        <f t="shared" si="517"/>
        <v>2.5349999999999998E-4</v>
      </c>
      <c r="O1033" s="4" t="e">
        <f>(C1033-(C1033*#REF!))-((C1033-(C1033*#REF!))*#REF!)</f>
        <v>#REF!</v>
      </c>
      <c r="P1033" s="7">
        <f>96861.1973555448-Q1033</f>
        <v>61.19735554480576</v>
      </c>
      <c r="Q1033" s="7">
        <v>96800</v>
      </c>
      <c r="R1033" s="5">
        <f t="shared" si="518"/>
        <v>96861.197355544806</v>
      </c>
      <c r="S1033" s="4">
        <f t="shared" si="519"/>
        <v>6.4574131570363207</v>
      </c>
      <c r="T1033" s="13">
        <f t="shared" si="523"/>
        <v>9.093</v>
      </c>
      <c r="U1033" s="13">
        <f t="shared" si="532"/>
        <v>4.5465</v>
      </c>
      <c r="V1033" s="14">
        <f>U1033/C1033</f>
        <v>0.35</v>
      </c>
      <c r="W1033" s="18">
        <f t="shared" si="515"/>
        <v>12.914826314072641</v>
      </c>
      <c r="X1033" s="19">
        <f t="shared" si="520"/>
        <v>12.914826314072641</v>
      </c>
      <c r="Y1033" s="19">
        <f t="shared" si="521"/>
        <v>25.829652628145283</v>
      </c>
      <c r="Z1033" s="15">
        <v>2</v>
      </c>
      <c r="AA1033" s="22" t="s">
        <v>4789</v>
      </c>
      <c r="AG1033" s="94" t="s">
        <v>817</v>
      </c>
      <c r="AH1033" s="89" t="str">
        <f>VLOOKUP(AG1033,Sheet1!$B$3:$D$36,2,FALSE)</f>
        <v>Kitchen &amp; Dining</v>
      </c>
      <c r="AI1033" s="89" t="s">
        <v>2077</v>
      </c>
      <c r="AJ1033" s="1" t="str">
        <f t="shared" si="524"/>
        <v>Tom plate soft curved black</v>
      </c>
      <c r="AK1033" s="1" t="str">
        <f t="shared" si="525"/>
        <v>ø13 x h1,5</v>
      </c>
      <c r="AL1033" s="1" t="str">
        <f t="shared" si="526"/>
        <v>stoneware indoor</v>
      </c>
      <c r="AM1033" s="1" t="str">
        <f t="shared" si="527"/>
        <v>stoneware indoor</v>
      </c>
      <c r="AN1033" s="1" t="str">
        <f t="shared" si="516"/>
        <v xml:space="preserve">stoneware </v>
      </c>
      <c r="AO1033" s="1" t="s">
        <v>54</v>
      </c>
      <c r="AQ1033" s="1" t="str">
        <f t="shared" si="528"/>
        <v>C</v>
      </c>
      <c r="AR1033" s="1" t="str">
        <f>VLOOKUP(TRIM(AI1033),Sheet1!$D$3:$E$36,2,FALSE)</f>
        <v>01</v>
      </c>
      <c r="AS1033" s="90" t="str">
        <f t="shared" si="529"/>
        <v>01</v>
      </c>
      <c r="AT1033" s="1" t="str">
        <f t="shared" si="530"/>
        <v>01</v>
      </c>
      <c r="AU1033" s="90" t="s">
        <v>4319</v>
      </c>
      <c r="AV1033" s="90"/>
      <c r="AW1033" s="90"/>
      <c r="AX1033" s="95" t="str">
        <f>AQ1033&amp;AR1033&amp;AS1033&amp;"-"&amp;AT1033&amp;AU1033&amp;BA1033</f>
        <v>C0101-0124IND</v>
      </c>
      <c r="AY1033" s="99" t="str">
        <f>AQ1033&amp;AR1033&amp;AS1033&amp;"-"&amp;AT1033&amp;BA1033</f>
        <v>C0101-01IND</v>
      </c>
      <c r="AZ1033" s="90"/>
      <c r="BA1033" s="1" t="str">
        <f t="shared" si="531"/>
        <v>IND</v>
      </c>
      <c r="BC1033" s="1">
        <f t="shared" si="513"/>
        <v>1</v>
      </c>
      <c r="BD1033" s="90">
        <f t="shared" si="514"/>
        <v>1</v>
      </c>
      <c r="BE1033" s="1">
        <f t="shared" si="506"/>
        <v>1</v>
      </c>
      <c r="BF1033" s="1">
        <f t="shared" si="507"/>
        <v>1</v>
      </c>
    </row>
    <row r="1034" spans="1:58" ht="11.25" customHeight="1">
      <c r="A1034" s="26" t="s">
        <v>4790</v>
      </c>
      <c r="B1034" s="27" t="s">
        <v>4788</v>
      </c>
      <c r="C1034" s="28">
        <v>18.989999999999998</v>
      </c>
      <c r="D1034" s="28">
        <f t="shared" si="522"/>
        <v>9.4949999999999992</v>
      </c>
      <c r="E1034" s="22" t="s">
        <v>4467</v>
      </c>
      <c r="F1034" s="22" t="s">
        <v>4777</v>
      </c>
      <c r="G1034" s="22" t="s">
        <v>834</v>
      </c>
      <c r="H1034" s="22" t="s">
        <v>4727</v>
      </c>
      <c r="I1034" s="23" t="s">
        <v>4723</v>
      </c>
      <c r="J1034" s="22" t="s">
        <v>670</v>
      </c>
      <c r="L1034" s="23">
        <v>18</v>
      </c>
      <c r="M1034" s="23">
        <v>1.5</v>
      </c>
      <c r="N1034" s="3">
        <f t="shared" si="517"/>
        <v>4.86E-4</v>
      </c>
      <c r="O1034" s="4" t="e">
        <f>(C1034-(C1034*#REF!))-((C1034-(C1034*#REF!))*#REF!)</f>
        <v>#REF!</v>
      </c>
      <c r="P1034" s="7">
        <f>145317.325107672-Q1034</f>
        <v>117.32510767198983</v>
      </c>
      <c r="Q1034" s="7">
        <v>145200</v>
      </c>
      <c r="R1034" s="5">
        <f t="shared" si="518"/>
        <v>145317.32510767199</v>
      </c>
      <c r="S1034" s="4">
        <f t="shared" si="519"/>
        <v>9.6878216738448</v>
      </c>
      <c r="T1034" s="13">
        <f t="shared" si="523"/>
        <v>13.292999999999999</v>
      </c>
      <c r="U1034" s="13">
        <f t="shared" si="532"/>
        <v>6.6464999999999996</v>
      </c>
      <c r="V1034" s="14">
        <f>U1034/C1034</f>
        <v>0.35000000000000003</v>
      </c>
      <c r="W1034" s="18">
        <f t="shared" si="515"/>
        <v>19.3756433476896</v>
      </c>
      <c r="X1034" s="19">
        <f t="shared" si="520"/>
        <v>19.3756433476896</v>
      </c>
      <c r="Y1034" s="19">
        <f t="shared" si="521"/>
        <v>38.7512866953792</v>
      </c>
      <c r="Z1034" s="15">
        <v>2</v>
      </c>
      <c r="AA1034" s="22" t="s">
        <v>4791</v>
      </c>
      <c r="AG1034" s="94" t="s">
        <v>817</v>
      </c>
      <c r="AH1034" s="89" t="str">
        <f>VLOOKUP(AG1034,Sheet1!$B$3:$D$36,2,FALSE)</f>
        <v>Kitchen &amp; Dining</v>
      </c>
      <c r="AI1034" s="89" t="s">
        <v>2077</v>
      </c>
      <c r="AJ1034" s="1" t="str">
        <f t="shared" si="524"/>
        <v>Tom plate soft curved black</v>
      </c>
      <c r="AK1034" s="1" t="str">
        <f t="shared" si="525"/>
        <v>ø18 x h1,5</v>
      </c>
      <c r="AL1034" s="1" t="str">
        <f t="shared" si="526"/>
        <v>stoneware indoor</v>
      </c>
      <c r="AM1034" s="1" t="str">
        <f t="shared" si="527"/>
        <v>stoneware indoor</v>
      </c>
      <c r="AN1034" s="1" t="str">
        <f t="shared" si="516"/>
        <v xml:space="preserve">stoneware </v>
      </c>
      <c r="AO1034" s="1" t="s">
        <v>54</v>
      </c>
      <c r="AQ1034" s="1" t="str">
        <f t="shared" si="528"/>
        <v>C</v>
      </c>
      <c r="AR1034" s="1" t="str">
        <f>VLOOKUP(TRIM(AI1034),Sheet1!$D$3:$E$36,2,FALSE)</f>
        <v>01</v>
      </c>
      <c r="AS1034" s="90" t="str">
        <f t="shared" si="529"/>
        <v>02</v>
      </c>
      <c r="AT1034" s="1" t="str">
        <f t="shared" si="530"/>
        <v>01</v>
      </c>
      <c r="AU1034" s="90" t="s">
        <v>4319</v>
      </c>
      <c r="AV1034" s="90"/>
      <c r="AW1034" s="90"/>
      <c r="AX1034" s="95" t="str">
        <f>AQ1034&amp;AR1034&amp;AS1034&amp;"-"&amp;AT1034&amp;AU1034&amp;BA1034</f>
        <v>C0102-0124IND</v>
      </c>
      <c r="AY1034" s="99" t="str">
        <f>AQ1034&amp;AR1034&amp;AS1034&amp;"-"&amp;AT1034&amp;BA1034</f>
        <v>C0102-01IND</v>
      </c>
      <c r="AZ1034" s="90"/>
      <c r="BA1034" s="1" t="str">
        <f t="shared" si="531"/>
        <v>IND</v>
      </c>
      <c r="BC1034" s="1" t="str">
        <f t="shared" si="513"/>
        <v/>
      </c>
      <c r="BD1034" s="90">
        <f t="shared" si="514"/>
        <v>2</v>
      </c>
      <c r="BE1034" s="1">
        <f t="shared" si="506"/>
        <v>1</v>
      </c>
      <c r="BF1034" s="1">
        <f t="shared" si="507"/>
        <v>1</v>
      </c>
    </row>
    <row r="1035" spans="1:58" ht="11.25" customHeight="1">
      <c r="A1035" s="26" t="s">
        <v>4792</v>
      </c>
      <c r="B1035" s="27" t="s">
        <v>4788</v>
      </c>
      <c r="C1035" s="28">
        <v>23.99</v>
      </c>
      <c r="D1035" s="28">
        <f t="shared" si="522"/>
        <v>11.994999999999999</v>
      </c>
      <c r="E1035" s="22" t="s">
        <v>4467</v>
      </c>
      <c r="F1035" s="22" t="s">
        <v>4780</v>
      </c>
      <c r="G1035" s="22" t="s">
        <v>834</v>
      </c>
      <c r="H1035" s="22" t="s">
        <v>4731</v>
      </c>
      <c r="I1035" s="23" t="s">
        <v>4723</v>
      </c>
      <c r="J1035" s="22" t="s">
        <v>670</v>
      </c>
      <c r="L1035" s="23">
        <v>24</v>
      </c>
      <c r="M1035" s="23">
        <v>1.5</v>
      </c>
      <c r="N1035" s="3">
        <f t="shared" si="517"/>
        <v>8.6399999999999997E-4</v>
      </c>
      <c r="O1035" s="4" t="e">
        <f>(C1035-(C1035*#REF!))-((C1035-(C1035*#REF!))*#REF!)</f>
        <v>#REF!</v>
      </c>
      <c r="P1035" s="7">
        <f>218008.577969194-Q1035</f>
        <v>208.57796919401153</v>
      </c>
      <c r="Q1035" s="7">
        <v>217800</v>
      </c>
      <c r="R1035" s="5">
        <f t="shared" si="518"/>
        <v>218008.57796919401</v>
      </c>
      <c r="S1035" s="4">
        <f t="shared" si="519"/>
        <v>14.533905197946268</v>
      </c>
      <c r="T1035" s="13">
        <f t="shared" si="523"/>
        <v>16.792999999999999</v>
      </c>
      <c r="U1035" s="13">
        <f t="shared" si="532"/>
        <v>8.3964999999999996</v>
      </c>
      <c r="V1035" s="14">
        <f>U1035/C1035</f>
        <v>0.35000000000000003</v>
      </c>
      <c r="W1035" s="18">
        <f t="shared" si="515"/>
        <v>29.067810395892536</v>
      </c>
      <c r="X1035" s="19">
        <f t="shared" si="520"/>
        <v>29.067810395892536</v>
      </c>
      <c r="Y1035" s="19">
        <f t="shared" si="521"/>
        <v>58.135620791785072</v>
      </c>
      <c r="Z1035" s="15">
        <v>2</v>
      </c>
      <c r="AA1035" s="22" t="s">
        <v>4793</v>
      </c>
      <c r="AG1035" s="94" t="s">
        <v>817</v>
      </c>
      <c r="AH1035" s="89" t="str">
        <f>VLOOKUP(AG1035,Sheet1!$B$3:$D$36,2,FALSE)</f>
        <v>Kitchen &amp; Dining</v>
      </c>
      <c r="AI1035" s="89" t="s">
        <v>2077</v>
      </c>
      <c r="AJ1035" s="1" t="str">
        <f t="shared" si="524"/>
        <v>Tom plate soft curved black</v>
      </c>
      <c r="AK1035" s="1" t="str">
        <f t="shared" si="525"/>
        <v>ø24 x h1,5</v>
      </c>
      <c r="AL1035" s="1" t="str">
        <f t="shared" si="526"/>
        <v>stoneware indoor</v>
      </c>
      <c r="AM1035" s="1" t="str">
        <f t="shared" si="527"/>
        <v>stoneware indoor</v>
      </c>
      <c r="AN1035" s="1" t="str">
        <f t="shared" si="516"/>
        <v xml:space="preserve">stoneware </v>
      </c>
      <c r="AO1035" s="1" t="s">
        <v>54</v>
      </c>
      <c r="AQ1035" s="1" t="str">
        <f t="shared" si="528"/>
        <v>C</v>
      </c>
      <c r="AR1035" s="1" t="str">
        <f>VLOOKUP(TRIM(AI1035),Sheet1!$D$3:$E$36,2,FALSE)</f>
        <v>01</v>
      </c>
      <c r="AS1035" s="90" t="str">
        <f t="shared" si="529"/>
        <v>03</v>
      </c>
      <c r="AT1035" s="1" t="str">
        <f t="shared" si="530"/>
        <v>01</v>
      </c>
      <c r="AU1035" s="90" t="s">
        <v>4319</v>
      </c>
      <c r="AV1035" s="90"/>
      <c r="AW1035" s="90"/>
      <c r="AX1035" s="95" t="str">
        <f>AQ1035&amp;AR1035&amp;AS1035&amp;"-"&amp;AT1035&amp;AU1035&amp;BA1035</f>
        <v>C0103-0124IND</v>
      </c>
      <c r="AY1035" s="99" t="str">
        <f>AQ1035&amp;AR1035&amp;AS1035&amp;"-"&amp;AT1035&amp;BA1035</f>
        <v>C0103-01IND</v>
      </c>
      <c r="AZ1035" s="90"/>
      <c r="BA1035" s="1" t="str">
        <f t="shared" si="531"/>
        <v>IND</v>
      </c>
      <c r="BC1035" s="1" t="str">
        <f t="shared" si="513"/>
        <v/>
      </c>
      <c r="BD1035" s="90">
        <f t="shared" si="514"/>
        <v>3</v>
      </c>
      <c r="BE1035" s="1">
        <f t="shared" si="506"/>
        <v>1</v>
      </c>
      <c r="BF1035" s="1">
        <f t="shared" si="507"/>
        <v>1</v>
      </c>
    </row>
    <row r="1036" spans="1:58" ht="11.25" customHeight="1">
      <c r="A1036" s="26" t="s">
        <v>4794</v>
      </c>
      <c r="B1036" s="27" t="s">
        <v>4788</v>
      </c>
      <c r="C1036" s="28">
        <v>30.99</v>
      </c>
      <c r="D1036" s="28">
        <f t="shared" si="522"/>
        <v>15.494999999999999</v>
      </c>
      <c r="E1036" s="22" t="s">
        <v>4467</v>
      </c>
      <c r="F1036" s="22" t="s">
        <v>4783</v>
      </c>
      <c r="G1036" s="22" t="s">
        <v>834</v>
      </c>
      <c r="H1036" s="22" t="s">
        <v>4735</v>
      </c>
      <c r="I1036" s="23" t="s">
        <v>4723</v>
      </c>
      <c r="J1036" s="22" t="s">
        <v>670</v>
      </c>
      <c r="L1036" s="23">
        <v>27</v>
      </c>
      <c r="M1036" s="23">
        <v>1.5</v>
      </c>
      <c r="N1036" s="3">
        <f t="shared" si="517"/>
        <v>1.0935000000000001E-3</v>
      </c>
      <c r="O1036" s="4" t="e">
        <f>(C1036-(C1036*#REF!))-((C1036-(C1036*#REF!))*#REF!)</f>
        <v>#REF!</v>
      </c>
      <c r="P1036" s="7">
        <f>254363.981492261-Q1036</f>
        <v>263.98149226099486</v>
      </c>
      <c r="Q1036" s="7">
        <v>254100</v>
      </c>
      <c r="R1036" s="5">
        <f t="shared" si="518"/>
        <v>254363.98149226099</v>
      </c>
      <c r="S1036" s="4">
        <f t="shared" si="519"/>
        <v>16.957598766150731</v>
      </c>
      <c r="T1036" s="13">
        <f t="shared" si="523"/>
        <v>21.692999999999998</v>
      </c>
      <c r="U1036" s="13">
        <f t="shared" si="532"/>
        <v>10.846499999999999</v>
      </c>
      <c r="V1036" s="14">
        <f>U1036/C1036</f>
        <v>0.35</v>
      </c>
      <c r="W1036" s="18">
        <f t="shared" si="515"/>
        <v>33.915197532301463</v>
      </c>
      <c r="X1036" s="19">
        <f t="shared" si="520"/>
        <v>33.915197532301463</v>
      </c>
      <c r="Y1036" s="19">
        <f t="shared" si="521"/>
        <v>67.830395064602925</v>
      </c>
      <c r="Z1036" s="15">
        <v>2</v>
      </c>
      <c r="AA1036" s="22" t="s">
        <v>4795</v>
      </c>
      <c r="AG1036" s="94" t="s">
        <v>817</v>
      </c>
      <c r="AH1036" s="89" t="str">
        <f>VLOOKUP(AG1036,Sheet1!$B$3:$D$36,2,FALSE)</f>
        <v>Kitchen &amp; Dining</v>
      </c>
      <c r="AI1036" s="89" t="s">
        <v>2077</v>
      </c>
      <c r="AJ1036" s="1" t="str">
        <f t="shared" si="524"/>
        <v>Tom plate soft curved black</v>
      </c>
      <c r="AK1036" s="1" t="str">
        <f t="shared" si="525"/>
        <v>ø27 x h1,5</v>
      </c>
      <c r="AL1036" s="1" t="str">
        <f t="shared" si="526"/>
        <v>stoneware indoor</v>
      </c>
      <c r="AM1036" s="1" t="str">
        <f t="shared" si="527"/>
        <v>stoneware indoor</v>
      </c>
      <c r="AN1036" s="1" t="str">
        <f t="shared" si="516"/>
        <v xml:space="preserve">stoneware </v>
      </c>
      <c r="AO1036" s="1" t="s">
        <v>54</v>
      </c>
      <c r="AQ1036" s="1" t="str">
        <f t="shared" si="528"/>
        <v>C</v>
      </c>
      <c r="AR1036" s="1" t="str">
        <f>VLOOKUP(TRIM(AI1036),Sheet1!$D$3:$E$36,2,FALSE)</f>
        <v>01</v>
      </c>
      <c r="AS1036" s="90" t="str">
        <f t="shared" si="529"/>
        <v>04</v>
      </c>
      <c r="AT1036" s="1" t="str">
        <f t="shared" si="530"/>
        <v>01</v>
      </c>
      <c r="AU1036" s="90" t="s">
        <v>4319</v>
      </c>
      <c r="AV1036" s="90"/>
      <c r="AW1036" s="90"/>
      <c r="AX1036" s="95" t="str">
        <f>AQ1036&amp;AR1036&amp;AS1036&amp;"-"&amp;AT1036&amp;AU1036&amp;BA1036</f>
        <v>C0104-0124IND</v>
      </c>
      <c r="AY1036" s="99" t="str">
        <f>AQ1036&amp;AR1036&amp;AS1036&amp;"-"&amp;AT1036&amp;BA1036</f>
        <v>C0104-01IND</v>
      </c>
      <c r="AZ1036" s="90"/>
      <c r="BA1036" s="1" t="str">
        <f t="shared" si="531"/>
        <v>IND</v>
      </c>
      <c r="BC1036" s="1" t="str">
        <f t="shared" si="513"/>
        <v/>
      </c>
      <c r="BD1036" s="90">
        <f t="shared" si="514"/>
        <v>4</v>
      </c>
      <c r="BE1036" s="1">
        <f t="shared" si="506"/>
        <v>1</v>
      </c>
      <c r="BF1036" s="1">
        <f t="shared" si="507"/>
        <v>1</v>
      </c>
    </row>
    <row r="1037" spans="1:58" ht="11.25" customHeight="1">
      <c r="A1037" s="26" t="s">
        <v>4796</v>
      </c>
      <c r="B1037" s="27" t="s">
        <v>4788</v>
      </c>
      <c r="C1037" s="28">
        <v>34.99</v>
      </c>
      <c r="D1037" s="28">
        <f t="shared" si="522"/>
        <v>17.495000000000001</v>
      </c>
      <c r="E1037" s="22" t="s">
        <v>4467</v>
      </c>
      <c r="F1037" s="22" t="s">
        <v>4785</v>
      </c>
      <c r="G1037" s="22" t="s">
        <v>834</v>
      </c>
      <c r="H1037" s="22" t="s">
        <v>4739</v>
      </c>
      <c r="I1037" s="23" t="s">
        <v>4723</v>
      </c>
      <c r="J1037" s="22" t="s">
        <v>670</v>
      </c>
      <c r="L1037" s="23">
        <v>32</v>
      </c>
      <c r="M1037" s="23">
        <v>1.5</v>
      </c>
      <c r="N1037" s="3">
        <f t="shared" si="517"/>
        <v>1.536E-3</v>
      </c>
      <c r="O1037" s="4" t="e">
        <f>(C1037-(C1037*#REF!))-((C1037-(C1037*#REF!))*#REF!)</f>
        <v>#REF!</v>
      </c>
      <c r="P1037" s="7">
        <f>327070.805278567-Q1037</f>
        <v>370.80527856701519</v>
      </c>
      <c r="Q1037" s="7">
        <v>326700</v>
      </c>
      <c r="R1037" s="5">
        <f t="shared" si="518"/>
        <v>327070.80527856702</v>
      </c>
      <c r="S1037" s="4">
        <f t="shared" si="519"/>
        <v>21.804720351904468</v>
      </c>
      <c r="T1037" s="13">
        <f t="shared" si="523"/>
        <v>24.493000000000002</v>
      </c>
      <c r="U1037" s="13">
        <f t="shared" si="532"/>
        <v>12.246500000000001</v>
      </c>
      <c r="V1037" s="14">
        <f>U1037/C1037</f>
        <v>0.35000000000000003</v>
      </c>
      <c r="W1037" s="18">
        <f t="shared" si="515"/>
        <v>43.609440703808936</v>
      </c>
      <c r="X1037" s="19">
        <f t="shared" si="520"/>
        <v>43.609440703808936</v>
      </c>
      <c r="Y1037" s="19">
        <f t="shared" si="521"/>
        <v>87.218881407617872</v>
      </c>
      <c r="Z1037" s="15">
        <v>2</v>
      </c>
      <c r="AA1037" s="22" t="s">
        <v>4793</v>
      </c>
      <c r="AG1037" s="94" t="s">
        <v>817</v>
      </c>
      <c r="AH1037" s="89" t="str">
        <f>VLOOKUP(AG1037,Sheet1!$B$3:$D$36,2,FALSE)</f>
        <v>Kitchen &amp; Dining</v>
      </c>
      <c r="AI1037" s="89" t="s">
        <v>2077</v>
      </c>
      <c r="AJ1037" s="1" t="str">
        <f t="shared" si="524"/>
        <v>Tom plate soft curved black</v>
      </c>
      <c r="AK1037" s="1" t="str">
        <f t="shared" si="525"/>
        <v>ø32 x h1,5</v>
      </c>
      <c r="AL1037" s="1" t="str">
        <f t="shared" si="526"/>
        <v>stoneware indoor</v>
      </c>
      <c r="AM1037" s="1" t="str">
        <f t="shared" si="527"/>
        <v>stoneware indoor</v>
      </c>
      <c r="AN1037" s="1" t="str">
        <f t="shared" si="516"/>
        <v xml:space="preserve">stoneware </v>
      </c>
      <c r="AO1037" s="1" t="s">
        <v>54</v>
      </c>
      <c r="AQ1037" s="1" t="str">
        <f t="shared" si="528"/>
        <v>C</v>
      </c>
      <c r="AR1037" s="1" t="str">
        <f>VLOOKUP(TRIM(AI1037),Sheet1!$D$3:$E$36,2,FALSE)</f>
        <v>01</v>
      </c>
      <c r="AS1037" s="90" t="str">
        <f t="shared" si="529"/>
        <v>05</v>
      </c>
      <c r="AT1037" s="1" t="str">
        <f t="shared" si="530"/>
        <v>01</v>
      </c>
      <c r="AU1037" s="90" t="s">
        <v>4319</v>
      </c>
      <c r="AV1037" s="90"/>
      <c r="AW1037" s="90"/>
      <c r="AX1037" s="95" t="str">
        <f>AQ1037&amp;AR1037&amp;AS1037&amp;"-"&amp;AT1037&amp;AU1037&amp;BA1037</f>
        <v>C0105-0124IND</v>
      </c>
      <c r="AY1037" s="99" t="str">
        <f>AQ1037&amp;AR1037&amp;AS1037&amp;"-"&amp;AT1037&amp;BA1037</f>
        <v>C0105-01IND</v>
      </c>
      <c r="AZ1037" s="90"/>
      <c r="BA1037" s="1" t="str">
        <f t="shared" si="531"/>
        <v>IND</v>
      </c>
      <c r="BC1037" s="1" t="str">
        <f t="shared" si="513"/>
        <v/>
      </c>
      <c r="BD1037" s="90">
        <f t="shared" si="514"/>
        <v>5</v>
      </c>
      <c r="BE1037" s="1">
        <f t="shared" ref="BE1037:BE1100" si="533">IF(AK1036&lt;&gt;AK1037,1,"")</f>
        <v>1</v>
      </c>
      <c r="BF1037" s="1">
        <f t="shared" ref="BF1037:BF1100" si="534">IF(BE1037=1,1,BF1036+1)</f>
        <v>1</v>
      </c>
    </row>
    <row r="1038" spans="1:58" ht="11.25" customHeight="1">
      <c r="A1038" s="26" t="s">
        <v>4797</v>
      </c>
      <c r="B1038" s="27" t="s">
        <v>4798</v>
      </c>
      <c r="C1038" s="28">
        <v>12.99</v>
      </c>
      <c r="D1038" s="28">
        <f t="shared" si="522"/>
        <v>6.4950000000000001</v>
      </c>
      <c r="E1038" s="22" t="s">
        <v>4467</v>
      </c>
      <c r="F1038" s="22" t="s">
        <v>4799</v>
      </c>
      <c r="G1038" s="22" t="s">
        <v>824</v>
      </c>
      <c r="H1038" s="22" t="s">
        <v>4756</v>
      </c>
      <c r="I1038" s="23" t="s">
        <v>4723</v>
      </c>
      <c r="J1038" s="22" t="s">
        <v>670</v>
      </c>
      <c r="L1038" s="23">
        <v>13</v>
      </c>
      <c r="M1038" s="23">
        <v>3</v>
      </c>
      <c r="N1038" s="3">
        <f t="shared" si="517"/>
        <v>5.0699999999999996E-4</v>
      </c>
      <c r="O1038" s="4" t="e">
        <f>(C1038-(C1038*#REF!))-((C1038-(C1038*#REF!))*#REF!)</f>
        <v>#REF!</v>
      </c>
      <c r="P1038" s="7">
        <f>121122.39471109-Q1038</f>
        <v>122.39471109000442</v>
      </c>
      <c r="Q1038" s="7">
        <v>121000</v>
      </c>
      <c r="R1038" s="5">
        <f t="shared" si="518"/>
        <v>121122.39471109</v>
      </c>
      <c r="S1038" s="4">
        <f t="shared" si="519"/>
        <v>8.0748263140726664</v>
      </c>
      <c r="T1038" s="13">
        <f t="shared" si="523"/>
        <v>9.093</v>
      </c>
      <c r="U1038" s="13">
        <f t="shared" si="532"/>
        <v>4.5465</v>
      </c>
      <c r="V1038" s="14">
        <f>U1038/C1038</f>
        <v>0.35</v>
      </c>
      <c r="W1038" s="18">
        <f t="shared" si="515"/>
        <v>16.149652628145333</v>
      </c>
      <c r="X1038" s="19">
        <f t="shared" si="520"/>
        <v>16.149652628145333</v>
      </c>
      <c r="Y1038" s="19">
        <f t="shared" si="521"/>
        <v>32.299305256290666</v>
      </c>
      <c r="Z1038" s="15">
        <v>2</v>
      </c>
      <c r="AA1038" s="22" t="s">
        <v>4800</v>
      </c>
      <c r="AG1038" s="94" t="s">
        <v>817</v>
      </c>
      <c r="AH1038" s="89" t="str">
        <f>VLOOKUP(AG1038,Sheet1!$B$3:$D$36,2,FALSE)</f>
        <v>Kitchen &amp; Dining</v>
      </c>
      <c r="AI1038" s="89" t="s">
        <v>2077</v>
      </c>
      <c r="AJ1038" s="1" t="str">
        <f t="shared" si="524"/>
        <v>Tom plate high curved black</v>
      </c>
      <c r="AK1038" s="1" t="str">
        <f t="shared" si="525"/>
        <v>ø13 x h3</v>
      </c>
      <c r="AL1038" s="1" t="str">
        <f t="shared" si="526"/>
        <v>stoneware indoor</v>
      </c>
      <c r="AM1038" s="1" t="str">
        <f t="shared" si="527"/>
        <v>stoneware indoor</v>
      </c>
      <c r="AN1038" s="1" t="str">
        <f t="shared" si="516"/>
        <v xml:space="preserve">stoneware </v>
      </c>
      <c r="AO1038" s="1" t="s">
        <v>54</v>
      </c>
      <c r="AQ1038" s="1" t="str">
        <f t="shared" si="528"/>
        <v>C</v>
      </c>
      <c r="AR1038" s="1" t="str">
        <f>VLOOKUP(TRIM(AI1038),Sheet1!$D$3:$E$36,2,FALSE)</f>
        <v>01</v>
      </c>
      <c r="AS1038" s="90" t="str">
        <f t="shared" si="529"/>
        <v>01</v>
      </c>
      <c r="AT1038" s="1" t="str">
        <f t="shared" si="530"/>
        <v>01</v>
      </c>
      <c r="AU1038" s="90" t="s">
        <v>4319</v>
      </c>
      <c r="AV1038" s="90"/>
      <c r="AW1038" s="90"/>
      <c r="AX1038" s="95" t="str">
        <f>AQ1038&amp;AR1038&amp;AS1038&amp;"-"&amp;AT1038&amp;AU1038&amp;BA1038</f>
        <v>C0101-0124IND</v>
      </c>
      <c r="AY1038" s="99" t="str">
        <f>AQ1038&amp;AR1038&amp;AS1038&amp;"-"&amp;AT1038&amp;BA1038</f>
        <v>C0101-01IND</v>
      </c>
      <c r="AZ1038" s="90"/>
      <c r="BA1038" s="1" t="str">
        <f t="shared" si="531"/>
        <v>IND</v>
      </c>
      <c r="BC1038" s="1">
        <f t="shared" si="513"/>
        <v>1</v>
      </c>
      <c r="BD1038" s="90">
        <f t="shared" si="514"/>
        <v>1</v>
      </c>
      <c r="BE1038" s="1">
        <f t="shared" si="533"/>
        <v>1</v>
      </c>
      <c r="BF1038" s="1">
        <f t="shared" si="534"/>
        <v>1</v>
      </c>
    </row>
    <row r="1039" spans="1:58" ht="11.25" customHeight="1">
      <c r="A1039" s="26" t="s">
        <v>4801</v>
      </c>
      <c r="B1039" s="27" t="s">
        <v>4798</v>
      </c>
      <c r="C1039" s="28">
        <v>19.989999999999998</v>
      </c>
      <c r="D1039" s="28">
        <f t="shared" si="522"/>
        <v>9.9949999999999992</v>
      </c>
      <c r="E1039" s="22" t="s">
        <v>4467</v>
      </c>
      <c r="F1039" s="22" t="s">
        <v>4802</v>
      </c>
      <c r="G1039" s="22" t="s">
        <v>824</v>
      </c>
      <c r="H1039" s="22" t="s">
        <v>4760</v>
      </c>
      <c r="I1039" s="23" t="s">
        <v>4723</v>
      </c>
      <c r="J1039" s="22" t="s">
        <v>670</v>
      </c>
      <c r="L1039" s="23">
        <v>20</v>
      </c>
      <c r="M1039" s="23">
        <v>3</v>
      </c>
      <c r="N1039" s="3">
        <f t="shared" si="517"/>
        <v>1.1999999999999999E-3</v>
      </c>
      <c r="O1039" s="4" t="e">
        <f>(C1039-(C1039*#REF!))-((C1039-(C1039*#REF!))*#REF!)</f>
        <v>#REF!</v>
      </c>
      <c r="P1039" s="7">
        <f>181789.691623881-Q1039</f>
        <v>289.69162388099357</v>
      </c>
      <c r="Q1039" s="7">
        <v>181500</v>
      </c>
      <c r="R1039" s="5">
        <f t="shared" si="518"/>
        <v>181789.69162388099</v>
      </c>
      <c r="S1039" s="4">
        <f t="shared" si="519"/>
        <v>12.119312774925399</v>
      </c>
      <c r="T1039" s="13">
        <f t="shared" si="523"/>
        <v>13.992999999999999</v>
      </c>
      <c r="U1039" s="13">
        <f t="shared" si="532"/>
        <v>6.9964999999999993</v>
      </c>
      <c r="V1039" s="14">
        <f>U1039/C1039</f>
        <v>0.35</v>
      </c>
      <c r="W1039" s="18">
        <f t="shared" si="515"/>
        <v>24.238625549850799</v>
      </c>
      <c r="X1039" s="19">
        <f t="shared" si="520"/>
        <v>24.238625549850799</v>
      </c>
      <c r="Y1039" s="19">
        <f t="shared" si="521"/>
        <v>48.477251099701597</v>
      </c>
      <c r="Z1039" s="15">
        <v>2</v>
      </c>
      <c r="AA1039" s="22" t="s">
        <v>4800</v>
      </c>
      <c r="AG1039" s="94" t="s">
        <v>817</v>
      </c>
      <c r="AH1039" s="89" t="str">
        <f>VLOOKUP(AG1039,Sheet1!$B$3:$D$36,2,FALSE)</f>
        <v>Kitchen &amp; Dining</v>
      </c>
      <c r="AI1039" s="89" t="s">
        <v>2077</v>
      </c>
      <c r="AJ1039" s="1" t="str">
        <f t="shared" si="524"/>
        <v>Tom plate high curved black</v>
      </c>
      <c r="AK1039" s="1" t="str">
        <f t="shared" si="525"/>
        <v>ø20 x h3</v>
      </c>
      <c r="AL1039" s="1" t="str">
        <f t="shared" si="526"/>
        <v>stoneware indoor</v>
      </c>
      <c r="AM1039" s="1" t="str">
        <f t="shared" si="527"/>
        <v>stoneware indoor</v>
      </c>
      <c r="AN1039" s="1" t="str">
        <f t="shared" si="516"/>
        <v xml:space="preserve">stoneware </v>
      </c>
      <c r="AO1039" s="1" t="s">
        <v>54</v>
      </c>
      <c r="AQ1039" s="1" t="str">
        <f t="shared" si="528"/>
        <v>C</v>
      </c>
      <c r="AR1039" s="1" t="str">
        <f>VLOOKUP(TRIM(AI1039),Sheet1!$D$3:$E$36,2,FALSE)</f>
        <v>01</v>
      </c>
      <c r="AS1039" s="90" t="str">
        <f t="shared" si="529"/>
        <v>02</v>
      </c>
      <c r="AT1039" s="1" t="str">
        <f t="shared" si="530"/>
        <v>01</v>
      </c>
      <c r="AU1039" s="90" t="s">
        <v>4319</v>
      </c>
      <c r="AV1039" s="90"/>
      <c r="AW1039" s="90"/>
      <c r="AX1039" s="95" t="str">
        <f>AQ1039&amp;AR1039&amp;AS1039&amp;"-"&amp;AT1039&amp;AU1039&amp;BA1039</f>
        <v>C0102-0124IND</v>
      </c>
      <c r="AY1039" s="99" t="str">
        <f>AQ1039&amp;AR1039&amp;AS1039&amp;"-"&amp;AT1039&amp;BA1039</f>
        <v>C0102-01IND</v>
      </c>
      <c r="AZ1039" s="90"/>
      <c r="BA1039" s="1" t="str">
        <f t="shared" si="531"/>
        <v>IND</v>
      </c>
      <c r="BC1039" s="1" t="str">
        <f t="shared" si="513"/>
        <v/>
      </c>
      <c r="BD1039" s="90">
        <f t="shared" si="514"/>
        <v>2</v>
      </c>
      <c r="BE1039" s="1">
        <f t="shared" si="533"/>
        <v>1</v>
      </c>
      <c r="BF1039" s="1">
        <f t="shared" si="534"/>
        <v>1</v>
      </c>
    </row>
    <row r="1040" spans="1:58" ht="11.25" customHeight="1">
      <c r="A1040" s="26" t="s">
        <v>4803</v>
      </c>
      <c r="B1040" s="27" t="s">
        <v>4798</v>
      </c>
      <c r="C1040" s="28">
        <v>20.99</v>
      </c>
      <c r="D1040" s="28">
        <f t="shared" si="522"/>
        <v>10.494999999999999</v>
      </c>
      <c r="E1040" s="22" t="s">
        <v>4467</v>
      </c>
      <c r="F1040" s="22" t="s">
        <v>4804</v>
      </c>
      <c r="G1040" s="22" t="s">
        <v>824</v>
      </c>
      <c r="H1040" s="22" t="s">
        <v>4764</v>
      </c>
      <c r="I1040" s="23" t="s">
        <v>4723</v>
      </c>
      <c r="J1040" s="22" t="s">
        <v>670</v>
      </c>
      <c r="L1040" s="23">
        <v>22</v>
      </c>
      <c r="M1040" s="23">
        <v>3</v>
      </c>
      <c r="N1040" s="3">
        <f t="shared" si="517"/>
        <v>1.4519999999999999E-3</v>
      </c>
      <c r="O1040" s="4" t="e">
        <f>(C1040-(C1040*#REF!))-((C1040-(C1040*#REF!))*#REF!)</f>
        <v>#REF!</v>
      </c>
      <c r="P1040" s="7">
        <f>218150.526864896-Q1040</f>
        <v>350.52686489600455</v>
      </c>
      <c r="Q1040" s="7">
        <v>217800</v>
      </c>
      <c r="R1040" s="5">
        <f t="shared" si="518"/>
        <v>218150.526864896</v>
      </c>
      <c r="S1040" s="4">
        <f t="shared" si="519"/>
        <v>14.543368457659733</v>
      </c>
      <c r="T1040" s="13">
        <f t="shared" si="523"/>
        <v>14.692999999999998</v>
      </c>
      <c r="U1040" s="13">
        <f t="shared" si="532"/>
        <v>7.3464999999999989</v>
      </c>
      <c r="V1040" s="14">
        <f>U1040/C1040</f>
        <v>0.35</v>
      </c>
      <c r="W1040" s="18">
        <f t="shared" si="515"/>
        <v>29.086736915319467</v>
      </c>
      <c r="X1040" s="19">
        <f t="shared" si="520"/>
        <v>29.086736915319467</v>
      </c>
      <c r="Y1040" s="19">
        <f t="shared" si="521"/>
        <v>58.173473830638933</v>
      </c>
      <c r="Z1040" s="15">
        <v>2</v>
      </c>
      <c r="AA1040" s="22" t="s">
        <v>4805</v>
      </c>
      <c r="AG1040" s="94" t="s">
        <v>817</v>
      </c>
      <c r="AH1040" s="89" t="str">
        <f>VLOOKUP(AG1040,Sheet1!$B$3:$D$36,2,FALSE)</f>
        <v>Kitchen &amp; Dining</v>
      </c>
      <c r="AI1040" s="89" t="s">
        <v>2077</v>
      </c>
      <c r="AJ1040" s="1" t="str">
        <f t="shared" si="524"/>
        <v>Tom plate high curved black</v>
      </c>
      <c r="AK1040" s="1" t="str">
        <f t="shared" si="525"/>
        <v>ø22 x h3</v>
      </c>
      <c r="AL1040" s="1" t="str">
        <f t="shared" si="526"/>
        <v>stoneware indoor</v>
      </c>
      <c r="AM1040" s="1" t="str">
        <f t="shared" si="527"/>
        <v>stoneware indoor</v>
      </c>
      <c r="AN1040" s="1" t="str">
        <f t="shared" si="516"/>
        <v xml:space="preserve">stoneware </v>
      </c>
      <c r="AO1040" s="1" t="s">
        <v>54</v>
      </c>
      <c r="AQ1040" s="1" t="str">
        <f t="shared" si="528"/>
        <v>C</v>
      </c>
      <c r="AR1040" s="1" t="str">
        <f>VLOOKUP(TRIM(AI1040),Sheet1!$D$3:$E$36,2,FALSE)</f>
        <v>01</v>
      </c>
      <c r="AS1040" s="90" t="str">
        <f t="shared" si="529"/>
        <v>03</v>
      </c>
      <c r="AT1040" s="1" t="str">
        <f t="shared" si="530"/>
        <v>01</v>
      </c>
      <c r="AU1040" s="90" t="s">
        <v>4319</v>
      </c>
      <c r="AV1040" s="90"/>
      <c r="AW1040" s="90"/>
      <c r="AX1040" s="95" t="str">
        <f>AQ1040&amp;AR1040&amp;AS1040&amp;"-"&amp;AT1040&amp;AU1040&amp;BA1040</f>
        <v>C0103-0124IND</v>
      </c>
      <c r="AY1040" s="99" t="str">
        <f>AQ1040&amp;AR1040&amp;AS1040&amp;"-"&amp;AT1040&amp;BA1040</f>
        <v>C0103-01IND</v>
      </c>
      <c r="AZ1040" s="90"/>
      <c r="BA1040" s="1" t="str">
        <f t="shared" si="531"/>
        <v>IND</v>
      </c>
      <c r="BC1040" s="1" t="str">
        <f t="shared" si="513"/>
        <v/>
      </c>
      <c r="BD1040" s="90">
        <f t="shared" si="514"/>
        <v>3</v>
      </c>
      <c r="BE1040" s="1">
        <f t="shared" si="533"/>
        <v>1</v>
      </c>
      <c r="BF1040" s="1">
        <f t="shared" si="534"/>
        <v>1</v>
      </c>
    </row>
    <row r="1041" spans="1:58" ht="11.25" customHeight="1">
      <c r="A1041" s="26" t="s">
        <v>4806</v>
      </c>
      <c r="B1041" s="27" t="s">
        <v>4798</v>
      </c>
      <c r="C1041" s="28">
        <v>30.99</v>
      </c>
      <c r="D1041" s="28">
        <f t="shared" si="522"/>
        <v>15.494999999999999</v>
      </c>
      <c r="E1041" s="22" t="s">
        <v>4467</v>
      </c>
      <c r="F1041" s="22" t="s">
        <v>4807</v>
      </c>
      <c r="G1041" s="22" t="s">
        <v>824</v>
      </c>
      <c r="H1041" s="22" t="s">
        <v>4767</v>
      </c>
      <c r="I1041" s="23" t="s">
        <v>4723</v>
      </c>
      <c r="J1041" s="22" t="s">
        <v>670</v>
      </c>
      <c r="L1041" s="23">
        <v>27</v>
      </c>
      <c r="M1041" s="23">
        <v>3</v>
      </c>
      <c r="N1041" s="3">
        <f t="shared" si="517"/>
        <v>2.1870000000000001E-3</v>
      </c>
      <c r="O1041" s="4" t="e">
        <f>(C1041-(C1041*#REF!))-((C1041-(C1041*#REF!))*#REF!)</f>
        <v>#REF!</v>
      </c>
      <c r="P1041" s="7">
        <f>290927.962984522-Q1041</f>
        <v>527.96298452198971</v>
      </c>
      <c r="Q1041" s="7">
        <v>290400</v>
      </c>
      <c r="R1041" s="5">
        <f t="shared" si="518"/>
        <v>290927.96298452199</v>
      </c>
      <c r="S1041" s="4">
        <f t="shared" si="519"/>
        <v>19.395197532301466</v>
      </c>
      <c r="T1041" s="13">
        <f t="shared" si="523"/>
        <v>21.692999999999998</v>
      </c>
      <c r="U1041" s="13">
        <f t="shared" si="532"/>
        <v>10.846499999999999</v>
      </c>
      <c r="V1041" s="14">
        <f>U1041/C1041</f>
        <v>0.35</v>
      </c>
      <c r="W1041" s="18">
        <f t="shared" si="515"/>
        <v>38.790395064602933</v>
      </c>
      <c r="X1041" s="19">
        <f t="shared" si="520"/>
        <v>38.790395064602933</v>
      </c>
      <c r="Y1041" s="19">
        <f t="shared" si="521"/>
        <v>77.580790129205866</v>
      </c>
      <c r="Z1041" s="15">
        <v>2</v>
      </c>
      <c r="AA1041" s="22" t="s">
        <v>4808</v>
      </c>
      <c r="AG1041" s="94" t="s">
        <v>817</v>
      </c>
      <c r="AH1041" s="89" t="str">
        <f>VLOOKUP(AG1041,Sheet1!$B$3:$D$36,2,FALSE)</f>
        <v>Kitchen &amp; Dining</v>
      </c>
      <c r="AI1041" s="89" t="s">
        <v>2077</v>
      </c>
      <c r="AJ1041" s="1" t="str">
        <f t="shared" si="524"/>
        <v>Tom plate high curved black</v>
      </c>
      <c r="AK1041" s="1" t="str">
        <f t="shared" si="525"/>
        <v>ø27 x h3</v>
      </c>
      <c r="AL1041" s="1" t="str">
        <f t="shared" si="526"/>
        <v>stoneware indoor</v>
      </c>
      <c r="AM1041" s="1" t="str">
        <f t="shared" si="527"/>
        <v>stoneware indoor</v>
      </c>
      <c r="AN1041" s="1" t="str">
        <f t="shared" si="516"/>
        <v xml:space="preserve">stoneware </v>
      </c>
      <c r="AO1041" s="1" t="s">
        <v>54</v>
      </c>
      <c r="AQ1041" s="1" t="str">
        <f t="shared" si="528"/>
        <v>C</v>
      </c>
      <c r="AR1041" s="1" t="str">
        <f>VLOOKUP(TRIM(AI1041),Sheet1!$D$3:$E$36,2,FALSE)</f>
        <v>01</v>
      </c>
      <c r="AS1041" s="90" t="str">
        <f t="shared" si="529"/>
        <v>04</v>
      </c>
      <c r="AT1041" s="1" t="str">
        <f t="shared" si="530"/>
        <v>01</v>
      </c>
      <c r="AU1041" s="90" t="s">
        <v>4319</v>
      </c>
      <c r="AV1041" s="90"/>
      <c r="AW1041" s="90"/>
      <c r="AX1041" s="95" t="str">
        <f>AQ1041&amp;AR1041&amp;AS1041&amp;"-"&amp;AT1041&amp;AU1041&amp;BA1041</f>
        <v>C0104-0124IND</v>
      </c>
      <c r="AY1041" s="99" t="str">
        <f>AQ1041&amp;AR1041&amp;AS1041&amp;"-"&amp;AT1041&amp;BA1041</f>
        <v>C0104-01IND</v>
      </c>
      <c r="AZ1041" s="90"/>
      <c r="BA1041" s="1" t="str">
        <f t="shared" si="531"/>
        <v>IND</v>
      </c>
      <c r="BC1041" s="1" t="str">
        <f t="shared" si="513"/>
        <v/>
      </c>
      <c r="BD1041" s="90">
        <f t="shared" si="514"/>
        <v>4</v>
      </c>
      <c r="BE1041" s="1">
        <f t="shared" si="533"/>
        <v>1</v>
      </c>
      <c r="BF1041" s="1">
        <f t="shared" si="534"/>
        <v>1</v>
      </c>
    </row>
    <row r="1042" spans="1:58" ht="11.25" customHeight="1">
      <c r="A1042" s="26" t="s">
        <v>4809</v>
      </c>
      <c r="B1042" s="27" t="s">
        <v>4798</v>
      </c>
      <c r="C1042" s="28">
        <v>33.99</v>
      </c>
      <c r="D1042" s="28">
        <f t="shared" si="522"/>
        <v>16.995000000000001</v>
      </c>
      <c r="E1042" s="22" t="s">
        <v>4467</v>
      </c>
      <c r="F1042" s="22" t="s">
        <v>4810</v>
      </c>
      <c r="G1042" s="22" t="s">
        <v>824</v>
      </c>
      <c r="H1042" s="22" t="s">
        <v>4770</v>
      </c>
      <c r="I1042" s="23" t="s">
        <v>4723</v>
      </c>
      <c r="J1042" s="22" t="s">
        <v>670</v>
      </c>
      <c r="L1042" s="23">
        <v>32</v>
      </c>
      <c r="M1042" s="23">
        <v>3</v>
      </c>
      <c r="N1042" s="3">
        <f t="shared" si="517"/>
        <v>3.0720000000000001E-3</v>
      </c>
      <c r="O1042" s="4" t="e">
        <f>(C1042-(C1042*#REF!))-((C1042-(C1042*#REF!))*#REF!)</f>
        <v>#REF!</v>
      </c>
      <c r="P1042" s="7">
        <f>363741.610557134-Q1042</f>
        <v>741.61055713397218</v>
      </c>
      <c r="Q1042" s="7">
        <v>363000</v>
      </c>
      <c r="R1042" s="5">
        <f t="shared" si="518"/>
        <v>363741.61055713397</v>
      </c>
      <c r="S1042" s="4">
        <f t="shared" si="519"/>
        <v>24.249440703808933</v>
      </c>
      <c r="T1042" s="13">
        <f t="shared" si="523"/>
        <v>23.792999999999999</v>
      </c>
      <c r="U1042" s="13">
        <f t="shared" si="532"/>
        <v>11.8965</v>
      </c>
      <c r="V1042" s="14">
        <f>U1042/C1042</f>
        <v>0.35</v>
      </c>
      <c r="W1042" s="18">
        <f t="shared" si="515"/>
        <v>48.498881407617866</v>
      </c>
      <c r="X1042" s="19">
        <f t="shared" si="520"/>
        <v>48.498881407617866</v>
      </c>
      <c r="Y1042" s="19">
        <f t="shared" si="521"/>
        <v>96.997762815235731</v>
      </c>
      <c r="Z1042" s="15">
        <v>2</v>
      </c>
      <c r="AA1042" s="22" t="s">
        <v>4811</v>
      </c>
      <c r="AG1042" s="94" t="s">
        <v>817</v>
      </c>
      <c r="AH1042" s="89" t="str">
        <f>VLOOKUP(AG1042,Sheet1!$B$3:$D$36,2,FALSE)</f>
        <v>Kitchen &amp; Dining</v>
      </c>
      <c r="AI1042" s="89" t="s">
        <v>2077</v>
      </c>
      <c r="AJ1042" s="1" t="str">
        <f t="shared" si="524"/>
        <v>Tom plate high curved black</v>
      </c>
      <c r="AK1042" s="1" t="str">
        <f t="shared" si="525"/>
        <v>ø32 x h3</v>
      </c>
      <c r="AL1042" s="1" t="str">
        <f t="shared" si="526"/>
        <v>stoneware indoor</v>
      </c>
      <c r="AM1042" s="1" t="str">
        <f t="shared" si="527"/>
        <v>stoneware indoor</v>
      </c>
      <c r="AN1042" s="1" t="str">
        <f t="shared" si="516"/>
        <v xml:space="preserve">stoneware </v>
      </c>
      <c r="AO1042" s="1" t="s">
        <v>54</v>
      </c>
      <c r="AQ1042" s="1" t="str">
        <f t="shared" si="528"/>
        <v>C</v>
      </c>
      <c r="AR1042" s="1" t="str">
        <f>VLOOKUP(TRIM(AI1042),Sheet1!$D$3:$E$36,2,FALSE)</f>
        <v>01</v>
      </c>
      <c r="AS1042" s="90" t="str">
        <f t="shared" si="529"/>
        <v>05</v>
      </c>
      <c r="AT1042" s="1" t="str">
        <f t="shared" si="530"/>
        <v>01</v>
      </c>
      <c r="AU1042" s="90" t="s">
        <v>4319</v>
      </c>
      <c r="AV1042" s="90"/>
      <c r="AW1042" s="90"/>
      <c r="AX1042" s="95" t="str">
        <f>AQ1042&amp;AR1042&amp;AS1042&amp;"-"&amp;AT1042&amp;AU1042&amp;BA1042</f>
        <v>C0105-0124IND</v>
      </c>
      <c r="AY1042" s="99" t="str">
        <f>AQ1042&amp;AR1042&amp;AS1042&amp;"-"&amp;AT1042&amp;BA1042</f>
        <v>C0105-01IND</v>
      </c>
      <c r="AZ1042" s="90"/>
      <c r="BA1042" s="1" t="str">
        <f t="shared" si="531"/>
        <v>IND</v>
      </c>
      <c r="BC1042" s="1" t="str">
        <f t="shared" si="513"/>
        <v/>
      </c>
      <c r="BD1042" s="90">
        <f t="shared" si="514"/>
        <v>5</v>
      </c>
      <c r="BE1042" s="1">
        <f t="shared" si="533"/>
        <v>1</v>
      </c>
      <c r="BF1042" s="1">
        <f t="shared" si="534"/>
        <v>1</v>
      </c>
    </row>
    <row r="1043" spans="1:58" ht="11.25" customHeight="1">
      <c r="A1043" s="26" t="s">
        <v>4812</v>
      </c>
      <c r="B1043" s="27" t="s">
        <v>4813</v>
      </c>
      <c r="C1043" s="28">
        <v>11.99</v>
      </c>
      <c r="D1043" s="28">
        <f t="shared" si="522"/>
        <v>5.9950000000000001</v>
      </c>
      <c r="E1043" s="22" t="s">
        <v>4467</v>
      </c>
      <c r="F1043" s="22" t="s">
        <v>4814</v>
      </c>
      <c r="G1043" s="22" t="s">
        <v>356</v>
      </c>
      <c r="H1043" s="22" t="s">
        <v>4815</v>
      </c>
      <c r="I1043" s="23" t="s">
        <v>4723</v>
      </c>
      <c r="J1043" s="22" t="s">
        <v>670</v>
      </c>
      <c r="L1043" s="23">
        <v>8</v>
      </c>
      <c r="M1043" s="23">
        <v>4</v>
      </c>
      <c r="N1043" s="3">
        <f t="shared" si="517"/>
        <v>2.5599999999999999E-4</v>
      </c>
      <c r="O1043" s="4" t="e">
        <f>(C1043-(C1043*#REF!))-((C1043-(C1043*#REF!))*#REF!)</f>
        <v>#REF!</v>
      </c>
      <c r="P1043" s="7">
        <f>77061.8008797612-Q1043</f>
        <v>61.800879761198303</v>
      </c>
      <c r="Q1043" s="7">
        <v>77000</v>
      </c>
      <c r="R1043" s="5">
        <f t="shared" si="518"/>
        <v>77061.800879761198</v>
      </c>
      <c r="S1043" s="4">
        <f t="shared" si="519"/>
        <v>5.1374533919840797</v>
      </c>
      <c r="T1043" s="13">
        <f t="shared" si="523"/>
        <v>8.3930000000000007</v>
      </c>
      <c r="U1043" s="13">
        <f t="shared" si="532"/>
        <v>4.1965000000000003</v>
      </c>
      <c r="V1043" s="14">
        <f>U1043/C1043</f>
        <v>0.35000000000000003</v>
      </c>
      <c r="W1043" s="18">
        <f t="shared" si="515"/>
        <v>10.274906783968159</v>
      </c>
      <c r="X1043" s="19">
        <f t="shared" si="520"/>
        <v>10.274906783968159</v>
      </c>
      <c r="Y1043" s="19">
        <f t="shared" si="521"/>
        <v>20.549813567936319</v>
      </c>
      <c r="Z1043" s="15">
        <v>2</v>
      </c>
      <c r="AA1043" s="22" t="s">
        <v>4816</v>
      </c>
      <c r="AG1043" s="94" t="s">
        <v>817</v>
      </c>
      <c r="AH1043" s="89" t="str">
        <f>VLOOKUP(AG1043,Sheet1!$B$3:$D$36,2,FALSE)</f>
        <v>Kitchen &amp; Dining</v>
      </c>
      <c r="AI1043" s="89" t="s">
        <v>2077</v>
      </c>
      <c r="AJ1043" s="1" t="str">
        <f t="shared" si="524"/>
        <v>Hena bowl white</v>
      </c>
      <c r="AK1043" s="1" t="str">
        <f t="shared" si="525"/>
        <v>ø8 x h4</v>
      </c>
      <c r="AL1043" s="1" t="str">
        <f t="shared" si="526"/>
        <v>stoneware indoor</v>
      </c>
      <c r="AM1043" s="1" t="str">
        <f t="shared" si="527"/>
        <v>stoneware indoor</v>
      </c>
      <c r="AN1043" s="1" t="str">
        <f t="shared" si="516"/>
        <v xml:space="preserve">stoneware </v>
      </c>
      <c r="AO1043" s="1" t="s">
        <v>54</v>
      </c>
      <c r="AQ1043" s="1" t="str">
        <f t="shared" si="528"/>
        <v>C</v>
      </c>
      <c r="AR1043" s="1" t="str">
        <f>VLOOKUP(TRIM(AI1043),Sheet1!$D$3:$E$36,2,FALSE)</f>
        <v>01</v>
      </c>
      <c r="AS1043" s="90" t="str">
        <f t="shared" si="529"/>
        <v>01</v>
      </c>
      <c r="AT1043" s="1" t="str">
        <f t="shared" si="530"/>
        <v>01</v>
      </c>
      <c r="AU1043" s="90" t="s">
        <v>4319</v>
      </c>
      <c r="AV1043" s="90"/>
      <c r="AW1043" s="90"/>
      <c r="AX1043" s="95" t="str">
        <f>AQ1043&amp;AR1043&amp;AS1043&amp;"-"&amp;AT1043&amp;AU1043&amp;BA1043</f>
        <v>C0101-0124IND</v>
      </c>
      <c r="AY1043" s="99" t="str">
        <f>AQ1043&amp;AR1043&amp;AS1043&amp;"-"&amp;AT1043&amp;BA1043</f>
        <v>C0101-01IND</v>
      </c>
      <c r="AZ1043" s="90"/>
      <c r="BA1043" s="1" t="str">
        <f t="shared" si="531"/>
        <v>IND</v>
      </c>
      <c r="BC1043" s="1">
        <f t="shared" si="513"/>
        <v>1</v>
      </c>
      <c r="BD1043" s="90">
        <f t="shared" si="514"/>
        <v>1</v>
      </c>
      <c r="BE1043" s="1">
        <f t="shared" si="533"/>
        <v>1</v>
      </c>
      <c r="BF1043" s="1">
        <f t="shared" si="534"/>
        <v>1</v>
      </c>
    </row>
    <row r="1044" spans="1:58" ht="11.25" customHeight="1">
      <c r="A1044" s="26" t="s">
        <v>4817</v>
      </c>
      <c r="B1044" s="27" t="s">
        <v>4813</v>
      </c>
      <c r="C1044" s="28">
        <v>12.99</v>
      </c>
      <c r="D1044" s="28">
        <f t="shared" si="522"/>
        <v>6.4950000000000001</v>
      </c>
      <c r="E1044" s="22" t="s">
        <v>4467</v>
      </c>
      <c r="F1044" s="22" t="s">
        <v>4818</v>
      </c>
      <c r="G1044" s="22" t="s">
        <v>356</v>
      </c>
      <c r="H1044" s="22" t="s">
        <v>4819</v>
      </c>
      <c r="I1044" s="23" t="s">
        <v>4723</v>
      </c>
      <c r="J1044" s="22" t="s">
        <v>670</v>
      </c>
      <c r="L1044" s="23">
        <v>12</v>
      </c>
      <c r="M1044" s="23">
        <v>6</v>
      </c>
      <c r="N1044" s="3">
        <f t="shared" si="517"/>
        <v>8.6399999999999997E-4</v>
      </c>
      <c r="O1044" s="4" t="e">
        <f>(C1044-(C1044*#REF!))-((C1044-(C1044*#REF!))*#REF!)</f>
        <v>#REF!</v>
      </c>
      <c r="P1044" s="7">
        <f>121208.577969194-Q1044</f>
        <v>208.57796919399698</v>
      </c>
      <c r="Q1044" s="7">
        <v>121000</v>
      </c>
      <c r="R1044" s="5">
        <f t="shared" si="518"/>
        <v>121208.577969194</v>
      </c>
      <c r="S1044" s="4">
        <f t="shared" si="519"/>
        <v>8.0805718646129332</v>
      </c>
      <c r="T1044" s="13">
        <f t="shared" si="523"/>
        <v>9.093</v>
      </c>
      <c r="U1044" s="13">
        <f t="shared" si="532"/>
        <v>4.5465</v>
      </c>
      <c r="V1044" s="14">
        <f>U1044/C1044</f>
        <v>0.35</v>
      </c>
      <c r="W1044" s="18">
        <f t="shared" si="515"/>
        <v>16.161143729225866</v>
      </c>
      <c r="X1044" s="19">
        <f t="shared" si="520"/>
        <v>16.161143729225866</v>
      </c>
      <c r="Y1044" s="19">
        <f t="shared" si="521"/>
        <v>32.322287458451733</v>
      </c>
      <c r="Z1044" s="15">
        <v>2</v>
      </c>
      <c r="AA1044" s="22" t="s">
        <v>4816</v>
      </c>
      <c r="AG1044" s="94" t="s">
        <v>817</v>
      </c>
      <c r="AH1044" s="89" t="str">
        <f>VLOOKUP(AG1044,Sheet1!$B$3:$D$36,2,FALSE)</f>
        <v>Kitchen &amp; Dining</v>
      </c>
      <c r="AI1044" s="89" t="s">
        <v>2077</v>
      </c>
      <c r="AJ1044" s="1" t="str">
        <f t="shared" si="524"/>
        <v>Hena bowl white</v>
      </c>
      <c r="AK1044" s="1" t="str">
        <f t="shared" si="525"/>
        <v>ø12 x h6</v>
      </c>
      <c r="AL1044" s="1" t="str">
        <f t="shared" si="526"/>
        <v>stoneware indoor</v>
      </c>
      <c r="AM1044" s="1" t="str">
        <f t="shared" si="527"/>
        <v>stoneware indoor</v>
      </c>
      <c r="AN1044" s="1" t="str">
        <f t="shared" si="516"/>
        <v xml:space="preserve">stoneware </v>
      </c>
      <c r="AO1044" s="1" t="s">
        <v>54</v>
      </c>
      <c r="AQ1044" s="1" t="str">
        <f t="shared" si="528"/>
        <v>C</v>
      </c>
      <c r="AR1044" s="1" t="str">
        <f>VLOOKUP(TRIM(AI1044),Sheet1!$D$3:$E$36,2,FALSE)</f>
        <v>01</v>
      </c>
      <c r="AS1044" s="90" t="str">
        <f t="shared" si="529"/>
        <v>02</v>
      </c>
      <c r="AT1044" s="1" t="str">
        <f t="shared" si="530"/>
        <v>01</v>
      </c>
      <c r="AU1044" s="90" t="s">
        <v>4319</v>
      </c>
      <c r="AV1044" s="90"/>
      <c r="AW1044" s="90"/>
      <c r="AX1044" s="95" t="str">
        <f>AQ1044&amp;AR1044&amp;AS1044&amp;"-"&amp;AT1044&amp;AU1044&amp;BA1044</f>
        <v>C0102-0124IND</v>
      </c>
      <c r="AY1044" s="99" t="str">
        <f>AQ1044&amp;AR1044&amp;AS1044&amp;"-"&amp;AT1044&amp;BA1044</f>
        <v>C0102-01IND</v>
      </c>
      <c r="AZ1044" s="90"/>
      <c r="BA1044" s="1" t="str">
        <f t="shared" si="531"/>
        <v>IND</v>
      </c>
      <c r="BC1044" s="1" t="str">
        <f t="shared" si="513"/>
        <v/>
      </c>
      <c r="BD1044" s="90">
        <f t="shared" si="514"/>
        <v>2</v>
      </c>
      <c r="BE1044" s="1">
        <f t="shared" si="533"/>
        <v>1</v>
      </c>
      <c r="BF1044" s="1">
        <f t="shared" si="534"/>
        <v>1</v>
      </c>
    </row>
    <row r="1045" spans="1:58" ht="11.25" customHeight="1">
      <c r="A1045" s="26" t="s">
        <v>4820</v>
      </c>
      <c r="B1045" s="27" t="s">
        <v>4813</v>
      </c>
      <c r="C1045" s="28">
        <v>12.99</v>
      </c>
      <c r="D1045" s="28">
        <f t="shared" si="522"/>
        <v>6.4950000000000001</v>
      </c>
      <c r="E1045" s="22" t="s">
        <v>4467</v>
      </c>
      <c r="F1045" s="22" t="s">
        <v>4821</v>
      </c>
      <c r="G1045" s="22" t="s">
        <v>356</v>
      </c>
      <c r="H1045" s="22" t="s">
        <v>4822</v>
      </c>
      <c r="I1045" s="23" t="s">
        <v>4723</v>
      </c>
      <c r="J1045" s="22" t="s">
        <v>670</v>
      </c>
      <c r="L1045" s="23">
        <v>12</v>
      </c>
      <c r="M1045" s="23">
        <v>4</v>
      </c>
      <c r="N1045" s="3">
        <f t="shared" si="517"/>
        <v>5.7600000000000001E-4</v>
      </c>
      <c r="O1045" s="4" t="e">
        <f>(C1045-(C1045*#REF!))-((C1045-(C1045*#REF!))*#REF!)</f>
        <v>#REF!</v>
      </c>
      <c r="P1045" s="7">
        <f>110139.051979463-Q1045</f>
        <v>139.0519794629945</v>
      </c>
      <c r="Q1045" s="7">
        <v>110000</v>
      </c>
      <c r="R1045" s="5">
        <f t="shared" si="518"/>
        <v>110139.05197946299</v>
      </c>
      <c r="S1045" s="4">
        <f t="shared" si="519"/>
        <v>7.3426034652975334</v>
      </c>
      <c r="T1045" s="13">
        <f t="shared" si="523"/>
        <v>9.093</v>
      </c>
      <c r="U1045" s="13">
        <f t="shared" si="532"/>
        <v>4.5465</v>
      </c>
      <c r="V1045" s="14">
        <f>U1045/C1045</f>
        <v>0.35</v>
      </c>
      <c r="W1045" s="18">
        <f t="shared" si="515"/>
        <v>14.685206930595067</v>
      </c>
      <c r="X1045" s="19">
        <f t="shared" si="520"/>
        <v>14.685206930595067</v>
      </c>
      <c r="Y1045" s="19">
        <f t="shared" si="521"/>
        <v>29.370413861190134</v>
      </c>
      <c r="Z1045" s="15">
        <v>2</v>
      </c>
      <c r="AA1045" s="22" t="s">
        <v>4816</v>
      </c>
      <c r="AG1045" s="94" t="s">
        <v>817</v>
      </c>
      <c r="AH1045" s="89" t="str">
        <f>VLOOKUP(AG1045,Sheet1!$B$3:$D$36,2,FALSE)</f>
        <v>Kitchen &amp; Dining</v>
      </c>
      <c r="AI1045" s="89" t="s">
        <v>2077</v>
      </c>
      <c r="AJ1045" s="1" t="str">
        <f t="shared" si="524"/>
        <v>Hena bowl white</v>
      </c>
      <c r="AK1045" s="1" t="str">
        <f t="shared" si="525"/>
        <v>ø12 x h4</v>
      </c>
      <c r="AL1045" s="1" t="str">
        <f t="shared" si="526"/>
        <v>stoneware indoor</v>
      </c>
      <c r="AM1045" s="1" t="str">
        <f t="shared" si="527"/>
        <v>stoneware indoor</v>
      </c>
      <c r="AN1045" s="1" t="str">
        <f t="shared" si="516"/>
        <v xml:space="preserve">stoneware </v>
      </c>
      <c r="AO1045" s="1" t="s">
        <v>54</v>
      </c>
      <c r="AQ1045" s="1" t="str">
        <f t="shared" si="528"/>
        <v>C</v>
      </c>
      <c r="AR1045" s="1" t="str">
        <f>VLOOKUP(TRIM(AI1045),Sheet1!$D$3:$E$36,2,FALSE)</f>
        <v>01</v>
      </c>
      <c r="AS1045" s="90" t="str">
        <f t="shared" si="529"/>
        <v>03</v>
      </c>
      <c r="AT1045" s="1" t="str">
        <f t="shared" si="530"/>
        <v>01</v>
      </c>
      <c r="AU1045" s="90" t="s">
        <v>4319</v>
      </c>
      <c r="AV1045" s="90"/>
      <c r="AW1045" s="90"/>
      <c r="AX1045" s="95" t="str">
        <f>AQ1045&amp;AR1045&amp;AS1045&amp;"-"&amp;AT1045&amp;AU1045&amp;BA1045</f>
        <v>C0103-0124IND</v>
      </c>
      <c r="AY1045" s="99" t="str">
        <f>AQ1045&amp;AR1045&amp;AS1045&amp;"-"&amp;AT1045&amp;BA1045</f>
        <v>C0103-01IND</v>
      </c>
      <c r="AZ1045" s="90"/>
      <c r="BA1045" s="1" t="str">
        <f t="shared" si="531"/>
        <v>IND</v>
      </c>
      <c r="BC1045" s="1" t="str">
        <f t="shared" si="513"/>
        <v/>
      </c>
      <c r="BD1045" s="90">
        <f t="shared" si="514"/>
        <v>3</v>
      </c>
      <c r="BE1045" s="1">
        <f t="shared" si="533"/>
        <v>1</v>
      </c>
      <c r="BF1045" s="1">
        <f t="shared" si="534"/>
        <v>1</v>
      </c>
    </row>
    <row r="1046" spans="1:58" ht="11.25" customHeight="1">
      <c r="A1046" s="26" t="s">
        <v>4823</v>
      </c>
      <c r="B1046" s="27" t="s">
        <v>4813</v>
      </c>
      <c r="C1046" s="28">
        <v>14.99</v>
      </c>
      <c r="D1046" s="28">
        <f t="shared" si="522"/>
        <v>7.4950000000000001</v>
      </c>
      <c r="E1046" s="22" t="s">
        <v>4467</v>
      </c>
      <c r="F1046" s="22" t="s">
        <v>4824</v>
      </c>
      <c r="G1046" s="22" t="s">
        <v>356</v>
      </c>
      <c r="H1046" s="22" t="s">
        <v>4825</v>
      </c>
      <c r="I1046" s="23" t="s">
        <v>4723</v>
      </c>
      <c r="J1046" s="22" t="s">
        <v>670</v>
      </c>
      <c r="L1046" s="23">
        <v>13.5</v>
      </c>
      <c r="M1046" s="23">
        <v>5</v>
      </c>
      <c r="N1046" s="3">
        <f t="shared" si="517"/>
        <v>9.1124999999999995E-4</v>
      </c>
      <c r="O1046" s="4" t="e">
        <f>(C1046-(C1046*#REF!))-((C1046-(C1046*#REF!))*#REF!)</f>
        <v>#REF!</v>
      </c>
      <c r="P1046" s="7">
        <f>137719.984576884-Q1046</f>
        <v>219.98457688398776</v>
      </c>
      <c r="Q1046" s="7">
        <v>137500</v>
      </c>
      <c r="R1046" s="5">
        <f t="shared" si="518"/>
        <v>137719.98457688399</v>
      </c>
      <c r="S1046" s="4">
        <f t="shared" si="519"/>
        <v>9.1813323051255988</v>
      </c>
      <c r="T1046" s="13">
        <f t="shared" si="523"/>
        <v>10.493</v>
      </c>
      <c r="U1046" s="13">
        <f t="shared" si="532"/>
        <v>5.2465000000000002</v>
      </c>
      <c r="V1046" s="14">
        <f>U1046/C1046</f>
        <v>0.35000000000000003</v>
      </c>
      <c r="W1046" s="18">
        <f t="shared" si="515"/>
        <v>18.362664610251198</v>
      </c>
      <c r="X1046" s="19">
        <f t="shared" si="520"/>
        <v>18.362664610251198</v>
      </c>
      <c r="Y1046" s="19">
        <f t="shared" si="521"/>
        <v>36.725329220502395</v>
      </c>
      <c r="Z1046" s="15">
        <v>2</v>
      </c>
      <c r="AA1046" s="22" t="s">
        <v>4826</v>
      </c>
      <c r="AG1046" s="94" t="s">
        <v>817</v>
      </c>
      <c r="AH1046" s="89" t="str">
        <f>VLOOKUP(AG1046,Sheet1!$B$3:$D$36,2,FALSE)</f>
        <v>Kitchen &amp; Dining</v>
      </c>
      <c r="AI1046" s="89" t="s">
        <v>2077</v>
      </c>
      <c r="AJ1046" s="1" t="str">
        <f t="shared" si="524"/>
        <v>Hena bowl white</v>
      </c>
      <c r="AK1046" s="1" t="str">
        <f t="shared" si="525"/>
        <v>ø13,5 x h5</v>
      </c>
      <c r="AL1046" s="1" t="str">
        <f t="shared" si="526"/>
        <v>stoneware indoor</v>
      </c>
      <c r="AM1046" s="1" t="str">
        <f t="shared" si="527"/>
        <v>stoneware indoor</v>
      </c>
      <c r="AN1046" s="1" t="str">
        <f t="shared" si="516"/>
        <v xml:space="preserve">stoneware </v>
      </c>
      <c r="AO1046" s="1" t="s">
        <v>54</v>
      </c>
      <c r="AQ1046" s="1" t="str">
        <f t="shared" si="528"/>
        <v>C</v>
      </c>
      <c r="AR1046" s="1" t="str">
        <f>VLOOKUP(TRIM(AI1046),Sheet1!$D$3:$E$36,2,FALSE)</f>
        <v>01</v>
      </c>
      <c r="AS1046" s="90" t="str">
        <f t="shared" si="529"/>
        <v>04</v>
      </c>
      <c r="AT1046" s="1" t="str">
        <f t="shared" si="530"/>
        <v>01</v>
      </c>
      <c r="AU1046" s="90" t="s">
        <v>4319</v>
      </c>
      <c r="AV1046" s="90"/>
      <c r="AW1046" s="90"/>
      <c r="AX1046" s="95" t="str">
        <f>AQ1046&amp;AR1046&amp;AS1046&amp;"-"&amp;AT1046&amp;AU1046&amp;BA1046</f>
        <v>C0104-0124IND</v>
      </c>
      <c r="AY1046" s="99" t="str">
        <f>AQ1046&amp;AR1046&amp;AS1046&amp;"-"&amp;AT1046&amp;BA1046</f>
        <v>C0104-01IND</v>
      </c>
      <c r="AZ1046" s="90"/>
      <c r="BA1046" s="1" t="str">
        <f t="shared" si="531"/>
        <v>IND</v>
      </c>
      <c r="BC1046" s="1" t="str">
        <f t="shared" si="513"/>
        <v/>
      </c>
      <c r="BD1046" s="90">
        <f t="shared" si="514"/>
        <v>4</v>
      </c>
      <c r="BE1046" s="1">
        <f t="shared" si="533"/>
        <v>1</v>
      </c>
      <c r="BF1046" s="1">
        <f t="shared" si="534"/>
        <v>1</v>
      </c>
    </row>
    <row r="1047" spans="1:58" ht="11.25" customHeight="1">
      <c r="A1047" s="26" t="s">
        <v>4768</v>
      </c>
      <c r="B1047" s="27" t="s">
        <v>4813</v>
      </c>
      <c r="C1047" s="28">
        <v>32.99</v>
      </c>
      <c r="D1047" s="28">
        <f t="shared" si="522"/>
        <v>16.495000000000001</v>
      </c>
      <c r="E1047" s="22" t="s">
        <v>4467</v>
      </c>
      <c r="F1047" s="22" t="s">
        <v>4827</v>
      </c>
      <c r="G1047" s="22" t="s">
        <v>356</v>
      </c>
      <c r="H1047" s="22" t="s">
        <v>4828</v>
      </c>
      <c r="I1047" s="23" t="s">
        <v>4723</v>
      </c>
      <c r="J1047" s="22" t="s">
        <v>670</v>
      </c>
      <c r="L1047" s="23">
        <v>26</v>
      </c>
      <c r="M1047" s="23">
        <v>8</v>
      </c>
      <c r="N1047" s="3">
        <f t="shared" si="517"/>
        <v>5.4079999999999996E-3</v>
      </c>
      <c r="O1047" s="4" t="e">
        <f>(C1047-(C1047*#REF!))-((C1047-(C1047*#REF!))*#REF!)</f>
        <v>#REF!</v>
      </c>
      <c r="P1047" s="7">
        <f>193118.008797612-Q1047</f>
        <v>618.00879761201213</v>
      </c>
      <c r="Q1047" s="7">
        <v>192500</v>
      </c>
      <c r="R1047" s="5">
        <f t="shared" si="518"/>
        <v>193118.00879761201</v>
      </c>
      <c r="S1047" s="4">
        <f t="shared" si="519"/>
        <v>12.8745339198408</v>
      </c>
      <c r="T1047" s="13">
        <f t="shared" si="523"/>
        <v>23.093000000000004</v>
      </c>
      <c r="U1047" s="13">
        <f t="shared" si="532"/>
        <v>11.546500000000002</v>
      </c>
      <c r="V1047" s="14">
        <f>U1047/C1047</f>
        <v>0.35000000000000003</v>
      </c>
      <c r="W1047" s="18">
        <f t="shared" si="515"/>
        <v>25.749067839681601</v>
      </c>
      <c r="X1047" s="19">
        <f t="shared" si="520"/>
        <v>25.749067839681601</v>
      </c>
      <c r="Y1047" s="19">
        <f t="shared" si="521"/>
        <v>51.498135679363202</v>
      </c>
      <c r="Z1047" s="15">
        <v>2</v>
      </c>
      <c r="AA1047" s="22" t="s">
        <v>4816</v>
      </c>
      <c r="AG1047" s="94" t="s">
        <v>817</v>
      </c>
      <c r="AH1047" s="89" t="str">
        <f>VLOOKUP(AG1047,Sheet1!$B$3:$D$36,2,FALSE)</f>
        <v>Kitchen &amp; Dining</v>
      </c>
      <c r="AI1047" s="89" t="s">
        <v>2077</v>
      </c>
      <c r="AJ1047" s="1" t="str">
        <f t="shared" si="524"/>
        <v>Hena bowl white</v>
      </c>
      <c r="AK1047" s="1" t="str">
        <f t="shared" si="525"/>
        <v>ø26 x h8</v>
      </c>
      <c r="AL1047" s="1" t="str">
        <f t="shared" si="526"/>
        <v>stoneware indoor</v>
      </c>
      <c r="AM1047" s="1" t="str">
        <f t="shared" si="527"/>
        <v>stoneware indoor</v>
      </c>
      <c r="AN1047" s="1" t="str">
        <f t="shared" si="516"/>
        <v xml:space="preserve">stoneware </v>
      </c>
      <c r="AO1047" s="1" t="s">
        <v>54</v>
      </c>
      <c r="AQ1047" s="1" t="str">
        <f t="shared" si="528"/>
        <v>C</v>
      </c>
      <c r="AR1047" s="1" t="str">
        <f>VLOOKUP(TRIM(AI1047),Sheet1!$D$3:$E$36,2,FALSE)</f>
        <v>01</v>
      </c>
      <c r="AS1047" s="90" t="str">
        <f t="shared" si="529"/>
        <v>05</v>
      </c>
      <c r="AT1047" s="1" t="str">
        <f t="shared" si="530"/>
        <v>01</v>
      </c>
      <c r="AU1047" s="90" t="s">
        <v>4319</v>
      </c>
      <c r="AV1047" s="90"/>
      <c r="AW1047" s="90"/>
      <c r="AX1047" s="95" t="str">
        <f>AQ1047&amp;AR1047&amp;AS1047&amp;"-"&amp;AT1047&amp;AU1047&amp;BA1047</f>
        <v>C0105-0124IND</v>
      </c>
      <c r="AY1047" s="99" t="str">
        <f>AQ1047&amp;AR1047&amp;AS1047&amp;"-"&amp;AT1047&amp;BA1047</f>
        <v>C0105-01IND</v>
      </c>
      <c r="AZ1047" s="90"/>
      <c r="BA1047" s="1" t="str">
        <f t="shared" si="531"/>
        <v>IND</v>
      </c>
      <c r="BC1047" s="1" t="str">
        <f t="shared" si="513"/>
        <v/>
      </c>
      <c r="BD1047" s="90">
        <f t="shared" si="514"/>
        <v>5</v>
      </c>
      <c r="BE1047" s="1">
        <f t="shared" si="533"/>
        <v>1</v>
      </c>
      <c r="BF1047" s="1">
        <f t="shared" si="534"/>
        <v>1</v>
      </c>
    </row>
    <row r="1048" spans="1:58" ht="11.25" customHeight="1">
      <c r="A1048" s="26" t="s">
        <v>4829</v>
      </c>
      <c r="B1048" s="27" t="s">
        <v>4813</v>
      </c>
      <c r="C1048" s="28">
        <v>23.99</v>
      </c>
      <c r="D1048" s="28">
        <f t="shared" si="522"/>
        <v>11.994999999999999</v>
      </c>
      <c r="E1048" s="22" t="s">
        <v>4467</v>
      </c>
      <c r="F1048" s="22" t="s">
        <v>4830</v>
      </c>
      <c r="G1048" s="22" t="s">
        <v>356</v>
      </c>
      <c r="H1048" s="22" t="s">
        <v>4831</v>
      </c>
      <c r="I1048" s="23" t="s">
        <v>4723</v>
      </c>
      <c r="J1048" s="22" t="s">
        <v>670</v>
      </c>
      <c r="L1048" s="23">
        <v>16</v>
      </c>
      <c r="M1048" s="23">
        <v>10</v>
      </c>
      <c r="N1048" s="3">
        <f t="shared" si="517"/>
        <v>2.5600000000000002E-3</v>
      </c>
      <c r="O1048" s="4" t="e">
        <f>(C1048-(C1048*#REF!))-((C1048-(C1048*#REF!))*#REF!)</f>
        <v>#REF!</v>
      </c>
      <c r="P1048" s="7">
        <f>159848.83699709-Q1048</f>
        <v>348.83699708999484</v>
      </c>
      <c r="Q1048" s="7">
        <v>159500</v>
      </c>
      <c r="R1048" s="5">
        <f t="shared" si="518"/>
        <v>159848.83699708999</v>
      </c>
      <c r="S1048" s="4">
        <f t="shared" si="519"/>
        <v>10.656589133139333</v>
      </c>
      <c r="T1048" s="13">
        <f t="shared" si="523"/>
        <v>16.792999999999999</v>
      </c>
      <c r="U1048" s="13">
        <f t="shared" si="532"/>
        <v>8.3964999999999996</v>
      </c>
      <c r="V1048" s="14">
        <f>U1048/C1048</f>
        <v>0.35000000000000003</v>
      </c>
      <c r="W1048" s="18">
        <f t="shared" si="515"/>
        <v>21.313178266278666</v>
      </c>
      <c r="X1048" s="19">
        <f t="shared" si="520"/>
        <v>21.313178266278666</v>
      </c>
      <c r="Y1048" s="19">
        <f t="shared" si="521"/>
        <v>42.626356532557331</v>
      </c>
      <c r="Z1048" s="15">
        <v>2</v>
      </c>
      <c r="AA1048" s="22" t="s">
        <v>4826</v>
      </c>
      <c r="AG1048" s="94" t="s">
        <v>817</v>
      </c>
      <c r="AH1048" s="89" t="str">
        <f>VLOOKUP(AG1048,Sheet1!$B$3:$D$36,2,FALSE)</f>
        <v>Kitchen &amp; Dining</v>
      </c>
      <c r="AI1048" s="89" t="s">
        <v>2077</v>
      </c>
      <c r="AJ1048" s="1" t="str">
        <f t="shared" si="524"/>
        <v>Hena bowl white</v>
      </c>
      <c r="AK1048" s="1" t="str">
        <f t="shared" si="525"/>
        <v>ø16 x h10</v>
      </c>
      <c r="AL1048" s="1" t="str">
        <f t="shared" si="526"/>
        <v>stoneware indoor</v>
      </c>
      <c r="AM1048" s="1" t="str">
        <f t="shared" si="527"/>
        <v>stoneware indoor</v>
      </c>
      <c r="AN1048" s="1" t="str">
        <f t="shared" si="516"/>
        <v xml:space="preserve">stoneware </v>
      </c>
      <c r="AO1048" s="1" t="s">
        <v>54</v>
      </c>
      <c r="AQ1048" s="1" t="str">
        <f t="shared" si="528"/>
        <v>C</v>
      </c>
      <c r="AR1048" s="1" t="str">
        <f>VLOOKUP(TRIM(AI1048),Sheet1!$D$3:$E$36,2,FALSE)</f>
        <v>01</v>
      </c>
      <c r="AS1048" s="90" t="str">
        <f t="shared" si="529"/>
        <v>06</v>
      </c>
      <c r="AT1048" s="1" t="str">
        <f t="shared" si="530"/>
        <v>01</v>
      </c>
      <c r="AU1048" s="90" t="s">
        <v>4319</v>
      </c>
      <c r="AV1048" s="90"/>
      <c r="AW1048" s="90"/>
      <c r="AX1048" s="95" t="str">
        <f>AQ1048&amp;AR1048&amp;AS1048&amp;"-"&amp;AT1048&amp;AU1048&amp;BA1048</f>
        <v>C0106-0124IND</v>
      </c>
      <c r="AY1048" s="99" t="str">
        <f>AQ1048&amp;AR1048&amp;AS1048&amp;"-"&amp;AT1048&amp;BA1048</f>
        <v>C0106-01IND</v>
      </c>
      <c r="AZ1048" s="90"/>
      <c r="BA1048" s="1" t="str">
        <f t="shared" si="531"/>
        <v>IND</v>
      </c>
      <c r="BC1048" s="1" t="str">
        <f t="shared" si="513"/>
        <v/>
      </c>
      <c r="BD1048" s="90">
        <f t="shared" si="514"/>
        <v>6</v>
      </c>
      <c r="BE1048" s="1">
        <f t="shared" si="533"/>
        <v>1</v>
      </c>
      <c r="BF1048" s="1">
        <f t="shared" si="534"/>
        <v>1</v>
      </c>
    </row>
    <row r="1049" spans="1:58" ht="11.25" customHeight="1">
      <c r="A1049" s="26" t="s">
        <v>4832</v>
      </c>
      <c r="B1049" s="27" t="s">
        <v>4813</v>
      </c>
      <c r="C1049" s="28">
        <v>26.99</v>
      </c>
      <c r="D1049" s="28">
        <f t="shared" si="522"/>
        <v>13.494999999999999</v>
      </c>
      <c r="E1049" s="22" t="s">
        <v>4467</v>
      </c>
      <c r="F1049" s="22" t="s">
        <v>4833</v>
      </c>
      <c r="G1049" s="22" t="s">
        <v>356</v>
      </c>
      <c r="H1049" s="22" t="s">
        <v>4834</v>
      </c>
      <c r="I1049" s="23" t="s">
        <v>4723</v>
      </c>
      <c r="J1049" s="22" t="s">
        <v>670</v>
      </c>
      <c r="L1049" s="23">
        <v>17</v>
      </c>
      <c r="M1049" s="23">
        <v>5</v>
      </c>
      <c r="N1049" s="3">
        <f t="shared" si="517"/>
        <v>1.4450000000000001E-3</v>
      </c>
      <c r="O1049" s="4" t="e">
        <f>(C1049-(C1049*#REF!))-((C1049-(C1049*#REF!))*#REF!)</f>
        <v>#REF!</v>
      </c>
      <c r="P1049" s="7">
        <f>181982.819373134-Q1049</f>
        <v>482.81937313399976</v>
      </c>
      <c r="Q1049" s="7">
        <v>181500</v>
      </c>
      <c r="R1049" s="5">
        <f t="shared" si="518"/>
        <v>181982.819373134</v>
      </c>
      <c r="S1049" s="4">
        <f t="shared" si="519"/>
        <v>12.132187958208933</v>
      </c>
      <c r="T1049" s="13">
        <f t="shared" si="523"/>
        <v>18.893000000000001</v>
      </c>
      <c r="U1049" s="13">
        <f t="shared" si="532"/>
        <v>9.4465000000000003</v>
      </c>
      <c r="V1049" s="14">
        <f>U1049/C1049</f>
        <v>0.35000000000000003</v>
      </c>
      <c r="W1049" s="18">
        <f t="shared" si="515"/>
        <v>24.264375916417865</v>
      </c>
      <c r="X1049" s="19">
        <f t="shared" si="520"/>
        <v>24.264375916417865</v>
      </c>
      <c r="Y1049" s="19">
        <f t="shared" si="521"/>
        <v>48.528751832835731</v>
      </c>
      <c r="Z1049" s="15">
        <v>2</v>
      </c>
      <c r="AA1049" s="22" t="s">
        <v>4835</v>
      </c>
      <c r="AG1049" s="94" t="s">
        <v>817</v>
      </c>
      <c r="AH1049" s="89" t="str">
        <f>VLOOKUP(AG1049,Sheet1!$B$3:$D$36,2,FALSE)</f>
        <v>Kitchen &amp; Dining</v>
      </c>
      <c r="AI1049" s="89" t="s">
        <v>2077</v>
      </c>
      <c r="AJ1049" s="1" t="str">
        <f t="shared" si="524"/>
        <v>Hena bowl white</v>
      </c>
      <c r="AK1049" s="1" t="str">
        <f t="shared" si="525"/>
        <v>ø17 x h5</v>
      </c>
      <c r="AL1049" s="1" t="str">
        <f t="shared" si="526"/>
        <v>stoneware indoor</v>
      </c>
      <c r="AM1049" s="1" t="str">
        <f t="shared" si="527"/>
        <v>stoneware indoor</v>
      </c>
      <c r="AN1049" s="1" t="str">
        <f t="shared" si="516"/>
        <v xml:space="preserve">stoneware </v>
      </c>
      <c r="AO1049" s="1" t="s">
        <v>54</v>
      </c>
      <c r="AQ1049" s="1" t="str">
        <f t="shared" si="528"/>
        <v>C</v>
      </c>
      <c r="AR1049" s="1" t="str">
        <f>VLOOKUP(TRIM(AI1049),Sheet1!$D$3:$E$36,2,FALSE)</f>
        <v>01</v>
      </c>
      <c r="AS1049" s="90" t="str">
        <f t="shared" si="529"/>
        <v>07</v>
      </c>
      <c r="AT1049" s="1" t="str">
        <f t="shared" si="530"/>
        <v>01</v>
      </c>
      <c r="AU1049" s="90" t="s">
        <v>4319</v>
      </c>
      <c r="AV1049" s="90"/>
      <c r="AW1049" s="90"/>
      <c r="AX1049" s="95" t="str">
        <f>AQ1049&amp;AR1049&amp;AS1049&amp;"-"&amp;AT1049&amp;AU1049&amp;BA1049</f>
        <v>C0107-0124IND</v>
      </c>
      <c r="AY1049" s="99" t="str">
        <f>AQ1049&amp;AR1049&amp;AS1049&amp;"-"&amp;AT1049&amp;BA1049</f>
        <v>C0107-01IND</v>
      </c>
      <c r="AZ1049" s="90"/>
      <c r="BA1049" s="1" t="str">
        <f t="shared" si="531"/>
        <v>IND</v>
      </c>
      <c r="BC1049" s="1" t="str">
        <f t="shared" si="513"/>
        <v/>
      </c>
      <c r="BD1049" s="90">
        <f t="shared" si="514"/>
        <v>7</v>
      </c>
      <c r="BE1049" s="1">
        <f t="shared" si="533"/>
        <v>1</v>
      </c>
      <c r="BF1049" s="1">
        <f t="shared" si="534"/>
        <v>1</v>
      </c>
    </row>
    <row r="1050" spans="1:58" ht="11.25" customHeight="1">
      <c r="A1050" s="26" t="s">
        <v>4836</v>
      </c>
      <c r="B1050" s="27" t="s">
        <v>4813</v>
      </c>
      <c r="C1050" s="28">
        <v>34.99</v>
      </c>
      <c r="D1050" s="28">
        <f t="shared" si="522"/>
        <v>17.495000000000001</v>
      </c>
      <c r="E1050" s="22" t="s">
        <v>4467</v>
      </c>
      <c r="F1050" s="22" t="s">
        <v>4837</v>
      </c>
      <c r="G1050" s="22" t="s">
        <v>356</v>
      </c>
      <c r="H1050" s="22" t="s">
        <v>4838</v>
      </c>
      <c r="I1050" s="23" t="s">
        <v>4723</v>
      </c>
      <c r="J1050" s="22" t="s">
        <v>670</v>
      </c>
      <c r="L1050" s="23">
        <v>20</v>
      </c>
      <c r="M1050" s="23">
        <v>5</v>
      </c>
      <c r="N1050" s="3">
        <f t="shared" si="517"/>
        <v>2E-3</v>
      </c>
      <c r="O1050" s="4" t="e">
        <f>(C1050-(C1050*#REF!))-((C1050-(C1050*#REF!))*#REF!)</f>
        <v>#REF!</v>
      </c>
      <c r="P1050" s="7">
        <f>204272.510997015-Q1050</f>
        <v>772.51099701499334</v>
      </c>
      <c r="Q1050" s="7">
        <v>203500</v>
      </c>
      <c r="R1050" s="5">
        <f t="shared" si="518"/>
        <v>204272.51099701499</v>
      </c>
      <c r="S1050" s="4">
        <f t="shared" si="519"/>
        <v>13.618167399800999</v>
      </c>
      <c r="T1050" s="13">
        <f t="shared" si="523"/>
        <v>24.493000000000002</v>
      </c>
      <c r="U1050" s="13">
        <f t="shared" si="532"/>
        <v>12.246500000000001</v>
      </c>
      <c r="V1050" s="14">
        <f>U1050/C1050</f>
        <v>0.35000000000000003</v>
      </c>
      <c r="W1050" s="18">
        <f t="shared" si="515"/>
        <v>27.236334799601998</v>
      </c>
      <c r="X1050" s="19">
        <f t="shared" si="520"/>
        <v>27.236334799601998</v>
      </c>
      <c r="Y1050" s="19">
        <f t="shared" si="521"/>
        <v>54.472669599203996</v>
      </c>
      <c r="Z1050" s="15">
        <v>2</v>
      </c>
      <c r="AA1050" s="22" t="s">
        <v>4839</v>
      </c>
      <c r="AG1050" s="94" t="s">
        <v>817</v>
      </c>
      <c r="AH1050" s="89" t="str">
        <f>VLOOKUP(AG1050,Sheet1!$B$3:$D$36,2,FALSE)</f>
        <v>Kitchen &amp; Dining</v>
      </c>
      <c r="AI1050" s="89" t="s">
        <v>2077</v>
      </c>
      <c r="AJ1050" s="1" t="str">
        <f t="shared" si="524"/>
        <v>Hena bowl white</v>
      </c>
      <c r="AK1050" s="1" t="str">
        <f t="shared" si="525"/>
        <v>ø20 x K5</v>
      </c>
      <c r="AL1050" s="1" t="str">
        <f t="shared" si="526"/>
        <v>stoneware indoor</v>
      </c>
      <c r="AM1050" s="1" t="str">
        <f t="shared" si="527"/>
        <v>stoneware indoor</v>
      </c>
      <c r="AN1050" s="1" t="str">
        <f t="shared" si="516"/>
        <v xml:space="preserve">stoneware </v>
      </c>
      <c r="AO1050" s="1" t="s">
        <v>54</v>
      </c>
      <c r="AQ1050" s="1" t="str">
        <f t="shared" si="528"/>
        <v>C</v>
      </c>
      <c r="AR1050" s="1" t="str">
        <f>VLOOKUP(TRIM(AI1050),Sheet1!$D$3:$E$36,2,FALSE)</f>
        <v>01</v>
      </c>
      <c r="AS1050" s="90" t="str">
        <f t="shared" si="529"/>
        <v>08</v>
      </c>
      <c r="AT1050" s="1" t="str">
        <f t="shared" si="530"/>
        <v>01</v>
      </c>
      <c r="AU1050" s="90" t="s">
        <v>4319</v>
      </c>
      <c r="AV1050" s="90"/>
      <c r="AW1050" s="90"/>
      <c r="AX1050" s="95" t="str">
        <f>AQ1050&amp;AR1050&amp;AS1050&amp;"-"&amp;AT1050&amp;AU1050&amp;BA1050</f>
        <v>C0108-0124IND</v>
      </c>
      <c r="AY1050" s="99" t="str">
        <f>AQ1050&amp;AR1050&amp;AS1050&amp;"-"&amp;AT1050&amp;BA1050</f>
        <v>C0108-01IND</v>
      </c>
      <c r="AZ1050" s="90"/>
      <c r="BA1050" s="1" t="str">
        <f t="shared" si="531"/>
        <v>IND</v>
      </c>
      <c r="BC1050" s="1" t="str">
        <f t="shared" si="513"/>
        <v/>
      </c>
      <c r="BD1050" s="90">
        <f t="shared" si="514"/>
        <v>8</v>
      </c>
      <c r="BE1050" s="1">
        <f t="shared" si="533"/>
        <v>1</v>
      </c>
      <c r="BF1050" s="1">
        <f t="shared" si="534"/>
        <v>1</v>
      </c>
    </row>
    <row r="1051" spans="1:58" ht="11.25" customHeight="1">
      <c r="A1051" s="26" t="s">
        <v>4840</v>
      </c>
      <c r="B1051" s="27" t="s">
        <v>4813</v>
      </c>
      <c r="C1051" s="28">
        <v>21.99</v>
      </c>
      <c r="D1051" s="28">
        <f t="shared" si="522"/>
        <v>10.994999999999999</v>
      </c>
      <c r="E1051" s="22" t="s">
        <v>4467</v>
      </c>
      <c r="F1051" s="22" t="s">
        <v>4841</v>
      </c>
      <c r="G1051" s="22" t="s">
        <v>356</v>
      </c>
      <c r="H1051" s="22" t="s">
        <v>4842</v>
      </c>
      <c r="I1051" s="23" t="s">
        <v>4723</v>
      </c>
      <c r="J1051" s="22" t="s">
        <v>670</v>
      </c>
      <c r="L1051" s="23">
        <v>20</v>
      </c>
      <c r="M1051" s="23">
        <v>8</v>
      </c>
      <c r="N1051" s="3">
        <f t="shared" si="517"/>
        <v>3.2000000000000002E-3</v>
      </c>
      <c r="O1051" s="4" t="e">
        <f>(C1051-(C1051*#REF!))-((C1051-(C1051*#REF!))*#REF!)</f>
        <v>#REF!</v>
      </c>
      <c r="P1051" s="7">
        <f>276207.048432836-Q1051</f>
        <v>1207.048432836018</v>
      </c>
      <c r="Q1051" s="7">
        <v>275000</v>
      </c>
      <c r="R1051" s="5">
        <f t="shared" si="518"/>
        <v>276207.04843283602</v>
      </c>
      <c r="S1051" s="4">
        <f t="shared" si="519"/>
        <v>18.413803228855734</v>
      </c>
      <c r="T1051" s="13">
        <f t="shared" si="523"/>
        <v>15.392999999999999</v>
      </c>
      <c r="U1051" s="13">
        <f t="shared" si="532"/>
        <v>7.6964999999999995</v>
      </c>
      <c r="V1051" s="14">
        <f>U1051/C1051</f>
        <v>0.35</v>
      </c>
      <c r="W1051" s="18">
        <f t="shared" si="515"/>
        <v>36.827606457711468</v>
      </c>
      <c r="X1051" s="19">
        <f t="shared" si="520"/>
        <v>36.827606457711468</v>
      </c>
      <c r="Y1051" s="19">
        <f t="shared" si="521"/>
        <v>73.655212915422936</v>
      </c>
      <c r="Z1051" s="15">
        <v>2</v>
      </c>
      <c r="AA1051" s="22" t="s">
        <v>4835</v>
      </c>
      <c r="AG1051" s="94" t="s">
        <v>817</v>
      </c>
      <c r="AH1051" s="89" t="str">
        <f>VLOOKUP(AG1051,Sheet1!$B$3:$D$36,2,FALSE)</f>
        <v>Kitchen &amp; Dining</v>
      </c>
      <c r="AI1051" s="89" t="s">
        <v>2077</v>
      </c>
      <c r="AJ1051" s="1" t="str">
        <f t="shared" si="524"/>
        <v>Hena bowl white</v>
      </c>
      <c r="AK1051" s="1" t="str">
        <f t="shared" si="525"/>
        <v>ø20 x h8</v>
      </c>
      <c r="AL1051" s="1" t="str">
        <f t="shared" si="526"/>
        <v>stoneware indoor</v>
      </c>
      <c r="AM1051" s="1" t="str">
        <f t="shared" si="527"/>
        <v>stoneware indoor</v>
      </c>
      <c r="AN1051" s="1" t="str">
        <f t="shared" si="516"/>
        <v xml:space="preserve">stoneware </v>
      </c>
      <c r="AO1051" s="1" t="s">
        <v>54</v>
      </c>
      <c r="AQ1051" s="1" t="str">
        <f t="shared" si="528"/>
        <v>C</v>
      </c>
      <c r="AR1051" s="1" t="str">
        <f>VLOOKUP(TRIM(AI1051),Sheet1!$D$3:$E$36,2,FALSE)</f>
        <v>01</v>
      </c>
      <c r="AS1051" s="90" t="str">
        <f t="shared" si="529"/>
        <v>09</v>
      </c>
      <c r="AT1051" s="1" t="str">
        <f t="shared" si="530"/>
        <v>01</v>
      </c>
      <c r="AU1051" s="90" t="s">
        <v>4319</v>
      </c>
      <c r="AV1051" s="90"/>
      <c r="AW1051" s="90"/>
      <c r="AX1051" s="95" t="str">
        <f>AQ1051&amp;AR1051&amp;AS1051&amp;"-"&amp;AT1051&amp;AU1051&amp;BA1051</f>
        <v>C0109-0124IND</v>
      </c>
      <c r="AY1051" s="99" t="str">
        <f>AQ1051&amp;AR1051&amp;AS1051&amp;"-"&amp;AT1051&amp;BA1051</f>
        <v>C0109-01IND</v>
      </c>
      <c r="AZ1051" s="90"/>
      <c r="BA1051" s="1" t="str">
        <f t="shared" si="531"/>
        <v>IND</v>
      </c>
      <c r="BC1051" s="1" t="str">
        <f t="shared" si="513"/>
        <v/>
      </c>
      <c r="BD1051" s="90">
        <f t="shared" si="514"/>
        <v>9</v>
      </c>
      <c r="BE1051" s="1">
        <f t="shared" si="533"/>
        <v>1</v>
      </c>
      <c r="BF1051" s="1">
        <f t="shared" si="534"/>
        <v>1</v>
      </c>
    </row>
    <row r="1052" spans="1:58" ht="11.25" customHeight="1">
      <c r="A1052" s="26" t="s">
        <v>4843</v>
      </c>
      <c r="B1052" s="27" t="s">
        <v>4813</v>
      </c>
      <c r="C1052" s="28">
        <v>27.99</v>
      </c>
      <c r="D1052" s="28">
        <f t="shared" si="522"/>
        <v>13.994999999999999</v>
      </c>
      <c r="E1052" s="22" t="s">
        <v>4467</v>
      </c>
      <c r="F1052" s="22" t="s">
        <v>4844</v>
      </c>
      <c r="G1052" s="22" t="s">
        <v>356</v>
      </c>
      <c r="H1052" s="22" t="s">
        <v>4845</v>
      </c>
      <c r="I1052" s="23" t="s">
        <v>4723</v>
      </c>
      <c r="J1052" s="22" t="s">
        <v>670</v>
      </c>
      <c r="L1052" s="23">
        <v>25</v>
      </c>
      <c r="M1052" s="23">
        <v>8</v>
      </c>
      <c r="N1052" s="3">
        <f t="shared" si="517"/>
        <v>5.0000000000000001E-3</v>
      </c>
      <c r="O1052" s="4" t="e">
        <f>(C1052-(C1052*#REF!))-((C1052-(C1052*#REF!))*#REF!)</f>
        <v>#REF!</v>
      </c>
      <c r="P1052" s="7">
        <f>332112.334757463-Q1052</f>
        <v>2112.334757463017</v>
      </c>
      <c r="Q1052" s="7">
        <v>330000</v>
      </c>
      <c r="R1052" s="5">
        <f t="shared" si="518"/>
        <v>332112.33475746302</v>
      </c>
      <c r="S1052" s="4">
        <f t="shared" si="519"/>
        <v>22.140822317164201</v>
      </c>
      <c r="T1052" s="13">
        <f t="shared" si="523"/>
        <v>19.593</v>
      </c>
      <c r="U1052" s="13">
        <f t="shared" si="532"/>
        <v>9.7965</v>
      </c>
      <c r="V1052" s="14">
        <f>U1052/C1052</f>
        <v>0.35000000000000003</v>
      </c>
      <c r="W1052" s="18">
        <f t="shared" si="515"/>
        <v>44.281644634328401</v>
      </c>
      <c r="X1052" s="19">
        <f t="shared" si="520"/>
        <v>44.281644634328401</v>
      </c>
      <c r="Y1052" s="19">
        <f t="shared" si="521"/>
        <v>88.563289268656803</v>
      </c>
      <c r="Z1052" s="15">
        <v>2</v>
      </c>
      <c r="AA1052" s="22" t="s">
        <v>4846</v>
      </c>
      <c r="AG1052" s="94" t="s">
        <v>817</v>
      </c>
      <c r="AH1052" s="89" t="str">
        <f>VLOOKUP(AG1052,Sheet1!$B$3:$D$36,2,FALSE)</f>
        <v>Kitchen &amp; Dining</v>
      </c>
      <c r="AI1052" s="89" t="s">
        <v>2077</v>
      </c>
      <c r="AJ1052" s="1" t="str">
        <f t="shared" si="524"/>
        <v>Hena bowl white</v>
      </c>
      <c r="AK1052" s="1" t="str">
        <f t="shared" si="525"/>
        <v>ø25 x h8</v>
      </c>
      <c r="AL1052" s="1" t="str">
        <f t="shared" si="526"/>
        <v>stoneware indoor</v>
      </c>
      <c r="AM1052" s="1" t="str">
        <f t="shared" si="527"/>
        <v>stoneware indoor</v>
      </c>
      <c r="AN1052" s="1" t="str">
        <f t="shared" si="516"/>
        <v xml:space="preserve">stoneware </v>
      </c>
      <c r="AO1052" s="1" t="s">
        <v>54</v>
      </c>
      <c r="AQ1052" s="1" t="str">
        <f t="shared" si="528"/>
        <v>C</v>
      </c>
      <c r="AR1052" s="1" t="str">
        <f>VLOOKUP(TRIM(AI1052),Sheet1!$D$3:$E$36,2,FALSE)</f>
        <v>01</v>
      </c>
      <c r="AS1052" s="90">
        <f t="shared" si="529"/>
        <v>10</v>
      </c>
      <c r="AT1052" s="1" t="str">
        <f t="shared" si="530"/>
        <v>01</v>
      </c>
      <c r="AU1052" s="90" t="s">
        <v>4319</v>
      </c>
      <c r="AV1052" s="90"/>
      <c r="AW1052" s="90"/>
      <c r="AX1052" s="95" t="str">
        <f>AQ1052&amp;AR1052&amp;AS1052&amp;"-"&amp;AT1052&amp;AU1052&amp;BA1052</f>
        <v>C0110-0124IND</v>
      </c>
      <c r="AY1052" s="99" t="str">
        <f>AQ1052&amp;AR1052&amp;AS1052&amp;"-"&amp;AT1052&amp;BA1052</f>
        <v>C0110-01IND</v>
      </c>
      <c r="AZ1052" s="90"/>
      <c r="BA1052" s="1" t="str">
        <f t="shared" si="531"/>
        <v>IND</v>
      </c>
      <c r="BC1052" s="1" t="str">
        <f t="shared" si="513"/>
        <v/>
      </c>
      <c r="BD1052" s="90">
        <f t="shared" si="514"/>
        <v>10</v>
      </c>
      <c r="BE1052" s="1">
        <f t="shared" si="533"/>
        <v>1</v>
      </c>
      <c r="BF1052" s="1">
        <f t="shared" si="534"/>
        <v>1</v>
      </c>
    </row>
    <row r="1053" spans="1:58" ht="11.25" customHeight="1">
      <c r="A1053" s="26" t="s">
        <v>4847</v>
      </c>
      <c r="B1053" s="27" t="s">
        <v>4813</v>
      </c>
      <c r="C1053" s="28">
        <v>44.99</v>
      </c>
      <c r="D1053" s="28">
        <f t="shared" si="522"/>
        <v>22.495000000000001</v>
      </c>
      <c r="E1053" s="22" t="s">
        <v>4467</v>
      </c>
      <c r="F1053" s="22" t="s">
        <v>4848</v>
      </c>
      <c r="G1053" s="22" t="s">
        <v>356</v>
      </c>
      <c r="H1053" s="22" t="s">
        <v>4849</v>
      </c>
      <c r="I1053" s="23" t="s">
        <v>4723</v>
      </c>
      <c r="J1053" s="22" t="s">
        <v>670</v>
      </c>
      <c r="L1053" s="23">
        <v>25</v>
      </c>
      <c r="M1053" s="23">
        <v>14</v>
      </c>
      <c r="N1053" s="3">
        <f t="shared" si="517"/>
        <v>8.7500000000000008E-3</v>
      </c>
      <c r="O1053" s="4" t="e">
        <f>(C1053-(C1053*#REF!))-((C1053-(C1053*#REF!))*#REF!)</f>
        <v>#REF!</v>
      </c>
      <c r="P1053" s="7">
        <f>398232.556781373-Q1053</f>
        <v>2232.5567813729867</v>
      </c>
      <c r="Q1053" s="7">
        <v>396000</v>
      </c>
      <c r="R1053" s="5">
        <f t="shared" si="518"/>
        <v>398232.55678137299</v>
      </c>
      <c r="S1053" s="4">
        <f t="shared" si="519"/>
        <v>26.5488371187582</v>
      </c>
      <c r="T1053" s="13">
        <f t="shared" si="523"/>
        <v>31.493000000000002</v>
      </c>
      <c r="U1053" s="13">
        <f t="shared" si="532"/>
        <v>15.746500000000001</v>
      </c>
      <c r="V1053" s="14">
        <f>U1053/C1053</f>
        <v>0.35000000000000003</v>
      </c>
      <c r="W1053" s="18">
        <f t="shared" si="515"/>
        <v>53.097674237516401</v>
      </c>
      <c r="X1053" s="19">
        <f t="shared" si="520"/>
        <v>53.097674237516401</v>
      </c>
      <c r="Y1053" s="19">
        <f t="shared" si="521"/>
        <v>106.1953484750328</v>
      </c>
      <c r="Z1053" s="15">
        <v>2</v>
      </c>
      <c r="AA1053" s="22" t="s">
        <v>4826</v>
      </c>
      <c r="AG1053" s="94" t="s">
        <v>817</v>
      </c>
      <c r="AH1053" s="89" t="str">
        <f>VLOOKUP(AG1053,Sheet1!$B$3:$D$36,2,FALSE)</f>
        <v>Kitchen &amp; Dining</v>
      </c>
      <c r="AI1053" s="89" t="s">
        <v>2077</v>
      </c>
      <c r="AJ1053" s="1" t="str">
        <f t="shared" si="524"/>
        <v>Hena bowl white</v>
      </c>
      <c r="AK1053" s="1" t="str">
        <f t="shared" si="525"/>
        <v>ø25 x h14</v>
      </c>
      <c r="AL1053" s="1" t="str">
        <f t="shared" si="526"/>
        <v>stoneware indoor</v>
      </c>
      <c r="AM1053" s="1" t="str">
        <f t="shared" si="527"/>
        <v>stoneware indoor</v>
      </c>
      <c r="AN1053" s="1" t="str">
        <f t="shared" si="516"/>
        <v xml:space="preserve">stoneware </v>
      </c>
      <c r="AO1053" s="1" t="s">
        <v>54</v>
      </c>
      <c r="AQ1053" s="1" t="str">
        <f t="shared" si="528"/>
        <v>C</v>
      </c>
      <c r="AR1053" s="1" t="str">
        <f>VLOOKUP(TRIM(AI1053),Sheet1!$D$3:$E$36,2,FALSE)</f>
        <v>01</v>
      </c>
      <c r="AS1053" s="90">
        <f t="shared" si="529"/>
        <v>11</v>
      </c>
      <c r="AT1053" s="1" t="str">
        <f t="shared" si="530"/>
        <v>01</v>
      </c>
      <c r="AU1053" s="90" t="s">
        <v>4319</v>
      </c>
      <c r="AV1053" s="90"/>
      <c r="AW1053" s="90"/>
      <c r="AX1053" s="95" t="str">
        <f>AQ1053&amp;AR1053&amp;AS1053&amp;"-"&amp;AT1053&amp;AU1053&amp;BA1053</f>
        <v>C0111-0124IND</v>
      </c>
      <c r="AY1053" s="99" t="str">
        <f>AQ1053&amp;AR1053&amp;AS1053&amp;"-"&amp;AT1053&amp;BA1053</f>
        <v>C0111-01IND</v>
      </c>
      <c r="AZ1053" s="90"/>
      <c r="BA1053" s="1" t="str">
        <f t="shared" si="531"/>
        <v>IND</v>
      </c>
      <c r="BC1053" s="1" t="str">
        <f t="shared" si="513"/>
        <v/>
      </c>
      <c r="BD1053" s="90">
        <f t="shared" si="514"/>
        <v>11</v>
      </c>
      <c r="BE1053" s="1">
        <f t="shared" si="533"/>
        <v>1</v>
      </c>
      <c r="BF1053" s="1">
        <f t="shared" si="534"/>
        <v>1</v>
      </c>
    </row>
    <row r="1054" spans="1:58" ht="11.25" customHeight="1">
      <c r="A1054" s="26" t="s">
        <v>4850</v>
      </c>
      <c r="B1054" s="27" t="s">
        <v>4813</v>
      </c>
      <c r="C1054" s="28">
        <v>44.99</v>
      </c>
      <c r="D1054" s="28">
        <f t="shared" si="522"/>
        <v>22.495000000000001</v>
      </c>
      <c r="E1054" s="22" t="s">
        <v>4467</v>
      </c>
      <c r="F1054" s="22" t="s">
        <v>4851</v>
      </c>
      <c r="G1054" s="22" t="s">
        <v>356</v>
      </c>
      <c r="H1054" s="22" t="s">
        <v>4852</v>
      </c>
      <c r="I1054" s="23" t="s">
        <v>4723</v>
      </c>
      <c r="J1054" s="22" t="s">
        <v>670</v>
      </c>
      <c r="L1054" s="23">
        <v>34</v>
      </c>
      <c r="M1054" s="23">
        <v>8</v>
      </c>
      <c r="N1054" s="3">
        <f t="shared" si="517"/>
        <v>9.2479999999999993E-3</v>
      </c>
      <c r="O1054" s="4" t="e">
        <f>(C1054-(C1054*#REF!))-((C1054-(C1054*#REF!))*#REF!)</f>
        <v>#REF!</v>
      </c>
      <c r="P1054" s="7"/>
      <c r="Q1054" s="7"/>
      <c r="R1054" s="5">
        <f t="shared" si="518"/>
        <v>0</v>
      </c>
      <c r="S1054" s="4">
        <f t="shared" si="519"/>
        <v>0</v>
      </c>
      <c r="T1054" s="13">
        <f t="shared" si="523"/>
        <v>31.493000000000002</v>
      </c>
      <c r="U1054" s="13">
        <f t="shared" si="532"/>
        <v>15.746500000000001</v>
      </c>
      <c r="V1054" s="14">
        <f>U1054/C1054</f>
        <v>0.35000000000000003</v>
      </c>
      <c r="W1054" s="14"/>
      <c r="X1054" s="19">
        <f t="shared" si="520"/>
        <v>15.746500000000001</v>
      </c>
      <c r="Y1054" s="19">
        <f t="shared" si="521"/>
        <v>31.493000000000002</v>
      </c>
      <c r="Z1054" s="15" t="e">
        <f>U1054/S1054</f>
        <v>#DIV/0!</v>
      </c>
      <c r="AA1054" s="22" t="s">
        <v>4846</v>
      </c>
      <c r="AG1054" s="94" t="s">
        <v>817</v>
      </c>
      <c r="AH1054" s="89" t="str">
        <f>VLOOKUP(AG1054,Sheet1!$B$3:$D$36,2,FALSE)</f>
        <v>Kitchen &amp; Dining</v>
      </c>
      <c r="AI1054" s="89" t="s">
        <v>2077</v>
      </c>
      <c r="AJ1054" s="1" t="str">
        <f t="shared" si="524"/>
        <v>Hena bowl white</v>
      </c>
      <c r="AK1054" s="1" t="str">
        <f t="shared" si="525"/>
        <v>ø34 x h8</v>
      </c>
      <c r="AL1054" s="1" t="str">
        <f t="shared" si="526"/>
        <v>stoneware indoor</v>
      </c>
      <c r="AM1054" s="1" t="str">
        <f t="shared" si="527"/>
        <v>stoneware indoor</v>
      </c>
      <c r="AN1054" s="1" t="str">
        <f t="shared" si="516"/>
        <v xml:space="preserve">stoneware </v>
      </c>
      <c r="AO1054" s="1" t="s">
        <v>54</v>
      </c>
      <c r="AQ1054" s="1" t="str">
        <f t="shared" si="528"/>
        <v>C</v>
      </c>
      <c r="AR1054" s="1" t="str">
        <f>VLOOKUP(TRIM(AI1054),Sheet1!$D$3:$E$36,2,FALSE)</f>
        <v>01</v>
      </c>
      <c r="AS1054" s="90">
        <f t="shared" si="529"/>
        <v>12</v>
      </c>
      <c r="AT1054" s="1" t="str">
        <f t="shared" si="530"/>
        <v>01</v>
      </c>
      <c r="AU1054" s="90" t="s">
        <v>4319</v>
      </c>
      <c r="AV1054" s="90"/>
      <c r="AW1054" s="90"/>
      <c r="AX1054" s="95" t="str">
        <f>AQ1054&amp;AR1054&amp;AS1054&amp;"-"&amp;AT1054&amp;AU1054&amp;BA1054</f>
        <v>C0112-0124IND</v>
      </c>
      <c r="AY1054" s="99" t="str">
        <f>AQ1054&amp;AR1054&amp;AS1054&amp;"-"&amp;AT1054&amp;BA1054</f>
        <v>C0112-01IND</v>
      </c>
      <c r="AZ1054" s="90"/>
      <c r="BA1054" s="1" t="str">
        <f t="shared" si="531"/>
        <v>IND</v>
      </c>
      <c r="BC1054" s="1" t="str">
        <f t="shared" si="513"/>
        <v/>
      </c>
      <c r="BD1054" s="90">
        <f t="shared" si="514"/>
        <v>12</v>
      </c>
      <c r="BE1054" s="1">
        <f t="shared" si="533"/>
        <v>1</v>
      </c>
      <c r="BF1054" s="1">
        <f t="shared" si="534"/>
        <v>1</v>
      </c>
    </row>
    <row r="1055" spans="1:58" ht="11.25" customHeight="1">
      <c r="A1055" s="26" t="s">
        <v>4853</v>
      </c>
      <c r="B1055" s="27" t="s">
        <v>4854</v>
      </c>
      <c r="C1055" s="28">
        <v>14.99</v>
      </c>
      <c r="D1055" s="28">
        <f t="shared" si="522"/>
        <v>7.4950000000000001</v>
      </c>
      <c r="E1055" s="22" t="s">
        <v>4467</v>
      </c>
      <c r="F1055" s="22" t="s">
        <v>4855</v>
      </c>
      <c r="G1055" s="22" t="s">
        <v>356</v>
      </c>
      <c r="H1055" s="22" t="s">
        <v>4856</v>
      </c>
      <c r="I1055" s="23" t="s">
        <v>4723</v>
      </c>
      <c r="J1055" s="22" t="s">
        <v>670</v>
      </c>
      <c r="L1055" s="23">
        <v>13</v>
      </c>
      <c r="M1055" s="23">
        <v>6.5</v>
      </c>
      <c r="N1055" s="3">
        <f t="shared" si="517"/>
        <v>1.0985000000000001E-3</v>
      </c>
      <c r="O1055" s="4" t="e">
        <f>(C1055-(C1055*#REF!))-((C1055-(C1055*#REF!))*#REF!)</f>
        <v>#REF!</v>
      </c>
      <c r="P1055" s="7"/>
      <c r="Q1055" s="7"/>
      <c r="R1055" s="5">
        <f t="shared" si="518"/>
        <v>0</v>
      </c>
      <c r="S1055" s="4">
        <f t="shared" si="519"/>
        <v>0</v>
      </c>
      <c r="T1055" s="13">
        <f t="shared" si="523"/>
        <v>10.493</v>
      </c>
      <c r="U1055" s="13">
        <f t="shared" si="532"/>
        <v>5.2465000000000002</v>
      </c>
      <c r="V1055" s="14">
        <f>U1055/C1055</f>
        <v>0.35000000000000003</v>
      </c>
      <c r="W1055" s="14"/>
      <c r="X1055" s="19">
        <f t="shared" si="520"/>
        <v>5.2465000000000002</v>
      </c>
      <c r="Y1055" s="19">
        <f t="shared" si="521"/>
        <v>10.493</v>
      </c>
      <c r="Z1055" s="15" t="e">
        <f>U1055/S1055</f>
        <v>#DIV/0!</v>
      </c>
      <c r="AA1055" s="22" t="s">
        <v>4846</v>
      </c>
      <c r="AG1055" s="94" t="s">
        <v>817</v>
      </c>
      <c r="AH1055" s="89" t="str">
        <f>VLOOKUP(AG1055,Sheet1!$B$3:$D$36,2,FALSE)</f>
        <v>Kitchen &amp; Dining</v>
      </c>
      <c r="AI1055" s="89" t="s">
        <v>2077</v>
      </c>
      <c r="AJ1055" s="1" t="str">
        <f t="shared" si="524"/>
        <v>Hena bowl white</v>
      </c>
      <c r="AK1055" s="1" t="str">
        <f t="shared" si="525"/>
        <v>ø13 x h6,5</v>
      </c>
      <c r="AL1055" s="1" t="str">
        <f t="shared" si="526"/>
        <v>stoneware indoor</v>
      </c>
      <c r="AM1055" s="1" t="str">
        <f t="shared" si="527"/>
        <v>stoneware indoor</v>
      </c>
      <c r="AN1055" s="1" t="str">
        <f t="shared" si="516"/>
        <v xml:space="preserve">stoneware </v>
      </c>
      <c r="AO1055" s="1" t="s">
        <v>54</v>
      </c>
      <c r="AQ1055" s="1" t="str">
        <f t="shared" si="528"/>
        <v>C</v>
      </c>
      <c r="AR1055" s="1" t="str">
        <f>VLOOKUP(TRIM(AI1055),Sheet1!$D$3:$E$36,2,FALSE)</f>
        <v>01</v>
      </c>
      <c r="AS1055" s="90">
        <f t="shared" si="529"/>
        <v>13</v>
      </c>
      <c r="AT1055" s="1" t="str">
        <f t="shared" si="530"/>
        <v>01</v>
      </c>
      <c r="AU1055" s="90" t="s">
        <v>4319</v>
      </c>
      <c r="AV1055" s="90"/>
      <c r="AW1055" s="90"/>
      <c r="AX1055" s="95" t="str">
        <f>AQ1055&amp;AR1055&amp;AS1055&amp;"-"&amp;AT1055&amp;AU1055&amp;BA1055</f>
        <v>C0113-0124IND</v>
      </c>
      <c r="AY1055" s="99" t="str">
        <f>AQ1055&amp;AR1055&amp;AS1055&amp;"-"&amp;AT1055&amp;BA1055</f>
        <v>C0113-01IND</v>
      </c>
      <c r="AZ1055" s="90"/>
      <c r="BA1055" s="1" t="str">
        <f t="shared" si="531"/>
        <v>IND</v>
      </c>
      <c r="BC1055" s="1" t="str">
        <f t="shared" si="513"/>
        <v/>
      </c>
      <c r="BD1055" s="90">
        <f t="shared" si="514"/>
        <v>13</v>
      </c>
      <c r="BE1055" s="1">
        <f t="shared" si="533"/>
        <v>1</v>
      </c>
      <c r="BF1055" s="1">
        <f t="shared" si="534"/>
        <v>1</v>
      </c>
    </row>
    <row r="1056" spans="1:58" ht="11.25" customHeight="1">
      <c r="A1056" s="26" t="s">
        <v>4857</v>
      </c>
      <c r="B1056" s="27" t="s">
        <v>4854</v>
      </c>
      <c r="C1056" s="28">
        <v>14.99</v>
      </c>
      <c r="D1056" s="28">
        <f t="shared" si="522"/>
        <v>7.4950000000000001</v>
      </c>
      <c r="E1056" s="22" t="s">
        <v>4467</v>
      </c>
      <c r="F1056" s="22" t="s">
        <v>4858</v>
      </c>
      <c r="G1056" s="22" t="s">
        <v>356</v>
      </c>
      <c r="H1056" s="22" t="s">
        <v>4859</v>
      </c>
      <c r="I1056" s="23" t="s">
        <v>4723</v>
      </c>
      <c r="J1056" s="22" t="s">
        <v>670</v>
      </c>
      <c r="L1056" s="23">
        <v>16</v>
      </c>
      <c r="M1056" s="23">
        <v>8</v>
      </c>
      <c r="N1056" s="3">
        <f t="shared" si="517"/>
        <v>2.0479999999999999E-3</v>
      </c>
      <c r="O1056" s="4" t="e">
        <f>(C1056-(C1056*#REF!))-((C1056-(C1056*#REF!))*#REF!)</f>
        <v>#REF!</v>
      </c>
      <c r="P1056" s="7"/>
      <c r="Q1056" s="7"/>
      <c r="R1056" s="5">
        <f t="shared" si="518"/>
        <v>0</v>
      </c>
      <c r="S1056" s="4">
        <f t="shared" si="519"/>
        <v>0</v>
      </c>
      <c r="T1056" s="13">
        <f t="shared" si="523"/>
        <v>10.493</v>
      </c>
      <c r="U1056" s="13">
        <f t="shared" si="532"/>
        <v>5.2465000000000002</v>
      </c>
      <c r="V1056" s="14">
        <f>U1056/C1056</f>
        <v>0.35000000000000003</v>
      </c>
      <c r="W1056" s="14"/>
      <c r="X1056" s="19">
        <f t="shared" si="520"/>
        <v>5.2465000000000002</v>
      </c>
      <c r="Y1056" s="19">
        <f t="shared" si="521"/>
        <v>10.493</v>
      </c>
      <c r="Z1056" s="15" t="e">
        <f>U1056/S1056</f>
        <v>#DIV/0!</v>
      </c>
      <c r="AA1056" s="22" t="s">
        <v>4835</v>
      </c>
      <c r="AG1056" s="94" t="s">
        <v>817</v>
      </c>
      <c r="AH1056" s="89" t="str">
        <f>VLOOKUP(AG1056,Sheet1!$B$3:$D$36,2,FALSE)</f>
        <v>Kitchen &amp; Dining</v>
      </c>
      <c r="AI1056" s="89" t="s">
        <v>2077</v>
      </c>
      <c r="AJ1056" s="1" t="str">
        <f t="shared" si="524"/>
        <v>Hena bowl white</v>
      </c>
      <c r="AK1056" s="1" t="str">
        <f t="shared" si="525"/>
        <v>ø16 x h8</v>
      </c>
      <c r="AL1056" s="1" t="str">
        <f t="shared" si="526"/>
        <v>stoneware indoor</v>
      </c>
      <c r="AM1056" s="1" t="str">
        <f t="shared" si="527"/>
        <v>stoneware indoor</v>
      </c>
      <c r="AN1056" s="1" t="str">
        <f t="shared" si="516"/>
        <v xml:space="preserve">stoneware </v>
      </c>
      <c r="AO1056" s="1" t="s">
        <v>54</v>
      </c>
      <c r="AQ1056" s="1" t="str">
        <f t="shared" si="528"/>
        <v>C</v>
      </c>
      <c r="AR1056" s="1" t="str">
        <f>VLOOKUP(TRIM(AI1056),Sheet1!$D$3:$E$36,2,FALSE)</f>
        <v>01</v>
      </c>
      <c r="AS1056" s="90">
        <f t="shared" si="529"/>
        <v>14</v>
      </c>
      <c r="AT1056" s="1" t="str">
        <f t="shared" si="530"/>
        <v>01</v>
      </c>
      <c r="AU1056" s="90" t="s">
        <v>4319</v>
      </c>
      <c r="AV1056" s="90"/>
      <c r="AW1056" s="90"/>
      <c r="AX1056" s="95" t="str">
        <f>AQ1056&amp;AR1056&amp;AS1056&amp;"-"&amp;AT1056&amp;AU1056&amp;BA1056</f>
        <v>C0114-0124IND</v>
      </c>
      <c r="AY1056" s="99" t="str">
        <f>AQ1056&amp;AR1056&amp;AS1056&amp;"-"&amp;AT1056&amp;BA1056</f>
        <v>C0114-01IND</v>
      </c>
      <c r="AZ1056" s="90"/>
      <c r="BA1056" s="1" t="str">
        <f t="shared" si="531"/>
        <v>IND</v>
      </c>
      <c r="BC1056" s="1" t="str">
        <f t="shared" si="513"/>
        <v/>
      </c>
      <c r="BD1056" s="90">
        <f t="shared" si="514"/>
        <v>14</v>
      </c>
      <c r="BE1056" s="1">
        <f t="shared" si="533"/>
        <v>1</v>
      </c>
      <c r="BF1056" s="1">
        <f t="shared" si="534"/>
        <v>1</v>
      </c>
    </row>
    <row r="1057" spans="1:58" ht="11.25" customHeight="1">
      <c r="A1057" s="26" t="s">
        <v>4860</v>
      </c>
      <c r="B1057" s="27" t="s">
        <v>4854</v>
      </c>
      <c r="C1057" s="28">
        <v>21.99</v>
      </c>
      <c r="D1057" s="28">
        <f t="shared" si="522"/>
        <v>10.994999999999999</v>
      </c>
      <c r="E1057" s="22" t="s">
        <v>4467</v>
      </c>
      <c r="F1057" s="22" t="s">
        <v>4861</v>
      </c>
      <c r="G1057" s="22" t="s">
        <v>356</v>
      </c>
      <c r="H1057" s="22" t="s">
        <v>4862</v>
      </c>
      <c r="I1057" s="23" t="s">
        <v>4723</v>
      </c>
      <c r="J1057" s="22" t="s">
        <v>670</v>
      </c>
      <c r="L1057" s="23">
        <v>19.5</v>
      </c>
      <c r="M1057" s="23">
        <v>9.5</v>
      </c>
      <c r="N1057" s="3">
        <f t="shared" si="517"/>
        <v>3.6123750000000001E-3</v>
      </c>
      <c r="O1057" s="4" t="e">
        <f>(C1057-(C1057*#REF!))-((C1057-(C1057*#REF!))*#REF!)</f>
        <v>#REF!</v>
      </c>
      <c r="P1057" s="7"/>
      <c r="Q1057" s="7"/>
      <c r="R1057" s="5">
        <f t="shared" si="518"/>
        <v>0</v>
      </c>
      <c r="S1057" s="4">
        <f t="shared" si="519"/>
        <v>0</v>
      </c>
      <c r="T1057" s="13">
        <f t="shared" si="523"/>
        <v>15.392999999999999</v>
      </c>
      <c r="U1057" s="13">
        <f t="shared" si="532"/>
        <v>7.6964999999999995</v>
      </c>
      <c r="V1057" s="14">
        <f>U1057/C1057</f>
        <v>0.35</v>
      </c>
      <c r="W1057" s="14"/>
      <c r="X1057" s="19">
        <f t="shared" si="520"/>
        <v>7.6964999999999995</v>
      </c>
      <c r="Y1057" s="19">
        <f t="shared" si="521"/>
        <v>15.392999999999999</v>
      </c>
      <c r="Z1057" s="15" t="e">
        <f>U1057/S1057</f>
        <v>#DIV/0!</v>
      </c>
      <c r="AA1057" s="22" t="s">
        <v>4839</v>
      </c>
      <c r="AG1057" s="94" t="s">
        <v>817</v>
      </c>
      <c r="AH1057" s="89" t="str">
        <f>VLOOKUP(AG1057,Sheet1!$B$3:$D$36,2,FALSE)</f>
        <v>Kitchen &amp; Dining</v>
      </c>
      <c r="AI1057" s="89" t="s">
        <v>2077</v>
      </c>
      <c r="AJ1057" s="1" t="str">
        <f t="shared" si="524"/>
        <v>Hena bowl white</v>
      </c>
      <c r="AK1057" s="1" t="str">
        <f t="shared" si="525"/>
        <v>ø19,5 x h9,5</v>
      </c>
      <c r="AL1057" s="1" t="str">
        <f t="shared" si="526"/>
        <v>stoneware indoor</v>
      </c>
      <c r="AM1057" s="1" t="str">
        <f t="shared" si="527"/>
        <v>stoneware indoor</v>
      </c>
      <c r="AN1057" s="1" t="str">
        <f t="shared" si="516"/>
        <v xml:space="preserve">stoneware </v>
      </c>
      <c r="AO1057" s="1" t="s">
        <v>54</v>
      </c>
      <c r="AQ1057" s="1" t="str">
        <f t="shared" si="528"/>
        <v>C</v>
      </c>
      <c r="AR1057" s="1" t="str">
        <f>VLOOKUP(TRIM(AI1057),Sheet1!$D$3:$E$36,2,FALSE)</f>
        <v>01</v>
      </c>
      <c r="AS1057" s="90">
        <f t="shared" si="529"/>
        <v>15</v>
      </c>
      <c r="AT1057" s="1" t="str">
        <f t="shared" si="530"/>
        <v>01</v>
      </c>
      <c r="AU1057" s="90" t="s">
        <v>4319</v>
      </c>
      <c r="AV1057" s="90"/>
      <c r="AW1057" s="90"/>
      <c r="AX1057" s="95" t="str">
        <f>AQ1057&amp;AR1057&amp;AS1057&amp;"-"&amp;AT1057&amp;AU1057&amp;BA1057</f>
        <v>C0115-0124IND</v>
      </c>
      <c r="AY1057" s="99" t="str">
        <f>AQ1057&amp;AR1057&amp;AS1057&amp;"-"&amp;AT1057&amp;BA1057</f>
        <v>C0115-01IND</v>
      </c>
      <c r="AZ1057" s="90"/>
      <c r="BA1057" s="1" t="str">
        <f t="shared" si="531"/>
        <v>IND</v>
      </c>
      <c r="BC1057" s="1" t="str">
        <f t="shared" si="513"/>
        <v/>
      </c>
      <c r="BD1057" s="90">
        <f t="shared" si="514"/>
        <v>15</v>
      </c>
      <c r="BE1057" s="1">
        <f t="shared" si="533"/>
        <v>1</v>
      </c>
      <c r="BF1057" s="1">
        <f t="shared" si="534"/>
        <v>1</v>
      </c>
    </row>
    <row r="1058" spans="1:58" ht="11.25" customHeight="1">
      <c r="A1058" s="26" t="s">
        <v>4863</v>
      </c>
      <c r="B1058" s="27" t="s">
        <v>4854</v>
      </c>
      <c r="C1058" s="28">
        <v>31.99</v>
      </c>
      <c r="D1058" s="28">
        <f t="shared" si="522"/>
        <v>15.994999999999999</v>
      </c>
      <c r="E1058" s="22" t="s">
        <v>4467</v>
      </c>
      <c r="F1058" s="22" t="s">
        <v>4864</v>
      </c>
      <c r="G1058" s="22" t="s">
        <v>356</v>
      </c>
      <c r="H1058" s="22" t="s">
        <v>4865</v>
      </c>
      <c r="I1058" s="23" t="s">
        <v>4723</v>
      </c>
      <c r="J1058" s="22" t="s">
        <v>670</v>
      </c>
      <c r="L1058" s="23">
        <v>26</v>
      </c>
      <c r="M1058" s="23">
        <v>13</v>
      </c>
      <c r="N1058" s="3">
        <f t="shared" si="517"/>
        <v>8.7880000000000007E-3</v>
      </c>
      <c r="O1058" s="4" t="e">
        <f>(C1058-(C1058*#REF!))-((C1058-(C1058*#REF!))*#REF!)</f>
        <v>#REF!</v>
      </c>
      <c r="P1058" s="7"/>
      <c r="Q1058" s="7"/>
      <c r="R1058" s="5">
        <f t="shared" si="518"/>
        <v>0</v>
      </c>
      <c r="S1058" s="4">
        <f t="shared" si="519"/>
        <v>0</v>
      </c>
      <c r="T1058" s="13">
        <f t="shared" si="523"/>
        <v>22.393000000000001</v>
      </c>
      <c r="U1058" s="13">
        <f t="shared" si="532"/>
        <v>11.1965</v>
      </c>
      <c r="V1058" s="14">
        <f>U1058/C1058</f>
        <v>0.35000000000000003</v>
      </c>
      <c r="W1058" s="14"/>
      <c r="X1058" s="19">
        <f t="shared" si="520"/>
        <v>11.1965</v>
      </c>
      <c r="Y1058" s="19">
        <f t="shared" si="521"/>
        <v>22.393000000000001</v>
      </c>
      <c r="Z1058" s="15" t="e">
        <f>U1058/S1058</f>
        <v>#DIV/0!</v>
      </c>
      <c r="AA1058" s="22" t="s">
        <v>4839</v>
      </c>
      <c r="AG1058" s="94" t="s">
        <v>817</v>
      </c>
      <c r="AH1058" s="89" t="str">
        <f>VLOOKUP(AG1058,Sheet1!$B$3:$D$36,2,FALSE)</f>
        <v>Kitchen &amp; Dining</v>
      </c>
      <c r="AI1058" s="89" t="s">
        <v>2077</v>
      </c>
      <c r="AJ1058" s="1" t="str">
        <f t="shared" si="524"/>
        <v>Hena bowl white</v>
      </c>
      <c r="AK1058" s="1" t="str">
        <f t="shared" si="525"/>
        <v>ø26 x h13</v>
      </c>
      <c r="AL1058" s="1" t="str">
        <f t="shared" si="526"/>
        <v>stoneware indoor</v>
      </c>
      <c r="AM1058" s="1" t="str">
        <f t="shared" si="527"/>
        <v>stoneware indoor</v>
      </c>
      <c r="AN1058" s="1" t="str">
        <f t="shared" si="516"/>
        <v xml:space="preserve">stoneware </v>
      </c>
      <c r="AO1058" s="1" t="s">
        <v>54</v>
      </c>
      <c r="AQ1058" s="1" t="str">
        <f t="shared" si="528"/>
        <v>C</v>
      </c>
      <c r="AR1058" s="1" t="str">
        <f>VLOOKUP(TRIM(AI1058),Sheet1!$D$3:$E$36,2,FALSE)</f>
        <v>01</v>
      </c>
      <c r="AS1058" s="90">
        <f t="shared" si="529"/>
        <v>16</v>
      </c>
      <c r="AT1058" s="1" t="str">
        <f t="shared" si="530"/>
        <v>01</v>
      </c>
      <c r="AU1058" s="90" t="s">
        <v>4319</v>
      </c>
      <c r="AV1058" s="90"/>
      <c r="AW1058" s="90"/>
      <c r="AX1058" s="95" t="str">
        <f>AQ1058&amp;AR1058&amp;AS1058&amp;"-"&amp;AT1058&amp;AU1058&amp;BA1058</f>
        <v>C0116-0124IND</v>
      </c>
      <c r="AY1058" s="99" t="str">
        <f>AQ1058&amp;AR1058&amp;AS1058&amp;"-"&amp;AT1058&amp;BA1058</f>
        <v>C0116-01IND</v>
      </c>
      <c r="AZ1058" s="90"/>
      <c r="BA1058" s="1" t="str">
        <f t="shared" si="531"/>
        <v>IND</v>
      </c>
      <c r="BC1058" s="1" t="str">
        <f t="shared" si="513"/>
        <v/>
      </c>
      <c r="BD1058" s="90">
        <f t="shared" si="514"/>
        <v>16</v>
      </c>
      <c r="BE1058" s="1">
        <f t="shared" si="533"/>
        <v>1</v>
      </c>
      <c r="BF1058" s="1">
        <f t="shared" si="534"/>
        <v>1</v>
      </c>
    </row>
    <row r="1059" spans="1:58" ht="11.25" customHeight="1">
      <c r="A1059" s="26" t="s">
        <v>4866</v>
      </c>
      <c r="B1059" s="27" t="s">
        <v>4867</v>
      </c>
      <c r="C1059" s="28">
        <v>10.99</v>
      </c>
      <c r="D1059" s="28">
        <f t="shared" si="522"/>
        <v>5.4950000000000001</v>
      </c>
      <c r="E1059" s="22" t="s">
        <v>4467</v>
      </c>
      <c r="F1059" s="22" t="s">
        <v>4868</v>
      </c>
      <c r="G1059" s="22" t="s">
        <v>991</v>
      </c>
      <c r="H1059" s="22" t="s">
        <v>4869</v>
      </c>
      <c r="I1059" s="23" t="s">
        <v>4723</v>
      </c>
      <c r="J1059" s="22" t="s">
        <v>670</v>
      </c>
      <c r="K1059" s="23">
        <v>8</v>
      </c>
      <c r="L1059" s="23">
        <v>12</v>
      </c>
      <c r="M1059" s="23">
        <v>1.5</v>
      </c>
      <c r="N1059" s="3">
        <f t="shared" si="517"/>
        <v>1.44E-4</v>
      </c>
      <c r="O1059" s="4" t="e">
        <f>(C1059-(C1059*#REF!))-((C1059-(C1059*#REF!))*#REF!)</f>
        <v>#REF!</v>
      </c>
      <c r="P1059" s="7">
        <f>88034.7629948657-Q1059</f>
        <v>34.762994865697692</v>
      </c>
      <c r="Q1059" s="7">
        <v>88000</v>
      </c>
      <c r="R1059" s="5">
        <f t="shared" si="518"/>
        <v>88034.762994865698</v>
      </c>
      <c r="S1059" s="4">
        <f t="shared" si="519"/>
        <v>5.8689841996577128</v>
      </c>
      <c r="T1059" s="13">
        <f t="shared" si="523"/>
        <v>7.6929999999999996</v>
      </c>
      <c r="U1059" s="13">
        <f t="shared" si="532"/>
        <v>3.8464999999999998</v>
      </c>
      <c r="V1059" s="14">
        <f>U1059/C1059</f>
        <v>0.35</v>
      </c>
      <c r="W1059" s="18">
        <f t="shared" ref="W1059:W1074" si="535">S1059*$W$1</f>
        <v>11.737968399315426</v>
      </c>
      <c r="X1059" s="19">
        <f t="shared" si="520"/>
        <v>11.737968399315426</v>
      </c>
      <c r="Y1059" s="19">
        <f t="shared" si="521"/>
        <v>23.475936798630851</v>
      </c>
      <c r="Z1059" s="15">
        <v>2</v>
      </c>
      <c r="AA1059" s="22" t="s">
        <v>4870</v>
      </c>
      <c r="AG1059" s="94" t="s">
        <v>817</v>
      </c>
      <c r="AH1059" s="89" t="str">
        <f>VLOOKUP(AG1059,Sheet1!$B$3:$D$36,2,FALSE)</f>
        <v>Kitchen &amp; Dining</v>
      </c>
      <c r="AI1059" s="89" t="s">
        <v>2077</v>
      </c>
      <c r="AJ1059" s="1" t="str">
        <f t="shared" si="524"/>
        <v>Yelena plate white</v>
      </c>
      <c r="AK1059" s="1" t="str">
        <f t="shared" si="525"/>
        <v>w8 x d12 x h1.5</v>
      </c>
      <c r="AL1059" s="1" t="str">
        <f t="shared" si="526"/>
        <v>stoneware indoor</v>
      </c>
      <c r="AM1059" s="1" t="str">
        <f t="shared" si="527"/>
        <v>stoneware indoor</v>
      </c>
      <c r="AN1059" s="1" t="str">
        <f t="shared" si="516"/>
        <v xml:space="preserve">stoneware </v>
      </c>
      <c r="AO1059" s="1" t="s">
        <v>54</v>
      </c>
      <c r="AQ1059" s="1" t="str">
        <f t="shared" si="528"/>
        <v>C</v>
      </c>
      <c r="AR1059" s="1" t="str">
        <f>VLOOKUP(TRIM(AI1059),Sheet1!$D$3:$E$36,2,FALSE)</f>
        <v>01</v>
      </c>
      <c r="AS1059" s="90" t="str">
        <f t="shared" si="529"/>
        <v>01</v>
      </c>
      <c r="AT1059" s="1" t="str">
        <f t="shared" si="530"/>
        <v>01</v>
      </c>
      <c r="AU1059" s="90" t="s">
        <v>4319</v>
      </c>
      <c r="AV1059" s="90"/>
      <c r="AW1059" s="90"/>
      <c r="AX1059" s="95" t="str">
        <f>AQ1059&amp;AR1059&amp;AS1059&amp;"-"&amp;AT1059&amp;AU1059&amp;BA1059</f>
        <v>C0101-0124IND</v>
      </c>
      <c r="AY1059" s="99" t="str">
        <f>AQ1059&amp;AR1059&amp;AS1059&amp;"-"&amp;AT1059&amp;BA1059</f>
        <v>C0101-01IND</v>
      </c>
      <c r="AZ1059" s="90"/>
      <c r="BA1059" s="1" t="str">
        <f t="shared" si="531"/>
        <v>IND</v>
      </c>
      <c r="BC1059" s="1">
        <f t="shared" si="513"/>
        <v>1</v>
      </c>
      <c r="BD1059" s="90">
        <f t="shared" si="514"/>
        <v>1</v>
      </c>
      <c r="BE1059" s="1">
        <f t="shared" si="533"/>
        <v>1</v>
      </c>
      <c r="BF1059" s="1">
        <f t="shared" si="534"/>
        <v>1</v>
      </c>
    </row>
    <row r="1060" spans="1:58" ht="11.25" customHeight="1">
      <c r="A1060" s="26" t="s">
        <v>4871</v>
      </c>
      <c r="B1060" s="27" t="s">
        <v>4867</v>
      </c>
      <c r="C1060" s="28">
        <v>12.99</v>
      </c>
      <c r="D1060" s="28">
        <f t="shared" si="522"/>
        <v>6.4950000000000001</v>
      </c>
      <c r="E1060" s="22" t="s">
        <v>4467</v>
      </c>
      <c r="F1060" s="22" t="s">
        <v>4872</v>
      </c>
      <c r="G1060" s="22" t="s">
        <v>991</v>
      </c>
      <c r="H1060" s="22" t="s">
        <v>4873</v>
      </c>
      <c r="I1060" s="23" t="s">
        <v>4723</v>
      </c>
      <c r="J1060" s="22" t="s">
        <v>670</v>
      </c>
      <c r="K1060" s="23">
        <v>18</v>
      </c>
      <c r="L1060" s="23">
        <v>12</v>
      </c>
      <c r="M1060" s="23">
        <v>1.5</v>
      </c>
      <c r="N1060" s="3">
        <f t="shared" si="517"/>
        <v>3.2400000000000001E-4</v>
      </c>
      <c r="O1060" s="4" t="e">
        <f>(C1060-(C1060*#REF!))-((C1060-(C1060*#REF!))*#REF!)</f>
        <v>#REF!</v>
      </c>
      <c r="P1060" s="7">
        <f>132078.216738448-Q1060</f>
        <v>78.21673844801262</v>
      </c>
      <c r="Q1060" s="7">
        <v>132000</v>
      </c>
      <c r="R1060" s="5">
        <f t="shared" si="518"/>
        <v>132078.21673844801</v>
      </c>
      <c r="S1060" s="4">
        <f t="shared" si="519"/>
        <v>8.805214449229867</v>
      </c>
      <c r="T1060" s="13">
        <f t="shared" si="523"/>
        <v>9.093</v>
      </c>
      <c r="U1060" s="13">
        <f t="shared" si="532"/>
        <v>4.5465</v>
      </c>
      <c r="V1060" s="14">
        <f>U1060/C1060</f>
        <v>0.35</v>
      </c>
      <c r="W1060" s="18">
        <f t="shared" si="535"/>
        <v>17.610428898459734</v>
      </c>
      <c r="X1060" s="19">
        <f t="shared" si="520"/>
        <v>17.610428898459734</v>
      </c>
      <c r="Y1060" s="19">
        <f t="shared" si="521"/>
        <v>35.220857796919468</v>
      </c>
      <c r="Z1060" s="15">
        <v>2</v>
      </c>
      <c r="AA1060" s="22" t="s">
        <v>4874</v>
      </c>
      <c r="AG1060" s="94" t="s">
        <v>817</v>
      </c>
      <c r="AH1060" s="89" t="str">
        <f>VLOOKUP(AG1060,Sheet1!$B$3:$D$36,2,FALSE)</f>
        <v>Kitchen &amp; Dining</v>
      </c>
      <c r="AI1060" s="89" t="s">
        <v>2077</v>
      </c>
      <c r="AJ1060" s="1" t="str">
        <f t="shared" si="524"/>
        <v>Yelena plate white</v>
      </c>
      <c r="AK1060" s="1" t="str">
        <f t="shared" si="525"/>
        <v>w18 x d12 x h1,5</v>
      </c>
      <c r="AL1060" s="1" t="str">
        <f t="shared" si="526"/>
        <v>stoneware indoor</v>
      </c>
      <c r="AM1060" s="1" t="str">
        <f t="shared" si="527"/>
        <v>stoneware indoor</v>
      </c>
      <c r="AN1060" s="1" t="str">
        <f t="shared" si="516"/>
        <v xml:space="preserve">stoneware </v>
      </c>
      <c r="AO1060" s="1" t="s">
        <v>54</v>
      </c>
      <c r="AQ1060" s="1" t="str">
        <f t="shared" si="528"/>
        <v>C</v>
      </c>
      <c r="AR1060" s="1" t="str">
        <f>VLOOKUP(TRIM(AI1060),Sheet1!$D$3:$E$36,2,FALSE)</f>
        <v>01</v>
      </c>
      <c r="AS1060" s="90" t="str">
        <f t="shared" si="529"/>
        <v>02</v>
      </c>
      <c r="AT1060" s="1" t="str">
        <f t="shared" si="530"/>
        <v>01</v>
      </c>
      <c r="AU1060" s="90" t="s">
        <v>4319</v>
      </c>
      <c r="AV1060" s="90"/>
      <c r="AW1060" s="90"/>
      <c r="AX1060" s="95" t="str">
        <f>AQ1060&amp;AR1060&amp;AS1060&amp;"-"&amp;AT1060&amp;AU1060&amp;BA1060</f>
        <v>C0102-0124IND</v>
      </c>
      <c r="AY1060" s="99" t="str">
        <f>AQ1060&amp;AR1060&amp;AS1060&amp;"-"&amp;AT1060&amp;BA1060</f>
        <v>C0102-01IND</v>
      </c>
      <c r="AZ1060" s="90"/>
      <c r="BA1060" s="1" t="str">
        <f t="shared" si="531"/>
        <v>IND</v>
      </c>
      <c r="BC1060" s="1" t="str">
        <f t="shared" si="513"/>
        <v/>
      </c>
      <c r="BD1060" s="90">
        <f t="shared" si="514"/>
        <v>2</v>
      </c>
      <c r="BE1060" s="1">
        <f t="shared" si="533"/>
        <v>1</v>
      </c>
      <c r="BF1060" s="1">
        <f t="shared" si="534"/>
        <v>1</v>
      </c>
    </row>
    <row r="1061" spans="1:58" ht="11.25" customHeight="1">
      <c r="A1061" s="26" t="s">
        <v>4875</v>
      </c>
      <c r="B1061" s="27" t="s">
        <v>4867</v>
      </c>
      <c r="C1061" s="28">
        <v>18.989999999999998</v>
      </c>
      <c r="D1061" s="28">
        <f t="shared" si="522"/>
        <v>9.4949999999999992</v>
      </c>
      <c r="E1061" s="22" t="s">
        <v>4467</v>
      </c>
      <c r="F1061" s="22" t="s">
        <v>4876</v>
      </c>
      <c r="G1061" s="22" t="s">
        <v>991</v>
      </c>
      <c r="H1061" s="22" t="s">
        <v>4877</v>
      </c>
      <c r="I1061" s="23" t="s">
        <v>4723</v>
      </c>
      <c r="J1061" s="22" t="s">
        <v>670</v>
      </c>
      <c r="K1061" s="23">
        <v>27</v>
      </c>
      <c r="L1061" s="23">
        <v>20</v>
      </c>
      <c r="M1061" s="23">
        <v>1.5</v>
      </c>
      <c r="N1061" s="3">
        <f t="shared" si="517"/>
        <v>8.0999999999999996E-4</v>
      </c>
      <c r="O1061" s="4" t="e">
        <f>(C1061-(C1061*#REF!))-((C1061-(C1061*#REF!))*#REF!)</f>
        <v>#REF!</v>
      </c>
      <c r="P1061" s="7">
        <f>231195.541846119-Q1061</f>
        <v>195.54184611901292</v>
      </c>
      <c r="Q1061" s="7">
        <v>231000</v>
      </c>
      <c r="R1061" s="5">
        <f t="shared" si="518"/>
        <v>231195.54184611901</v>
      </c>
      <c r="S1061" s="4">
        <f t="shared" si="519"/>
        <v>15.413036123074601</v>
      </c>
      <c r="T1061" s="13">
        <f t="shared" si="523"/>
        <v>13.292999999999999</v>
      </c>
      <c r="U1061" s="13">
        <f t="shared" si="532"/>
        <v>6.6464999999999996</v>
      </c>
      <c r="V1061" s="14">
        <f>U1061/C1061</f>
        <v>0.35000000000000003</v>
      </c>
      <c r="W1061" s="18">
        <f t="shared" si="535"/>
        <v>30.826072246149202</v>
      </c>
      <c r="X1061" s="19">
        <f t="shared" si="520"/>
        <v>30.826072246149202</v>
      </c>
      <c r="Y1061" s="19">
        <f t="shared" si="521"/>
        <v>61.652144492298405</v>
      </c>
      <c r="Z1061" s="15">
        <v>2</v>
      </c>
      <c r="AA1061" s="22" t="s">
        <v>4874</v>
      </c>
      <c r="AG1061" s="94" t="s">
        <v>817</v>
      </c>
      <c r="AH1061" s="89" t="str">
        <f>VLOOKUP(AG1061,Sheet1!$B$3:$D$36,2,FALSE)</f>
        <v>Kitchen &amp; Dining</v>
      </c>
      <c r="AI1061" s="89" t="s">
        <v>2077</v>
      </c>
      <c r="AJ1061" s="1" t="str">
        <f t="shared" si="524"/>
        <v>Yelena plate white</v>
      </c>
      <c r="AK1061" s="1" t="str">
        <f t="shared" si="525"/>
        <v>w27 x d20 x h1,5</v>
      </c>
      <c r="AL1061" s="1" t="str">
        <f t="shared" si="526"/>
        <v>stoneware indoor</v>
      </c>
      <c r="AM1061" s="1" t="str">
        <f t="shared" si="527"/>
        <v>stoneware indoor</v>
      </c>
      <c r="AN1061" s="1" t="str">
        <f t="shared" si="516"/>
        <v xml:space="preserve">stoneware </v>
      </c>
      <c r="AO1061" s="1" t="s">
        <v>54</v>
      </c>
      <c r="AQ1061" s="1" t="str">
        <f t="shared" si="528"/>
        <v>C</v>
      </c>
      <c r="AR1061" s="1" t="str">
        <f>VLOOKUP(TRIM(AI1061),Sheet1!$D$3:$E$36,2,FALSE)</f>
        <v>01</v>
      </c>
      <c r="AS1061" s="90" t="str">
        <f t="shared" si="529"/>
        <v>03</v>
      </c>
      <c r="AT1061" s="1" t="str">
        <f t="shared" si="530"/>
        <v>01</v>
      </c>
      <c r="AU1061" s="90" t="s">
        <v>4319</v>
      </c>
      <c r="AV1061" s="90"/>
      <c r="AW1061" s="90"/>
      <c r="AX1061" s="95" t="str">
        <f>AQ1061&amp;AR1061&amp;AS1061&amp;"-"&amp;AT1061&amp;AU1061&amp;BA1061</f>
        <v>C0103-0124IND</v>
      </c>
      <c r="AY1061" s="99" t="str">
        <f>AQ1061&amp;AR1061&amp;AS1061&amp;"-"&amp;AT1061&amp;BA1061</f>
        <v>C0103-01IND</v>
      </c>
      <c r="AZ1061" s="90"/>
      <c r="BA1061" s="1" t="str">
        <f t="shared" si="531"/>
        <v>IND</v>
      </c>
      <c r="BC1061" s="1" t="str">
        <f t="shared" si="513"/>
        <v/>
      </c>
      <c r="BD1061" s="90">
        <f t="shared" si="514"/>
        <v>3</v>
      </c>
      <c r="BE1061" s="1">
        <f t="shared" si="533"/>
        <v>1</v>
      </c>
      <c r="BF1061" s="1">
        <f t="shared" si="534"/>
        <v>1</v>
      </c>
    </row>
    <row r="1062" spans="1:58" ht="11.25" customHeight="1">
      <c r="A1062" s="26" t="s">
        <v>4878</v>
      </c>
      <c r="B1062" s="27" t="s">
        <v>4867</v>
      </c>
      <c r="C1062" s="28">
        <v>35.99</v>
      </c>
      <c r="D1062" s="28">
        <f t="shared" si="522"/>
        <v>17.995000000000001</v>
      </c>
      <c r="E1062" s="22" t="s">
        <v>4467</v>
      </c>
      <c r="F1062" s="22" t="s">
        <v>4879</v>
      </c>
      <c r="G1062" s="22" t="s">
        <v>991</v>
      </c>
      <c r="H1062" s="22" t="s">
        <v>4880</v>
      </c>
      <c r="I1062" s="23" t="s">
        <v>4723</v>
      </c>
      <c r="J1062" s="22" t="s">
        <v>670</v>
      </c>
      <c r="K1062" s="23">
        <v>34</v>
      </c>
      <c r="L1062" s="23">
        <v>24</v>
      </c>
      <c r="M1062" s="23">
        <v>1.5</v>
      </c>
      <c r="N1062" s="3">
        <f t="shared" si="517"/>
        <v>1.224E-3</v>
      </c>
      <c r="O1062" s="4" t="e">
        <f>(C1062-(C1062*#REF!))-((C1062-(C1062*#REF!))*#REF!)</f>
        <v>#REF!</v>
      </c>
      <c r="P1062" s="7">
        <f>330295.485456358-Q1062</f>
        <v>295.4854563580011</v>
      </c>
      <c r="Q1062" s="7">
        <v>330000</v>
      </c>
      <c r="R1062" s="5">
        <f t="shared" si="518"/>
        <v>330295.485456358</v>
      </c>
      <c r="S1062" s="4">
        <f t="shared" si="519"/>
        <v>22.019699030423865</v>
      </c>
      <c r="T1062" s="13">
        <f t="shared" si="523"/>
        <v>25.193000000000001</v>
      </c>
      <c r="U1062" s="13">
        <f t="shared" si="532"/>
        <v>12.596500000000001</v>
      </c>
      <c r="V1062" s="14">
        <f>U1062/C1062</f>
        <v>0.35</v>
      </c>
      <c r="W1062" s="18">
        <f t="shared" si="535"/>
        <v>44.039398060847731</v>
      </c>
      <c r="X1062" s="19">
        <f t="shared" si="520"/>
        <v>44.039398060847731</v>
      </c>
      <c r="Y1062" s="19">
        <f t="shared" si="521"/>
        <v>88.078796121695461</v>
      </c>
      <c r="Z1062" s="15">
        <v>2</v>
      </c>
      <c r="AA1062" s="22" t="s">
        <v>4881</v>
      </c>
      <c r="AG1062" s="94" t="s">
        <v>817</v>
      </c>
      <c r="AH1062" s="89" t="str">
        <f>VLOOKUP(AG1062,Sheet1!$B$3:$D$36,2,FALSE)</f>
        <v>Kitchen &amp; Dining</v>
      </c>
      <c r="AI1062" s="89" t="s">
        <v>2077</v>
      </c>
      <c r="AJ1062" s="1" t="str">
        <f t="shared" si="524"/>
        <v>Yelena plate white</v>
      </c>
      <c r="AK1062" s="1" t="str">
        <f t="shared" si="525"/>
        <v>w34 x d24 x h1,5</v>
      </c>
      <c r="AL1062" s="1" t="str">
        <f t="shared" si="526"/>
        <v>stoneware indoor</v>
      </c>
      <c r="AM1062" s="1" t="str">
        <f t="shared" si="527"/>
        <v>stoneware indoor</v>
      </c>
      <c r="AN1062" s="1" t="str">
        <f t="shared" si="516"/>
        <v xml:space="preserve">stoneware </v>
      </c>
      <c r="AO1062" s="1" t="s">
        <v>54</v>
      </c>
      <c r="AQ1062" s="1" t="str">
        <f t="shared" si="528"/>
        <v>C</v>
      </c>
      <c r="AR1062" s="1" t="str">
        <f>VLOOKUP(TRIM(AI1062),Sheet1!$D$3:$E$36,2,FALSE)</f>
        <v>01</v>
      </c>
      <c r="AS1062" s="90" t="str">
        <f t="shared" si="529"/>
        <v>04</v>
      </c>
      <c r="AT1062" s="1" t="str">
        <f t="shared" si="530"/>
        <v>01</v>
      </c>
      <c r="AU1062" s="90" t="s">
        <v>4319</v>
      </c>
      <c r="AV1062" s="90"/>
      <c r="AW1062" s="90"/>
      <c r="AX1062" s="95" t="str">
        <f>AQ1062&amp;AR1062&amp;AS1062&amp;"-"&amp;AT1062&amp;AU1062&amp;BA1062</f>
        <v>C0104-0124IND</v>
      </c>
      <c r="AY1062" s="99" t="str">
        <f>AQ1062&amp;AR1062&amp;AS1062&amp;"-"&amp;AT1062&amp;BA1062</f>
        <v>C0104-01IND</v>
      </c>
      <c r="AZ1062" s="90"/>
      <c r="BA1062" s="1" t="str">
        <f t="shared" si="531"/>
        <v>IND</v>
      </c>
      <c r="BC1062" s="1" t="str">
        <f t="shared" si="513"/>
        <v/>
      </c>
      <c r="BD1062" s="90">
        <f t="shared" si="514"/>
        <v>4</v>
      </c>
      <c r="BE1062" s="1">
        <f t="shared" si="533"/>
        <v>1</v>
      </c>
      <c r="BF1062" s="1">
        <f t="shared" si="534"/>
        <v>1</v>
      </c>
    </row>
    <row r="1063" spans="1:58" ht="11.25" customHeight="1">
      <c r="A1063" s="26" t="s">
        <v>4882</v>
      </c>
      <c r="B1063" s="27" t="s">
        <v>4867</v>
      </c>
      <c r="C1063" s="28">
        <v>50.99</v>
      </c>
      <c r="D1063" s="28">
        <f t="shared" si="522"/>
        <v>25.495000000000001</v>
      </c>
      <c r="E1063" s="22" t="s">
        <v>4467</v>
      </c>
      <c r="F1063" s="22" t="s">
        <v>4883</v>
      </c>
      <c r="G1063" s="22" t="s">
        <v>991</v>
      </c>
      <c r="H1063" s="22" t="s">
        <v>4884</v>
      </c>
      <c r="I1063" s="23" t="s">
        <v>4723</v>
      </c>
      <c r="J1063" s="22" t="s">
        <v>670</v>
      </c>
      <c r="K1063" s="23">
        <v>42</v>
      </c>
      <c r="L1063" s="23">
        <v>27</v>
      </c>
      <c r="M1063" s="23">
        <v>1.5</v>
      </c>
      <c r="N1063" s="3">
        <f t="shared" si="517"/>
        <v>1.701E-3</v>
      </c>
      <c r="O1063" s="4" t="e">
        <f>(C1063-(C1063*#REF!))-((C1063-(C1063*#REF!))*#REF!)</f>
        <v>#REF!</v>
      </c>
      <c r="P1063" s="7">
        <f>440410.637876851-Q1063</f>
        <v>410.63787685101852</v>
      </c>
      <c r="Q1063" s="7">
        <v>440000</v>
      </c>
      <c r="R1063" s="5">
        <f t="shared" si="518"/>
        <v>440410.63787685102</v>
      </c>
      <c r="S1063" s="4">
        <f t="shared" si="519"/>
        <v>29.360709191790068</v>
      </c>
      <c r="T1063" s="13">
        <f t="shared" si="523"/>
        <v>35.692999999999998</v>
      </c>
      <c r="U1063" s="13">
        <f t="shared" si="532"/>
        <v>17.846499999999999</v>
      </c>
      <c r="V1063" s="14">
        <f>U1063/C1063</f>
        <v>0.35</v>
      </c>
      <c r="W1063" s="18">
        <f t="shared" si="535"/>
        <v>58.721418383580136</v>
      </c>
      <c r="X1063" s="19">
        <f t="shared" si="520"/>
        <v>58.721418383580136</v>
      </c>
      <c r="Y1063" s="19">
        <f t="shared" si="521"/>
        <v>117.44283676716027</v>
      </c>
      <c r="Z1063" s="15">
        <v>2</v>
      </c>
      <c r="AA1063" s="22" t="s">
        <v>4881</v>
      </c>
      <c r="AG1063" s="94" t="s">
        <v>817</v>
      </c>
      <c r="AH1063" s="89" t="str">
        <f>VLOOKUP(AG1063,Sheet1!$B$3:$D$36,2,FALSE)</f>
        <v>Kitchen &amp; Dining</v>
      </c>
      <c r="AI1063" s="89" t="s">
        <v>2077</v>
      </c>
      <c r="AJ1063" s="1" t="str">
        <f t="shared" si="524"/>
        <v>Yelena plate white</v>
      </c>
      <c r="AK1063" s="1" t="str">
        <f t="shared" si="525"/>
        <v>w42 x d27 x h1,5</v>
      </c>
      <c r="AL1063" s="1" t="str">
        <f t="shared" si="526"/>
        <v>stoneware indoor</v>
      </c>
      <c r="AM1063" s="1" t="str">
        <f t="shared" si="527"/>
        <v>stoneware indoor</v>
      </c>
      <c r="AN1063" s="1" t="str">
        <f t="shared" si="516"/>
        <v xml:space="preserve">stoneware </v>
      </c>
      <c r="AO1063" s="1" t="s">
        <v>54</v>
      </c>
      <c r="AQ1063" s="1" t="str">
        <f t="shared" si="528"/>
        <v>C</v>
      </c>
      <c r="AR1063" s="1" t="str">
        <f>VLOOKUP(TRIM(AI1063),Sheet1!$D$3:$E$36,2,FALSE)</f>
        <v>01</v>
      </c>
      <c r="AS1063" s="90" t="str">
        <f t="shared" si="529"/>
        <v>05</v>
      </c>
      <c r="AT1063" s="1" t="str">
        <f t="shared" si="530"/>
        <v>01</v>
      </c>
      <c r="AU1063" s="90" t="s">
        <v>4319</v>
      </c>
      <c r="AV1063" s="90"/>
      <c r="AW1063" s="90"/>
      <c r="AX1063" s="95" t="str">
        <f>AQ1063&amp;AR1063&amp;AS1063&amp;"-"&amp;AT1063&amp;AU1063&amp;BA1063</f>
        <v>C0105-0124IND</v>
      </c>
      <c r="AY1063" s="99" t="str">
        <f>AQ1063&amp;AR1063&amp;AS1063&amp;"-"&amp;AT1063&amp;BA1063</f>
        <v>C0105-01IND</v>
      </c>
      <c r="AZ1063" s="90"/>
      <c r="BA1063" s="1" t="str">
        <f t="shared" si="531"/>
        <v>IND</v>
      </c>
      <c r="BC1063" s="1" t="str">
        <f t="shared" si="513"/>
        <v/>
      </c>
      <c r="BD1063" s="90">
        <f t="shared" si="514"/>
        <v>5</v>
      </c>
      <c r="BE1063" s="1">
        <f t="shared" si="533"/>
        <v>1</v>
      </c>
      <c r="BF1063" s="1">
        <f t="shared" si="534"/>
        <v>1</v>
      </c>
    </row>
    <row r="1064" spans="1:58" ht="11.25" customHeight="1">
      <c r="A1064" s="26" t="s">
        <v>4885</v>
      </c>
      <c r="B1064" s="27" t="s">
        <v>4886</v>
      </c>
      <c r="C1064" s="28">
        <v>11.99</v>
      </c>
      <c r="D1064" s="28">
        <f t="shared" si="522"/>
        <v>5.9950000000000001</v>
      </c>
      <c r="E1064" s="22" t="s">
        <v>4467</v>
      </c>
      <c r="F1064" s="22" t="s">
        <v>4887</v>
      </c>
      <c r="G1064" s="22" t="s">
        <v>352</v>
      </c>
      <c r="H1064" s="22" t="s">
        <v>4815</v>
      </c>
      <c r="I1064" s="23" t="s">
        <v>4723</v>
      </c>
      <c r="J1064" s="22" t="s">
        <v>670</v>
      </c>
      <c r="L1064" s="23">
        <v>8</v>
      </c>
      <c r="M1064" s="23">
        <v>4</v>
      </c>
      <c r="N1064" s="3">
        <f t="shared" si="517"/>
        <v>2.5599999999999999E-4</v>
      </c>
      <c r="O1064" s="4" t="e">
        <f>(C1064-(C1064*#REF!))-((C1064-(C1064*#REF!))*#REF!)</f>
        <v>#REF!</v>
      </c>
      <c r="P1064" s="7">
        <f>84761.8008797612-Q1064</f>
        <v>61.800879761198303</v>
      </c>
      <c r="Q1064" s="7">
        <v>84700</v>
      </c>
      <c r="R1064" s="5">
        <f t="shared" si="518"/>
        <v>84761.800879761198</v>
      </c>
      <c r="S1064" s="4">
        <f t="shared" si="519"/>
        <v>5.6507867253174133</v>
      </c>
      <c r="T1064" s="13">
        <f t="shared" si="523"/>
        <v>8.3930000000000007</v>
      </c>
      <c r="U1064" s="13">
        <f t="shared" si="532"/>
        <v>4.1965000000000003</v>
      </c>
      <c r="V1064" s="14">
        <f>U1064/C1064</f>
        <v>0.35000000000000003</v>
      </c>
      <c r="W1064" s="18">
        <f t="shared" si="535"/>
        <v>11.301573450634827</v>
      </c>
      <c r="X1064" s="19">
        <f t="shared" si="520"/>
        <v>11.301573450634827</v>
      </c>
      <c r="Y1064" s="19">
        <f t="shared" si="521"/>
        <v>22.603146901269653</v>
      </c>
      <c r="Z1064" s="15">
        <v>2</v>
      </c>
      <c r="AA1064" s="22" t="s">
        <v>4888</v>
      </c>
      <c r="AG1064" s="94" t="s">
        <v>817</v>
      </c>
      <c r="AH1064" s="89" t="str">
        <f>VLOOKUP(AG1064,Sheet1!$B$3:$D$36,2,FALSE)</f>
        <v>Kitchen &amp; Dining</v>
      </c>
      <c r="AI1064" s="89" t="s">
        <v>2077</v>
      </c>
      <c r="AJ1064" s="1" t="str">
        <f t="shared" si="524"/>
        <v>Hena bowl black</v>
      </c>
      <c r="AK1064" s="1" t="str">
        <f t="shared" si="525"/>
        <v>ø8 x h4</v>
      </c>
      <c r="AL1064" s="1" t="str">
        <f t="shared" si="526"/>
        <v>stoneware indoor</v>
      </c>
      <c r="AM1064" s="1" t="str">
        <f t="shared" si="527"/>
        <v>stoneware indoor</v>
      </c>
      <c r="AN1064" s="1" t="str">
        <f t="shared" si="516"/>
        <v xml:space="preserve">stoneware </v>
      </c>
      <c r="AO1064" s="1" t="s">
        <v>54</v>
      </c>
      <c r="AQ1064" s="1" t="str">
        <f t="shared" si="528"/>
        <v>C</v>
      </c>
      <c r="AR1064" s="1" t="str">
        <f>VLOOKUP(TRIM(AI1064),Sheet1!$D$3:$E$36,2,FALSE)</f>
        <v>01</v>
      </c>
      <c r="AS1064" s="90" t="str">
        <f t="shared" si="529"/>
        <v>01</v>
      </c>
      <c r="AT1064" s="1" t="str">
        <f t="shared" si="530"/>
        <v>01</v>
      </c>
      <c r="AU1064" s="90" t="s">
        <v>4319</v>
      </c>
      <c r="AV1064" s="90"/>
      <c r="AW1064" s="90"/>
      <c r="AX1064" s="95" t="str">
        <f>AQ1064&amp;AR1064&amp;AS1064&amp;"-"&amp;AT1064&amp;AU1064&amp;BA1064</f>
        <v>C0101-0124IND</v>
      </c>
      <c r="AY1064" s="99" t="str">
        <f>AQ1064&amp;AR1064&amp;AS1064&amp;"-"&amp;AT1064&amp;BA1064</f>
        <v>C0101-01IND</v>
      </c>
      <c r="AZ1064" s="90"/>
      <c r="BA1064" s="1" t="str">
        <f t="shared" si="531"/>
        <v>IND</v>
      </c>
      <c r="BC1064" s="1">
        <f t="shared" si="513"/>
        <v>1</v>
      </c>
      <c r="BD1064" s="90">
        <f t="shared" si="514"/>
        <v>1</v>
      </c>
      <c r="BE1064" s="1">
        <f t="shared" si="533"/>
        <v>1</v>
      </c>
      <c r="BF1064" s="1">
        <f t="shared" si="534"/>
        <v>1</v>
      </c>
    </row>
    <row r="1065" spans="1:58" ht="11.25" customHeight="1">
      <c r="A1065" s="26" t="s">
        <v>4889</v>
      </c>
      <c r="B1065" s="27" t="s">
        <v>4886</v>
      </c>
      <c r="C1065" s="28">
        <v>12.99</v>
      </c>
      <c r="D1065" s="28">
        <f t="shared" si="522"/>
        <v>6.4950000000000001</v>
      </c>
      <c r="E1065" s="22" t="s">
        <v>4467</v>
      </c>
      <c r="F1065" s="22" t="s">
        <v>4890</v>
      </c>
      <c r="G1065" s="22" t="s">
        <v>352</v>
      </c>
      <c r="H1065" s="22" t="s">
        <v>4819</v>
      </c>
      <c r="I1065" s="23" t="s">
        <v>4723</v>
      </c>
      <c r="J1065" s="22" t="s">
        <v>670</v>
      </c>
      <c r="L1065" s="23">
        <v>12</v>
      </c>
      <c r="M1065" s="23">
        <v>6</v>
      </c>
      <c r="N1065" s="3">
        <f t="shared" si="517"/>
        <v>8.6399999999999997E-4</v>
      </c>
      <c r="O1065" s="4" t="e">
        <f>(C1065-(C1065*#REF!))-((C1065-(C1065*#REF!))*#REF!)</f>
        <v>#REF!</v>
      </c>
      <c r="P1065" s="7">
        <f>133308.577969194-Q1065</f>
        <v>208.57796919401153</v>
      </c>
      <c r="Q1065" s="7">
        <v>133100</v>
      </c>
      <c r="R1065" s="5">
        <f t="shared" si="518"/>
        <v>133308.57796919401</v>
      </c>
      <c r="S1065" s="4">
        <f t="shared" si="519"/>
        <v>8.8872385312796016</v>
      </c>
      <c r="T1065" s="13">
        <f t="shared" si="523"/>
        <v>9.093</v>
      </c>
      <c r="U1065" s="13">
        <f t="shared" si="532"/>
        <v>4.5465</v>
      </c>
      <c r="V1065" s="14">
        <f>U1065/C1065</f>
        <v>0.35</v>
      </c>
      <c r="W1065" s="18">
        <f t="shared" si="535"/>
        <v>17.774477062559203</v>
      </c>
      <c r="X1065" s="19">
        <f t="shared" si="520"/>
        <v>17.774477062559203</v>
      </c>
      <c r="Y1065" s="19">
        <f t="shared" si="521"/>
        <v>35.548954125118406</v>
      </c>
      <c r="Z1065" s="15">
        <v>2</v>
      </c>
      <c r="AA1065" s="22" t="s">
        <v>4891</v>
      </c>
      <c r="AG1065" s="94" t="s">
        <v>817</v>
      </c>
      <c r="AH1065" s="89" t="str">
        <f>VLOOKUP(AG1065,Sheet1!$B$3:$D$36,2,FALSE)</f>
        <v>Kitchen &amp; Dining</v>
      </c>
      <c r="AI1065" s="89" t="s">
        <v>2077</v>
      </c>
      <c r="AJ1065" s="1" t="str">
        <f t="shared" si="524"/>
        <v>Hena bowl black</v>
      </c>
      <c r="AK1065" s="1" t="str">
        <f t="shared" si="525"/>
        <v>ø12 x h6</v>
      </c>
      <c r="AL1065" s="1" t="str">
        <f t="shared" si="526"/>
        <v>stoneware indoor</v>
      </c>
      <c r="AM1065" s="1" t="str">
        <f t="shared" si="527"/>
        <v>stoneware indoor</v>
      </c>
      <c r="AN1065" s="1" t="str">
        <f t="shared" si="516"/>
        <v xml:space="preserve">stoneware </v>
      </c>
      <c r="AO1065" s="1" t="s">
        <v>54</v>
      </c>
      <c r="AQ1065" s="1" t="str">
        <f t="shared" si="528"/>
        <v>C</v>
      </c>
      <c r="AR1065" s="1" t="str">
        <f>VLOOKUP(TRIM(AI1065),Sheet1!$D$3:$E$36,2,FALSE)</f>
        <v>01</v>
      </c>
      <c r="AS1065" s="90" t="str">
        <f t="shared" si="529"/>
        <v>02</v>
      </c>
      <c r="AT1065" s="1" t="str">
        <f t="shared" si="530"/>
        <v>01</v>
      </c>
      <c r="AU1065" s="90" t="s">
        <v>4319</v>
      </c>
      <c r="AV1065" s="90"/>
      <c r="AW1065" s="90"/>
      <c r="AX1065" s="95" t="str">
        <f>AQ1065&amp;AR1065&amp;AS1065&amp;"-"&amp;AT1065&amp;AU1065&amp;BA1065</f>
        <v>C0102-0124IND</v>
      </c>
      <c r="AY1065" s="99" t="str">
        <f>AQ1065&amp;AR1065&amp;AS1065&amp;"-"&amp;AT1065&amp;BA1065</f>
        <v>C0102-01IND</v>
      </c>
      <c r="AZ1065" s="90"/>
      <c r="BA1065" s="1" t="str">
        <f t="shared" si="531"/>
        <v>IND</v>
      </c>
      <c r="BC1065" s="1" t="str">
        <f t="shared" ref="BC1065:BC1128" si="536">IF(AJ1064&lt;&gt;AJ1065,1,"")</f>
        <v/>
      </c>
      <c r="BD1065" s="90">
        <f t="shared" ref="BD1065:BD1128" si="537">IF(BC1065=1,1,BD1064+1)</f>
        <v>2</v>
      </c>
      <c r="BE1065" s="1">
        <f t="shared" si="533"/>
        <v>1</v>
      </c>
      <c r="BF1065" s="1">
        <f t="shared" si="534"/>
        <v>1</v>
      </c>
    </row>
    <row r="1066" spans="1:58" ht="11.25" customHeight="1">
      <c r="A1066" s="26" t="s">
        <v>4892</v>
      </c>
      <c r="B1066" s="27" t="s">
        <v>4886</v>
      </c>
      <c r="C1066" s="28">
        <v>14.99</v>
      </c>
      <c r="D1066" s="28">
        <f t="shared" si="522"/>
        <v>7.4950000000000001</v>
      </c>
      <c r="E1066" s="22" t="s">
        <v>4467</v>
      </c>
      <c r="F1066" s="22" t="s">
        <v>4893</v>
      </c>
      <c r="G1066" s="22" t="s">
        <v>352</v>
      </c>
      <c r="H1066" s="22" t="s">
        <v>4822</v>
      </c>
      <c r="I1066" s="23" t="s">
        <v>4723</v>
      </c>
      <c r="J1066" s="22" t="s">
        <v>670</v>
      </c>
      <c r="L1066" s="23">
        <v>12</v>
      </c>
      <c r="M1066" s="23">
        <v>4</v>
      </c>
      <c r="N1066" s="3">
        <f t="shared" si="517"/>
        <v>5.7600000000000001E-4</v>
      </c>
      <c r="O1066" s="4" t="e">
        <f>(C1066-(C1066*#REF!))-((C1066-(C1066*#REF!))*#REF!)</f>
        <v>#REF!</v>
      </c>
      <c r="P1066" s="7">
        <f>121139.051979463-Q1066</f>
        <v>139.0519794629945</v>
      </c>
      <c r="Q1066" s="7">
        <v>121000</v>
      </c>
      <c r="R1066" s="5">
        <f t="shared" si="518"/>
        <v>121139.05197946299</v>
      </c>
      <c r="S1066" s="4">
        <f t="shared" si="519"/>
        <v>8.0759367986308668</v>
      </c>
      <c r="T1066" s="13">
        <f t="shared" si="523"/>
        <v>10.493</v>
      </c>
      <c r="U1066" s="13">
        <f t="shared" si="532"/>
        <v>5.2465000000000002</v>
      </c>
      <c r="V1066" s="14">
        <f>U1066/C1066</f>
        <v>0.35000000000000003</v>
      </c>
      <c r="W1066" s="18">
        <f t="shared" si="535"/>
        <v>16.151873597261734</v>
      </c>
      <c r="X1066" s="19">
        <f t="shared" si="520"/>
        <v>16.151873597261734</v>
      </c>
      <c r="Y1066" s="19">
        <f t="shared" si="521"/>
        <v>32.303747194523467</v>
      </c>
      <c r="Z1066" s="15">
        <v>2</v>
      </c>
      <c r="AA1066" s="22" t="s">
        <v>4891</v>
      </c>
      <c r="AG1066" s="94" t="s">
        <v>817</v>
      </c>
      <c r="AH1066" s="89" t="str">
        <f>VLOOKUP(AG1066,Sheet1!$B$3:$D$36,2,FALSE)</f>
        <v>Kitchen &amp; Dining</v>
      </c>
      <c r="AI1066" s="89" t="s">
        <v>2077</v>
      </c>
      <c r="AJ1066" s="1" t="str">
        <f t="shared" si="524"/>
        <v>Hena bowl black</v>
      </c>
      <c r="AK1066" s="1" t="str">
        <f t="shared" si="525"/>
        <v>ø12 x h4</v>
      </c>
      <c r="AL1066" s="1" t="str">
        <f t="shared" si="526"/>
        <v>stoneware indoor</v>
      </c>
      <c r="AM1066" s="1" t="str">
        <f t="shared" si="527"/>
        <v>stoneware indoor</v>
      </c>
      <c r="AN1066" s="1" t="str">
        <f t="shared" si="516"/>
        <v xml:space="preserve">stoneware </v>
      </c>
      <c r="AO1066" s="1" t="s">
        <v>54</v>
      </c>
      <c r="AQ1066" s="1" t="str">
        <f t="shared" si="528"/>
        <v>C</v>
      </c>
      <c r="AR1066" s="1" t="str">
        <f>VLOOKUP(TRIM(AI1066),Sheet1!$D$3:$E$36,2,FALSE)</f>
        <v>01</v>
      </c>
      <c r="AS1066" s="90" t="str">
        <f t="shared" si="529"/>
        <v>03</v>
      </c>
      <c r="AT1066" s="1" t="str">
        <f t="shared" si="530"/>
        <v>01</v>
      </c>
      <c r="AU1066" s="90" t="s">
        <v>4319</v>
      </c>
      <c r="AV1066" s="90"/>
      <c r="AW1066" s="90"/>
      <c r="AX1066" s="95" t="str">
        <f>AQ1066&amp;AR1066&amp;AS1066&amp;"-"&amp;AT1066&amp;AU1066&amp;BA1066</f>
        <v>C0103-0124IND</v>
      </c>
      <c r="AY1066" s="99" t="str">
        <f>AQ1066&amp;AR1066&amp;AS1066&amp;"-"&amp;AT1066&amp;BA1066</f>
        <v>C0103-01IND</v>
      </c>
      <c r="AZ1066" s="90"/>
      <c r="BA1066" s="1" t="str">
        <f t="shared" si="531"/>
        <v>IND</v>
      </c>
      <c r="BC1066" s="1" t="str">
        <f t="shared" si="536"/>
        <v/>
      </c>
      <c r="BD1066" s="90">
        <f t="shared" si="537"/>
        <v>3</v>
      </c>
      <c r="BE1066" s="1">
        <f t="shared" si="533"/>
        <v>1</v>
      </c>
      <c r="BF1066" s="1">
        <f t="shared" si="534"/>
        <v>1</v>
      </c>
    </row>
    <row r="1067" spans="1:58" ht="11.25" customHeight="1">
      <c r="A1067" s="26" t="s">
        <v>4894</v>
      </c>
      <c r="B1067" s="27" t="s">
        <v>4886</v>
      </c>
      <c r="C1067" s="28">
        <v>13.99</v>
      </c>
      <c r="D1067" s="28">
        <f t="shared" si="522"/>
        <v>6.9950000000000001</v>
      </c>
      <c r="E1067" s="22" t="s">
        <v>4467</v>
      </c>
      <c r="F1067" s="22" t="s">
        <v>4895</v>
      </c>
      <c r="G1067" s="22" t="s">
        <v>352</v>
      </c>
      <c r="H1067" s="22" t="s">
        <v>4825</v>
      </c>
      <c r="I1067" s="23" t="s">
        <v>4723</v>
      </c>
      <c r="J1067" s="22" t="s">
        <v>670</v>
      </c>
      <c r="L1067" s="23">
        <v>13.5</v>
      </c>
      <c r="M1067" s="23">
        <v>5</v>
      </c>
      <c r="N1067" s="3">
        <f t="shared" si="517"/>
        <v>9.1124999999999995E-4</v>
      </c>
      <c r="O1067" s="4" t="e">
        <f>(C1067-(C1067*#REF!))-((C1067-(C1067*#REF!))*#REF!)</f>
        <v>#REF!</v>
      </c>
      <c r="P1067" s="7">
        <f>151469.984576884-Q1067</f>
        <v>219.98457688398776</v>
      </c>
      <c r="Q1067" s="7">
        <v>151250</v>
      </c>
      <c r="R1067" s="5">
        <f t="shared" si="518"/>
        <v>151469.98457688399</v>
      </c>
      <c r="S1067" s="4">
        <f t="shared" si="519"/>
        <v>10.097998971792267</v>
      </c>
      <c r="T1067" s="13">
        <f t="shared" si="523"/>
        <v>9.7929999999999993</v>
      </c>
      <c r="U1067" s="13">
        <f t="shared" si="532"/>
        <v>4.8964999999999996</v>
      </c>
      <c r="V1067" s="14">
        <f>U1067/C1067</f>
        <v>0.35</v>
      </c>
      <c r="W1067" s="18">
        <f t="shared" si="535"/>
        <v>20.195997943584533</v>
      </c>
      <c r="X1067" s="19">
        <f t="shared" si="520"/>
        <v>20.195997943584533</v>
      </c>
      <c r="Y1067" s="19">
        <f t="shared" si="521"/>
        <v>40.391995887169067</v>
      </c>
      <c r="Z1067" s="15">
        <v>2</v>
      </c>
      <c r="AA1067" s="22" t="s">
        <v>4896</v>
      </c>
      <c r="AG1067" s="94" t="s">
        <v>817</v>
      </c>
      <c r="AH1067" s="89" t="str">
        <f>VLOOKUP(AG1067,Sheet1!$B$3:$D$36,2,FALSE)</f>
        <v>Kitchen &amp; Dining</v>
      </c>
      <c r="AI1067" s="89" t="s">
        <v>2077</v>
      </c>
      <c r="AJ1067" s="1" t="str">
        <f t="shared" si="524"/>
        <v>Hena bowl black</v>
      </c>
      <c r="AK1067" s="1" t="str">
        <f t="shared" si="525"/>
        <v>ø13,5 x h5</v>
      </c>
      <c r="AL1067" s="1" t="str">
        <f t="shared" si="526"/>
        <v>stoneware indoor</v>
      </c>
      <c r="AM1067" s="1" t="str">
        <f t="shared" si="527"/>
        <v>stoneware indoor</v>
      </c>
      <c r="AN1067" s="1" t="str">
        <f t="shared" si="516"/>
        <v xml:space="preserve">stoneware </v>
      </c>
      <c r="AO1067" s="1" t="s">
        <v>54</v>
      </c>
      <c r="AQ1067" s="1" t="str">
        <f t="shared" si="528"/>
        <v>C</v>
      </c>
      <c r="AR1067" s="1" t="str">
        <f>VLOOKUP(TRIM(AI1067),Sheet1!$D$3:$E$36,2,FALSE)</f>
        <v>01</v>
      </c>
      <c r="AS1067" s="90" t="str">
        <f t="shared" si="529"/>
        <v>04</v>
      </c>
      <c r="AT1067" s="1" t="str">
        <f t="shared" si="530"/>
        <v>01</v>
      </c>
      <c r="AU1067" s="90" t="s">
        <v>4319</v>
      </c>
      <c r="AV1067" s="90"/>
      <c r="AW1067" s="90"/>
      <c r="AX1067" s="95" t="str">
        <f>AQ1067&amp;AR1067&amp;AS1067&amp;"-"&amp;AT1067&amp;AU1067&amp;BA1067</f>
        <v>C0104-0124IND</v>
      </c>
      <c r="AY1067" s="99" t="str">
        <f>AQ1067&amp;AR1067&amp;AS1067&amp;"-"&amp;AT1067&amp;BA1067</f>
        <v>C0104-01IND</v>
      </c>
      <c r="AZ1067" s="90"/>
      <c r="BA1067" s="1" t="str">
        <f t="shared" si="531"/>
        <v>IND</v>
      </c>
      <c r="BC1067" s="1" t="str">
        <f t="shared" si="536"/>
        <v/>
      </c>
      <c r="BD1067" s="90">
        <f t="shared" si="537"/>
        <v>4</v>
      </c>
      <c r="BE1067" s="1">
        <f t="shared" si="533"/>
        <v>1</v>
      </c>
      <c r="BF1067" s="1">
        <f t="shared" si="534"/>
        <v>1</v>
      </c>
    </row>
    <row r="1068" spans="1:58" ht="11.25" customHeight="1">
      <c r="A1068" s="26" t="s">
        <v>4897</v>
      </c>
      <c r="B1068" s="27" t="s">
        <v>4886</v>
      </c>
      <c r="C1068" s="28">
        <v>15.99</v>
      </c>
      <c r="D1068" s="28">
        <f t="shared" si="522"/>
        <v>7.9950000000000001</v>
      </c>
      <c r="E1068" s="22" t="s">
        <v>4467</v>
      </c>
      <c r="F1068" s="22" t="s">
        <v>4898</v>
      </c>
      <c r="G1068" s="22" t="s">
        <v>352</v>
      </c>
      <c r="H1068" s="22" t="s">
        <v>4828</v>
      </c>
      <c r="I1068" s="23" t="s">
        <v>4723</v>
      </c>
      <c r="J1068" s="22" t="s">
        <v>670</v>
      </c>
      <c r="L1068" s="23">
        <v>26</v>
      </c>
      <c r="M1068" s="23">
        <v>8</v>
      </c>
      <c r="N1068" s="3">
        <f t="shared" si="517"/>
        <v>5.4079999999999996E-3</v>
      </c>
      <c r="O1068" s="4" t="e">
        <f>(C1068-(C1068*#REF!))-((C1068-(C1068*#REF!))*#REF!)</f>
        <v>#REF!</v>
      </c>
      <c r="P1068" s="7">
        <f>212368.008797612-Q1068</f>
        <v>618.00879761201213</v>
      </c>
      <c r="Q1068" s="7">
        <v>211750</v>
      </c>
      <c r="R1068" s="5">
        <f t="shared" si="518"/>
        <v>212368.00879761201</v>
      </c>
      <c r="S1068" s="4">
        <f t="shared" si="519"/>
        <v>14.157867253174134</v>
      </c>
      <c r="T1068" s="13">
        <f t="shared" si="523"/>
        <v>11.193000000000001</v>
      </c>
      <c r="U1068" s="13">
        <f t="shared" si="532"/>
        <v>5.5965000000000007</v>
      </c>
      <c r="V1068" s="14">
        <f>U1068/C1068</f>
        <v>0.35000000000000003</v>
      </c>
      <c r="W1068" s="18">
        <f t="shared" si="535"/>
        <v>28.315734506348267</v>
      </c>
      <c r="X1068" s="19">
        <f t="shared" si="520"/>
        <v>28.315734506348267</v>
      </c>
      <c r="Y1068" s="19">
        <f t="shared" si="521"/>
        <v>56.631469012696535</v>
      </c>
      <c r="Z1068" s="15">
        <v>2</v>
      </c>
      <c r="AA1068" s="22" t="s">
        <v>4888</v>
      </c>
      <c r="AG1068" s="94" t="s">
        <v>817</v>
      </c>
      <c r="AH1068" s="89" t="str">
        <f>VLOOKUP(AG1068,Sheet1!$B$3:$D$36,2,FALSE)</f>
        <v>Kitchen &amp; Dining</v>
      </c>
      <c r="AI1068" s="89" t="s">
        <v>2077</v>
      </c>
      <c r="AJ1068" s="1" t="str">
        <f t="shared" si="524"/>
        <v>Hena bowl black</v>
      </c>
      <c r="AK1068" s="1" t="str">
        <f t="shared" si="525"/>
        <v>ø26 x h8</v>
      </c>
      <c r="AL1068" s="1" t="str">
        <f t="shared" si="526"/>
        <v>stoneware indoor</v>
      </c>
      <c r="AM1068" s="1" t="str">
        <f t="shared" si="527"/>
        <v>stoneware indoor</v>
      </c>
      <c r="AN1068" s="1" t="str">
        <f t="shared" si="516"/>
        <v xml:space="preserve">stoneware </v>
      </c>
      <c r="AO1068" s="1" t="s">
        <v>54</v>
      </c>
      <c r="AQ1068" s="1" t="str">
        <f t="shared" si="528"/>
        <v>C</v>
      </c>
      <c r="AR1068" s="1" t="str">
        <f>VLOOKUP(TRIM(AI1068),Sheet1!$D$3:$E$36,2,FALSE)</f>
        <v>01</v>
      </c>
      <c r="AS1068" s="90" t="str">
        <f t="shared" si="529"/>
        <v>05</v>
      </c>
      <c r="AT1068" s="1" t="str">
        <f t="shared" si="530"/>
        <v>01</v>
      </c>
      <c r="AU1068" s="90" t="s">
        <v>4319</v>
      </c>
      <c r="AV1068" s="90"/>
      <c r="AW1068" s="90"/>
      <c r="AX1068" s="95" t="str">
        <f>AQ1068&amp;AR1068&amp;AS1068&amp;"-"&amp;AT1068&amp;AU1068&amp;BA1068</f>
        <v>C0105-0124IND</v>
      </c>
      <c r="AY1068" s="99" t="str">
        <f>AQ1068&amp;AR1068&amp;AS1068&amp;"-"&amp;AT1068&amp;BA1068</f>
        <v>C0105-01IND</v>
      </c>
      <c r="AZ1068" s="90"/>
      <c r="BA1068" s="1" t="str">
        <f t="shared" si="531"/>
        <v>IND</v>
      </c>
      <c r="BC1068" s="1" t="str">
        <f t="shared" si="536"/>
        <v/>
      </c>
      <c r="BD1068" s="90">
        <f t="shared" si="537"/>
        <v>5</v>
      </c>
      <c r="BE1068" s="1">
        <f t="shared" si="533"/>
        <v>1</v>
      </c>
      <c r="BF1068" s="1">
        <f t="shared" si="534"/>
        <v>1</v>
      </c>
    </row>
    <row r="1069" spans="1:58" ht="11.25" customHeight="1">
      <c r="A1069" s="26" t="s">
        <v>4899</v>
      </c>
      <c r="B1069" s="27" t="s">
        <v>4886</v>
      </c>
      <c r="C1069" s="28">
        <v>26.99</v>
      </c>
      <c r="D1069" s="28">
        <f t="shared" si="522"/>
        <v>13.494999999999999</v>
      </c>
      <c r="E1069" s="22" t="s">
        <v>4467</v>
      </c>
      <c r="F1069" s="22" t="s">
        <v>4900</v>
      </c>
      <c r="G1069" s="22" t="s">
        <v>352</v>
      </c>
      <c r="H1069" s="22" t="s">
        <v>4831</v>
      </c>
      <c r="I1069" s="23" t="s">
        <v>4723</v>
      </c>
      <c r="J1069" s="22" t="s">
        <v>670</v>
      </c>
      <c r="L1069" s="23">
        <v>16</v>
      </c>
      <c r="M1069" s="23">
        <v>10</v>
      </c>
      <c r="N1069" s="3">
        <f t="shared" si="517"/>
        <v>2.5600000000000002E-3</v>
      </c>
      <c r="O1069" s="4" t="e">
        <f>(C1069-(C1069*#REF!))-((C1069-(C1069*#REF!))*#REF!)</f>
        <v>#REF!</v>
      </c>
      <c r="P1069" s="7">
        <f>175798.83699709-Q1069</f>
        <v>348.83699708999484</v>
      </c>
      <c r="Q1069" s="7">
        <v>175450</v>
      </c>
      <c r="R1069" s="5">
        <f t="shared" si="518"/>
        <v>175798.83699708999</v>
      </c>
      <c r="S1069" s="4">
        <f t="shared" si="519"/>
        <v>11.719922466472667</v>
      </c>
      <c r="T1069" s="13">
        <f t="shared" si="523"/>
        <v>18.893000000000001</v>
      </c>
      <c r="U1069" s="13">
        <f t="shared" si="532"/>
        <v>9.4465000000000003</v>
      </c>
      <c r="V1069" s="14">
        <f>U1069/C1069</f>
        <v>0.35000000000000003</v>
      </c>
      <c r="W1069" s="18">
        <f t="shared" si="535"/>
        <v>23.439844932945334</v>
      </c>
      <c r="X1069" s="19">
        <f t="shared" si="520"/>
        <v>23.439844932945334</v>
      </c>
      <c r="Y1069" s="19">
        <f t="shared" si="521"/>
        <v>46.879689865890668</v>
      </c>
      <c r="Z1069" s="15">
        <v>2</v>
      </c>
      <c r="AA1069" s="22" t="s">
        <v>4888</v>
      </c>
      <c r="AG1069" s="94" t="s">
        <v>817</v>
      </c>
      <c r="AH1069" s="89" t="str">
        <f>VLOOKUP(AG1069,Sheet1!$B$3:$D$36,2,FALSE)</f>
        <v>Kitchen &amp; Dining</v>
      </c>
      <c r="AI1069" s="89" t="s">
        <v>2077</v>
      </c>
      <c r="AJ1069" s="1" t="str">
        <f t="shared" si="524"/>
        <v>Hena bowl black</v>
      </c>
      <c r="AK1069" s="1" t="str">
        <f t="shared" si="525"/>
        <v>ø16 x h10</v>
      </c>
      <c r="AL1069" s="1" t="str">
        <f t="shared" si="526"/>
        <v>stoneware indoor</v>
      </c>
      <c r="AM1069" s="1" t="str">
        <f t="shared" si="527"/>
        <v>stoneware indoor</v>
      </c>
      <c r="AN1069" s="1" t="str">
        <f t="shared" si="516"/>
        <v xml:space="preserve">stoneware </v>
      </c>
      <c r="AO1069" s="1" t="s">
        <v>54</v>
      </c>
      <c r="AQ1069" s="1" t="str">
        <f t="shared" si="528"/>
        <v>C</v>
      </c>
      <c r="AR1069" s="1" t="str">
        <f>VLOOKUP(TRIM(AI1069),Sheet1!$D$3:$E$36,2,FALSE)</f>
        <v>01</v>
      </c>
      <c r="AS1069" s="90" t="str">
        <f t="shared" si="529"/>
        <v>06</v>
      </c>
      <c r="AT1069" s="1" t="str">
        <f t="shared" si="530"/>
        <v>01</v>
      </c>
      <c r="AU1069" s="90" t="s">
        <v>4319</v>
      </c>
      <c r="AV1069" s="90"/>
      <c r="AW1069" s="90"/>
      <c r="AX1069" s="95" t="str">
        <f>AQ1069&amp;AR1069&amp;AS1069&amp;"-"&amp;AT1069&amp;AU1069&amp;BA1069</f>
        <v>C0106-0124IND</v>
      </c>
      <c r="AY1069" s="99" t="str">
        <f>AQ1069&amp;AR1069&amp;AS1069&amp;"-"&amp;AT1069&amp;BA1069</f>
        <v>C0106-01IND</v>
      </c>
      <c r="AZ1069" s="90"/>
      <c r="BA1069" s="1" t="str">
        <f t="shared" si="531"/>
        <v>IND</v>
      </c>
      <c r="BC1069" s="1" t="str">
        <f t="shared" si="536"/>
        <v/>
      </c>
      <c r="BD1069" s="90">
        <f t="shared" si="537"/>
        <v>6</v>
      </c>
      <c r="BE1069" s="1">
        <f t="shared" si="533"/>
        <v>1</v>
      </c>
      <c r="BF1069" s="1">
        <f t="shared" si="534"/>
        <v>1</v>
      </c>
    </row>
    <row r="1070" spans="1:58" ht="11.25" customHeight="1">
      <c r="A1070" s="26" t="s">
        <v>4901</v>
      </c>
      <c r="B1070" s="27" t="s">
        <v>4886</v>
      </c>
      <c r="C1070" s="28">
        <v>29.99</v>
      </c>
      <c r="D1070" s="28">
        <f t="shared" si="522"/>
        <v>14.994999999999999</v>
      </c>
      <c r="E1070" s="22" t="s">
        <v>4467</v>
      </c>
      <c r="F1070" s="22" t="s">
        <v>4902</v>
      </c>
      <c r="G1070" s="22" t="s">
        <v>352</v>
      </c>
      <c r="H1070" s="22" t="s">
        <v>4834</v>
      </c>
      <c r="I1070" s="23" t="s">
        <v>4723</v>
      </c>
      <c r="J1070" s="22" t="s">
        <v>670</v>
      </c>
      <c r="L1070" s="23">
        <v>17</v>
      </c>
      <c r="M1070" s="23">
        <v>5</v>
      </c>
      <c r="N1070" s="3">
        <f t="shared" si="517"/>
        <v>1.4450000000000001E-3</v>
      </c>
      <c r="O1070" s="4" t="e">
        <f>(C1070-(C1070*#REF!))-((C1070-(C1070*#REF!))*#REF!)</f>
        <v>#REF!</v>
      </c>
      <c r="P1070" s="7">
        <f>200132.819373134-Q1070</f>
        <v>482.81937313399976</v>
      </c>
      <c r="Q1070" s="7">
        <v>199650</v>
      </c>
      <c r="R1070" s="5">
        <f t="shared" si="518"/>
        <v>200132.819373134</v>
      </c>
      <c r="S1070" s="4">
        <f t="shared" si="519"/>
        <v>13.342187958208934</v>
      </c>
      <c r="T1070" s="13">
        <f t="shared" si="523"/>
        <v>20.992999999999999</v>
      </c>
      <c r="U1070" s="13">
        <f t="shared" si="532"/>
        <v>10.496499999999999</v>
      </c>
      <c r="V1070" s="14">
        <f>U1070/C1070</f>
        <v>0.35</v>
      </c>
      <c r="W1070" s="18">
        <f t="shared" si="535"/>
        <v>26.684375916417867</v>
      </c>
      <c r="X1070" s="19">
        <f t="shared" si="520"/>
        <v>26.684375916417867</v>
      </c>
      <c r="Y1070" s="19">
        <f t="shared" si="521"/>
        <v>53.368751832835734</v>
      </c>
      <c r="Z1070" s="15">
        <v>2</v>
      </c>
      <c r="AA1070" s="22" t="s">
        <v>4903</v>
      </c>
      <c r="AG1070" s="94" t="s">
        <v>817</v>
      </c>
      <c r="AH1070" s="89" t="str">
        <f>VLOOKUP(AG1070,Sheet1!$B$3:$D$36,2,FALSE)</f>
        <v>Kitchen &amp; Dining</v>
      </c>
      <c r="AI1070" s="89" t="s">
        <v>2077</v>
      </c>
      <c r="AJ1070" s="1" t="str">
        <f t="shared" si="524"/>
        <v>Hena bowl black</v>
      </c>
      <c r="AK1070" s="1" t="str">
        <f t="shared" si="525"/>
        <v>ø17 x h5</v>
      </c>
      <c r="AL1070" s="1" t="str">
        <f t="shared" si="526"/>
        <v>stoneware indoor</v>
      </c>
      <c r="AM1070" s="1" t="str">
        <f t="shared" si="527"/>
        <v>stoneware indoor</v>
      </c>
      <c r="AN1070" s="1" t="str">
        <f t="shared" si="516"/>
        <v xml:space="preserve">stoneware </v>
      </c>
      <c r="AO1070" s="1" t="s">
        <v>54</v>
      </c>
      <c r="AQ1070" s="1" t="str">
        <f t="shared" si="528"/>
        <v>C</v>
      </c>
      <c r="AR1070" s="1" t="str">
        <f>VLOOKUP(TRIM(AI1070),Sheet1!$D$3:$E$36,2,FALSE)</f>
        <v>01</v>
      </c>
      <c r="AS1070" s="90" t="str">
        <f t="shared" si="529"/>
        <v>07</v>
      </c>
      <c r="AT1070" s="1" t="str">
        <f t="shared" si="530"/>
        <v>01</v>
      </c>
      <c r="AU1070" s="90" t="s">
        <v>4319</v>
      </c>
      <c r="AV1070" s="90"/>
      <c r="AW1070" s="90"/>
      <c r="AX1070" s="95" t="str">
        <f>AQ1070&amp;AR1070&amp;AS1070&amp;"-"&amp;AT1070&amp;AU1070&amp;BA1070</f>
        <v>C0107-0124IND</v>
      </c>
      <c r="AY1070" s="99" t="str">
        <f>AQ1070&amp;AR1070&amp;AS1070&amp;"-"&amp;AT1070&amp;BA1070</f>
        <v>C0107-01IND</v>
      </c>
      <c r="AZ1070" s="90"/>
      <c r="BA1070" s="1" t="str">
        <f t="shared" si="531"/>
        <v>IND</v>
      </c>
      <c r="BC1070" s="1" t="str">
        <f t="shared" si="536"/>
        <v/>
      </c>
      <c r="BD1070" s="90">
        <f t="shared" si="537"/>
        <v>7</v>
      </c>
      <c r="BE1070" s="1">
        <f t="shared" si="533"/>
        <v>1</v>
      </c>
      <c r="BF1070" s="1">
        <f t="shared" si="534"/>
        <v>1</v>
      </c>
    </row>
    <row r="1071" spans="1:58" ht="11.25" customHeight="1">
      <c r="A1071" s="26" t="s">
        <v>4904</v>
      </c>
      <c r="B1071" s="27" t="s">
        <v>4886</v>
      </c>
      <c r="C1071" s="28">
        <v>39.99</v>
      </c>
      <c r="D1071" s="28">
        <f t="shared" si="522"/>
        <v>19.995000000000001</v>
      </c>
      <c r="E1071" s="22" t="s">
        <v>4467</v>
      </c>
      <c r="G1071" s="22" t="s">
        <v>352</v>
      </c>
      <c r="I1071" s="23" t="s">
        <v>4750</v>
      </c>
      <c r="J1071" s="22" t="s">
        <v>670</v>
      </c>
      <c r="N1071" s="3">
        <f t="shared" si="517"/>
        <v>0</v>
      </c>
      <c r="O1071" s="4" t="e">
        <f>(C1071-(C1071*#REF!))-((C1071-(C1071*#REF!))*#REF!)</f>
        <v>#REF!</v>
      </c>
      <c r="P1071" s="7">
        <f>224622.510997015-Q1071</f>
        <v>772.51099701499334</v>
      </c>
      <c r="Q1071" s="7">
        <v>223850</v>
      </c>
      <c r="R1071" s="5">
        <f t="shared" si="518"/>
        <v>224622.51099701499</v>
      </c>
      <c r="S1071" s="4">
        <f t="shared" si="519"/>
        <v>14.974834066467666</v>
      </c>
      <c r="T1071" s="13">
        <f t="shared" si="523"/>
        <v>27.993000000000002</v>
      </c>
      <c r="U1071" s="13">
        <f t="shared" si="532"/>
        <v>13.996500000000001</v>
      </c>
      <c r="V1071" s="14">
        <f>U1071/C1071</f>
        <v>0.35000000000000003</v>
      </c>
      <c r="W1071" s="18">
        <f t="shared" si="535"/>
        <v>29.949668132935333</v>
      </c>
      <c r="X1071" s="19">
        <f t="shared" si="520"/>
        <v>29.949668132935333</v>
      </c>
      <c r="Y1071" s="19">
        <f t="shared" si="521"/>
        <v>59.899336265870666</v>
      </c>
      <c r="Z1071" s="15">
        <v>2</v>
      </c>
      <c r="AA1071" s="22" t="s">
        <v>4891</v>
      </c>
      <c r="AG1071" s="94" t="s">
        <v>817</v>
      </c>
      <c r="AH1071" s="89" t="str">
        <f>VLOOKUP(AG1071,Sheet1!$B$3:$D$36,2,FALSE)</f>
        <v>Kitchen &amp; Dining</v>
      </c>
      <c r="AI1071" s="89" t="s">
        <v>2077</v>
      </c>
      <c r="AJ1071" s="1" t="str">
        <f t="shared" si="524"/>
        <v>Hena bowl black</v>
      </c>
      <c r="AK1071" s="1" t="str">
        <f t="shared" si="525"/>
        <v/>
      </c>
      <c r="AL1071" s="1" t="str">
        <f t="shared" si="526"/>
        <v>stoneware
indoor
# 4</v>
      </c>
      <c r="AM1071" s="1" t="str">
        <f t="shared" si="527"/>
        <v>stoneware
indoor
# 4</v>
      </c>
      <c r="AN1071" s="1" t="str">
        <f t="shared" si="516"/>
        <v>stoneware
# 4</v>
      </c>
      <c r="AO1071" s="1" t="s">
        <v>54</v>
      </c>
      <c r="AQ1071" s="1" t="str">
        <f t="shared" si="528"/>
        <v>C</v>
      </c>
      <c r="AR1071" s="1" t="str">
        <f>VLOOKUP(TRIM(AI1071),Sheet1!$D$3:$E$36,2,FALSE)</f>
        <v>01</v>
      </c>
      <c r="AS1071" s="90" t="str">
        <f t="shared" si="529"/>
        <v>08</v>
      </c>
      <c r="AT1071" s="1" t="str">
        <f t="shared" si="530"/>
        <v>01</v>
      </c>
      <c r="AU1071" s="90" t="s">
        <v>4319</v>
      </c>
      <c r="AV1071" s="90"/>
      <c r="AW1071" s="90"/>
      <c r="AX1071" s="95" t="str">
        <f>AQ1071&amp;AR1071&amp;AS1071&amp;"-"&amp;AT1071&amp;AU1071&amp;BA1071</f>
        <v>C0108-0124IND</v>
      </c>
      <c r="AY1071" s="99" t="str">
        <f>AQ1071&amp;AR1071&amp;AS1071&amp;"-"&amp;AT1071&amp;BA1071</f>
        <v>C0108-01IND</v>
      </c>
      <c r="AZ1071" s="90"/>
      <c r="BA1071" s="1" t="str">
        <f t="shared" si="531"/>
        <v>IND</v>
      </c>
      <c r="BC1071" s="1" t="str">
        <f t="shared" si="536"/>
        <v/>
      </c>
      <c r="BD1071" s="90">
        <f t="shared" si="537"/>
        <v>8</v>
      </c>
      <c r="BE1071" s="1">
        <f t="shared" si="533"/>
        <v>1</v>
      </c>
      <c r="BF1071" s="1">
        <f t="shared" si="534"/>
        <v>1</v>
      </c>
    </row>
    <row r="1072" spans="1:58" ht="11.25" customHeight="1">
      <c r="A1072" s="26" t="s">
        <v>4905</v>
      </c>
      <c r="B1072" s="27" t="s">
        <v>4886</v>
      </c>
      <c r="C1072" s="28">
        <v>21.99</v>
      </c>
      <c r="D1072" s="28">
        <f t="shared" si="522"/>
        <v>10.994999999999999</v>
      </c>
      <c r="E1072" s="22" t="s">
        <v>4467</v>
      </c>
      <c r="F1072" s="22" t="s">
        <v>4906</v>
      </c>
      <c r="G1072" s="22" t="s">
        <v>352</v>
      </c>
      <c r="H1072" s="22" t="s">
        <v>4842</v>
      </c>
      <c r="I1072" s="23" t="s">
        <v>4723</v>
      </c>
      <c r="J1072" s="22" t="s">
        <v>670</v>
      </c>
      <c r="L1072" s="23">
        <v>20</v>
      </c>
      <c r="M1072" s="23">
        <v>8</v>
      </c>
      <c r="N1072" s="3">
        <f t="shared" si="517"/>
        <v>3.2000000000000002E-3</v>
      </c>
      <c r="O1072" s="4" t="e">
        <f>(C1072-(C1072*#REF!))-((C1072-(C1072*#REF!))*#REF!)</f>
        <v>#REF!</v>
      </c>
      <c r="P1072" s="7">
        <f>303707.048432836-Q1072</f>
        <v>1207.048432836018</v>
      </c>
      <c r="Q1072" s="7">
        <v>302500</v>
      </c>
      <c r="R1072" s="5">
        <f t="shared" si="518"/>
        <v>303707.04843283602</v>
      </c>
      <c r="S1072" s="4">
        <f t="shared" si="519"/>
        <v>20.247136562189066</v>
      </c>
      <c r="T1072" s="13">
        <f t="shared" si="523"/>
        <v>15.392999999999999</v>
      </c>
      <c r="U1072" s="13">
        <f t="shared" si="532"/>
        <v>7.6964999999999995</v>
      </c>
      <c r="V1072" s="14">
        <f>U1072/C1072</f>
        <v>0.35</v>
      </c>
      <c r="W1072" s="18">
        <f t="shared" si="535"/>
        <v>40.494273124378132</v>
      </c>
      <c r="X1072" s="19">
        <f t="shared" si="520"/>
        <v>40.494273124378132</v>
      </c>
      <c r="Y1072" s="19">
        <f t="shared" si="521"/>
        <v>80.988546248756265</v>
      </c>
      <c r="Z1072" s="15">
        <v>2</v>
      </c>
      <c r="AA1072" s="22" t="s">
        <v>4888</v>
      </c>
      <c r="AG1072" s="94" t="s">
        <v>817</v>
      </c>
      <c r="AH1072" s="89" t="str">
        <f>VLOOKUP(AG1072,Sheet1!$B$3:$D$36,2,FALSE)</f>
        <v>Kitchen &amp; Dining</v>
      </c>
      <c r="AI1072" s="89" t="s">
        <v>2077</v>
      </c>
      <c r="AJ1072" s="1" t="str">
        <f t="shared" si="524"/>
        <v>Hena bowl black</v>
      </c>
      <c r="AK1072" s="1" t="str">
        <f t="shared" si="525"/>
        <v>ø20 x h8</v>
      </c>
      <c r="AL1072" s="1" t="str">
        <f t="shared" si="526"/>
        <v>stoneware indoor</v>
      </c>
      <c r="AM1072" s="1" t="str">
        <f t="shared" si="527"/>
        <v>stoneware indoor</v>
      </c>
      <c r="AN1072" s="1" t="str">
        <f t="shared" si="516"/>
        <v xml:space="preserve">stoneware </v>
      </c>
      <c r="AO1072" s="1" t="s">
        <v>54</v>
      </c>
      <c r="AQ1072" s="1" t="str">
        <f t="shared" si="528"/>
        <v>C</v>
      </c>
      <c r="AR1072" s="1" t="str">
        <f>VLOOKUP(TRIM(AI1072),Sheet1!$D$3:$E$36,2,FALSE)</f>
        <v>01</v>
      </c>
      <c r="AS1072" s="90" t="str">
        <f t="shared" si="529"/>
        <v>09</v>
      </c>
      <c r="AT1072" s="1" t="str">
        <f t="shared" si="530"/>
        <v>01</v>
      </c>
      <c r="AU1072" s="90" t="s">
        <v>4319</v>
      </c>
      <c r="AV1072" s="90"/>
      <c r="AW1072" s="90"/>
      <c r="AX1072" s="95" t="str">
        <f>AQ1072&amp;AR1072&amp;AS1072&amp;"-"&amp;AT1072&amp;AU1072&amp;BA1072</f>
        <v>C0109-0124IND</v>
      </c>
      <c r="AY1072" s="99" t="str">
        <f>AQ1072&amp;AR1072&amp;AS1072&amp;"-"&amp;AT1072&amp;BA1072</f>
        <v>C0109-01IND</v>
      </c>
      <c r="AZ1072" s="90"/>
      <c r="BA1072" s="1" t="str">
        <f t="shared" si="531"/>
        <v>IND</v>
      </c>
      <c r="BC1072" s="1" t="str">
        <f t="shared" si="536"/>
        <v/>
      </c>
      <c r="BD1072" s="90">
        <f t="shared" si="537"/>
        <v>9</v>
      </c>
      <c r="BE1072" s="1">
        <f t="shared" si="533"/>
        <v>1</v>
      </c>
      <c r="BF1072" s="1">
        <f t="shared" si="534"/>
        <v>1</v>
      </c>
    </row>
    <row r="1073" spans="1:58" ht="11.25" customHeight="1">
      <c r="A1073" s="26" t="s">
        <v>4907</v>
      </c>
      <c r="B1073" s="27" t="s">
        <v>4886</v>
      </c>
      <c r="C1073" s="28">
        <v>27.99</v>
      </c>
      <c r="D1073" s="28">
        <f t="shared" si="522"/>
        <v>13.994999999999999</v>
      </c>
      <c r="E1073" s="22" t="s">
        <v>4467</v>
      </c>
      <c r="F1073" s="22" t="s">
        <v>4908</v>
      </c>
      <c r="G1073" s="22" t="s">
        <v>352</v>
      </c>
      <c r="H1073" s="22" t="s">
        <v>4845</v>
      </c>
      <c r="I1073" s="23" t="s">
        <v>4723</v>
      </c>
      <c r="J1073" s="22" t="s">
        <v>670</v>
      </c>
      <c r="L1073" s="23">
        <v>25</v>
      </c>
      <c r="M1073" s="23">
        <v>8</v>
      </c>
      <c r="N1073" s="3">
        <f t="shared" si="517"/>
        <v>5.0000000000000001E-3</v>
      </c>
      <c r="O1073" s="4" t="e">
        <f>(C1073-(C1073*#REF!))-((C1073-(C1073*#REF!))*#REF!)</f>
        <v>#REF!</v>
      </c>
      <c r="P1073" s="7">
        <f>365112.334757463-Q1073</f>
        <v>2112.334757463017</v>
      </c>
      <c r="Q1073" s="7">
        <v>363000</v>
      </c>
      <c r="R1073" s="5">
        <f t="shared" si="518"/>
        <v>365112.33475746302</v>
      </c>
      <c r="S1073" s="4">
        <f t="shared" si="519"/>
        <v>24.3408223171642</v>
      </c>
      <c r="T1073" s="13">
        <f t="shared" si="523"/>
        <v>19.593</v>
      </c>
      <c r="U1073" s="13">
        <f t="shared" si="532"/>
        <v>9.7965</v>
      </c>
      <c r="V1073" s="14">
        <f>U1073/C1073</f>
        <v>0.35000000000000003</v>
      </c>
      <c r="W1073" s="18">
        <f t="shared" si="535"/>
        <v>48.6816446343284</v>
      </c>
      <c r="X1073" s="19">
        <f t="shared" si="520"/>
        <v>48.6816446343284</v>
      </c>
      <c r="Y1073" s="19">
        <f t="shared" si="521"/>
        <v>97.3632892686568</v>
      </c>
      <c r="Z1073" s="15">
        <v>2</v>
      </c>
      <c r="AA1073" s="22" t="s">
        <v>4909</v>
      </c>
      <c r="AG1073" s="94" t="s">
        <v>817</v>
      </c>
      <c r="AH1073" s="89" t="str">
        <f>VLOOKUP(AG1073,Sheet1!$B$3:$D$36,2,FALSE)</f>
        <v>Kitchen &amp; Dining</v>
      </c>
      <c r="AI1073" s="89" t="s">
        <v>2077</v>
      </c>
      <c r="AJ1073" s="1" t="str">
        <f t="shared" si="524"/>
        <v>Hena bowl black</v>
      </c>
      <c r="AK1073" s="1" t="str">
        <f t="shared" si="525"/>
        <v>ø25 x h8</v>
      </c>
      <c r="AL1073" s="1" t="str">
        <f t="shared" si="526"/>
        <v>stoneware indoor</v>
      </c>
      <c r="AM1073" s="1" t="str">
        <f t="shared" si="527"/>
        <v>stoneware indoor</v>
      </c>
      <c r="AN1073" s="1" t="str">
        <f t="shared" si="516"/>
        <v xml:space="preserve">stoneware </v>
      </c>
      <c r="AO1073" s="1" t="s">
        <v>54</v>
      </c>
      <c r="AQ1073" s="1" t="str">
        <f t="shared" si="528"/>
        <v>C</v>
      </c>
      <c r="AR1073" s="1" t="str">
        <f>VLOOKUP(TRIM(AI1073),Sheet1!$D$3:$E$36,2,FALSE)</f>
        <v>01</v>
      </c>
      <c r="AS1073" s="90">
        <f t="shared" si="529"/>
        <v>10</v>
      </c>
      <c r="AT1073" s="1" t="str">
        <f t="shared" si="530"/>
        <v>01</v>
      </c>
      <c r="AU1073" s="90" t="s">
        <v>4319</v>
      </c>
      <c r="AV1073" s="90"/>
      <c r="AW1073" s="90"/>
      <c r="AX1073" s="95" t="str">
        <f>AQ1073&amp;AR1073&amp;AS1073&amp;"-"&amp;AT1073&amp;AU1073&amp;BA1073</f>
        <v>C0110-0124IND</v>
      </c>
      <c r="AY1073" s="99" t="str">
        <f>AQ1073&amp;AR1073&amp;AS1073&amp;"-"&amp;AT1073&amp;BA1073</f>
        <v>C0110-01IND</v>
      </c>
      <c r="AZ1073" s="90"/>
      <c r="BA1073" s="1" t="str">
        <f t="shared" si="531"/>
        <v>IND</v>
      </c>
      <c r="BC1073" s="1" t="str">
        <f t="shared" si="536"/>
        <v/>
      </c>
      <c r="BD1073" s="90">
        <f t="shared" si="537"/>
        <v>10</v>
      </c>
      <c r="BE1073" s="1">
        <f t="shared" si="533"/>
        <v>1</v>
      </c>
      <c r="BF1073" s="1">
        <f t="shared" si="534"/>
        <v>1</v>
      </c>
    </row>
    <row r="1074" spans="1:58" ht="11.25" customHeight="1">
      <c r="A1074" s="26" t="s">
        <v>4910</v>
      </c>
      <c r="B1074" s="27" t="s">
        <v>4886</v>
      </c>
      <c r="C1074" s="28">
        <v>50.99</v>
      </c>
      <c r="D1074" s="28">
        <f t="shared" si="522"/>
        <v>25.495000000000001</v>
      </c>
      <c r="E1074" s="22" t="s">
        <v>4467</v>
      </c>
      <c r="F1074" s="22" t="s">
        <v>4911</v>
      </c>
      <c r="G1074" s="22" t="s">
        <v>352</v>
      </c>
      <c r="H1074" s="22" t="s">
        <v>4849</v>
      </c>
      <c r="I1074" s="23" t="s">
        <v>4723</v>
      </c>
      <c r="J1074" s="22" t="s">
        <v>670</v>
      </c>
      <c r="L1074" s="23">
        <v>25</v>
      </c>
      <c r="M1074" s="23">
        <v>14</v>
      </c>
      <c r="N1074" s="3">
        <f t="shared" si="517"/>
        <v>8.7500000000000008E-3</v>
      </c>
      <c r="O1074" s="4" t="e">
        <f>(C1074-(C1074*#REF!))-((C1074-(C1074*#REF!))*#REF!)</f>
        <v>#REF!</v>
      </c>
      <c r="P1074" s="7">
        <f>437832.556781373-Q1074</f>
        <v>2232.5567813729867</v>
      </c>
      <c r="Q1074" s="7">
        <v>435600</v>
      </c>
      <c r="R1074" s="5">
        <f t="shared" si="518"/>
        <v>437832.55678137299</v>
      </c>
      <c r="S1074" s="4">
        <f t="shared" si="519"/>
        <v>29.188837118758197</v>
      </c>
      <c r="T1074" s="13">
        <f t="shared" si="523"/>
        <v>35.692999999999998</v>
      </c>
      <c r="U1074" s="13">
        <f t="shared" si="532"/>
        <v>17.846499999999999</v>
      </c>
      <c r="V1074" s="14">
        <f>U1074/C1074</f>
        <v>0.35</v>
      </c>
      <c r="W1074" s="18">
        <f t="shared" si="535"/>
        <v>58.377674237516395</v>
      </c>
      <c r="X1074" s="19">
        <f t="shared" si="520"/>
        <v>58.377674237516395</v>
      </c>
      <c r="Y1074" s="19">
        <f t="shared" si="521"/>
        <v>116.75534847503279</v>
      </c>
      <c r="Z1074" s="15">
        <v>2</v>
      </c>
      <c r="AA1074" s="22" t="s">
        <v>4888</v>
      </c>
      <c r="AG1074" s="94" t="s">
        <v>817</v>
      </c>
      <c r="AH1074" s="89" t="str">
        <f>VLOOKUP(AG1074,Sheet1!$B$3:$D$36,2,FALSE)</f>
        <v>Kitchen &amp; Dining</v>
      </c>
      <c r="AI1074" s="89" t="s">
        <v>2077</v>
      </c>
      <c r="AJ1074" s="1" t="str">
        <f t="shared" si="524"/>
        <v>Hena bowl black</v>
      </c>
      <c r="AK1074" s="1" t="str">
        <f t="shared" si="525"/>
        <v>ø25 x h14</v>
      </c>
      <c r="AL1074" s="1" t="str">
        <f t="shared" si="526"/>
        <v>stoneware indoor</v>
      </c>
      <c r="AM1074" s="1" t="str">
        <f t="shared" si="527"/>
        <v>stoneware indoor</v>
      </c>
      <c r="AN1074" s="1" t="str">
        <f t="shared" si="516"/>
        <v xml:space="preserve">stoneware </v>
      </c>
      <c r="AO1074" s="1" t="s">
        <v>54</v>
      </c>
      <c r="AQ1074" s="1" t="str">
        <f t="shared" si="528"/>
        <v>C</v>
      </c>
      <c r="AR1074" s="1" t="str">
        <f>VLOOKUP(TRIM(AI1074),Sheet1!$D$3:$E$36,2,FALSE)</f>
        <v>01</v>
      </c>
      <c r="AS1074" s="90">
        <f t="shared" si="529"/>
        <v>11</v>
      </c>
      <c r="AT1074" s="1" t="str">
        <f t="shared" si="530"/>
        <v>01</v>
      </c>
      <c r="AU1074" s="90" t="s">
        <v>4319</v>
      </c>
      <c r="AV1074" s="90"/>
      <c r="AW1074" s="90"/>
      <c r="AX1074" s="95" t="str">
        <f>AQ1074&amp;AR1074&amp;AS1074&amp;"-"&amp;AT1074&amp;AU1074&amp;BA1074</f>
        <v>C0111-0124IND</v>
      </c>
      <c r="AY1074" s="99" t="str">
        <f>AQ1074&amp;AR1074&amp;AS1074&amp;"-"&amp;AT1074&amp;BA1074</f>
        <v>C0111-01IND</v>
      </c>
      <c r="AZ1074" s="90"/>
      <c r="BA1074" s="1" t="str">
        <f t="shared" si="531"/>
        <v>IND</v>
      </c>
      <c r="BC1074" s="1" t="str">
        <f t="shared" si="536"/>
        <v/>
      </c>
      <c r="BD1074" s="90">
        <f t="shared" si="537"/>
        <v>11</v>
      </c>
      <c r="BE1074" s="1">
        <f t="shared" si="533"/>
        <v>1</v>
      </c>
      <c r="BF1074" s="1">
        <f t="shared" si="534"/>
        <v>1</v>
      </c>
    </row>
    <row r="1075" spans="1:58" ht="11.25" customHeight="1">
      <c r="A1075" s="26" t="s">
        <v>4912</v>
      </c>
      <c r="B1075" s="27" t="s">
        <v>4886</v>
      </c>
      <c r="C1075" s="28">
        <v>50.99</v>
      </c>
      <c r="D1075" s="28">
        <f t="shared" si="522"/>
        <v>25.495000000000001</v>
      </c>
      <c r="E1075" s="22" t="s">
        <v>4467</v>
      </c>
      <c r="F1075" s="22" t="s">
        <v>4913</v>
      </c>
      <c r="G1075" s="22" t="s">
        <v>352</v>
      </c>
      <c r="H1075" s="22" t="s">
        <v>4852</v>
      </c>
      <c r="I1075" s="23" t="s">
        <v>4723</v>
      </c>
      <c r="J1075" s="22" t="s">
        <v>670</v>
      </c>
      <c r="L1075" s="23">
        <v>34</v>
      </c>
      <c r="M1075" s="23">
        <v>8</v>
      </c>
      <c r="N1075" s="3">
        <f t="shared" si="517"/>
        <v>9.2479999999999993E-3</v>
      </c>
      <c r="O1075" s="4" t="e">
        <f>(C1075-(C1075*#REF!))-((C1075-(C1075*#REF!))*#REF!)</f>
        <v>#REF!</v>
      </c>
      <c r="P1075" s="7"/>
      <c r="Q1075" s="7"/>
      <c r="R1075" s="5">
        <f t="shared" si="518"/>
        <v>0</v>
      </c>
      <c r="S1075" s="4">
        <f t="shared" si="519"/>
        <v>0</v>
      </c>
      <c r="T1075" s="13">
        <f t="shared" si="523"/>
        <v>35.692999999999998</v>
      </c>
      <c r="U1075" s="13">
        <f t="shared" si="532"/>
        <v>17.846499999999999</v>
      </c>
      <c r="V1075" s="14">
        <f>U1075/C1075</f>
        <v>0.35</v>
      </c>
      <c r="W1075" s="14"/>
      <c r="X1075" s="19">
        <f t="shared" si="520"/>
        <v>17.846499999999999</v>
      </c>
      <c r="Y1075" s="19">
        <f t="shared" si="521"/>
        <v>35.692999999999998</v>
      </c>
      <c r="Z1075" s="15" t="e">
        <f t="shared" ref="Z1075:Z1130" si="538">U1075/S1075</f>
        <v>#DIV/0!</v>
      </c>
      <c r="AA1075" s="22" t="s">
        <v>4891</v>
      </c>
      <c r="AG1075" s="94" t="s">
        <v>817</v>
      </c>
      <c r="AH1075" s="89" t="str">
        <f>VLOOKUP(AG1075,Sheet1!$B$3:$D$36,2,FALSE)</f>
        <v>Kitchen &amp; Dining</v>
      </c>
      <c r="AI1075" s="89" t="s">
        <v>2077</v>
      </c>
      <c r="AJ1075" s="1" t="str">
        <f t="shared" si="524"/>
        <v>Hena bowl black</v>
      </c>
      <c r="AK1075" s="1" t="str">
        <f t="shared" si="525"/>
        <v>ø34 x h8</v>
      </c>
      <c r="AL1075" s="1" t="str">
        <f t="shared" si="526"/>
        <v>stoneware indoor</v>
      </c>
      <c r="AM1075" s="1" t="str">
        <f t="shared" si="527"/>
        <v>stoneware indoor</v>
      </c>
      <c r="AN1075" s="1" t="str">
        <f t="shared" si="516"/>
        <v xml:space="preserve">stoneware </v>
      </c>
      <c r="AO1075" s="1" t="s">
        <v>54</v>
      </c>
      <c r="AQ1075" s="1" t="str">
        <f t="shared" si="528"/>
        <v>C</v>
      </c>
      <c r="AR1075" s="1" t="str">
        <f>VLOOKUP(TRIM(AI1075),Sheet1!$D$3:$E$36,2,FALSE)</f>
        <v>01</v>
      </c>
      <c r="AS1075" s="90">
        <f t="shared" si="529"/>
        <v>12</v>
      </c>
      <c r="AT1075" s="1" t="str">
        <f t="shared" si="530"/>
        <v>01</v>
      </c>
      <c r="AU1075" s="90" t="s">
        <v>4319</v>
      </c>
      <c r="AV1075" s="90"/>
      <c r="AW1075" s="90"/>
      <c r="AX1075" s="95" t="str">
        <f>AQ1075&amp;AR1075&amp;AS1075&amp;"-"&amp;AT1075&amp;AU1075&amp;BA1075</f>
        <v>C0112-0124IND</v>
      </c>
      <c r="AY1075" s="99" t="str">
        <f>AQ1075&amp;AR1075&amp;AS1075&amp;"-"&amp;AT1075&amp;BA1075</f>
        <v>C0112-01IND</v>
      </c>
      <c r="AZ1075" s="90"/>
      <c r="BA1075" s="1" t="str">
        <f t="shared" si="531"/>
        <v>IND</v>
      </c>
      <c r="BC1075" s="1" t="str">
        <f t="shared" si="536"/>
        <v/>
      </c>
      <c r="BD1075" s="90">
        <f t="shared" si="537"/>
        <v>12</v>
      </c>
      <c r="BE1075" s="1">
        <f t="shared" si="533"/>
        <v>1</v>
      </c>
      <c r="BF1075" s="1">
        <f t="shared" si="534"/>
        <v>1</v>
      </c>
    </row>
    <row r="1076" spans="1:58" ht="11.25" customHeight="1">
      <c r="A1076" s="26" t="s">
        <v>4914</v>
      </c>
      <c r="B1076" s="27" t="s">
        <v>4915</v>
      </c>
      <c r="C1076" s="28">
        <v>14.99</v>
      </c>
      <c r="D1076" s="28">
        <f t="shared" si="522"/>
        <v>7.4950000000000001</v>
      </c>
      <c r="E1076" s="22" t="s">
        <v>4467</v>
      </c>
      <c r="F1076" s="22" t="s">
        <v>4916</v>
      </c>
      <c r="G1076" s="22" t="s">
        <v>345</v>
      </c>
      <c r="H1076" s="22" t="s">
        <v>4856</v>
      </c>
      <c r="I1076" s="23" t="s">
        <v>4723</v>
      </c>
      <c r="J1076" s="22" t="s">
        <v>670</v>
      </c>
      <c r="L1076" s="23">
        <v>13</v>
      </c>
      <c r="M1076" s="23">
        <v>6.5</v>
      </c>
      <c r="N1076" s="3">
        <f t="shared" si="517"/>
        <v>1.0985000000000001E-3</v>
      </c>
      <c r="O1076" s="4" t="e">
        <f>(C1076-(C1076*#REF!))-((C1076-(C1076*#REF!))*#REF!)</f>
        <v>#REF!</v>
      </c>
      <c r="P1076" s="7"/>
      <c r="Q1076" s="7"/>
      <c r="R1076" s="5">
        <f t="shared" si="518"/>
        <v>0</v>
      </c>
      <c r="S1076" s="4">
        <f t="shared" si="519"/>
        <v>0</v>
      </c>
      <c r="T1076" s="13">
        <f t="shared" si="523"/>
        <v>10.493</v>
      </c>
      <c r="U1076" s="13">
        <f t="shared" si="532"/>
        <v>5.2465000000000002</v>
      </c>
      <c r="V1076" s="14">
        <f>U1076/C1076</f>
        <v>0.35000000000000003</v>
      </c>
      <c r="W1076" s="14"/>
      <c r="X1076" s="19">
        <f t="shared" si="520"/>
        <v>5.2465000000000002</v>
      </c>
      <c r="Y1076" s="19">
        <f t="shared" si="521"/>
        <v>10.493</v>
      </c>
      <c r="Z1076" s="15" t="e">
        <f t="shared" si="538"/>
        <v>#DIV/0!</v>
      </c>
      <c r="AA1076" s="22" t="s">
        <v>4917</v>
      </c>
      <c r="AG1076" s="94" t="s">
        <v>817</v>
      </c>
      <c r="AH1076" s="89" t="str">
        <f>VLOOKUP(AG1076,Sheet1!$B$3:$D$36,2,FALSE)</f>
        <v>Kitchen &amp; Dining</v>
      </c>
      <c r="AI1076" s="89" t="s">
        <v>2077</v>
      </c>
      <c r="AJ1076" s="1" t="str">
        <f t="shared" si="524"/>
        <v>Hena bowl</v>
      </c>
      <c r="AK1076" s="1" t="str">
        <f t="shared" si="525"/>
        <v>ø13 x h6,5</v>
      </c>
      <c r="AL1076" s="1" t="str">
        <f t="shared" si="526"/>
        <v>stoneware indoor</v>
      </c>
      <c r="AM1076" s="1" t="str">
        <f t="shared" si="527"/>
        <v>stoneware indoor</v>
      </c>
      <c r="AN1076" s="1" t="str">
        <f t="shared" ref="AN1076:AN1127" si="539">SUBSTITUTE(AL1076,"indoor","")</f>
        <v xml:space="preserve">stoneware </v>
      </c>
      <c r="AO1076" s="1" t="s">
        <v>54</v>
      </c>
      <c r="AQ1076" s="1" t="str">
        <f t="shared" si="528"/>
        <v>C</v>
      </c>
      <c r="AR1076" s="1" t="str">
        <f>VLOOKUP(TRIM(AI1076),Sheet1!$D$3:$E$36,2,FALSE)</f>
        <v>01</v>
      </c>
      <c r="AS1076" s="90" t="str">
        <f t="shared" si="529"/>
        <v>01</v>
      </c>
      <c r="AT1076" s="1" t="str">
        <f t="shared" si="530"/>
        <v>01</v>
      </c>
      <c r="AU1076" s="90" t="s">
        <v>4319</v>
      </c>
      <c r="AV1076" s="90"/>
      <c r="AW1076" s="90"/>
      <c r="AX1076" s="95" t="str">
        <f>AQ1076&amp;AR1076&amp;AS1076&amp;"-"&amp;AT1076&amp;AU1076&amp;BA1076</f>
        <v>C0101-0124IND</v>
      </c>
      <c r="AY1076" s="99" t="str">
        <f>AQ1076&amp;AR1076&amp;AS1076&amp;"-"&amp;AT1076&amp;BA1076</f>
        <v>C0101-01IND</v>
      </c>
      <c r="AZ1076" s="90"/>
      <c r="BA1076" s="1" t="str">
        <f t="shared" si="531"/>
        <v>IND</v>
      </c>
      <c r="BC1076" s="1">
        <f t="shared" si="536"/>
        <v>1</v>
      </c>
      <c r="BD1076" s="90">
        <f t="shared" si="537"/>
        <v>1</v>
      </c>
      <c r="BE1076" s="1">
        <f t="shared" si="533"/>
        <v>1</v>
      </c>
      <c r="BF1076" s="1">
        <f t="shared" si="534"/>
        <v>1</v>
      </c>
    </row>
    <row r="1077" spans="1:58" ht="11.25" customHeight="1">
      <c r="A1077" s="26" t="s">
        <v>4918</v>
      </c>
      <c r="B1077" s="27" t="s">
        <v>4915</v>
      </c>
      <c r="C1077" s="28">
        <v>14.99</v>
      </c>
      <c r="D1077" s="28">
        <f t="shared" si="522"/>
        <v>7.4950000000000001</v>
      </c>
      <c r="E1077" s="22" t="s">
        <v>4467</v>
      </c>
      <c r="F1077" s="22" t="s">
        <v>4919</v>
      </c>
      <c r="G1077" s="22" t="s">
        <v>345</v>
      </c>
      <c r="H1077" s="22" t="s">
        <v>4859</v>
      </c>
      <c r="I1077" s="23" t="s">
        <v>4723</v>
      </c>
      <c r="J1077" s="22" t="s">
        <v>670</v>
      </c>
      <c r="L1077" s="23">
        <v>16</v>
      </c>
      <c r="M1077" s="23">
        <v>8</v>
      </c>
      <c r="N1077" s="3">
        <f t="shared" si="517"/>
        <v>2.0479999999999999E-3</v>
      </c>
      <c r="O1077" s="4" t="e">
        <f>(C1077-(C1077*#REF!))-((C1077-(C1077*#REF!))*#REF!)</f>
        <v>#REF!</v>
      </c>
      <c r="P1077" s="7"/>
      <c r="Q1077" s="7"/>
      <c r="R1077" s="5">
        <f t="shared" si="518"/>
        <v>0</v>
      </c>
      <c r="S1077" s="4">
        <f t="shared" si="519"/>
        <v>0</v>
      </c>
      <c r="T1077" s="13">
        <f t="shared" si="523"/>
        <v>10.493</v>
      </c>
      <c r="U1077" s="13">
        <f t="shared" si="532"/>
        <v>5.2465000000000002</v>
      </c>
      <c r="V1077" s="14">
        <f>U1077/C1077</f>
        <v>0.35000000000000003</v>
      </c>
      <c r="W1077" s="14"/>
      <c r="X1077" s="19">
        <f t="shared" si="520"/>
        <v>5.2465000000000002</v>
      </c>
      <c r="Y1077" s="19">
        <f t="shared" si="521"/>
        <v>10.493</v>
      </c>
      <c r="Z1077" s="15" t="e">
        <f t="shared" si="538"/>
        <v>#DIV/0!</v>
      </c>
      <c r="AA1077" s="22" t="s">
        <v>4917</v>
      </c>
      <c r="AG1077" s="94" t="s">
        <v>817</v>
      </c>
      <c r="AH1077" s="89" t="str">
        <f>VLOOKUP(AG1077,Sheet1!$B$3:$D$36,2,FALSE)</f>
        <v>Kitchen &amp; Dining</v>
      </c>
      <c r="AI1077" s="89" t="s">
        <v>2077</v>
      </c>
      <c r="AJ1077" s="1" t="str">
        <f t="shared" si="524"/>
        <v>Hena bowl</v>
      </c>
      <c r="AK1077" s="1" t="str">
        <f t="shared" si="525"/>
        <v>ø16 x h8</v>
      </c>
      <c r="AL1077" s="1" t="str">
        <f t="shared" si="526"/>
        <v>stoneware indoor</v>
      </c>
      <c r="AM1077" s="1" t="str">
        <f t="shared" si="527"/>
        <v>stoneware indoor</v>
      </c>
      <c r="AN1077" s="1" t="str">
        <f t="shared" si="539"/>
        <v xml:space="preserve">stoneware </v>
      </c>
      <c r="AO1077" s="1" t="s">
        <v>54</v>
      </c>
      <c r="AQ1077" s="1" t="str">
        <f t="shared" si="528"/>
        <v>C</v>
      </c>
      <c r="AR1077" s="1" t="str">
        <f>VLOOKUP(TRIM(AI1077),Sheet1!$D$3:$E$36,2,FALSE)</f>
        <v>01</v>
      </c>
      <c r="AS1077" s="90" t="str">
        <f t="shared" si="529"/>
        <v>02</v>
      </c>
      <c r="AT1077" s="1" t="str">
        <f t="shared" si="530"/>
        <v>01</v>
      </c>
      <c r="AU1077" s="90" t="s">
        <v>4319</v>
      </c>
      <c r="AV1077" s="90"/>
      <c r="AW1077" s="90"/>
      <c r="AX1077" s="95" t="str">
        <f>AQ1077&amp;AR1077&amp;AS1077&amp;"-"&amp;AT1077&amp;AU1077&amp;BA1077</f>
        <v>C0102-0124IND</v>
      </c>
      <c r="AY1077" s="99" t="str">
        <f>AQ1077&amp;AR1077&amp;AS1077&amp;"-"&amp;AT1077&amp;BA1077</f>
        <v>C0102-01IND</v>
      </c>
      <c r="AZ1077" s="90"/>
      <c r="BA1077" s="1" t="str">
        <f t="shared" si="531"/>
        <v>IND</v>
      </c>
      <c r="BC1077" s="1" t="str">
        <f t="shared" si="536"/>
        <v/>
      </c>
      <c r="BD1077" s="90">
        <f t="shared" si="537"/>
        <v>2</v>
      </c>
      <c r="BE1077" s="1">
        <f t="shared" si="533"/>
        <v>1</v>
      </c>
      <c r="BF1077" s="1">
        <f t="shared" si="534"/>
        <v>1</v>
      </c>
    </row>
    <row r="1078" spans="1:58" ht="11.25" customHeight="1">
      <c r="A1078" s="26" t="s">
        <v>4920</v>
      </c>
      <c r="B1078" s="27" t="s">
        <v>4915</v>
      </c>
      <c r="C1078" s="28">
        <v>21.99</v>
      </c>
      <c r="D1078" s="28">
        <f t="shared" si="522"/>
        <v>10.994999999999999</v>
      </c>
      <c r="E1078" s="22" t="s">
        <v>4467</v>
      </c>
      <c r="F1078" s="22" t="s">
        <v>4921</v>
      </c>
      <c r="G1078" s="22" t="s">
        <v>345</v>
      </c>
      <c r="H1078" s="22" t="s">
        <v>4862</v>
      </c>
      <c r="I1078" s="23" t="s">
        <v>4723</v>
      </c>
      <c r="J1078" s="22" t="s">
        <v>670</v>
      </c>
      <c r="L1078" s="23">
        <v>19.5</v>
      </c>
      <c r="M1078" s="23">
        <v>9.5</v>
      </c>
      <c r="N1078" s="3">
        <f t="shared" si="517"/>
        <v>3.6123750000000001E-3</v>
      </c>
      <c r="O1078" s="4" t="e">
        <f>(C1078-(C1078*#REF!))-((C1078-(C1078*#REF!))*#REF!)</f>
        <v>#REF!</v>
      </c>
      <c r="P1078" s="7"/>
      <c r="Q1078" s="7"/>
      <c r="R1078" s="5">
        <f t="shared" si="518"/>
        <v>0</v>
      </c>
      <c r="S1078" s="4">
        <f t="shared" si="519"/>
        <v>0</v>
      </c>
      <c r="T1078" s="13">
        <f t="shared" si="523"/>
        <v>15.392999999999999</v>
      </c>
      <c r="U1078" s="13">
        <f t="shared" si="532"/>
        <v>7.6964999999999995</v>
      </c>
      <c r="V1078" s="14">
        <f>U1078/C1078</f>
        <v>0.35</v>
      </c>
      <c r="W1078" s="14"/>
      <c r="X1078" s="19">
        <f t="shared" si="520"/>
        <v>7.6964999999999995</v>
      </c>
      <c r="Y1078" s="19">
        <f t="shared" si="521"/>
        <v>15.392999999999999</v>
      </c>
      <c r="Z1078" s="15" t="e">
        <f t="shared" si="538"/>
        <v>#DIV/0!</v>
      </c>
      <c r="AA1078" s="22" t="s">
        <v>4922</v>
      </c>
      <c r="AG1078" s="94" t="s">
        <v>817</v>
      </c>
      <c r="AH1078" s="89" t="str">
        <f>VLOOKUP(AG1078,Sheet1!$B$3:$D$36,2,FALSE)</f>
        <v>Kitchen &amp; Dining</v>
      </c>
      <c r="AI1078" s="89" t="s">
        <v>2077</v>
      </c>
      <c r="AJ1078" s="1" t="str">
        <f t="shared" si="524"/>
        <v>Hena bowl</v>
      </c>
      <c r="AK1078" s="1" t="str">
        <f t="shared" si="525"/>
        <v>ø19,5 x h9,5</v>
      </c>
      <c r="AL1078" s="1" t="str">
        <f t="shared" si="526"/>
        <v>stoneware indoor</v>
      </c>
      <c r="AM1078" s="1" t="str">
        <f t="shared" si="527"/>
        <v>stoneware indoor</v>
      </c>
      <c r="AN1078" s="1" t="str">
        <f t="shared" si="539"/>
        <v xml:space="preserve">stoneware </v>
      </c>
      <c r="AO1078" s="1" t="s">
        <v>54</v>
      </c>
      <c r="AQ1078" s="1" t="str">
        <f t="shared" si="528"/>
        <v>C</v>
      </c>
      <c r="AR1078" s="1" t="str">
        <f>VLOOKUP(TRIM(AI1078),Sheet1!$D$3:$E$36,2,FALSE)</f>
        <v>01</v>
      </c>
      <c r="AS1078" s="90" t="str">
        <f t="shared" si="529"/>
        <v>03</v>
      </c>
      <c r="AT1078" s="1" t="str">
        <f t="shared" si="530"/>
        <v>01</v>
      </c>
      <c r="AU1078" s="90" t="s">
        <v>4319</v>
      </c>
      <c r="AV1078" s="90"/>
      <c r="AW1078" s="90"/>
      <c r="AX1078" s="95" t="str">
        <f>AQ1078&amp;AR1078&amp;AS1078&amp;"-"&amp;AT1078&amp;AU1078&amp;BA1078</f>
        <v>C0103-0124IND</v>
      </c>
      <c r="AY1078" s="99" t="str">
        <f>AQ1078&amp;AR1078&amp;AS1078&amp;"-"&amp;AT1078&amp;BA1078</f>
        <v>C0103-01IND</v>
      </c>
      <c r="AZ1078" s="90"/>
      <c r="BA1078" s="1" t="str">
        <f t="shared" si="531"/>
        <v>IND</v>
      </c>
      <c r="BC1078" s="1" t="str">
        <f t="shared" si="536"/>
        <v/>
      </c>
      <c r="BD1078" s="90">
        <f t="shared" si="537"/>
        <v>3</v>
      </c>
      <c r="BE1078" s="1">
        <f t="shared" si="533"/>
        <v>1</v>
      </c>
      <c r="BF1078" s="1">
        <f t="shared" si="534"/>
        <v>1</v>
      </c>
    </row>
    <row r="1079" spans="1:58" ht="11.25" customHeight="1">
      <c r="A1079" s="26" t="s">
        <v>4923</v>
      </c>
      <c r="B1079" s="27" t="s">
        <v>4915</v>
      </c>
      <c r="C1079" s="28">
        <v>31.99</v>
      </c>
      <c r="D1079" s="28">
        <f t="shared" si="522"/>
        <v>15.994999999999999</v>
      </c>
      <c r="E1079" s="22" t="s">
        <v>4467</v>
      </c>
      <c r="F1079" s="22" t="s">
        <v>4924</v>
      </c>
      <c r="G1079" s="22" t="s">
        <v>345</v>
      </c>
      <c r="H1079" s="22" t="s">
        <v>4865</v>
      </c>
      <c r="I1079" s="23" t="s">
        <v>4723</v>
      </c>
      <c r="J1079" s="22" t="s">
        <v>670</v>
      </c>
      <c r="L1079" s="23">
        <v>26</v>
      </c>
      <c r="M1079" s="23">
        <v>13</v>
      </c>
      <c r="N1079" s="3">
        <f t="shared" si="517"/>
        <v>8.7880000000000007E-3</v>
      </c>
      <c r="O1079" s="4" t="e">
        <f>(C1079-(C1079*#REF!))-((C1079-(C1079*#REF!))*#REF!)</f>
        <v>#REF!</v>
      </c>
      <c r="P1079" s="7"/>
      <c r="Q1079" s="7"/>
      <c r="R1079" s="5">
        <f t="shared" si="518"/>
        <v>0</v>
      </c>
      <c r="S1079" s="4">
        <f t="shared" si="519"/>
        <v>0</v>
      </c>
      <c r="T1079" s="13">
        <f t="shared" si="523"/>
        <v>22.393000000000001</v>
      </c>
      <c r="U1079" s="13">
        <f t="shared" si="532"/>
        <v>11.1965</v>
      </c>
      <c r="V1079" s="14">
        <f>U1079/C1079</f>
        <v>0.35000000000000003</v>
      </c>
      <c r="W1079" s="14"/>
      <c r="X1079" s="19">
        <f t="shared" si="520"/>
        <v>11.1965</v>
      </c>
      <c r="Y1079" s="19">
        <f t="shared" si="521"/>
        <v>22.393000000000001</v>
      </c>
      <c r="Z1079" s="15" t="e">
        <f t="shared" si="538"/>
        <v>#DIV/0!</v>
      </c>
      <c r="AA1079" s="22" t="s">
        <v>4925</v>
      </c>
      <c r="AG1079" s="94" t="s">
        <v>817</v>
      </c>
      <c r="AH1079" s="89" t="str">
        <f>VLOOKUP(AG1079,Sheet1!$B$3:$D$36,2,FALSE)</f>
        <v>Kitchen &amp; Dining</v>
      </c>
      <c r="AI1079" s="89" t="s">
        <v>2077</v>
      </c>
      <c r="AJ1079" s="1" t="str">
        <f t="shared" si="524"/>
        <v>Hena bowl</v>
      </c>
      <c r="AK1079" s="1" t="str">
        <f t="shared" si="525"/>
        <v>ø26 x h13</v>
      </c>
      <c r="AL1079" s="1" t="str">
        <f t="shared" si="526"/>
        <v>stoneware indoor</v>
      </c>
      <c r="AM1079" s="1" t="str">
        <f t="shared" si="527"/>
        <v>stoneware indoor</v>
      </c>
      <c r="AN1079" s="1" t="str">
        <f t="shared" si="539"/>
        <v xml:space="preserve">stoneware </v>
      </c>
      <c r="AO1079" s="1" t="s">
        <v>54</v>
      </c>
      <c r="AQ1079" s="1" t="str">
        <f t="shared" si="528"/>
        <v>C</v>
      </c>
      <c r="AR1079" s="1" t="str">
        <f>VLOOKUP(TRIM(AI1079),Sheet1!$D$3:$E$36,2,FALSE)</f>
        <v>01</v>
      </c>
      <c r="AS1079" s="90" t="str">
        <f t="shared" si="529"/>
        <v>04</v>
      </c>
      <c r="AT1079" s="1" t="str">
        <f t="shared" si="530"/>
        <v>01</v>
      </c>
      <c r="AU1079" s="90" t="s">
        <v>4319</v>
      </c>
      <c r="AV1079" s="90"/>
      <c r="AW1079" s="90"/>
      <c r="AX1079" s="95" t="str">
        <f>AQ1079&amp;AR1079&amp;AS1079&amp;"-"&amp;AT1079&amp;AU1079&amp;BA1079</f>
        <v>C0104-0124IND</v>
      </c>
      <c r="AY1079" s="99" t="str">
        <f>AQ1079&amp;AR1079&amp;AS1079&amp;"-"&amp;AT1079&amp;BA1079</f>
        <v>C0104-01IND</v>
      </c>
      <c r="AZ1079" s="90"/>
      <c r="BA1079" s="1" t="str">
        <f t="shared" si="531"/>
        <v>IND</v>
      </c>
      <c r="BC1079" s="1" t="str">
        <f t="shared" si="536"/>
        <v/>
      </c>
      <c r="BD1079" s="90">
        <f t="shared" si="537"/>
        <v>4</v>
      </c>
      <c r="BE1079" s="1">
        <f t="shared" si="533"/>
        <v>1</v>
      </c>
      <c r="BF1079" s="1">
        <f t="shared" si="534"/>
        <v>1</v>
      </c>
    </row>
    <row r="1080" spans="1:58" ht="11.25" customHeight="1">
      <c r="A1080" s="26" t="s">
        <v>4926</v>
      </c>
      <c r="B1080" s="27" t="s">
        <v>4927</v>
      </c>
      <c r="C1080" s="28">
        <v>10.99</v>
      </c>
      <c r="D1080" s="28">
        <f t="shared" si="522"/>
        <v>5.4950000000000001</v>
      </c>
      <c r="E1080" s="22" t="s">
        <v>4467</v>
      </c>
      <c r="F1080" s="22" t="s">
        <v>4928</v>
      </c>
      <c r="G1080" s="22" t="s">
        <v>976</v>
      </c>
      <c r="H1080" s="22" t="s">
        <v>4869</v>
      </c>
      <c r="I1080" s="23" t="s">
        <v>4929</v>
      </c>
      <c r="J1080" s="22" t="s">
        <v>670</v>
      </c>
      <c r="K1080" s="23">
        <v>8</v>
      </c>
      <c r="L1080" s="23">
        <v>12</v>
      </c>
      <c r="M1080" s="23">
        <v>1.5</v>
      </c>
      <c r="N1080" s="3">
        <f t="shared" si="517"/>
        <v>1.44E-4</v>
      </c>
      <c r="O1080" s="4" t="e">
        <f>(C1080-(C1080*#REF!))-((C1080-(C1080*#REF!))*#REF!)</f>
        <v>#REF!</v>
      </c>
      <c r="P1080" s="7"/>
      <c r="Q1080" s="7"/>
      <c r="R1080" s="5">
        <f t="shared" si="518"/>
        <v>0</v>
      </c>
      <c r="S1080" s="4">
        <f t="shared" si="519"/>
        <v>0</v>
      </c>
      <c r="T1080" s="13">
        <f t="shared" si="523"/>
        <v>7.6929999999999996</v>
      </c>
      <c r="U1080" s="13">
        <f t="shared" si="532"/>
        <v>3.8464999999999998</v>
      </c>
      <c r="V1080" s="14">
        <f>U1080/C1080</f>
        <v>0.35</v>
      </c>
      <c r="W1080" s="14"/>
      <c r="X1080" s="19">
        <f t="shared" si="520"/>
        <v>3.8464999999999998</v>
      </c>
      <c r="Y1080" s="19">
        <f t="shared" si="521"/>
        <v>7.6929999999999996</v>
      </c>
      <c r="Z1080" s="15" t="e">
        <f t="shared" si="538"/>
        <v>#DIV/0!</v>
      </c>
      <c r="AA1080" s="22" t="s">
        <v>4930</v>
      </c>
      <c r="AG1080" s="94" t="s">
        <v>817</v>
      </c>
      <c r="AH1080" s="89" t="str">
        <f>VLOOKUP(AG1080,Sheet1!$B$3:$D$36,2,FALSE)</f>
        <v>Kitchen &amp; Dining</v>
      </c>
      <c r="AI1080" s="89" t="s">
        <v>2077</v>
      </c>
      <c r="AJ1080" s="1" t="str">
        <f t="shared" si="524"/>
        <v>Yelena plate black</v>
      </c>
      <c r="AK1080" s="1" t="str">
        <f t="shared" si="525"/>
        <v>w8 x d12 x h1.5</v>
      </c>
      <c r="AL1080" s="1" t="str">
        <f t="shared" si="526"/>
        <v>stoneware indoor # 6</v>
      </c>
      <c r="AM1080" s="1" t="str">
        <f t="shared" si="527"/>
        <v>stoneware indoor # 6</v>
      </c>
      <c r="AN1080" s="1" t="str">
        <f t="shared" si="539"/>
        <v>stoneware  # 6</v>
      </c>
      <c r="AO1080" s="1" t="s">
        <v>54</v>
      </c>
      <c r="AQ1080" s="1" t="str">
        <f t="shared" si="528"/>
        <v>C</v>
      </c>
      <c r="AR1080" s="1" t="str">
        <f>VLOOKUP(TRIM(AI1080),Sheet1!$D$3:$E$36,2,FALSE)</f>
        <v>01</v>
      </c>
      <c r="AS1080" s="90" t="str">
        <f t="shared" si="529"/>
        <v>01</v>
      </c>
      <c r="AT1080" s="1" t="str">
        <f t="shared" si="530"/>
        <v>01</v>
      </c>
      <c r="AU1080" s="90" t="s">
        <v>4319</v>
      </c>
      <c r="AV1080" s="90"/>
      <c r="AW1080" s="90"/>
      <c r="AX1080" s="95" t="str">
        <f>AQ1080&amp;AR1080&amp;AS1080&amp;"-"&amp;AT1080&amp;AU1080&amp;BA1080</f>
        <v>C0101-0124IND</v>
      </c>
      <c r="AY1080" s="99" t="str">
        <f>AQ1080&amp;AR1080&amp;AS1080&amp;"-"&amp;AT1080&amp;BA1080</f>
        <v>C0101-01IND</v>
      </c>
      <c r="AZ1080" s="90"/>
      <c r="BA1080" s="1" t="str">
        <f t="shared" si="531"/>
        <v>IND</v>
      </c>
      <c r="BC1080" s="1">
        <f t="shared" si="536"/>
        <v>1</v>
      </c>
      <c r="BD1080" s="90">
        <f t="shared" si="537"/>
        <v>1</v>
      </c>
      <c r="BE1080" s="1">
        <f t="shared" si="533"/>
        <v>1</v>
      </c>
      <c r="BF1080" s="1">
        <f t="shared" si="534"/>
        <v>1</v>
      </c>
    </row>
    <row r="1081" spans="1:58" ht="11.25" customHeight="1">
      <c r="A1081" s="26" t="s">
        <v>4931</v>
      </c>
      <c r="B1081" s="27" t="s">
        <v>4927</v>
      </c>
      <c r="C1081" s="28">
        <v>12.99</v>
      </c>
      <c r="D1081" s="28">
        <f t="shared" si="522"/>
        <v>6.4950000000000001</v>
      </c>
      <c r="E1081" s="22" t="s">
        <v>4467</v>
      </c>
      <c r="F1081" s="22" t="s">
        <v>4932</v>
      </c>
      <c r="G1081" s="22" t="s">
        <v>976</v>
      </c>
      <c r="H1081" s="22" t="s">
        <v>4873</v>
      </c>
      <c r="I1081" s="23" t="s">
        <v>4929</v>
      </c>
      <c r="J1081" s="22" t="s">
        <v>670</v>
      </c>
      <c r="K1081" s="23">
        <v>18</v>
      </c>
      <c r="L1081" s="23">
        <v>12</v>
      </c>
      <c r="M1081" s="23">
        <v>1.5</v>
      </c>
      <c r="N1081" s="3">
        <f t="shared" si="517"/>
        <v>3.2400000000000001E-4</v>
      </c>
      <c r="O1081" s="4" t="e">
        <f>(C1081-(C1081*#REF!))-((C1081-(C1081*#REF!))*#REF!)</f>
        <v>#REF!</v>
      </c>
      <c r="P1081" s="7"/>
      <c r="Q1081" s="7"/>
      <c r="R1081" s="5">
        <f t="shared" si="518"/>
        <v>0</v>
      </c>
      <c r="S1081" s="4">
        <f t="shared" si="519"/>
        <v>0</v>
      </c>
      <c r="T1081" s="13">
        <f t="shared" si="523"/>
        <v>9.093</v>
      </c>
      <c r="U1081" s="13">
        <f t="shared" si="532"/>
        <v>4.5465</v>
      </c>
      <c r="V1081" s="14">
        <f>U1081/C1081</f>
        <v>0.35</v>
      </c>
      <c r="W1081" s="14"/>
      <c r="X1081" s="19">
        <f t="shared" si="520"/>
        <v>4.5465</v>
      </c>
      <c r="Y1081" s="19">
        <f t="shared" si="521"/>
        <v>9.093</v>
      </c>
      <c r="Z1081" s="15" t="e">
        <f t="shared" si="538"/>
        <v>#DIV/0!</v>
      </c>
      <c r="AA1081" s="22" t="s">
        <v>4933</v>
      </c>
      <c r="AG1081" s="94" t="s">
        <v>817</v>
      </c>
      <c r="AH1081" s="89" t="str">
        <f>VLOOKUP(AG1081,Sheet1!$B$3:$D$36,2,FALSE)</f>
        <v>Kitchen &amp; Dining</v>
      </c>
      <c r="AI1081" s="89" t="s">
        <v>2077</v>
      </c>
      <c r="AJ1081" s="1" t="str">
        <f t="shared" si="524"/>
        <v>Yelena plate black</v>
      </c>
      <c r="AK1081" s="1" t="str">
        <f t="shared" si="525"/>
        <v>w18 x d12 x h1,5</v>
      </c>
      <c r="AL1081" s="1" t="str">
        <f t="shared" si="526"/>
        <v>stoneware indoor # 6</v>
      </c>
      <c r="AM1081" s="1" t="str">
        <f t="shared" si="527"/>
        <v>stoneware indoor # 6</v>
      </c>
      <c r="AN1081" s="1" t="str">
        <f t="shared" si="539"/>
        <v>stoneware  # 6</v>
      </c>
      <c r="AO1081" s="1" t="s">
        <v>54</v>
      </c>
      <c r="AQ1081" s="1" t="str">
        <f t="shared" si="528"/>
        <v>C</v>
      </c>
      <c r="AR1081" s="1" t="str">
        <f>VLOOKUP(TRIM(AI1081),Sheet1!$D$3:$E$36,2,FALSE)</f>
        <v>01</v>
      </c>
      <c r="AS1081" s="90" t="str">
        <f t="shared" si="529"/>
        <v>02</v>
      </c>
      <c r="AT1081" s="1" t="str">
        <f t="shared" si="530"/>
        <v>01</v>
      </c>
      <c r="AU1081" s="90" t="s">
        <v>4319</v>
      </c>
      <c r="AV1081" s="90"/>
      <c r="AW1081" s="90"/>
      <c r="AX1081" s="95" t="str">
        <f>AQ1081&amp;AR1081&amp;AS1081&amp;"-"&amp;AT1081&amp;AU1081&amp;BA1081</f>
        <v>C0102-0124IND</v>
      </c>
      <c r="AY1081" s="99" t="str">
        <f>AQ1081&amp;AR1081&amp;AS1081&amp;"-"&amp;AT1081&amp;BA1081</f>
        <v>C0102-01IND</v>
      </c>
      <c r="AZ1081" s="90"/>
      <c r="BA1081" s="1" t="str">
        <f t="shared" si="531"/>
        <v>IND</v>
      </c>
      <c r="BC1081" s="1" t="str">
        <f t="shared" si="536"/>
        <v/>
      </c>
      <c r="BD1081" s="90">
        <f t="shared" si="537"/>
        <v>2</v>
      </c>
      <c r="BE1081" s="1">
        <f t="shared" si="533"/>
        <v>1</v>
      </c>
      <c r="BF1081" s="1">
        <f t="shared" si="534"/>
        <v>1</v>
      </c>
    </row>
    <row r="1082" spans="1:58" ht="11.25" customHeight="1">
      <c r="A1082" s="26" t="s">
        <v>4934</v>
      </c>
      <c r="B1082" s="27" t="s">
        <v>4927</v>
      </c>
      <c r="C1082" s="28">
        <v>18.989999999999998</v>
      </c>
      <c r="D1082" s="28">
        <f t="shared" si="522"/>
        <v>9.4949999999999992</v>
      </c>
      <c r="E1082" s="22" t="s">
        <v>4467</v>
      </c>
      <c r="F1082" s="22" t="s">
        <v>4935</v>
      </c>
      <c r="G1082" s="22" t="s">
        <v>976</v>
      </c>
      <c r="H1082" s="22" t="s">
        <v>4877</v>
      </c>
      <c r="I1082" s="23" t="s">
        <v>4929</v>
      </c>
      <c r="J1082" s="22" t="s">
        <v>670</v>
      </c>
      <c r="K1082" s="23">
        <v>27</v>
      </c>
      <c r="L1082" s="23">
        <v>20</v>
      </c>
      <c r="M1082" s="23">
        <v>1.5</v>
      </c>
      <c r="N1082" s="3">
        <f t="shared" ref="N1082:N1127" si="540">(IF(ISBLANK(K1082),(L1082*L1082*M1082),(K1082*L1082*M1082)))/1000000</f>
        <v>8.0999999999999996E-4</v>
      </c>
      <c r="O1082" s="4" t="e">
        <f>(C1082-(C1082*#REF!))-((C1082-(C1082*#REF!))*#REF!)</f>
        <v>#REF!</v>
      </c>
      <c r="P1082" s="7"/>
      <c r="Q1082" s="7"/>
      <c r="R1082" s="5">
        <f t="shared" ref="R1082:R1127" si="541">P1082+Q1082</f>
        <v>0</v>
      </c>
      <c r="S1082" s="4">
        <f t="shared" ref="S1082:S1127" si="542">R1082/15000</f>
        <v>0</v>
      </c>
      <c r="T1082" s="13">
        <f t="shared" si="523"/>
        <v>13.292999999999999</v>
      </c>
      <c r="U1082" s="13">
        <f t="shared" si="532"/>
        <v>6.6464999999999996</v>
      </c>
      <c r="V1082" s="14">
        <f>U1082/C1082</f>
        <v>0.35000000000000003</v>
      </c>
      <c r="W1082" s="14"/>
      <c r="X1082" s="19">
        <f t="shared" ref="X1082:X1127" si="543">IF(ISBLANK(W1082),U1082, W1082)</f>
        <v>6.6464999999999996</v>
      </c>
      <c r="Y1082" s="19">
        <f t="shared" ref="Y1082:Y1127" si="544">X1082*2</f>
        <v>13.292999999999999</v>
      </c>
      <c r="Z1082" s="15" t="e">
        <f t="shared" si="538"/>
        <v>#DIV/0!</v>
      </c>
      <c r="AA1082" s="22" t="s">
        <v>4936</v>
      </c>
      <c r="AG1082" s="94" t="s">
        <v>817</v>
      </c>
      <c r="AH1082" s="89" t="str">
        <f>VLOOKUP(AG1082,Sheet1!$B$3:$D$36,2,FALSE)</f>
        <v>Kitchen &amp; Dining</v>
      </c>
      <c r="AI1082" s="89" t="s">
        <v>2077</v>
      </c>
      <c r="AJ1082" s="1" t="str">
        <f t="shared" si="524"/>
        <v>Yelena plate black</v>
      </c>
      <c r="AK1082" s="1" t="str">
        <f t="shared" si="525"/>
        <v>w27 x d20 x h1,5</v>
      </c>
      <c r="AL1082" s="1" t="str">
        <f t="shared" si="526"/>
        <v>stoneware indoor # 6</v>
      </c>
      <c r="AM1082" s="1" t="str">
        <f t="shared" si="527"/>
        <v>stoneware indoor # 6</v>
      </c>
      <c r="AN1082" s="1" t="str">
        <f t="shared" si="539"/>
        <v>stoneware  # 6</v>
      </c>
      <c r="AO1082" s="1" t="s">
        <v>54</v>
      </c>
      <c r="AQ1082" s="1" t="str">
        <f t="shared" si="528"/>
        <v>C</v>
      </c>
      <c r="AR1082" s="1" t="str">
        <f>VLOOKUP(TRIM(AI1082),Sheet1!$D$3:$E$36,2,FALSE)</f>
        <v>01</v>
      </c>
      <c r="AS1082" s="90" t="str">
        <f t="shared" si="529"/>
        <v>03</v>
      </c>
      <c r="AT1082" s="1" t="str">
        <f t="shared" si="530"/>
        <v>01</v>
      </c>
      <c r="AU1082" s="90" t="s">
        <v>4319</v>
      </c>
      <c r="AV1082" s="90"/>
      <c r="AW1082" s="90"/>
      <c r="AX1082" s="95" t="str">
        <f>AQ1082&amp;AR1082&amp;AS1082&amp;"-"&amp;AT1082&amp;AU1082&amp;BA1082</f>
        <v>C0103-0124IND</v>
      </c>
      <c r="AY1082" s="99" t="str">
        <f>AQ1082&amp;AR1082&amp;AS1082&amp;"-"&amp;AT1082&amp;BA1082</f>
        <v>C0103-01IND</v>
      </c>
      <c r="AZ1082" s="90"/>
      <c r="BA1082" s="1" t="str">
        <f t="shared" si="531"/>
        <v>IND</v>
      </c>
      <c r="BC1082" s="1" t="str">
        <f t="shared" si="536"/>
        <v/>
      </c>
      <c r="BD1082" s="90">
        <f t="shared" si="537"/>
        <v>3</v>
      </c>
      <c r="BE1082" s="1">
        <f t="shared" si="533"/>
        <v>1</v>
      </c>
      <c r="BF1082" s="1">
        <f t="shared" si="534"/>
        <v>1</v>
      </c>
    </row>
    <row r="1083" spans="1:58" ht="11.25" customHeight="1">
      <c r="A1083" s="26" t="s">
        <v>4937</v>
      </c>
      <c r="B1083" s="27" t="s">
        <v>4927</v>
      </c>
      <c r="C1083" s="28">
        <v>35.99</v>
      </c>
      <c r="D1083" s="28">
        <f t="shared" si="522"/>
        <v>17.995000000000001</v>
      </c>
      <c r="E1083" s="22" t="s">
        <v>4467</v>
      </c>
      <c r="F1083" s="22" t="s">
        <v>4938</v>
      </c>
      <c r="G1083" s="22" t="s">
        <v>976</v>
      </c>
      <c r="H1083" s="22" t="s">
        <v>4880</v>
      </c>
      <c r="I1083" s="23" t="s">
        <v>4929</v>
      </c>
      <c r="J1083" s="22" t="s">
        <v>670</v>
      </c>
      <c r="K1083" s="23">
        <v>34</v>
      </c>
      <c r="L1083" s="23">
        <v>24</v>
      </c>
      <c r="M1083" s="23">
        <v>1.5</v>
      </c>
      <c r="N1083" s="3">
        <f t="shared" si="540"/>
        <v>1.224E-3</v>
      </c>
      <c r="O1083" s="4" t="e">
        <f>(C1083-(C1083*#REF!))-((C1083-(C1083*#REF!))*#REF!)</f>
        <v>#REF!</v>
      </c>
      <c r="P1083" s="7"/>
      <c r="Q1083" s="7"/>
      <c r="R1083" s="5">
        <f t="shared" si="541"/>
        <v>0</v>
      </c>
      <c r="S1083" s="4">
        <f t="shared" si="542"/>
        <v>0</v>
      </c>
      <c r="T1083" s="13">
        <f t="shared" si="523"/>
        <v>25.193000000000001</v>
      </c>
      <c r="U1083" s="13">
        <f t="shared" si="532"/>
        <v>12.596500000000001</v>
      </c>
      <c r="V1083" s="14">
        <f>U1083/C1083</f>
        <v>0.35</v>
      </c>
      <c r="W1083" s="14"/>
      <c r="X1083" s="19">
        <f t="shared" si="543"/>
        <v>12.596500000000001</v>
      </c>
      <c r="Y1083" s="19">
        <f t="shared" si="544"/>
        <v>25.193000000000001</v>
      </c>
      <c r="Z1083" s="15" t="e">
        <f t="shared" si="538"/>
        <v>#DIV/0!</v>
      </c>
      <c r="AA1083" s="22" t="s">
        <v>4930</v>
      </c>
      <c r="AG1083" s="94" t="s">
        <v>817</v>
      </c>
      <c r="AH1083" s="89" t="str">
        <f>VLOOKUP(AG1083,Sheet1!$B$3:$D$36,2,FALSE)</f>
        <v>Kitchen &amp; Dining</v>
      </c>
      <c r="AI1083" s="89" t="s">
        <v>2077</v>
      </c>
      <c r="AJ1083" s="1" t="str">
        <f t="shared" si="524"/>
        <v>Yelena plate black</v>
      </c>
      <c r="AK1083" s="1" t="str">
        <f t="shared" si="525"/>
        <v>w34 x d24 x h1,5</v>
      </c>
      <c r="AL1083" s="1" t="str">
        <f t="shared" si="526"/>
        <v>stoneware indoor # 6</v>
      </c>
      <c r="AM1083" s="1" t="str">
        <f t="shared" si="527"/>
        <v>stoneware indoor # 6</v>
      </c>
      <c r="AN1083" s="1" t="str">
        <f t="shared" si="539"/>
        <v>stoneware  # 6</v>
      </c>
      <c r="AO1083" s="1" t="s">
        <v>54</v>
      </c>
      <c r="AQ1083" s="1" t="str">
        <f t="shared" si="528"/>
        <v>C</v>
      </c>
      <c r="AR1083" s="1" t="str">
        <f>VLOOKUP(TRIM(AI1083),Sheet1!$D$3:$E$36,2,FALSE)</f>
        <v>01</v>
      </c>
      <c r="AS1083" s="90" t="str">
        <f t="shared" si="529"/>
        <v>04</v>
      </c>
      <c r="AT1083" s="1" t="str">
        <f t="shared" si="530"/>
        <v>01</v>
      </c>
      <c r="AU1083" s="90" t="s">
        <v>4319</v>
      </c>
      <c r="AV1083" s="90"/>
      <c r="AW1083" s="90"/>
      <c r="AX1083" s="95" t="str">
        <f>AQ1083&amp;AR1083&amp;AS1083&amp;"-"&amp;AT1083&amp;AU1083&amp;BA1083</f>
        <v>C0104-0124IND</v>
      </c>
      <c r="AY1083" s="99" t="str">
        <f>AQ1083&amp;AR1083&amp;AS1083&amp;"-"&amp;AT1083&amp;BA1083</f>
        <v>C0104-01IND</v>
      </c>
      <c r="AZ1083" s="90"/>
      <c r="BA1083" s="1" t="str">
        <f t="shared" si="531"/>
        <v>IND</v>
      </c>
      <c r="BC1083" s="1" t="str">
        <f t="shared" si="536"/>
        <v/>
      </c>
      <c r="BD1083" s="90">
        <f t="shared" si="537"/>
        <v>4</v>
      </c>
      <c r="BE1083" s="1">
        <f t="shared" si="533"/>
        <v>1</v>
      </c>
      <c r="BF1083" s="1">
        <f t="shared" si="534"/>
        <v>1</v>
      </c>
    </row>
    <row r="1084" spans="1:58" ht="11.25" customHeight="1">
      <c r="A1084" s="26" t="s">
        <v>4939</v>
      </c>
      <c r="B1084" s="27" t="s">
        <v>4927</v>
      </c>
      <c r="C1084" s="28">
        <v>50.99</v>
      </c>
      <c r="D1084" s="28">
        <f t="shared" si="522"/>
        <v>25.495000000000001</v>
      </c>
      <c r="E1084" s="22" t="s">
        <v>4467</v>
      </c>
      <c r="F1084" s="22" t="s">
        <v>4940</v>
      </c>
      <c r="G1084" s="22" t="s">
        <v>976</v>
      </c>
      <c r="H1084" s="22" t="s">
        <v>4884</v>
      </c>
      <c r="I1084" s="23" t="s">
        <v>4929</v>
      </c>
      <c r="J1084" s="22" t="s">
        <v>670</v>
      </c>
      <c r="K1084" s="23">
        <v>42</v>
      </c>
      <c r="L1084" s="23">
        <v>27</v>
      </c>
      <c r="M1084" s="23">
        <v>1.5</v>
      </c>
      <c r="N1084" s="3">
        <f t="shared" si="540"/>
        <v>1.701E-3</v>
      </c>
      <c r="O1084" s="4" t="e">
        <f>(C1084-(C1084*#REF!))-((C1084-(C1084*#REF!))*#REF!)</f>
        <v>#REF!</v>
      </c>
      <c r="P1084" s="7"/>
      <c r="Q1084" s="7"/>
      <c r="R1084" s="5">
        <f t="shared" si="541"/>
        <v>0</v>
      </c>
      <c r="S1084" s="4">
        <f t="shared" si="542"/>
        <v>0</v>
      </c>
      <c r="T1084" s="13">
        <f t="shared" si="523"/>
        <v>35.692999999999998</v>
      </c>
      <c r="U1084" s="13">
        <f t="shared" si="532"/>
        <v>17.846499999999999</v>
      </c>
      <c r="V1084" s="14">
        <f>U1084/C1084</f>
        <v>0.35</v>
      </c>
      <c r="W1084" s="14"/>
      <c r="X1084" s="19">
        <f t="shared" si="543"/>
        <v>17.846499999999999</v>
      </c>
      <c r="Y1084" s="19">
        <f t="shared" si="544"/>
        <v>35.692999999999998</v>
      </c>
      <c r="Z1084" s="15" t="e">
        <f t="shared" si="538"/>
        <v>#DIV/0!</v>
      </c>
      <c r="AA1084" s="22" t="s">
        <v>4941</v>
      </c>
      <c r="AG1084" s="94" t="s">
        <v>817</v>
      </c>
      <c r="AH1084" s="89" t="str">
        <f>VLOOKUP(AG1084,Sheet1!$B$3:$D$36,2,FALSE)</f>
        <v>Kitchen &amp; Dining</v>
      </c>
      <c r="AI1084" s="89" t="s">
        <v>2077</v>
      </c>
      <c r="AJ1084" s="1" t="str">
        <f t="shared" si="524"/>
        <v>Yelena plate black</v>
      </c>
      <c r="AK1084" s="1" t="str">
        <f t="shared" si="525"/>
        <v>w42 x d27 x h1,5</v>
      </c>
      <c r="AL1084" s="1" t="str">
        <f t="shared" si="526"/>
        <v>stoneware indoor # 6</v>
      </c>
      <c r="AM1084" s="1" t="str">
        <f t="shared" si="527"/>
        <v>stoneware indoor # 6</v>
      </c>
      <c r="AN1084" s="1" t="str">
        <f t="shared" si="539"/>
        <v>stoneware  # 6</v>
      </c>
      <c r="AO1084" s="1" t="s">
        <v>54</v>
      </c>
      <c r="AQ1084" s="1" t="str">
        <f t="shared" si="528"/>
        <v>C</v>
      </c>
      <c r="AR1084" s="1" t="str">
        <f>VLOOKUP(TRIM(AI1084),Sheet1!$D$3:$E$36,2,FALSE)</f>
        <v>01</v>
      </c>
      <c r="AS1084" s="90" t="str">
        <f t="shared" si="529"/>
        <v>05</v>
      </c>
      <c r="AT1084" s="1" t="str">
        <f t="shared" si="530"/>
        <v>01</v>
      </c>
      <c r="AU1084" s="90" t="s">
        <v>4319</v>
      </c>
      <c r="AV1084" s="90"/>
      <c r="AW1084" s="90"/>
      <c r="AX1084" s="95" t="str">
        <f>AQ1084&amp;AR1084&amp;AS1084&amp;"-"&amp;AT1084&amp;AU1084&amp;BA1084</f>
        <v>C0105-0124IND</v>
      </c>
      <c r="AY1084" s="99" t="str">
        <f>AQ1084&amp;AR1084&amp;AS1084&amp;"-"&amp;AT1084&amp;BA1084</f>
        <v>C0105-01IND</v>
      </c>
      <c r="AZ1084" s="90"/>
      <c r="BA1084" s="1" t="str">
        <f t="shared" si="531"/>
        <v>IND</v>
      </c>
      <c r="BC1084" s="1" t="str">
        <f t="shared" si="536"/>
        <v/>
      </c>
      <c r="BD1084" s="90">
        <f t="shared" si="537"/>
        <v>5</v>
      </c>
      <c r="BE1084" s="1">
        <f t="shared" si="533"/>
        <v>1</v>
      </c>
      <c r="BF1084" s="1">
        <f t="shared" si="534"/>
        <v>1</v>
      </c>
    </row>
    <row r="1085" spans="1:58" ht="11.25" customHeight="1">
      <c r="A1085" s="26" t="s">
        <v>4942</v>
      </c>
      <c r="B1085" s="27" t="s">
        <v>4943</v>
      </c>
      <c r="C1085" s="28">
        <v>21.99</v>
      </c>
      <c r="D1085" s="28">
        <f t="shared" si="522"/>
        <v>10.994999999999999</v>
      </c>
      <c r="E1085" s="22" t="s">
        <v>4467</v>
      </c>
      <c r="F1085" s="22" t="s">
        <v>4944</v>
      </c>
      <c r="G1085" s="22" t="s">
        <v>932</v>
      </c>
      <c r="H1085" s="22" t="s">
        <v>4945</v>
      </c>
      <c r="I1085" s="23" t="s">
        <v>4946</v>
      </c>
      <c r="J1085" s="22" t="s">
        <v>670</v>
      </c>
      <c r="L1085" s="23">
        <v>9</v>
      </c>
      <c r="M1085" s="23">
        <v>4</v>
      </c>
      <c r="N1085" s="3">
        <f t="shared" si="540"/>
        <v>3.2400000000000001E-4</v>
      </c>
      <c r="O1085" s="4" t="e">
        <f>(C1085-(C1085*#REF!))-((C1085-(C1085*#REF!))*#REF!)</f>
        <v>#REF!</v>
      </c>
      <c r="P1085" s="7"/>
      <c r="Q1085" s="7"/>
      <c r="R1085" s="5">
        <f t="shared" si="541"/>
        <v>0</v>
      </c>
      <c r="S1085" s="4">
        <f t="shared" si="542"/>
        <v>0</v>
      </c>
      <c r="T1085" s="13">
        <f t="shared" si="523"/>
        <v>15.392999999999999</v>
      </c>
      <c r="U1085" s="13">
        <f t="shared" si="532"/>
        <v>7.6964999999999995</v>
      </c>
      <c r="V1085" s="14">
        <f>U1085/C1085</f>
        <v>0.35</v>
      </c>
      <c r="W1085" s="14"/>
      <c r="X1085" s="19">
        <f t="shared" si="543"/>
        <v>7.6964999999999995</v>
      </c>
      <c r="Y1085" s="19">
        <f t="shared" si="544"/>
        <v>15.392999999999999</v>
      </c>
      <c r="Z1085" s="15" t="e">
        <f t="shared" si="538"/>
        <v>#DIV/0!</v>
      </c>
      <c r="AA1085" s="22" t="s">
        <v>4947</v>
      </c>
      <c r="AG1085" s="94" t="s">
        <v>817</v>
      </c>
      <c r="AH1085" s="89" t="str">
        <f>VLOOKUP(AG1085,Sheet1!$B$3:$D$36,2,FALSE)</f>
        <v>Kitchen &amp; Dining</v>
      </c>
      <c r="AI1085" s="89" t="s">
        <v>2077</v>
      </c>
      <c r="AJ1085" s="1" t="str">
        <f t="shared" si="524"/>
        <v>Yelena bowl clear</v>
      </c>
      <c r="AK1085" s="1" t="str">
        <f t="shared" si="525"/>
        <v>ø9 x h4</v>
      </c>
      <c r="AL1085" s="1" t="str">
        <f t="shared" si="526"/>
        <v>clear glass semi # 6</v>
      </c>
      <c r="AM1085" s="1" t="str">
        <f t="shared" si="527"/>
        <v>clear glass semi # 6</v>
      </c>
      <c r="AN1085" s="1" t="str">
        <f t="shared" si="539"/>
        <v>clear glass semi # 6</v>
      </c>
      <c r="AQ1085" s="1" t="str">
        <f t="shared" si="528"/>
        <v>C</v>
      </c>
      <c r="AR1085" s="1" t="str">
        <f>VLOOKUP(TRIM(AI1085),Sheet1!$D$3:$E$36,2,FALSE)</f>
        <v>01</v>
      </c>
      <c r="AS1085" s="90" t="str">
        <f t="shared" si="529"/>
        <v>01</v>
      </c>
      <c r="AT1085" s="1" t="str">
        <f t="shared" si="530"/>
        <v>01</v>
      </c>
      <c r="AU1085" s="90" t="s">
        <v>2567</v>
      </c>
      <c r="AV1085" s="90"/>
      <c r="AW1085" s="90"/>
      <c r="AX1085" s="95" t="str">
        <f>AQ1085&amp;AR1085&amp;AS1085&amp;"-"&amp;AT1085&amp;AU1085&amp;BA1085</f>
        <v>C0101-0138</v>
      </c>
      <c r="AY1085" s="99" t="str">
        <f>AQ1085&amp;AR1085&amp;AS1085&amp;"-"&amp;AT1085&amp;BA1085</f>
        <v>C0101-01</v>
      </c>
      <c r="AZ1085" s="90"/>
      <c r="BA1085" s="1" t="str">
        <f t="shared" si="531"/>
        <v/>
      </c>
      <c r="BC1085" s="1">
        <f t="shared" si="536"/>
        <v>1</v>
      </c>
      <c r="BD1085" s="90">
        <f t="shared" si="537"/>
        <v>1</v>
      </c>
      <c r="BE1085" s="1">
        <f t="shared" si="533"/>
        <v>1</v>
      </c>
      <c r="BF1085" s="1">
        <f t="shared" si="534"/>
        <v>1</v>
      </c>
    </row>
    <row r="1086" spans="1:58" ht="11.25" customHeight="1">
      <c r="A1086" s="26" t="s">
        <v>4948</v>
      </c>
      <c r="B1086" s="27" t="s">
        <v>4943</v>
      </c>
      <c r="C1086" s="28">
        <v>26.99</v>
      </c>
      <c r="D1086" s="28">
        <f t="shared" si="522"/>
        <v>13.494999999999999</v>
      </c>
      <c r="E1086" s="22" t="s">
        <v>4467</v>
      </c>
      <c r="F1086" s="22" t="s">
        <v>4949</v>
      </c>
      <c r="G1086" s="22" t="s">
        <v>932</v>
      </c>
      <c r="H1086" s="22" t="s">
        <v>4950</v>
      </c>
      <c r="I1086" s="23" t="s">
        <v>4946</v>
      </c>
      <c r="J1086" s="22" t="s">
        <v>670</v>
      </c>
      <c r="L1086" s="23">
        <v>15</v>
      </c>
      <c r="M1086" s="23">
        <v>5</v>
      </c>
      <c r="N1086" s="3">
        <f t="shared" si="540"/>
        <v>1.1249999999999999E-3</v>
      </c>
      <c r="O1086" s="4" t="e">
        <f>(C1086-(C1086*#REF!))-((C1086-(C1086*#REF!))*#REF!)</f>
        <v>#REF!</v>
      </c>
      <c r="P1086" s="7"/>
      <c r="Q1086" s="7"/>
      <c r="R1086" s="5">
        <f t="shared" si="541"/>
        <v>0</v>
      </c>
      <c r="S1086" s="4">
        <f t="shared" si="542"/>
        <v>0</v>
      </c>
      <c r="T1086" s="13">
        <f t="shared" si="523"/>
        <v>18.893000000000001</v>
      </c>
      <c r="U1086" s="13">
        <f t="shared" si="532"/>
        <v>9.4465000000000003</v>
      </c>
      <c r="V1086" s="14">
        <f>U1086/C1086</f>
        <v>0.35000000000000003</v>
      </c>
      <c r="W1086" s="14"/>
      <c r="X1086" s="19">
        <f t="shared" si="543"/>
        <v>9.4465000000000003</v>
      </c>
      <c r="Y1086" s="19">
        <f t="shared" si="544"/>
        <v>18.893000000000001</v>
      </c>
      <c r="Z1086" s="15" t="e">
        <f t="shared" si="538"/>
        <v>#DIV/0!</v>
      </c>
      <c r="AA1086" s="22" t="s">
        <v>4951</v>
      </c>
      <c r="AG1086" s="94" t="s">
        <v>817</v>
      </c>
      <c r="AH1086" s="89" t="str">
        <f>VLOOKUP(AG1086,Sheet1!$B$3:$D$36,2,FALSE)</f>
        <v>Kitchen &amp; Dining</v>
      </c>
      <c r="AI1086" s="89" t="s">
        <v>2077</v>
      </c>
      <c r="AJ1086" s="1" t="str">
        <f t="shared" si="524"/>
        <v>Yelena bowl clear</v>
      </c>
      <c r="AK1086" s="1" t="str">
        <f t="shared" si="525"/>
        <v>ø15 x h5</v>
      </c>
      <c r="AL1086" s="1" t="str">
        <f t="shared" si="526"/>
        <v>clear glass semi # 6</v>
      </c>
      <c r="AM1086" s="1" t="str">
        <f t="shared" si="527"/>
        <v>clear glass semi # 6</v>
      </c>
      <c r="AN1086" s="1" t="str">
        <f t="shared" si="539"/>
        <v>clear glass semi # 6</v>
      </c>
      <c r="AQ1086" s="1" t="str">
        <f t="shared" si="528"/>
        <v>C</v>
      </c>
      <c r="AR1086" s="1" t="str">
        <f>VLOOKUP(TRIM(AI1086),Sheet1!$D$3:$E$36,2,FALSE)</f>
        <v>01</v>
      </c>
      <c r="AS1086" s="90" t="str">
        <f t="shared" si="529"/>
        <v>02</v>
      </c>
      <c r="AT1086" s="1" t="str">
        <f t="shared" si="530"/>
        <v>01</v>
      </c>
      <c r="AU1086" s="90" t="s">
        <v>2567</v>
      </c>
      <c r="AV1086" s="90"/>
      <c r="AW1086" s="90"/>
      <c r="AX1086" s="95" t="str">
        <f>AQ1086&amp;AR1086&amp;AS1086&amp;"-"&amp;AT1086&amp;AU1086&amp;BA1086</f>
        <v>C0102-0138</v>
      </c>
      <c r="AY1086" s="99" t="str">
        <f>AQ1086&amp;AR1086&amp;AS1086&amp;"-"&amp;AT1086&amp;BA1086</f>
        <v>C0102-01</v>
      </c>
      <c r="AZ1086" s="90"/>
      <c r="BA1086" s="1" t="str">
        <f t="shared" si="531"/>
        <v/>
      </c>
      <c r="BC1086" s="1" t="str">
        <f t="shared" si="536"/>
        <v/>
      </c>
      <c r="BD1086" s="90">
        <f t="shared" si="537"/>
        <v>2</v>
      </c>
      <c r="BE1086" s="1">
        <f t="shared" si="533"/>
        <v>1</v>
      </c>
      <c r="BF1086" s="1">
        <f t="shared" si="534"/>
        <v>1</v>
      </c>
    </row>
    <row r="1087" spans="1:58" ht="11.25" customHeight="1">
      <c r="A1087" s="26" t="s">
        <v>4952</v>
      </c>
      <c r="B1087" s="27" t="s">
        <v>4943</v>
      </c>
      <c r="C1087" s="28">
        <v>33.99</v>
      </c>
      <c r="D1087" s="28">
        <f t="shared" si="522"/>
        <v>16.995000000000001</v>
      </c>
      <c r="E1087" s="22" t="s">
        <v>4467</v>
      </c>
      <c r="F1087" s="22" t="s">
        <v>4953</v>
      </c>
      <c r="G1087" s="22" t="s">
        <v>932</v>
      </c>
      <c r="H1087" s="22" t="s">
        <v>4954</v>
      </c>
      <c r="I1087" s="23" t="s">
        <v>4946</v>
      </c>
      <c r="J1087" s="22" t="s">
        <v>670</v>
      </c>
      <c r="L1087" s="23">
        <v>16</v>
      </c>
      <c r="M1087" s="23">
        <v>6</v>
      </c>
      <c r="N1087" s="3">
        <f t="shared" si="540"/>
        <v>1.536E-3</v>
      </c>
      <c r="O1087" s="4" t="e">
        <f>(C1087-(C1087*#REF!))-((C1087-(C1087*#REF!))*#REF!)</f>
        <v>#REF!</v>
      </c>
      <c r="P1087" s="7"/>
      <c r="Q1087" s="7"/>
      <c r="R1087" s="5">
        <f t="shared" si="541"/>
        <v>0</v>
      </c>
      <c r="S1087" s="4">
        <f t="shared" si="542"/>
        <v>0</v>
      </c>
      <c r="T1087" s="13">
        <f t="shared" si="523"/>
        <v>23.792999999999999</v>
      </c>
      <c r="U1087" s="13">
        <f t="shared" si="532"/>
        <v>11.8965</v>
      </c>
      <c r="V1087" s="14">
        <f>U1087/C1087</f>
        <v>0.35</v>
      </c>
      <c r="W1087" s="14"/>
      <c r="X1087" s="19">
        <f t="shared" si="543"/>
        <v>11.8965</v>
      </c>
      <c r="Y1087" s="19">
        <f t="shared" si="544"/>
        <v>23.792999999999999</v>
      </c>
      <c r="Z1087" s="15" t="e">
        <f t="shared" si="538"/>
        <v>#DIV/0!</v>
      </c>
      <c r="AA1087" s="22" t="s">
        <v>4955</v>
      </c>
      <c r="AG1087" s="94" t="s">
        <v>817</v>
      </c>
      <c r="AH1087" s="89" t="str">
        <f>VLOOKUP(AG1087,Sheet1!$B$3:$D$36,2,FALSE)</f>
        <v>Kitchen &amp; Dining</v>
      </c>
      <c r="AI1087" s="89" t="s">
        <v>2077</v>
      </c>
      <c r="AJ1087" s="1" t="str">
        <f t="shared" si="524"/>
        <v>Yelena bowl clear</v>
      </c>
      <c r="AK1087" s="1" t="str">
        <f t="shared" si="525"/>
        <v>ø16 x h6</v>
      </c>
      <c r="AL1087" s="1" t="str">
        <f t="shared" si="526"/>
        <v>clear glass semi # 6</v>
      </c>
      <c r="AM1087" s="1" t="str">
        <f t="shared" si="527"/>
        <v>clear glass semi # 6</v>
      </c>
      <c r="AN1087" s="1" t="str">
        <f t="shared" si="539"/>
        <v>clear glass semi # 6</v>
      </c>
      <c r="AQ1087" s="1" t="str">
        <f t="shared" si="528"/>
        <v>C</v>
      </c>
      <c r="AR1087" s="1" t="str">
        <f>VLOOKUP(TRIM(AI1087),Sheet1!$D$3:$E$36,2,FALSE)</f>
        <v>01</v>
      </c>
      <c r="AS1087" s="90" t="str">
        <f t="shared" si="529"/>
        <v>03</v>
      </c>
      <c r="AT1087" s="1" t="str">
        <f t="shared" si="530"/>
        <v>01</v>
      </c>
      <c r="AU1087" s="90" t="s">
        <v>2567</v>
      </c>
      <c r="AV1087" s="90"/>
      <c r="AW1087" s="90"/>
      <c r="AX1087" s="95" t="str">
        <f>AQ1087&amp;AR1087&amp;AS1087&amp;"-"&amp;AT1087&amp;AU1087&amp;BA1087</f>
        <v>C0103-0138</v>
      </c>
      <c r="AY1087" s="99" t="str">
        <f>AQ1087&amp;AR1087&amp;AS1087&amp;"-"&amp;AT1087&amp;BA1087</f>
        <v>C0103-01</v>
      </c>
      <c r="AZ1087" s="90"/>
      <c r="BA1087" s="1" t="str">
        <f t="shared" si="531"/>
        <v/>
      </c>
      <c r="BC1087" s="1" t="str">
        <f t="shared" si="536"/>
        <v/>
      </c>
      <c r="BD1087" s="90">
        <f t="shared" si="537"/>
        <v>3</v>
      </c>
      <c r="BE1087" s="1">
        <f t="shared" si="533"/>
        <v>1</v>
      </c>
      <c r="BF1087" s="1">
        <f t="shared" si="534"/>
        <v>1</v>
      </c>
    </row>
    <row r="1088" spans="1:58" ht="11.25" customHeight="1">
      <c r="A1088" s="26" t="s">
        <v>4956</v>
      </c>
      <c r="B1088" s="27" t="s">
        <v>4943</v>
      </c>
      <c r="C1088" s="28">
        <v>29.99</v>
      </c>
      <c r="D1088" s="28">
        <f t="shared" si="522"/>
        <v>14.994999999999999</v>
      </c>
      <c r="E1088" s="22" t="s">
        <v>4467</v>
      </c>
      <c r="F1088" s="22" t="s">
        <v>4957</v>
      </c>
      <c r="G1088" s="22" t="s">
        <v>932</v>
      </c>
      <c r="H1088" s="22" t="s">
        <v>4834</v>
      </c>
      <c r="I1088" s="23" t="s">
        <v>4946</v>
      </c>
      <c r="J1088" s="22" t="s">
        <v>670</v>
      </c>
      <c r="L1088" s="23">
        <v>17</v>
      </c>
      <c r="M1088" s="23">
        <v>5</v>
      </c>
      <c r="N1088" s="3">
        <f t="shared" si="540"/>
        <v>1.4450000000000001E-3</v>
      </c>
      <c r="O1088" s="4" t="e">
        <f>(C1088-(C1088*#REF!))-((C1088-(C1088*#REF!))*#REF!)</f>
        <v>#REF!</v>
      </c>
      <c r="P1088" s="7"/>
      <c r="Q1088" s="7"/>
      <c r="R1088" s="5">
        <f t="shared" si="541"/>
        <v>0</v>
      </c>
      <c r="S1088" s="4">
        <f t="shared" si="542"/>
        <v>0</v>
      </c>
      <c r="T1088" s="13">
        <f t="shared" si="523"/>
        <v>20.992999999999999</v>
      </c>
      <c r="U1088" s="13">
        <f t="shared" si="532"/>
        <v>10.496499999999999</v>
      </c>
      <c r="V1088" s="14">
        <f>U1088/C1088</f>
        <v>0.35</v>
      </c>
      <c r="W1088" s="14"/>
      <c r="X1088" s="19">
        <f t="shared" si="543"/>
        <v>10.496499999999999</v>
      </c>
      <c r="Y1088" s="19">
        <f t="shared" si="544"/>
        <v>20.992999999999999</v>
      </c>
      <c r="Z1088" s="15" t="e">
        <f t="shared" si="538"/>
        <v>#DIV/0!</v>
      </c>
      <c r="AA1088" s="22" t="s">
        <v>4958</v>
      </c>
      <c r="AG1088" s="94" t="s">
        <v>817</v>
      </c>
      <c r="AH1088" s="89" t="str">
        <f>VLOOKUP(AG1088,Sheet1!$B$3:$D$36,2,FALSE)</f>
        <v>Kitchen &amp; Dining</v>
      </c>
      <c r="AI1088" s="89" t="s">
        <v>2077</v>
      </c>
      <c r="AJ1088" s="1" t="str">
        <f t="shared" si="524"/>
        <v>Yelena bowl clear</v>
      </c>
      <c r="AK1088" s="1" t="str">
        <f t="shared" si="525"/>
        <v>ø17 x h5</v>
      </c>
      <c r="AL1088" s="1" t="str">
        <f t="shared" si="526"/>
        <v>clear glass semi # 6</v>
      </c>
      <c r="AM1088" s="1" t="str">
        <f t="shared" si="527"/>
        <v>clear glass semi # 6</v>
      </c>
      <c r="AN1088" s="1" t="str">
        <f t="shared" si="539"/>
        <v>clear glass semi # 6</v>
      </c>
      <c r="AQ1088" s="1" t="str">
        <f t="shared" si="528"/>
        <v>C</v>
      </c>
      <c r="AR1088" s="1" t="str">
        <f>VLOOKUP(TRIM(AI1088),Sheet1!$D$3:$E$36,2,FALSE)</f>
        <v>01</v>
      </c>
      <c r="AS1088" s="90" t="str">
        <f t="shared" si="529"/>
        <v>04</v>
      </c>
      <c r="AT1088" s="1" t="str">
        <f t="shared" si="530"/>
        <v>01</v>
      </c>
      <c r="AU1088" s="90" t="s">
        <v>2567</v>
      </c>
      <c r="AV1088" s="90"/>
      <c r="AW1088" s="90"/>
      <c r="AX1088" s="95" t="str">
        <f>AQ1088&amp;AR1088&amp;AS1088&amp;"-"&amp;AT1088&amp;AU1088&amp;BA1088</f>
        <v>C0104-0138</v>
      </c>
      <c r="AY1088" s="99" t="str">
        <f>AQ1088&amp;AR1088&amp;AS1088&amp;"-"&amp;AT1088&amp;BA1088</f>
        <v>C0104-01</v>
      </c>
      <c r="AZ1088" s="90"/>
      <c r="BA1088" s="1" t="str">
        <f t="shared" si="531"/>
        <v/>
      </c>
      <c r="BC1088" s="1" t="str">
        <f t="shared" si="536"/>
        <v/>
      </c>
      <c r="BD1088" s="90">
        <f t="shared" si="537"/>
        <v>4</v>
      </c>
      <c r="BE1088" s="1">
        <f t="shared" si="533"/>
        <v>1</v>
      </c>
      <c r="BF1088" s="1">
        <f t="shared" si="534"/>
        <v>1</v>
      </c>
    </row>
    <row r="1089" spans="1:58" ht="11.25" customHeight="1">
      <c r="A1089" s="26" t="s">
        <v>4959</v>
      </c>
      <c r="B1089" s="27" t="s">
        <v>4943</v>
      </c>
      <c r="C1089" s="28">
        <v>41.99</v>
      </c>
      <c r="D1089" s="28">
        <f t="shared" si="522"/>
        <v>20.995000000000001</v>
      </c>
      <c r="E1089" s="22" t="s">
        <v>4467</v>
      </c>
      <c r="F1089" s="22" t="s">
        <v>4960</v>
      </c>
      <c r="G1089" s="22" t="s">
        <v>932</v>
      </c>
      <c r="H1089" s="22" t="s">
        <v>4961</v>
      </c>
      <c r="I1089" s="23" t="s">
        <v>4946</v>
      </c>
      <c r="J1089" s="22" t="s">
        <v>670</v>
      </c>
      <c r="L1089" s="23">
        <v>20</v>
      </c>
      <c r="M1089" s="23">
        <v>6</v>
      </c>
      <c r="N1089" s="3">
        <f t="shared" si="540"/>
        <v>2.3999999999999998E-3</v>
      </c>
      <c r="O1089" s="4" t="e">
        <f>(C1089-(C1089*#REF!))-((C1089-(C1089*#REF!))*#REF!)</f>
        <v>#REF!</v>
      </c>
      <c r="P1089" s="7"/>
      <c r="Q1089" s="7"/>
      <c r="R1089" s="5">
        <f t="shared" si="541"/>
        <v>0</v>
      </c>
      <c r="S1089" s="4">
        <f t="shared" si="542"/>
        <v>0</v>
      </c>
      <c r="T1089" s="13">
        <f t="shared" si="523"/>
        <v>29.393000000000001</v>
      </c>
      <c r="U1089" s="13">
        <f t="shared" si="532"/>
        <v>14.6965</v>
      </c>
      <c r="V1089" s="14">
        <f>U1089/C1089</f>
        <v>0.35</v>
      </c>
      <c r="W1089" s="14"/>
      <c r="X1089" s="19">
        <f t="shared" si="543"/>
        <v>14.6965</v>
      </c>
      <c r="Y1089" s="19">
        <f t="shared" si="544"/>
        <v>29.393000000000001</v>
      </c>
      <c r="Z1089" s="15" t="e">
        <f t="shared" si="538"/>
        <v>#DIV/0!</v>
      </c>
      <c r="AA1089" s="22" t="s">
        <v>4962</v>
      </c>
      <c r="AG1089" s="94" t="s">
        <v>817</v>
      </c>
      <c r="AH1089" s="89" t="str">
        <f>VLOOKUP(AG1089,Sheet1!$B$3:$D$36,2,FALSE)</f>
        <v>Kitchen &amp; Dining</v>
      </c>
      <c r="AI1089" s="89" t="s">
        <v>2077</v>
      </c>
      <c r="AJ1089" s="1" t="str">
        <f t="shared" si="524"/>
        <v>Yelena bowl clear</v>
      </c>
      <c r="AK1089" s="1" t="str">
        <f t="shared" si="525"/>
        <v>ø20 x h6</v>
      </c>
      <c r="AL1089" s="1" t="str">
        <f t="shared" si="526"/>
        <v>clear glass semi # 6</v>
      </c>
      <c r="AM1089" s="1" t="str">
        <f t="shared" si="527"/>
        <v>clear glass semi # 6</v>
      </c>
      <c r="AN1089" s="1" t="str">
        <f t="shared" si="539"/>
        <v>clear glass semi # 6</v>
      </c>
      <c r="AQ1089" s="1" t="str">
        <f t="shared" si="528"/>
        <v>C</v>
      </c>
      <c r="AR1089" s="1" t="str">
        <f>VLOOKUP(TRIM(AI1089),Sheet1!$D$3:$E$36,2,FALSE)</f>
        <v>01</v>
      </c>
      <c r="AS1089" s="90" t="str">
        <f t="shared" si="529"/>
        <v>05</v>
      </c>
      <c r="AT1089" s="1" t="str">
        <f t="shared" si="530"/>
        <v>01</v>
      </c>
      <c r="AU1089" s="90" t="s">
        <v>2567</v>
      </c>
      <c r="AV1089" s="90"/>
      <c r="AW1089" s="90"/>
      <c r="AX1089" s="95" t="str">
        <f>AQ1089&amp;AR1089&amp;AS1089&amp;"-"&amp;AT1089&amp;AU1089&amp;BA1089</f>
        <v>C0105-0138</v>
      </c>
      <c r="AY1089" s="99" t="str">
        <f>AQ1089&amp;AR1089&amp;AS1089&amp;"-"&amp;AT1089&amp;BA1089</f>
        <v>C0105-01</v>
      </c>
      <c r="AZ1089" s="90"/>
      <c r="BA1089" s="1" t="str">
        <f t="shared" si="531"/>
        <v/>
      </c>
      <c r="BC1089" s="1" t="str">
        <f t="shared" si="536"/>
        <v/>
      </c>
      <c r="BD1089" s="90">
        <f t="shared" si="537"/>
        <v>5</v>
      </c>
      <c r="BE1089" s="1">
        <f t="shared" si="533"/>
        <v>1</v>
      </c>
      <c r="BF1089" s="1">
        <f t="shared" si="534"/>
        <v>1</v>
      </c>
    </row>
    <row r="1090" spans="1:58" ht="11.25" customHeight="1">
      <c r="A1090" s="26" t="s">
        <v>4963</v>
      </c>
      <c r="B1090" s="27" t="s">
        <v>4943</v>
      </c>
      <c r="C1090" s="28">
        <v>52.99</v>
      </c>
      <c r="D1090" s="28">
        <f t="shared" si="522"/>
        <v>26.495000000000001</v>
      </c>
      <c r="E1090" s="22" t="s">
        <v>4467</v>
      </c>
      <c r="F1090" s="22" t="s">
        <v>4964</v>
      </c>
      <c r="G1090" s="22" t="s">
        <v>932</v>
      </c>
      <c r="H1090" s="22" t="s">
        <v>4965</v>
      </c>
      <c r="I1090" s="23" t="s">
        <v>4946</v>
      </c>
      <c r="J1090" s="22" t="s">
        <v>670</v>
      </c>
      <c r="L1090" s="23">
        <v>20</v>
      </c>
      <c r="M1090" s="23">
        <v>9</v>
      </c>
      <c r="N1090" s="3">
        <f t="shared" si="540"/>
        <v>3.5999999999999999E-3</v>
      </c>
      <c r="O1090" s="4" t="e">
        <f>(C1090-(C1090*#REF!))-((C1090-(C1090*#REF!))*#REF!)</f>
        <v>#REF!</v>
      </c>
      <c r="P1090" s="7"/>
      <c r="Q1090" s="7"/>
      <c r="R1090" s="5">
        <f t="shared" si="541"/>
        <v>0</v>
      </c>
      <c r="S1090" s="4">
        <f t="shared" si="542"/>
        <v>0</v>
      </c>
      <c r="T1090" s="13">
        <f t="shared" si="523"/>
        <v>37.093000000000004</v>
      </c>
      <c r="U1090" s="13">
        <f t="shared" si="532"/>
        <v>18.546500000000002</v>
      </c>
      <c r="V1090" s="14">
        <f>U1090/C1090</f>
        <v>0.35000000000000003</v>
      </c>
      <c r="W1090" s="14"/>
      <c r="X1090" s="19">
        <f t="shared" si="543"/>
        <v>18.546500000000002</v>
      </c>
      <c r="Y1090" s="19">
        <f t="shared" si="544"/>
        <v>37.093000000000004</v>
      </c>
      <c r="Z1090" s="15" t="e">
        <f t="shared" si="538"/>
        <v>#DIV/0!</v>
      </c>
      <c r="AA1090" s="22" t="s">
        <v>4951</v>
      </c>
      <c r="AG1090" s="94" t="s">
        <v>817</v>
      </c>
      <c r="AH1090" s="89" t="str">
        <f>VLOOKUP(AG1090,Sheet1!$B$3:$D$36,2,FALSE)</f>
        <v>Kitchen &amp; Dining</v>
      </c>
      <c r="AI1090" s="89" t="s">
        <v>2077</v>
      </c>
      <c r="AJ1090" s="1" t="str">
        <f t="shared" si="524"/>
        <v>Yelena bowl clear</v>
      </c>
      <c r="AK1090" s="1" t="str">
        <f t="shared" si="525"/>
        <v>ø20 x h9</v>
      </c>
      <c r="AL1090" s="1" t="str">
        <f t="shared" si="526"/>
        <v>clear glass semi # 6</v>
      </c>
      <c r="AM1090" s="1" t="str">
        <f t="shared" si="527"/>
        <v>clear glass semi # 6</v>
      </c>
      <c r="AN1090" s="1" t="str">
        <f t="shared" si="539"/>
        <v>clear glass semi # 6</v>
      </c>
      <c r="AQ1090" s="1" t="str">
        <f t="shared" si="528"/>
        <v>C</v>
      </c>
      <c r="AR1090" s="1" t="str">
        <f>VLOOKUP(TRIM(AI1090),Sheet1!$D$3:$E$36,2,FALSE)</f>
        <v>01</v>
      </c>
      <c r="AS1090" s="90" t="str">
        <f t="shared" si="529"/>
        <v>06</v>
      </c>
      <c r="AT1090" s="1" t="str">
        <f t="shared" si="530"/>
        <v>01</v>
      </c>
      <c r="AU1090" s="90" t="s">
        <v>2567</v>
      </c>
      <c r="AV1090" s="90"/>
      <c r="AW1090" s="90"/>
      <c r="AX1090" s="95" t="str">
        <f>AQ1090&amp;AR1090&amp;AS1090&amp;"-"&amp;AT1090&amp;AU1090&amp;BA1090</f>
        <v>C0106-0138</v>
      </c>
      <c r="AY1090" s="99" t="str">
        <f>AQ1090&amp;AR1090&amp;AS1090&amp;"-"&amp;AT1090&amp;BA1090</f>
        <v>C0106-01</v>
      </c>
      <c r="AZ1090" s="90"/>
      <c r="BA1090" s="1" t="str">
        <f t="shared" si="531"/>
        <v/>
      </c>
      <c r="BC1090" s="1" t="str">
        <f t="shared" si="536"/>
        <v/>
      </c>
      <c r="BD1090" s="90">
        <f t="shared" si="537"/>
        <v>6</v>
      </c>
      <c r="BE1090" s="1">
        <f t="shared" si="533"/>
        <v>1</v>
      </c>
      <c r="BF1090" s="1">
        <f t="shared" si="534"/>
        <v>1</v>
      </c>
    </row>
    <row r="1091" spans="1:58" ht="11.25" customHeight="1">
      <c r="A1091" s="26" t="s">
        <v>4966</v>
      </c>
      <c r="B1091" s="27" t="s">
        <v>4943</v>
      </c>
      <c r="C1091" s="28">
        <v>77.989999999999995</v>
      </c>
      <c r="D1091" s="28">
        <f t="shared" si="522"/>
        <v>38.994999999999997</v>
      </c>
      <c r="E1091" s="22" t="s">
        <v>4467</v>
      </c>
      <c r="F1091" s="22" t="s">
        <v>4967</v>
      </c>
      <c r="G1091" s="22" t="s">
        <v>932</v>
      </c>
      <c r="H1091" s="22" t="s">
        <v>4968</v>
      </c>
      <c r="I1091" s="23" t="s">
        <v>4946</v>
      </c>
      <c r="J1091" s="22" t="s">
        <v>670</v>
      </c>
      <c r="L1091" s="23">
        <v>28</v>
      </c>
      <c r="M1091" s="23">
        <v>6</v>
      </c>
      <c r="N1091" s="3">
        <f t="shared" si="540"/>
        <v>4.7039999999999998E-3</v>
      </c>
      <c r="O1091" s="4" t="e">
        <f>(C1091-(C1091*#REF!))-((C1091-(C1091*#REF!))*#REF!)</f>
        <v>#REF!</v>
      </c>
      <c r="P1091" s="7"/>
      <c r="Q1091" s="7"/>
      <c r="R1091" s="5">
        <f t="shared" si="541"/>
        <v>0</v>
      </c>
      <c r="S1091" s="4">
        <f t="shared" si="542"/>
        <v>0</v>
      </c>
      <c r="T1091" s="13">
        <f t="shared" si="523"/>
        <v>54.592999999999996</v>
      </c>
      <c r="U1091" s="13">
        <f t="shared" si="532"/>
        <v>27.296499999999998</v>
      </c>
      <c r="V1091" s="14">
        <f>U1091/C1091</f>
        <v>0.35</v>
      </c>
      <c r="W1091" s="14"/>
      <c r="X1091" s="19">
        <f t="shared" si="543"/>
        <v>27.296499999999998</v>
      </c>
      <c r="Y1091" s="19">
        <f t="shared" si="544"/>
        <v>54.592999999999996</v>
      </c>
      <c r="Z1091" s="15" t="e">
        <f t="shared" si="538"/>
        <v>#DIV/0!</v>
      </c>
      <c r="AA1091" s="22" t="s">
        <v>4955</v>
      </c>
      <c r="AG1091" s="94" t="s">
        <v>817</v>
      </c>
      <c r="AH1091" s="89" t="str">
        <f>VLOOKUP(AG1091,Sheet1!$B$3:$D$36,2,FALSE)</f>
        <v>Kitchen &amp; Dining</v>
      </c>
      <c r="AI1091" s="89" t="s">
        <v>2077</v>
      </c>
      <c r="AJ1091" s="1" t="str">
        <f t="shared" si="524"/>
        <v>Yelena bowl clear</v>
      </c>
      <c r="AK1091" s="1" t="str">
        <f t="shared" si="525"/>
        <v>ø28 x h6</v>
      </c>
      <c r="AL1091" s="1" t="str">
        <f t="shared" si="526"/>
        <v>clear glass semi # 6</v>
      </c>
      <c r="AM1091" s="1" t="str">
        <f t="shared" si="527"/>
        <v>clear glass semi # 6</v>
      </c>
      <c r="AN1091" s="1" t="str">
        <f t="shared" si="539"/>
        <v>clear glass semi # 6</v>
      </c>
      <c r="AQ1091" s="1" t="str">
        <f t="shared" si="528"/>
        <v>C</v>
      </c>
      <c r="AR1091" s="1" t="str">
        <f>VLOOKUP(TRIM(AI1091),Sheet1!$D$3:$E$36,2,FALSE)</f>
        <v>01</v>
      </c>
      <c r="AS1091" s="90" t="str">
        <f t="shared" si="529"/>
        <v>07</v>
      </c>
      <c r="AT1091" s="1" t="str">
        <f t="shared" si="530"/>
        <v>01</v>
      </c>
      <c r="AU1091" s="90" t="s">
        <v>2567</v>
      </c>
      <c r="AV1091" s="90"/>
      <c r="AW1091" s="90"/>
      <c r="AX1091" s="95" t="str">
        <f>AQ1091&amp;AR1091&amp;AS1091&amp;"-"&amp;AT1091&amp;AU1091&amp;BA1091</f>
        <v>C0107-0138</v>
      </c>
      <c r="AY1091" s="99" t="str">
        <f>AQ1091&amp;AR1091&amp;AS1091&amp;"-"&amp;AT1091&amp;BA1091</f>
        <v>C0107-01</v>
      </c>
      <c r="AZ1091" s="90"/>
      <c r="BA1091" s="1" t="str">
        <f t="shared" si="531"/>
        <v/>
      </c>
      <c r="BC1091" s="1" t="str">
        <f t="shared" si="536"/>
        <v/>
      </c>
      <c r="BD1091" s="90">
        <f t="shared" si="537"/>
        <v>7</v>
      </c>
      <c r="BE1091" s="1">
        <f t="shared" si="533"/>
        <v>1</v>
      </c>
      <c r="BF1091" s="1">
        <f t="shared" si="534"/>
        <v>1</v>
      </c>
    </row>
    <row r="1092" spans="1:58" ht="11.25" customHeight="1">
      <c r="A1092" s="26" t="s">
        <v>4969</v>
      </c>
      <c r="B1092" s="27" t="s">
        <v>4943</v>
      </c>
      <c r="C1092" s="28">
        <v>91.99</v>
      </c>
      <c r="D1092" s="28">
        <f t="shared" si="522"/>
        <v>45.994999999999997</v>
      </c>
      <c r="E1092" s="22" t="s">
        <v>4467</v>
      </c>
      <c r="F1092" s="22" t="s">
        <v>4970</v>
      </c>
      <c r="G1092" s="22" t="s">
        <v>932</v>
      </c>
      <c r="H1092" s="22" t="s">
        <v>4971</v>
      </c>
      <c r="I1092" s="23" t="s">
        <v>4946</v>
      </c>
      <c r="J1092" s="22" t="s">
        <v>670</v>
      </c>
      <c r="L1092" s="23">
        <v>28</v>
      </c>
      <c r="M1092" s="23">
        <v>9</v>
      </c>
      <c r="N1092" s="3">
        <f t="shared" si="540"/>
        <v>7.0559999999999998E-3</v>
      </c>
      <c r="O1092" s="4" t="e">
        <f>(C1092-(C1092*#REF!))-((C1092-(C1092*#REF!))*#REF!)</f>
        <v>#REF!</v>
      </c>
      <c r="P1092" s="7"/>
      <c r="Q1092" s="7"/>
      <c r="R1092" s="5">
        <f t="shared" si="541"/>
        <v>0</v>
      </c>
      <c r="S1092" s="4">
        <f t="shared" si="542"/>
        <v>0</v>
      </c>
      <c r="T1092" s="13">
        <f t="shared" si="523"/>
        <v>64.393000000000001</v>
      </c>
      <c r="U1092" s="13">
        <f t="shared" si="532"/>
        <v>32.1965</v>
      </c>
      <c r="V1092" s="14">
        <f>U1092/C1092</f>
        <v>0.35000000000000003</v>
      </c>
      <c r="W1092" s="14"/>
      <c r="X1092" s="19">
        <f t="shared" si="543"/>
        <v>32.1965</v>
      </c>
      <c r="Y1092" s="19">
        <f t="shared" si="544"/>
        <v>64.393000000000001</v>
      </c>
      <c r="Z1092" s="15" t="e">
        <f t="shared" si="538"/>
        <v>#DIV/0!</v>
      </c>
      <c r="AA1092" s="22" t="s">
        <v>4951</v>
      </c>
      <c r="AG1092" s="94" t="s">
        <v>817</v>
      </c>
      <c r="AH1092" s="89" t="str">
        <f>VLOOKUP(AG1092,Sheet1!$B$3:$D$36,2,FALSE)</f>
        <v>Kitchen &amp; Dining</v>
      </c>
      <c r="AI1092" s="89" t="s">
        <v>2077</v>
      </c>
      <c r="AJ1092" s="1" t="str">
        <f t="shared" si="524"/>
        <v>Yelena bowl clear</v>
      </c>
      <c r="AK1092" s="1" t="str">
        <f t="shared" si="525"/>
        <v>ø28 x h9</v>
      </c>
      <c r="AL1092" s="1" t="str">
        <f t="shared" si="526"/>
        <v>clear glass semi # 6</v>
      </c>
      <c r="AM1092" s="1" t="str">
        <f t="shared" si="527"/>
        <v>clear glass semi # 6</v>
      </c>
      <c r="AN1092" s="1" t="str">
        <f t="shared" si="539"/>
        <v>clear glass semi # 6</v>
      </c>
      <c r="AQ1092" s="1" t="str">
        <f t="shared" si="528"/>
        <v>C</v>
      </c>
      <c r="AR1092" s="1" t="str">
        <f>VLOOKUP(TRIM(AI1092),Sheet1!$D$3:$E$36,2,FALSE)</f>
        <v>01</v>
      </c>
      <c r="AS1092" s="90" t="str">
        <f t="shared" si="529"/>
        <v>08</v>
      </c>
      <c r="AT1092" s="1" t="str">
        <f t="shared" si="530"/>
        <v>01</v>
      </c>
      <c r="AU1092" s="90" t="s">
        <v>2567</v>
      </c>
      <c r="AV1092" s="90"/>
      <c r="AW1092" s="90"/>
      <c r="AX1092" s="95" t="str">
        <f>AQ1092&amp;AR1092&amp;AS1092&amp;"-"&amp;AT1092&amp;AU1092&amp;BA1092</f>
        <v>C0108-0138</v>
      </c>
      <c r="AY1092" s="99" t="str">
        <f>AQ1092&amp;AR1092&amp;AS1092&amp;"-"&amp;AT1092&amp;BA1092</f>
        <v>C0108-01</v>
      </c>
      <c r="AZ1092" s="90"/>
      <c r="BA1092" s="1" t="str">
        <f t="shared" si="531"/>
        <v/>
      </c>
      <c r="BC1092" s="1" t="str">
        <f t="shared" si="536"/>
        <v/>
      </c>
      <c r="BD1092" s="90">
        <f t="shared" si="537"/>
        <v>8</v>
      </c>
      <c r="BE1092" s="1">
        <f t="shared" si="533"/>
        <v>1</v>
      </c>
      <c r="BF1092" s="1">
        <f t="shared" si="534"/>
        <v>1</v>
      </c>
    </row>
    <row r="1093" spans="1:58" ht="11.25" customHeight="1">
      <c r="A1093" s="26" t="s">
        <v>4972</v>
      </c>
      <c r="B1093" s="27" t="s">
        <v>4973</v>
      </c>
      <c r="C1093" s="28">
        <v>23.99</v>
      </c>
      <c r="D1093" s="28">
        <f t="shared" ref="D1093:D1153" si="545">C1093*$D$1</f>
        <v>11.994999999999999</v>
      </c>
      <c r="E1093" s="22" t="s">
        <v>4467</v>
      </c>
      <c r="F1093" s="22" t="s">
        <v>4944</v>
      </c>
      <c r="G1093" s="22" t="s">
        <v>938</v>
      </c>
      <c r="H1093" s="22" t="s">
        <v>4945</v>
      </c>
      <c r="I1093" s="23" t="s">
        <v>4974</v>
      </c>
      <c r="J1093" s="22" t="s">
        <v>670</v>
      </c>
      <c r="L1093" s="23">
        <v>9</v>
      </c>
      <c r="M1093" s="23">
        <v>4</v>
      </c>
      <c r="N1093" s="3">
        <f t="shared" si="540"/>
        <v>3.2400000000000001E-4</v>
      </c>
      <c r="O1093" s="4" t="e">
        <f>(C1093-(C1093*#REF!))-((C1093-(C1093*#REF!))*#REF!)</f>
        <v>#REF!</v>
      </c>
      <c r="P1093" s="7"/>
      <c r="Q1093" s="7"/>
      <c r="R1093" s="5">
        <f t="shared" si="541"/>
        <v>0</v>
      </c>
      <c r="S1093" s="4">
        <f t="shared" si="542"/>
        <v>0</v>
      </c>
      <c r="T1093" s="13">
        <f t="shared" ref="T1093:T1152" si="546">C1093-(C1093*$T$1)</f>
        <v>16.792999999999999</v>
      </c>
      <c r="U1093" s="13">
        <f t="shared" si="532"/>
        <v>8.3964999999999996</v>
      </c>
      <c r="V1093" s="14">
        <f>U1093/C1093</f>
        <v>0.35000000000000003</v>
      </c>
      <c r="W1093" s="14"/>
      <c r="X1093" s="19">
        <f t="shared" si="543"/>
        <v>8.3964999999999996</v>
      </c>
      <c r="Y1093" s="19">
        <f t="shared" si="544"/>
        <v>16.792999999999999</v>
      </c>
      <c r="Z1093" s="15" t="e">
        <f t="shared" si="538"/>
        <v>#DIV/0!</v>
      </c>
      <c r="AA1093" s="22" t="s">
        <v>4975</v>
      </c>
      <c r="AG1093" s="94" t="s">
        <v>817</v>
      </c>
      <c r="AH1093" s="89" t="str">
        <f>VLOOKUP(AG1093,Sheet1!$B$3:$D$36,2,FALSE)</f>
        <v>Kitchen &amp; Dining</v>
      </c>
      <c r="AI1093" s="89" t="s">
        <v>2077</v>
      </c>
      <c r="AJ1093" s="1" t="str">
        <f t="shared" ref="AJ1093:AJ1152" si="547">G1093</f>
        <v>Yelena bowl clear matte</v>
      </c>
      <c r="AK1093" s="1" t="str">
        <f t="shared" ref="AK1093:AK1152" si="548">TRIM(H1093)</f>
        <v>ø9 x h4</v>
      </c>
      <c r="AL1093" s="1" t="str">
        <f t="shared" ref="AL1093:AL1152" si="549">I1093</f>
        <v>clear matte glass semi # 6</v>
      </c>
      <c r="AM1093" s="1" t="str">
        <f t="shared" ref="AM1093:AM1152" si="550">I1093</f>
        <v>clear matte glass semi # 6</v>
      </c>
      <c r="AN1093" s="1" t="str">
        <f t="shared" si="539"/>
        <v>clear matte glass semi # 6</v>
      </c>
      <c r="AQ1093" s="1" t="str">
        <f t="shared" ref="AQ1093:AQ1155" si="551">IF(TRIM(AG1093)="01","A",IF(TRIM(AG1093)="02","B",IF(TRIM(AG1093)="03","C",IF(TRIM(AG1093)="04","D",IF(TRIM(AG1093)="05","E","F")))))</f>
        <v>C</v>
      </c>
      <c r="AR1093" s="1" t="str">
        <f>VLOOKUP(TRIM(AI1093),Sheet1!$D$3:$E$36,2,FALSE)</f>
        <v>01</v>
      </c>
      <c r="AS1093" s="90" t="str">
        <f t="shared" ref="AS1093:AS1152" si="552">IF(LEN(BD1093)=1,"0"&amp;BD1093,BD1093)</f>
        <v>01</v>
      </c>
      <c r="AT1093" s="1" t="str">
        <f t="shared" ref="AT1093:AT1152" si="553">IF(LEN(BF1093)=1,"0"&amp;BF1093,BF1093)</f>
        <v>01</v>
      </c>
      <c r="AU1093" s="90" t="s">
        <v>2567</v>
      </c>
      <c r="AV1093" s="90"/>
      <c r="AW1093" s="90"/>
      <c r="AX1093" s="95" t="str">
        <f>AQ1093&amp;AR1093&amp;AS1093&amp;"-"&amp;AT1093&amp;AU1093&amp;BA1093</f>
        <v>C0101-0138</v>
      </c>
      <c r="AY1093" s="99" t="str">
        <f>AQ1093&amp;AR1093&amp;AS1093&amp;"-"&amp;AT1093&amp;BA1093</f>
        <v>C0101-01</v>
      </c>
      <c r="AZ1093" s="90"/>
      <c r="BA1093" s="1" t="str">
        <f t="shared" ref="BA1093:BA1152" si="554">IF(AO1093="","",UPPER(LEFT(AO1093,3)))</f>
        <v/>
      </c>
      <c r="BC1093" s="1">
        <f t="shared" si="536"/>
        <v>1</v>
      </c>
      <c r="BD1093" s="90">
        <f t="shared" si="537"/>
        <v>1</v>
      </c>
      <c r="BE1093" s="1">
        <f t="shared" si="533"/>
        <v>1</v>
      </c>
      <c r="BF1093" s="1">
        <f t="shared" si="534"/>
        <v>1</v>
      </c>
    </row>
    <row r="1094" spans="1:58" ht="11.25" customHeight="1">
      <c r="A1094" s="26" t="s">
        <v>4976</v>
      </c>
      <c r="B1094" s="27" t="s">
        <v>4973</v>
      </c>
      <c r="C1094" s="28">
        <v>30.99</v>
      </c>
      <c r="D1094" s="28">
        <f t="shared" si="545"/>
        <v>15.494999999999999</v>
      </c>
      <c r="E1094" s="22" t="s">
        <v>4467</v>
      </c>
      <c r="F1094" s="22" t="s">
        <v>4949</v>
      </c>
      <c r="G1094" s="22" t="s">
        <v>938</v>
      </c>
      <c r="H1094" s="22" t="s">
        <v>4977</v>
      </c>
      <c r="I1094" s="23" t="s">
        <v>4974</v>
      </c>
      <c r="J1094" s="22" t="s">
        <v>670</v>
      </c>
      <c r="L1094" s="23">
        <v>15</v>
      </c>
      <c r="M1094" s="23">
        <v>5</v>
      </c>
      <c r="N1094" s="3">
        <f t="shared" si="540"/>
        <v>1.1249999999999999E-3</v>
      </c>
      <c r="O1094" s="4" t="e">
        <f>(C1094-(C1094*#REF!))-((C1094-(C1094*#REF!))*#REF!)</f>
        <v>#REF!</v>
      </c>
      <c r="P1094" s="7"/>
      <c r="Q1094" s="7"/>
      <c r="R1094" s="5">
        <f t="shared" si="541"/>
        <v>0</v>
      </c>
      <c r="S1094" s="4">
        <f t="shared" si="542"/>
        <v>0</v>
      </c>
      <c r="T1094" s="13">
        <f t="shared" si="546"/>
        <v>21.692999999999998</v>
      </c>
      <c r="U1094" s="13">
        <f t="shared" ref="U1094:U1154" si="555">T1094-(T1094*$U$1)</f>
        <v>10.846499999999999</v>
      </c>
      <c r="V1094" s="14">
        <f>U1094/C1094</f>
        <v>0.35</v>
      </c>
      <c r="W1094" s="14"/>
      <c r="X1094" s="19">
        <f t="shared" si="543"/>
        <v>10.846499999999999</v>
      </c>
      <c r="Y1094" s="19">
        <f t="shared" si="544"/>
        <v>21.692999999999998</v>
      </c>
      <c r="Z1094" s="15" t="e">
        <f t="shared" si="538"/>
        <v>#DIV/0!</v>
      </c>
      <c r="AA1094" s="22" t="s">
        <v>4978</v>
      </c>
      <c r="AG1094" s="94" t="s">
        <v>817</v>
      </c>
      <c r="AH1094" s="89" t="str">
        <f>VLOOKUP(AG1094,Sheet1!$B$3:$D$36,2,FALSE)</f>
        <v>Kitchen &amp; Dining</v>
      </c>
      <c r="AI1094" s="89" t="s">
        <v>2077</v>
      </c>
      <c r="AJ1094" s="1" t="str">
        <f t="shared" si="547"/>
        <v>Yelena bowl clear matte</v>
      </c>
      <c r="AK1094" s="1" t="str">
        <f t="shared" si="548"/>
        <v>ø15 x h5</v>
      </c>
      <c r="AL1094" s="1" t="str">
        <f t="shared" si="549"/>
        <v>clear matte glass semi # 6</v>
      </c>
      <c r="AM1094" s="1" t="str">
        <f t="shared" si="550"/>
        <v>clear matte glass semi # 6</v>
      </c>
      <c r="AN1094" s="1" t="str">
        <f t="shared" si="539"/>
        <v>clear matte glass semi # 6</v>
      </c>
      <c r="AQ1094" s="1" t="str">
        <f t="shared" si="551"/>
        <v>C</v>
      </c>
      <c r="AR1094" s="1" t="str">
        <f>VLOOKUP(TRIM(AI1094),Sheet1!$D$3:$E$36,2,FALSE)</f>
        <v>01</v>
      </c>
      <c r="AS1094" s="90" t="str">
        <f t="shared" si="552"/>
        <v>02</v>
      </c>
      <c r="AT1094" s="1" t="str">
        <f t="shared" si="553"/>
        <v>01</v>
      </c>
      <c r="AU1094" s="90" t="s">
        <v>2567</v>
      </c>
      <c r="AV1094" s="90"/>
      <c r="AW1094" s="90"/>
      <c r="AX1094" s="95" t="str">
        <f>AQ1094&amp;AR1094&amp;AS1094&amp;"-"&amp;AT1094&amp;AU1094&amp;BA1094</f>
        <v>C0102-0138</v>
      </c>
      <c r="AY1094" s="99" t="str">
        <f>AQ1094&amp;AR1094&amp;AS1094&amp;"-"&amp;AT1094&amp;BA1094</f>
        <v>C0102-01</v>
      </c>
      <c r="AZ1094" s="90"/>
      <c r="BA1094" s="1" t="str">
        <f t="shared" si="554"/>
        <v/>
      </c>
      <c r="BC1094" s="1" t="str">
        <f t="shared" si="536"/>
        <v/>
      </c>
      <c r="BD1094" s="90">
        <f t="shared" si="537"/>
        <v>2</v>
      </c>
      <c r="BE1094" s="1">
        <f t="shared" si="533"/>
        <v>1</v>
      </c>
      <c r="BF1094" s="1">
        <f t="shared" si="534"/>
        <v>1</v>
      </c>
    </row>
    <row r="1095" spans="1:58" ht="11.25" customHeight="1">
      <c r="A1095" s="26" t="s">
        <v>4979</v>
      </c>
      <c r="B1095" s="27" t="s">
        <v>10</v>
      </c>
      <c r="C1095" s="28">
        <v>34.99</v>
      </c>
      <c r="D1095" s="28">
        <f t="shared" si="545"/>
        <v>17.495000000000001</v>
      </c>
      <c r="E1095" s="22" t="s">
        <v>4467</v>
      </c>
      <c r="F1095" s="22" t="s">
        <v>4957</v>
      </c>
      <c r="G1095" s="22" t="s">
        <v>938</v>
      </c>
      <c r="H1095" s="22" t="s">
        <v>4834</v>
      </c>
      <c r="I1095" s="23" t="s">
        <v>4974</v>
      </c>
      <c r="J1095" s="22" t="s">
        <v>670</v>
      </c>
      <c r="L1095" s="23">
        <v>17</v>
      </c>
      <c r="M1095" s="23">
        <v>5</v>
      </c>
      <c r="N1095" s="3">
        <f t="shared" si="540"/>
        <v>1.4450000000000001E-3</v>
      </c>
      <c r="O1095" s="4" t="e">
        <f>(C1095-(C1095*#REF!))-((C1095-(C1095*#REF!))*#REF!)</f>
        <v>#REF!</v>
      </c>
      <c r="P1095" s="7"/>
      <c r="Q1095" s="7"/>
      <c r="R1095" s="5">
        <f t="shared" si="541"/>
        <v>0</v>
      </c>
      <c r="S1095" s="4">
        <f t="shared" si="542"/>
        <v>0</v>
      </c>
      <c r="T1095" s="13">
        <f t="shared" si="546"/>
        <v>24.493000000000002</v>
      </c>
      <c r="U1095" s="13">
        <f t="shared" si="555"/>
        <v>12.246500000000001</v>
      </c>
      <c r="V1095" s="14">
        <f>U1095/C1095</f>
        <v>0.35000000000000003</v>
      </c>
      <c r="W1095" s="14"/>
      <c r="X1095" s="19">
        <f t="shared" si="543"/>
        <v>12.246500000000001</v>
      </c>
      <c r="Y1095" s="19">
        <f t="shared" si="544"/>
        <v>24.493000000000002</v>
      </c>
      <c r="Z1095" s="15" t="e">
        <f t="shared" si="538"/>
        <v>#DIV/0!</v>
      </c>
      <c r="AA1095" s="22" t="s">
        <v>4980</v>
      </c>
      <c r="AG1095" s="94" t="s">
        <v>817</v>
      </c>
      <c r="AH1095" s="89" t="str">
        <f>VLOOKUP(AG1095,Sheet1!$B$3:$D$36,2,FALSE)</f>
        <v>Kitchen &amp; Dining</v>
      </c>
      <c r="AI1095" s="89" t="s">
        <v>2077</v>
      </c>
      <c r="AJ1095" s="1" t="str">
        <f t="shared" si="547"/>
        <v>Yelena bowl clear matte</v>
      </c>
      <c r="AK1095" s="1" t="str">
        <f t="shared" si="548"/>
        <v>ø17 x h5</v>
      </c>
      <c r="AL1095" s="1" t="str">
        <f t="shared" si="549"/>
        <v>clear matte glass semi # 6</v>
      </c>
      <c r="AM1095" s="1" t="str">
        <f t="shared" si="550"/>
        <v>clear matte glass semi # 6</v>
      </c>
      <c r="AN1095" s="1" t="str">
        <f t="shared" si="539"/>
        <v>clear matte glass semi # 6</v>
      </c>
      <c r="AQ1095" s="1" t="str">
        <f t="shared" si="551"/>
        <v>C</v>
      </c>
      <c r="AR1095" s="1" t="str">
        <f>VLOOKUP(TRIM(AI1095),Sheet1!$D$3:$E$36,2,FALSE)</f>
        <v>01</v>
      </c>
      <c r="AS1095" s="90" t="str">
        <f t="shared" si="552"/>
        <v>03</v>
      </c>
      <c r="AT1095" s="1" t="str">
        <f t="shared" si="553"/>
        <v>01</v>
      </c>
      <c r="AU1095" s="90" t="s">
        <v>2567</v>
      </c>
      <c r="AV1095" s="90"/>
      <c r="AW1095" s="90"/>
      <c r="AX1095" s="95" t="str">
        <f>AQ1095&amp;AR1095&amp;AS1095&amp;"-"&amp;AT1095&amp;AU1095&amp;BA1095</f>
        <v>C0103-0138</v>
      </c>
      <c r="AY1095" s="99" t="str">
        <f>AQ1095&amp;AR1095&amp;AS1095&amp;"-"&amp;AT1095&amp;BA1095</f>
        <v>C0103-01</v>
      </c>
      <c r="AZ1095" s="90"/>
      <c r="BA1095" s="1" t="str">
        <f t="shared" si="554"/>
        <v/>
      </c>
      <c r="BC1095" s="1" t="str">
        <f t="shared" si="536"/>
        <v/>
      </c>
      <c r="BD1095" s="90">
        <f t="shared" si="537"/>
        <v>3</v>
      </c>
      <c r="BE1095" s="1">
        <f t="shared" si="533"/>
        <v>1</v>
      </c>
      <c r="BF1095" s="1">
        <f t="shared" si="534"/>
        <v>1</v>
      </c>
    </row>
    <row r="1096" spans="1:58" ht="11.25" customHeight="1">
      <c r="A1096" s="26" t="s">
        <v>4981</v>
      </c>
      <c r="B1096" s="27" t="s">
        <v>4973</v>
      </c>
      <c r="C1096" s="28">
        <v>38.99</v>
      </c>
      <c r="D1096" s="28">
        <f t="shared" si="545"/>
        <v>19.495000000000001</v>
      </c>
      <c r="E1096" s="22" t="s">
        <v>4467</v>
      </c>
      <c r="F1096" s="22" t="s">
        <v>4953</v>
      </c>
      <c r="G1096" s="22" t="s">
        <v>938</v>
      </c>
      <c r="H1096" s="22" t="s">
        <v>4982</v>
      </c>
      <c r="I1096" s="23" t="s">
        <v>4974</v>
      </c>
      <c r="J1096" s="22" t="s">
        <v>670</v>
      </c>
      <c r="L1096" s="23">
        <v>16</v>
      </c>
      <c r="M1096" s="23">
        <v>6</v>
      </c>
      <c r="N1096" s="3">
        <f t="shared" si="540"/>
        <v>1.536E-3</v>
      </c>
      <c r="O1096" s="4" t="e">
        <f>(C1096-(C1096*#REF!))-((C1096-(C1096*#REF!))*#REF!)</f>
        <v>#REF!</v>
      </c>
      <c r="P1096" s="7"/>
      <c r="Q1096" s="7"/>
      <c r="R1096" s="5">
        <f t="shared" si="541"/>
        <v>0</v>
      </c>
      <c r="S1096" s="4">
        <f t="shared" si="542"/>
        <v>0</v>
      </c>
      <c r="T1096" s="13">
        <f t="shared" si="546"/>
        <v>27.292999999999999</v>
      </c>
      <c r="U1096" s="13">
        <f t="shared" si="555"/>
        <v>13.6465</v>
      </c>
      <c r="V1096" s="14">
        <f>U1096/C1096</f>
        <v>0.35</v>
      </c>
      <c r="W1096" s="14"/>
      <c r="X1096" s="19">
        <f t="shared" si="543"/>
        <v>13.6465</v>
      </c>
      <c r="Y1096" s="19">
        <f t="shared" si="544"/>
        <v>27.292999999999999</v>
      </c>
      <c r="Z1096" s="15" t="e">
        <f t="shared" si="538"/>
        <v>#DIV/0!</v>
      </c>
      <c r="AA1096" s="22" t="s">
        <v>4983</v>
      </c>
      <c r="AG1096" s="94" t="s">
        <v>817</v>
      </c>
      <c r="AH1096" s="89" t="str">
        <f>VLOOKUP(AG1096,Sheet1!$B$3:$D$36,2,FALSE)</f>
        <v>Kitchen &amp; Dining</v>
      </c>
      <c r="AI1096" s="89" t="s">
        <v>2077</v>
      </c>
      <c r="AJ1096" s="1" t="str">
        <f t="shared" si="547"/>
        <v>Yelena bowl clear matte</v>
      </c>
      <c r="AK1096" s="1" t="str">
        <f t="shared" si="548"/>
        <v>ø16 x h6</v>
      </c>
      <c r="AL1096" s="1" t="str">
        <f t="shared" si="549"/>
        <v>clear matte glass semi # 6</v>
      </c>
      <c r="AM1096" s="1" t="str">
        <f t="shared" si="550"/>
        <v>clear matte glass semi # 6</v>
      </c>
      <c r="AN1096" s="1" t="str">
        <f t="shared" si="539"/>
        <v>clear matte glass semi # 6</v>
      </c>
      <c r="AQ1096" s="1" t="str">
        <f t="shared" si="551"/>
        <v>C</v>
      </c>
      <c r="AR1096" s="1" t="str">
        <f>VLOOKUP(TRIM(AI1096),Sheet1!$D$3:$E$36,2,FALSE)</f>
        <v>01</v>
      </c>
      <c r="AS1096" s="90" t="str">
        <f t="shared" si="552"/>
        <v>04</v>
      </c>
      <c r="AT1096" s="1" t="str">
        <f t="shared" si="553"/>
        <v>01</v>
      </c>
      <c r="AU1096" s="90" t="s">
        <v>2567</v>
      </c>
      <c r="AV1096" s="90"/>
      <c r="AW1096" s="90"/>
      <c r="AX1096" s="95" t="str">
        <f>AQ1096&amp;AR1096&amp;AS1096&amp;"-"&amp;AT1096&amp;AU1096&amp;BA1096</f>
        <v>C0104-0138</v>
      </c>
      <c r="AY1096" s="99" t="str">
        <f>AQ1096&amp;AR1096&amp;AS1096&amp;"-"&amp;AT1096&amp;BA1096</f>
        <v>C0104-01</v>
      </c>
      <c r="AZ1096" s="90"/>
      <c r="BA1096" s="1" t="str">
        <f t="shared" si="554"/>
        <v/>
      </c>
      <c r="BC1096" s="1" t="str">
        <f t="shared" si="536"/>
        <v/>
      </c>
      <c r="BD1096" s="90">
        <f t="shared" si="537"/>
        <v>4</v>
      </c>
      <c r="BE1096" s="1">
        <f t="shared" si="533"/>
        <v>1</v>
      </c>
      <c r="BF1096" s="1">
        <f t="shared" si="534"/>
        <v>1</v>
      </c>
    </row>
    <row r="1097" spans="1:58" ht="11.25" customHeight="1">
      <c r="A1097" s="26" t="s">
        <v>4984</v>
      </c>
      <c r="B1097" s="27" t="s">
        <v>4973</v>
      </c>
      <c r="C1097" s="28">
        <v>49.99</v>
      </c>
      <c r="D1097" s="28">
        <f t="shared" si="545"/>
        <v>24.995000000000001</v>
      </c>
      <c r="E1097" s="22" t="s">
        <v>4467</v>
      </c>
      <c r="F1097" s="22" t="s">
        <v>4960</v>
      </c>
      <c r="G1097" s="22" t="s">
        <v>938</v>
      </c>
      <c r="H1097" s="22" t="s">
        <v>4961</v>
      </c>
      <c r="I1097" s="23" t="s">
        <v>4974</v>
      </c>
      <c r="J1097" s="22" t="s">
        <v>670</v>
      </c>
      <c r="L1097" s="23">
        <v>20</v>
      </c>
      <c r="M1097" s="23">
        <v>6</v>
      </c>
      <c r="N1097" s="3">
        <f t="shared" si="540"/>
        <v>2.3999999999999998E-3</v>
      </c>
      <c r="O1097" s="4" t="e">
        <f>(C1097-(C1097*#REF!))-((C1097-(C1097*#REF!))*#REF!)</f>
        <v>#REF!</v>
      </c>
      <c r="P1097" s="7"/>
      <c r="Q1097" s="7"/>
      <c r="R1097" s="5">
        <f t="shared" si="541"/>
        <v>0</v>
      </c>
      <c r="S1097" s="4">
        <f t="shared" si="542"/>
        <v>0</v>
      </c>
      <c r="T1097" s="13">
        <f t="shared" si="546"/>
        <v>34.993000000000002</v>
      </c>
      <c r="U1097" s="13">
        <f t="shared" si="555"/>
        <v>17.496500000000001</v>
      </c>
      <c r="V1097" s="14">
        <f>U1097/C1097</f>
        <v>0.35000000000000003</v>
      </c>
      <c r="W1097" s="14"/>
      <c r="X1097" s="19">
        <f t="shared" si="543"/>
        <v>17.496500000000001</v>
      </c>
      <c r="Y1097" s="19">
        <f t="shared" si="544"/>
        <v>34.993000000000002</v>
      </c>
      <c r="Z1097" s="15" t="e">
        <f t="shared" si="538"/>
        <v>#DIV/0!</v>
      </c>
      <c r="AA1097" s="22" t="s">
        <v>4978</v>
      </c>
      <c r="AG1097" s="94" t="s">
        <v>817</v>
      </c>
      <c r="AH1097" s="89" t="str">
        <f>VLOOKUP(AG1097,Sheet1!$B$3:$D$36,2,FALSE)</f>
        <v>Kitchen &amp; Dining</v>
      </c>
      <c r="AI1097" s="89" t="s">
        <v>2077</v>
      </c>
      <c r="AJ1097" s="1" t="str">
        <f t="shared" si="547"/>
        <v>Yelena bowl clear matte</v>
      </c>
      <c r="AK1097" s="1" t="str">
        <f t="shared" si="548"/>
        <v>ø20 x h6</v>
      </c>
      <c r="AL1097" s="1" t="str">
        <f t="shared" si="549"/>
        <v>clear matte glass semi # 6</v>
      </c>
      <c r="AM1097" s="1" t="str">
        <f t="shared" si="550"/>
        <v>clear matte glass semi # 6</v>
      </c>
      <c r="AN1097" s="1" t="str">
        <f t="shared" si="539"/>
        <v>clear matte glass semi # 6</v>
      </c>
      <c r="AQ1097" s="1" t="str">
        <f t="shared" si="551"/>
        <v>C</v>
      </c>
      <c r="AR1097" s="1" t="str">
        <f>VLOOKUP(TRIM(AI1097),Sheet1!$D$3:$E$36,2,FALSE)</f>
        <v>01</v>
      </c>
      <c r="AS1097" s="90" t="str">
        <f t="shared" si="552"/>
        <v>05</v>
      </c>
      <c r="AT1097" s="1" t="str">
        <f t="shared" si="553"/>
        <v>01</v>
      </c>
      <c r="AU1097" s="90" t="s">
        <v>2567</v>
      </c>
      <c r="AV1097" s="90"/>
      <c r="AW1097" s="90"/>
      <c r="AX1097" s="95" t="str">
        <f>AQ1097&amp;AR1097&amp;AS1097&amp;"-"&amp;AT1097&amp;AU1097&amp;BA1097</f>
        <v>C0105-0138</v>
      </c>
      <c r="AY1097" s="99" t="str">
        <f>AQ1097&amp;AR1097&amp;AS1097&amp;"-"&amp;AT1097&amp;BA1097</f>
        <v>C0105-01</v>
      </c>
      <c r="AZ1097" s="90"/>
      <c r="BA1097" s="1" t="str">
        <f t="shared" si="554"/>
        <v/>
      </c>
      <c r="BC1097" s="1" t="str">
        <f t="shared" si="536"/>
        <v/>
      </c>
      <c r="BD1097" s="90">
        <f t="shared" si="537"/>
        <v>5</v>
      </c>
      <c r="BE1097" s="1">
        <f t="shared" si="533"/>
        <v>1</v>
      </c>
      <c r="BF1097" s="1">
        <f t="shared" si="534"/>
        <v>1</v>
      </c>
    </row>
    <row r="1098" spans="1:58" ht="11.25" customHeight="1">
      <c r="A1098" s="26" t="s">
        <v>4985</v>
      </c>
      <c r="B1098" s="27" t="s">
        <v>4986</v>
      </c>
      <c r="C1098" s="28">
        <v>29.99</v>
      </c>
      <c r="D1098" s="28">
        <f t="shared" si="545"/>
        <v>14.994999999999999</v>
      </c>
      <c r="E1098" s="22" t="s">
        <v>4467</v>
      </c>
      <c r="F1098" s="22" t="s">
        <v>4987</v>
      </c>
      <c r="G1098" s="22" t="s">
        <v>941</v>
      </c>
      <c r="H1098" s="22" t="s">
        <v>4945</v>
      </c>
      <c r="I1098" s="23" t="s">
        <v>4988</v>
      </c>
      <c r="J1098" s="22" t="s">
        <v>670</v>
      </c>
      <c r="L1098" s="23">
        <v>9</v>
      </c>
      <c r="M1098" s="23">
        <v>4</v>
      </c>
      <c r="N1098" s="3">
        <f t="shared" si="540"/>
        <v>3.2400000000000001E-4</v>
      </c>
      <c r="O1098" s="4" t="e">
        <f>(C1098-(C1098*#REF!))-((C1098-(C1098*#REF!))*#REF!)</f>
        <v>#REF!</v>
      </c>
      <c r="P1098" s="7"/>
      <c r="Q1098" s="7"/>
      <c r="R1098" s="5">
        <f t="shared" si="541"/>
        <v>0</v>
      </c>
      <c r="S1098" s="4">
        <f t="shared" si="542"/>
        <v>0</v>
      </c>
      <c r="T1098" s="13">
        <f t="shared" si="546"/>
        <v>20.992999999999999</v>
      </c>
      <c r="U1098" s="13">
        <f t="shared" si="555"/>
        <v>10.496499999999999</v>
      </c>
      <c r="V1098" s="14">
        <f>U1098/C1098</f>
        <v>0.35</v>
      </c>
      <c r="W1098" s="14"/>
      <c r="X1098" s="19">
        <f t="shared" si="543"/>
        <v>10.496499999999999</v>
      </c>
      <c r="Y1098" s="19">
        <f t="shared" si="544"/>
        <v>20.992999999999999</v>
      </c>
      <c r="Z1098" s="15" t="e">
        <f t="shared" si="538"/>
        <v>#DIV/0!</v>
      </c>
      <c r="AA1098" s="22" t="s">
        <v>4989</v>
      </c>
      <c r="AG1098" s="94" t="s">
        <v>817</v>
      </c>
      <c r="AH1098" s="89" t="str">
        <f>VLOOKUP(AG1098,Sheet1!$B$3:$D$36,2,FALSE)</f>
        <v>Kitchen &amp; Dining</v>
      </c>
      <c r="AI1098" s="89" t="s">
        <v>2077</v>
      </c>
      <c r="AJ1098" s="1" t="str">
        <f t="shared" si="547"/>
        <v>Yelena bowl grey</v>
      </c>
      <c r="AK1098" s="1" t="str">
        <f t="shared" si="548"/>
        <v>ø9 x h4</v>
      </c>
      <c r="AL1098" s="1" t="str">
        <f t="shared" si="549"/>
        <v>grey glass semi # 6</v>
      </c>
      <c r="AM1098" s="1" t="str">
        <f t="shared" si="550"/>
        <v>grey glass semi # 6</v>
      </c>
      <c r="AN1098" s="1" t="str">
        <f t="shared" si="539"/>
        <v>grey glass semi # 6</v>
      </c>
      <c r="AQ1098" s="1" t="str">
        <f t="shared" si="551"/>
        <v>C</v>
      </c>
      <c r="AR1098" s="1" t="str">
        <f>VLOOKUP(TRIM(AI1098),Sheet1!$D$3:$E$36,2,FALSE)</f>
        <v>01</v>
      </c>
      <c r="AS1098" s="90" t="str">
        <f t="shared" si="552"/>
        <v>01</v>
      </c>
      <c r="AT1098" s="1" t="str">
        <f t="shared" si="553"/>
        <v>01</v>
      </c>
      <c r="AU1098" s="90" t="s">
        <v>2639</v>
      </c>
      <c r="AV1098" s="90"/>
      <c r="AW1098" s="90"/>
      <c r="AX1098" s="95" t="str">
        <f>AQ1098&amp;AR1098&amp;AS1098&amp;"-"&amp;AT1098&amp;AU1098&amp;BA1098</f>
        <v>C0101-0141</v>
      </c>
      <c r="AY1098" s="99" t="str">
        <f>AQ1098&amp;AR1098&amp;AS1098&amp;"-"&amp;AT1098&amp;BA1098</f>
        <v>C0101-01</v>
      </c>
      <c r="AZ1098" s="90"/>
      <c r="BA1098" s="1" t="str">
        <f t="shared" si="554"/>
        <v/>
      </c>
      <c r="BC1098" s="1">
        <f t="shared" si="536"/>
        <v>1</v>
      </c>
      <c r="BD1098" s="90">
        <f t="shared" si="537"/>
        <v>1</v>
      </c>
      <c r="BE1098" s="1">
        <f t="shared" si="533"/>
        <v>1</v>
      </c>
      <c r="BF1098" s="1">
        <f t="shared" si="534"/>
        <v>1</v>
      </c>
    </row>
    <row r="1099" spans="1:58" ht="11.25" customHeight="1">
      <c r="A1099" s="26" t="s">
        <v>4990</v>
      </c>
      <c r="B1099" s="27" t="s">
        <v>4986</v>
      </c>
      <c r="C1099" s="28">
        <v>36.99</v>
      </c>
      <c r="D1099" s="28">
        <f t="shared" si="545"/>
        <v>18.495000000000001</v>
      </c>
      <c r="E1099" s="22" t="s">
        <v>4467</v>
      </c>
      <c r="F1099" s="22" t="s">
        <v>4991</v>
      </c>
      <c r="G1099" s="22" t="s">
        <v>941</v>
      </c>
      <c r="H1099" s="22" t="s">
        <v>4977</v>
      </c>
      <c r="I1099" s="23" t="s">
        <v>4988</v>
      </c>
      <c r="J1099" s="22" t="s">
        <v>670</v>
      </c>
      <c r="L1099" s="23">
        <v>15</v>
      </c>
      <c r="M1099" s="23">
        <v>5</v>
      </c>
      <c r="N1099" s="3">
        <f t="shared" si="540"/>
        <v>1.1249999999999999E-3</v>
      </c>
      <c r="O1099" s="4" t="e">
        <f>(C1099-(C1099*#REF!))-((C1099-(C1099*#REF!))*#REF!)</f>
        <v>#REF!</v>
      </c>
      <c r="P1099" s="7"/>
      <c r="Q1099" s="7"/>
      <c r="R1099" s="5">
        <f t="shared" si="541"/>
        <v>0</v>
      </c>
      <c r="S1099" s="4">
        <f t="shared" si="542"/>
        <v>0</v>
      </c>
      <c r="T1099" s="13">
        <f t="shared" si="546"/>
        <v>25.893000000000001</v>
      </c>
      <c r="U1099" s="13">
        <f t="shared" si="555"/>
        <v>12.9465</v>
      </c>
      <c r="V1099" s="14">
        <f>U1099/C1099</f>
        <v>0.35</v>
      </c>
      <c r="W1099" s="14"/>
      <c r="X1099" s="19">
        <f t="shared" si="543"/>
        <v>12.9465</v>
      </c>
      <c r="Y1099" s="19">
        <f t="shared" si="544"/>
        <v>25.893000000000001</v>
      </c>
      <c r="Z1099" s="15" t="e">
        <f t="shared" si="538"/>
        <v>#DIV/0!</v>
      </c>
      <c r="AA1099" s="22" t="s">
        <v>4992</v>
      </c>
      <c r="AG1099" s="94" t="s">
        <v>817</v>
      </c>
      <c r="AH1099" s="89" t="str">
        <f>VLOOKUP(AG1099,Sheet1!$B$3:$D$36,2,FALSE)</f>
        <v>Kitchen &amp; Dining</v>
      </c>
      <c r="AI1099" s="89" t="s">
        <v>2077</v>
      </c>
      <c r="AJ1099" s="1" t="str">
        <f t="shared" si="547"/>
        <v>Yelena bowl grey</v>
      </c>
      <c r="AK1099" s="1" t="str">
        <f t="shared" si="548"/>
        <v>ø15 x h5</v>
      </c>
      <c r="AL1099" s="1" t="str">
        <f t="shared" si="549"/>
        <v>grey glass semi # 6</v>
      </c>
      <c r="AM1099" s="1" t="str">
        <f t="shared" si="550"/>
        <v>grey glass semi # 6</v>
      </c>
      <c r="AN1099" s="1" t="str">
        <f t="shared" si="539"/>
        <v>grey glass semi # 6</v>
      </c>
      <c r="AQ1099" s="1" t="str">
        <f t="shared" si="551"/>
        <v>C</v>
      </c>
      <c r="AR1099" s="1" t="str">
        <f>VLOOKUP(TRIM(AI1099),Sheet1!$D$3:$E$36,2,FALSE)</f>
        <v>01</v>
      </c>
      <c r="AS1099" s="90" t="str">
        <f t="shared" si="552"/>
        <v>02</v>
      </c>
      <c r="AT1099" s="1" t="str">
        <f t="shared" si="553"/>
        <v>01</v>
      </c>
      <c r="AU1099" s="90" t="s">
        <v>2639</v>
      </c>
      <c r="AV1099" s="90"/>
      <c r="AW1099" s="90"/>
      <c r="AX1099" s="95" t="str">
        <f>AQ1099&amp;AR1099&amp;AS1099&amp;"-"&amp;AT1099&amp;AU1099&amp;BA1099</f>
        <v>C0102-0141</v>
      </c>
      <c r="AY1099" s="99" t="str">
        <f>AQ1099&amp;AR1099&amp;AS1099&amp;"-"&amp;AT1099&amp;BA1099</f>
        <v>C0102-01</v>
      </c>
      <c r="AZ1099" s="90"/>
      <c r="BA1099" s="1" t="str">
        <f t="shared" si="554"/>
        <v/>
      </c>
      <c r="BC1099" s="1" t="str">
        <f t="shared" si="536"/>
        <v/>
      </c>
      <c r="BD1099" s="90">
        <f t="shared" si="537"/>
        <v>2</v>
      </c>
      <c r="BE1099" s="1">
        <f t="shared" si="533"/>
        <v>1</v>
      </c>
      <c r="BF1099" s="1">
        <f t="shared" si="534"/>
        <v>1</v>
      </c>
    </row>
    <row r="1100" spans="1:58" ht="11.25" customHeight="1">
      <c r="A1100" s="26" t="s">
        <v>4993</v>
      </c>
      <c r="B1100" s="27" t="s">
        <v>4986</v>
      </c>
      <c r="C1100" s="28">
        <v>41.99</v>
      </c>
      <c r="D1100" s="28">
        <f t="shared" si="545"/>
        <v>20.995000000000001</v>
      </c>
      <c r="E1100" s="22" t="s">
        <v>4467</v>
      </c>
      <c r="F1100" s="22" t="s">
        <v>4994</v>
      </c>
      <c r="G1100" s="22" t="s">
        <v>941</v>
      </c>
      <c r="H1100" s="22" t="s">
        <v>4834</v>
      </c>
      <c r="I1100" s="23" t="s">
        <v>4988</v>
      </c>
      <c r="J1100" s="22" t="s">
        <v>670</v>
      </c>
      <c r="L1100" s="23">
        <v>17</v>
      </c>
      <c r="M1100" s="23">
        <v>5</v>
      </c>
      <c r="N1100" s="3">
        <f t="shared" si="540"/>
        <v>1.4450000000000001E-3</v>
      </c>
      <c r="O1100" s="4" t="e">
        <f>(C1100-(C1100*#REF!))-((C1100-(C1100*#REF!))*#REF!)</f>
        <v>#REF!</v>
      </c>
      <c r="P1100" s="7"/>
      <c r="Q1100" s="7"/>
      <c r="R1100" s="5">
        <f t="shared" si="541"/>
        <v>0</v>
      </c>
      <c r="S1100" s="4">
        <f t="shared" si="542"/>
        <v>0</v>
      </c>
      <c r="T1100" s="13">
        <f t="shared" si="546"/>
        <v>29.393000000000001</v>
      </c>
      <c r="U1100" s="13">
        <f t="shared" si="555"/>
        <v>14.6965</v>
      </c>
      <c r="V1100" s="14">
        <f>U1100/C1100</f>
        <v>0.35</v>
      </c>
      <c r="W1100" s="14"/>
      <c r="X1100" s="19">
        <f t="shared" si="543"/>
        <v>14.6965</v>
      </c>
      <c r="Y1100" s="19">
        <f t="shared" si="544"/>
        <v>29.393000000000001</v>
      </c>
      <c r="Z1100" s="15" t="e">
        <f t="shared" si="538"/>
        <v>#DIV/0!</v>
      </c>
      <c r="AA1100" s="22" t="s">
        <v>4992</v>
      </c>
      <c r="AG1100" s="94" t="s">
        <v>817</v>
      </c>
      <c r="AH1100" s="89" t="str">
        <f>VLOOKUP(AG1100,Sheet1!$B$3:$D$36,2,FALSE)</f>
        <v>Kitchen &amp; Dining</v>
      </c>
      <c r="AI1100" s="89" t="s">
        <v>2077</v>
      </c>
      <c r="AJ1100" s="1" t="str">
        <f t="shared" si="547"/>
        <v>Yelena bowl grey</v>
      </c>
      <c r="AK1100" s="1" t="str">
        <f t="shared" si="548"/>
        <v>ø17 x h5</v>
      </c>
      <c r="AL1100" s="1" t="str">
        <f t="shared" si="549"/>
        <v>grey glass semi # 6</v>
      </c>
      <c r="AM1100" s="1" t="str">
        <f t="shared" si="550"/>
        <v>grey glass semi # 6</v>
      </c>
      <c r="AN1100" s="1" t="str">
        <f t="shared" si="539"/>
        <v>grey glass semi # 6</v>
      </c>
      <c r="AQ1100" s="1" t="str">
        <f t="shared" si="551"/>
        <v>C</v>
      </c>
      <c r="AR1100" s="1" t="str">
        <f>VLOOKUP(TRIM(AI1100),Sheet1!$D$3:$E$36,2,FALSE)</f>
        <v>01</v>
      </c>
      <c r="AS1100" s="90" t="str">
        <f t="shared" si="552"/>
        <v>03</v>
      </c>
      <c r="AT1100" s="1" t="str">
        <f t="shared" si="553"/>
        <v>01</v>
      </c>
      <c r="AU1100" s="90" t="s">
        <v>2639</v>
      </c>
      <c r="AV1100" s="90"/>
      <c r="AW1100" s="90"/>
      <c r="AX1100" s="95" t="str">
        <f>AQ1100&amp;AR1100&amp;AS1100&amp;"-"&amp;AT1100&amp;AU1100&amp;BA1100</f>
        <v>C0103-0141</v>
      </c>
      <c r="AY1100" s="99" t="str">
        <f>AQ1100&amp;AR1100&amp;AS1100&amp;"-"&amp;AT1100&amp;BA1100</f>
        <v>C0103-01</v>
      </c>
      <c r="AZ1100" s="90"/>
      <c r="BA1100" s="1" t="str">
        <f t="shared" si="554"/>
        <v/>
      </c>
      <c r="BC1100" s="1" t="str">
        <f t="shared" si="536"/>
        <v/>
      </c>
      <c r="BD1100" s="90">
        <f t="shared" si="537"/>
        <v>3</v>
      </c>
      <c r="BE1100" s="1">
        <f t="shared" si="533"/>
        <v>1</v>
      </c>
      <c r="BF1100" s="1">
        <f t="shared" si="534"/>
        <v>1</v>
      </c>
    </row>
    <row r="1101" spans="1:58" ht="11.25" customHeight="1">
      <c r="A1101" s="26" t="s">
        <v>4995</v>
      </c>
      <c r="B1101" s="27" t="s">
        <v>4996</v>
      </c>
      <c r="C1101" s="28">
        <v>32.99</v>
      </c>
      <c r="D1101" s="28">
        <f t="shared" si="545"/>
        <v>16.495000000000001</v>
      </c>
      <c r="E1101" s="22" t="s">
        <v>4467</v>
      </c>
      <c r="F1101" s="22" t="s">
        <v>4997</v>
      </c>
      <c r="G1101" s="22" t="s">
        <v>947</v>
      </c>
      <c r="H1101" s="22" t="s">
        <v>4945</v>
      </c>
      <c r="I1101" s="23" t="s">
        <v>4998</v>
      </c>
      <c r="J1101" s="22" t="s">
        <v>670</v>
      </c>
      <c r="L1101" s="23">
        <v>9</v>
      </c>
      <c r="M1101" s="23">
        <v>4</v>
      </c>
      <c r="N1101" s="3">
        <f t="shared" si="540"/>
        <v>3.2400000000000001E-4</v>
      </c>
      <c r="O1101" s="4" t="e">
        <f>(C1101-(C1101*#REF!))-((C1101-(C1101*#REF!))*#REF!)</f>
        <v>#REF!</v>
      </c>
      <c r="P1101" s="7"/>
      <c r="Q1101" s="7"/>
      <c r="R1101" s="5">
        <f t="shared" si="541"/>
        <v>0</v>
      </c>
      <c r="S1101" s="4">
        <f t="shared" si="542"/>
        <v>0</v>
      </c>
      <c r="T1101" s="13">
        <f t="shared" si="546"/>
        <v>23.093000000000004</v>
      </c>
      <c r="U1101" s="13">
        <f t="shared" si="555"/>
        <v>11.546500000000002</v>
      </c>
      <c r="V1101" s="14">
        <f>U1101/C1101</f>
        <v>0.35000000000000003</v>
      </c>
      <c r="W1101" s="14"/>
      <c r="X1101" s="19">
        <f t="shared" si="543"/>
        <v>11.546500000000002</v>
      </c>
      <c r="Y1101" s="19">
        <f t="shared" si="544"/>
        <v>23.093000000000004</v>
      </c>
      <c r="Z1101" s="15" t="e">
        <f t="shared" si="538"/>
        <v>#DIV/0!</v>
      </c>
      <c r="AA1101" s="22" t="s">
        <v>4999</v>
      </c>
      <c r="AG1101" s="94" t="s">
        <v>817</v>
      </c>
      <c r="AH1101" s="89" t="str">
        <f>VLOOKUP(AG1101,Sheet1!$B$3:$D$36,2,FALSE)</f>
        <v>Kitchen &amp; Dining</v>
      </c>
      <c r="AI1101" s="89" t="s">
        <v>2077</v>
      </c>
      <c r="AJ1101" s="1" t="str">
        <f t="shared" si="547"/>
        <v>Yelena bowl grey matte</v>
      </c>
      <c r="AK1101" s="1" t="str">
        <f t="shared" si="548"/>
        <v>ø9 x h4</v>
      </c>
      <c r="AL1101" s="1" t="str">
        <f t="shared" si="549"/>
        <v>grey matte glass semi # 6</v>
      </c>
      <c r="AM1101" s="1" t="str">
        <f t="shared" si="550"/>
        <v>grey matte glass semi # 6</v>
      </c>
      <c r="AN1101" s="1" t="str">
        <f t="shared" si="539"/>
        <v>grey matte glass semi # 6</v>
      </c>
      <c r="AQ1101" s="1" t="str">
        <f t="shared" si="551"/>
        <v>C</v>
      </c>
      <c r="AR1101" s="1" t="str">
        <f>VLOOKUP(TRIM(AI1101),Sheet1!$D$3:$E$36,2,FALSE)</f>
        <v>01</v>
      </c>
      <c r="AS1101" s="90" t="str">
        <f t="shared" si="552"/>
        <v>01</v>
      </c>
      <c r="AT1101" s="1" t="str">
        <f t="shared" si="553"/>
        <v>01</v>
      </c>
      <c r="AU1101" s="90" t="s">
        <v>2639</v>
      </c>
      <c r="AV1101" s="90"/>
      <c r="AW1101" s="90"/>
      <c r="AX1101" s="95" t="str">
        <f>AQ1101&amp;AR1101&amp;AS1101&amp;"-"&amp;AT1101&amp;AU1101&amp;BA1101</f>
        <v>C0101-0141</v>
      </c>
      <c r="AY1101" s="99" t="str">
        <f>AQ1101&amp;AR1101&amp;AS1101&amp;"-"&amp;AT1101&amp;BA1101</f>
        <v>C0101-01</v>
      </c>
      <c r="AZ1101" s="90"/>
      <c r="BA1101" s="1" t="str">
        <f t="shared" si="554"/>
        <v/>
      </c>
      <c r="BC1101" s="1">
        <f t="shared" si="536"/>
        <v>1</v>
      </c>
      <c r="BD1101" s="90">
        <f t="shared" si="537"/>
        <v>1</v>
      </c>
      <c r="BE1101" s="1">
        <f t="shared" ref="BE1101:BE1152" si="556">IF(AK1100&lt;&gt;AK1101,1,"")</f>
        <v>1</v>
      </c>
      <c r="BF1101" s="1">
        <f t="shared" ref="BF1101:BF1152" si="557">IF(BE1101=1,1,BF1100+1)</f>
        <v>1</v>
      </c>
    </row>
    <row r="1102" spans="1:58" ht="11.25" customHeight="1">
      <c r="A1102" s="26" t="s">
        <v>5000</v>
      </c>
      <c r="B1102" s="27" t="s">
        <v>4996</v>
      </c>
      <c r="C1102" s="28">
        <v>41.99</v>
      </c>
      <c r="D1102" s="28">
        <f t="shared" si="545"/>
        <v>20.995000000000001</v>
      </c>
      <c r="E1102" s="22" t="s">
        <v>4467</v>
      </c>
      <c r="F1102" s="22" t="s">
        <v>5001</v>
      </c>
      <c r="G1102" s="22" t="s">
        <v>947</v>
      </c>
      <c r="H1102" s="22" t="s">
        <v>4950</v>
      </c>
      <c r="I1102" s="23" t="s">
        <v>4998</v>
      </c>
      <c r="J1102" s="22" t="s">
        <v>670</v>
      </c>
      <c r="L1102" s="23">
        <v>15</v>
      </c>
      <c r="M1102" s="23">
        <v>5</v>
      </c>
      <c r="N1102" s="3">
        <f t="shared" si="540"/>
        <v>1.1249999999999999E-3</v>
      </c>
      <c r="O1102" s="4" t="e">
        <f>(C1102-(C1102*#REF!))-((C1102-(C1102*#REF!))*#REF!)</f>
        <v>#REF!</v>
      </c>
      <c r="P1102" s="7"/>
      <c r="Q1102" s="7"/>
      <c r="R1102" s="5">
        <f t="shared" si="541"/>
        <v>0</v>
      </c>
      <c r="S1102" s="4">
        <f t="shared" si="542"/>
        <v>0</v>
      </c>
      <c r="T1102" s="13">
        <f t="shared" si="546"/>
        <v>29.393000000000001</v>
      </c>
      <c r="U1102" s="13">
        <f t="shared" si="555"/>
        <v>14.6965</v>
      </c>
      <c r="V1102" s="14">
        <f>U1102/C1102</f>
        <v>0.35</v>
      </c>
      <c r="W1102" s="14"/>
      <c r="X1102" s="19">
        <f t="shared" si="543"/>
        <v>14.6965</v>
      </c>
      <c r="Y1102" s="19">
        <f t="shared" si="544"/>
        <v>29.393000000000001</v>
      </c>
      <c r="Z1102" s="15" t="e">
        <f t="shared" si="538"/>
        <v>#DIV/0!</v>
      </c>
      <c r="AA1102" s="22" t="s">
        <v>5002</v>
      </c>
      <c r="AG1102" s="94" t="s">
        <v>817</v>
      </c>
      <c r="AH1102" s="89" t="str">
        <f>VLOOKUP(AG1102,Sheet1!$B$3:$D$36,2,FALSE)</f>
        <v>Kitchen &amp; Dining</v>
      </c>
      <c r="AI1102" s="89" t="s">
        <v>2077</v>
      </c>
      <c r="AJ1102" s="1" t="str">
        <f t="shared" si="547"/>
        <v>Yelena bowl grey matte</v>
      </c>
      <c r="AK1102" s="1" t="str">
        <f t="shared" si="548"/>
        <v>ø15 x h5</v>
      </c>
      <c r="AL1102" s="1" t="str">
        <f t="shared" si="549"/>
        <v>grey matte glass semi # 6</v>
      </c>
      <c r="AM1102" s="1" t="str">
        <f t="shared" si="550"/>
        <v>grey matte glass semi # 6</v>
      </c>
      <c r="AN1102" s="1" t="str">
        <f t="shared" si="539"/>
        <v>grey matte glass semi # 6</v>
      </c>
      <c r="AQ1102" s="1" t="str">
        <f t="shared" si="551"/>
        <v>C</v>
      </c>
      <c r="AR1102" s="1" t="str">
        <f>VLOOKUP(TRIM(AI1102),Sheet1!$D$3:$E$36,2,FALSE)</f>
        <v>01</v>
      </c>
      <c r="AS1102" s="90" t="str">
        <f t="shared" si="552"/>
        <v>02</v>
      </c>
      <c r="AT1102" s="1" t="str">
        <f t="shared" si="553"/>
        <v>01</v>
      </c>
      <c r="AU1102" s="90" t="s">
        <v>2639</v>
      </c>
      <c r="AV1102" s="90"/>
      <c r="AW1102" s="90"/>
      <c r="AX1102" s="95" t="str">
        <f>AQ1102&amp;AR1102&amp;AS1102&amp;"-"&amp;AT1102&amp;AU1102&amp;BA1102</f>
        <v>C0102-0141</v>
      </c>
      <c r="AY1102" s="99" t="str">
        <f>AQ1102&amp;AR1102&amp;AS1102&amp;"-"&amp;AT1102&amp;BA1102</f>
        <v>C0102-01</v>
      </c>
      <c r="AZ1102" s="90"/>
      <c r="BA1102" s="1" t="str">
        <f t="shared" si="554"/>
        <v/>
      </c>
      <c r="BC1102" s="1" t="str">
        <f t="shared" si="536"/>
        <v/>
      </c>
      <c r="BD1102" s="90">
        <f t="shared" si="537"/>
        <v>2</v>
      </c>
      <c r="BE1102" s="1">
        <f t="shared" si="556"/>
        <v>1</v>
      </c>
      <c r="BF1102" s="1">
        <f t="shared" si="557"/>
        <v>1</v>
      </c>
    </row>
    <row r="1103" spans="1:58" ht="11.25" customHeight="1">
      <c r="A1103" s="26" t="s">
        <v>5003</v>
      </c>
      <c r="B1103" s="27" t="s">
        <v>4996</v>
      </c>
      <c r="C1103" s="28">
        <v>51.99</v>
      </c>
      <c r="D1103" s="28">
        <f t="shared" si="545"/>
        <v>25.995000000000001</v>
      </c>
      <c r="E1103" s="22" t="s">
        <v>4467</v>
      </c>
      <c r="F1103" s="22" t="s">
        <v>5004</v>
      </c>
      <c r="G1103" s="22" t="s">
        <v>947</v>
      </c>
      <c r="H1103" s="22" t="s">
        <v>4982</v>
      </c>
      <c r="I1103" s="23" t="s">
        <v>4998</v>
      </c>
      <c r="J1103" s="22" t="s">
        <v>670</v>
      </c>
      <c r="L1103" s="23">
        <v>16</v>
      </c>
      <c r="M1103" s="23">
        <v>6</v>
      </c>
      <c r="N1103" s="3">
        <f t="shared" si="540"/>
        <v>1.536E-3</v>
      </c>
      <c r="O1103" s="4" t="e">
        <f>(C1103-(C1103*#REF!))-((C1103-(C1103*#REF!))*#REF!)</f>
        <v>#REF!</v>
      </c>
      <c r="P1103" s="7"/>
      <c r="Q1103" s="7"/>
      <c r="R1103" s="5">
        <f t="shared" si="541"/>
        <v>0</v>
      </c>
      <c r="S1103" s="4">
        <f t="shared" si="542"/>
        <v>0</v>
      </c>
      <c r="T1103" s="13">
        <f t="shared" si="546"/>
        <v>36.393000000000001</v>
      </c>
      <c r="U1103" s="13">
        <f t="shared" si="555"/>
        <v>18.1965</v>
      </c>
      <c r="V1103" s="14">
        <f>U1103/C1103</f>
        <v>0.35</v>
      </c>
      <c r="W1103" s="14"/>
      <c r="X1103" s="19">
        <f t="shared" si="543"/>
        <v>18.1965</v>
      </c>
      <c r="Y1103" s="19">
        <f t="shared" si="544"/>
        <v>36.393000000000001</v>
      </c>
      <c r="Z1103" s="15" t="e">
        <f t="shared" si="538"/>
        <v>#DIV/0!</v>
      </c>
      <c r="AA1103" s="22" t="s">
        <v>5005</v>
      </c>
      <c r="AG1103" s="94" t="s">
        <v>817</v>
      </c>
      <c r="AH1103" s="89" t="str">
        <f>VLOOKUP(AG1103,Sheet1!$B$3:$D$36,2,FALSE)</f>
        <v>Kitchen &amp; Dining</v>
      </c>
      <c r="AI1103" s="89" t="s">
        <v>2077</v>
      </c>
      <c r="AJ1103" s="1" t="str">
        <f t="shared" si="547"/>
        <v>Yelena bowl grey matte</v>
      </c>
      <c r="AK1103" s="1" t="str">
        <f t="shared" si="548"/>
        <v>ø16 x h6</v>
      </c>
      <c r="AL1103" s="1" t="str">
        <f t="shared" si="549"/>
        <v>grey matte glass semi # 6</v>
      </c>
      <c r="AM1103" s="1" t="str">
        <f t="shared" si="550"/>
        <v>grey matte glass semi # 6</v>
      </c>
      <c r="AN1103" s="1" t="str">
        <f t="shared" si="539"/>
        <v>grey matte glass semi # 6</v>
      </c>
      <c r="AQ1103" s="1" t="str">
        <f t="shared" si="551"/>
        <v>C</v>
      </c>
      <c r="AR1103" s="1" t="str">
        <f>VLOOKUP(TRIM(AI1103),Sheet1!$D$3:$E$36,2,FALSE)</f>
        <v>01</v>
      </c>
      <c r="AS1103" s="90" t="str">
        <f t="shared" si="552"/>
        <v>03</v>
      </c>
      <c r="AT1103" s="1" t="str">
        <f t="shared" si="553"/>
        <v>01</v>
      </c>
      <c r="AU1103" s="90" t="s">
        <v>2639</v>
      </c>
      <c r="AV1103" s="90"/>
      <c r="AW1103" s="90"/>
      <c r="AX1103" s="95" t="str">
        <f>AQ1103&amp;AR1103&amp;AS1103&amp;"-"&amp;AT1103&amp;AU1103&amp;BA1103</f>
        <v>C0103-0141</v>
      </c>
      <c r="AY1103" s="99" t="str">
        <f>AQ1103&amp;AR1103&amp;AS1103&amp;"-"&amp;AT1103&amp;BA1103</f>
        <v>C0103-01</v>
      </c>
      <c r="AZ1103" s="90"/>
      <c r="BA1103" s="1" t="str">
        <f t="shared" si="554"/>
        <v/>
      </c>
      <c r="BC1103" s="1" t="str">
        <f t="shared" si="536"/>
        <v/>
      </c>
      <c r="BD1103" s="90">
        <f t="shared" si="537"/>
        <v>3</v>
      </c>
      <c r="BE1103" s="1">
        <f t="shared" si="556"/>
        <v>1</v>
      </c>
      <c r="BF1103" s="1">
        <f t="shared" si="557"/>
        <v>1</v>
      </c>
    </row>
    <row r="1104" spans="1:58" ht="11.25" customHeight="1">
      <c r="A1104" s="26" t="s">
        <v>5006</v>
      </c>
      <c r="B1104" s="27" t="s">
        <v>4996</v>
      </c>
      <c r="C1104" s="28">
        <v>46.99</v>
      </c>
      <c r="D1104" s="28">
        <f t="shared" si="545"/>
        <v>23.495000000000001</v>
      </c>
      <c r="E1104" s="22" t="s">
        <v>4467</v>
      </c>
      <c r="F1104" s="22" t="s">
        <v>5007</v>
      </c>
      <c r="G1104" s="22" t="s">
        <v>947</v>
      </c>
      <c r="H1104" s="22" t="s">
        <v>4834</v>
      </c>
      <c r="I1104" s="23" t="s">
        <v>4998</v>
      </c>
      <c r="J1104" s="22" t="s">
        <v>670</v>
      </c>
      <c r="L1104" s="23">
        <v>17</v>
      </c>
      <c r="M1104" s="23">
        <v>5</v>
      </c>
      <c r="N1104" s="3">
        <f t="shared" si="540"/>
        <v>1.4450000000000001E-3</v>
      </c>
      <c r="O1104" s="4" t="e">
        <f>(C1104-(C1104*#REF!))-((C1104-(C1104*#REF!))*#REF!)</f>
        <v>#REF!</v>
      </c>
      <c r="P1104" s="7"/>
      <c r="Q1104" s="7"/>
      <c r="R1104" s="5">
        <f t="shared" si="541"/>
        <v>0</v>
      </c>
      <c r="S1104" s="4">
        <f t="shared" si="542"/>
        <v>0</v>
      </c>
      <c r="T1104" s="13">
        <f t="shared" si="546"/>
        <v>32.893000000000001</v>
      </c>
      <c r="U1104" s="13">
        <f t="shared" si="555"/>
        <v>16.4465</v>
      </c>
      <c r="V1104" s="14">
        <f>U1104/C1104</f>
        <v>0.35</v>
      </c>
      <c r="W1104" s="14"/>
      <c r="X1104" s="19">
        <f t="shared" si="543"/>
        <v>16.4465</v>
      </c>
      <c r="Y1104" s="19">
        <f t="shared" si="544"/>
        <v>32.893000000000001</v>
      </c>
      <c r="Z1104" s="15" t="e">
        <f t="shared" si="538"/>
        <v>#DIV/0!</v>
      </c>
      <c r="AA1104" s="22" t="s">
        <v>5008</v>
      </c>
      <c r="AG1104" s="94" t="s">
        <v>817</v>
      </c>
      <c r="AH1104" s="89" t="str">
        <f>VLOOKUP(AG1104,Sheet1!$B$3:$D$36,2,FALSE)</f>
        <v>Kitchen &amp; Dining</v>
      </c>
      <c r="AI1104" s="89" t="s">
        <v>2077</v>
      </c>
      <c r="AJ1104" s="1" t="str">
        <f t="shared" si="547"/>
        <v>Yelena bowl grey matte</v>
      </c>
      <c r="AK1104" s="1" t="str">
        <f t="shared" si="548"/>
        <v>ø17 x h5</v>
      </c>
      <c r="AL1104" s="1" t="str">
        <f t="shared" si="549"/>
        <v>grey matte glass semi # 6</v>
      </c>
      <c r="AM1104" s="1" t="str">
        <f t="shared" si="550"/>
        <v>grey matte glass semi # 6</v>
      </c>
      <c r="AN1104" s="1" t="str">
        <f t="shared" si="539"/>
        <v>grey matte glass semi # 6</v>
      </c>
      <c r="AQ1104" s="1" t="str">
        <f t="shared" si="551"/>
        <v>C</v>
      </c>
      <c r="AR1104" s="1" t="str">
        <f>VLOOKUP(TRIM(AI1104),Sheet1!$D$3:$E$36,2,FALSE)</f>
        <v>01</v>
      </c>
      <c r="AS1104" s="90" t="str">
        <f t="shared" si="552"/>
        <v>04</v>
      </c>
      <c r="AT1104" s="1" t="str">
        <f t="shared" si="553"/>
        <v>01</v>
      </c>
      <c r="AU1104" s="90" t="s">
        <v>2639</v>
      </c>
      <c r="AV1104" s="90"/>
      <c r="AW1104" s="90"/>
      <c r="AX1104" s="95" t="str">
        <f>AQ1104&amp;AR1104&amp;AS1104&amp;"-"&amp;AT1104&amp;AU1104&amp;BA1104</f>
        <v>C0104-0141</v>
      </c>
      <c r="AY1104" s="99" t="str">
        <f>AQ1104&amp;AR1104&amp;AS1104&amp;"-"&amp;AT1104&amp;BA1104</f>
        <v>C0104-01</v>
      </c>
      <c r="AZ1104" s="90"/>
      <c r="BA1104" s="1" t="str">
        <f t="shared" si="554"/>
        <v/>
      </c>
      <c r="BC1104" s="1" t="str">
        <f t="shared" si="536"/>
        <v/>
      </c>
      <c r="BD1104" s="90">
        <f t="shared" si="537"/>
        <v>4</v>
      </c>
      <c r="BE1104" s="1">
        <f t="shared" si="556"/>
        <v>1</v>
      </c>
      <c r="BF1104" s="1">
        <f t="shared" si="557"/>
        <v>1</v>
      </c>
    </row>
    <row r="1105" spans="1:58" ht="11.25" customHeight="1">
      <c r="A1105" s="26" t="s">
        <v>5009</v>
      </c>
      <c r="B1105" s="27" t="s">
        <v>4996</v>
      </c>
      <c r="C1105" s="28">
        <v>64.989999999999995</v>
      </c>
      <c r="D1105" s="28">
        <f t="shared" si="545"/>
        <v>32.494999999999997</v>
      </c>
      <c r="E1105" s="22" t="s">
        <v>4467</v>
      </c>
      <c r="F1105" s="22" t="s">
        <v>5010</v>
      </c>
      <c r="G1105" s="22" t="s">
        <v>947</v>
      </c>
      <c r="H1105" s="22" t="s">
        <v>4961</v>
      </c>
      <c r="I1105" s="23" t="s">
        <v>4998</v>
      </c>
      <c r="J1105" s="22" t="s">
        <v>670</v>
      </c>
      <c r="L1105" s="23">
        <v>20</v>
      </c>
      <c r="M1105" s="23">
        <v>6</v>
      </c>
      <c r="N1105" s="3">
        <f t="shared" si="540"/>
        <v>2.3999999999999998E-3</v>
      </c>
      <c r="O1105" s="4" t="e">
        <f>(C1105-(C1105*#REF!))-((C1105-(C1105*#REF!))*#REF!)</f>
        <v>#REF!</v>
      </c>
      <c r="P1105" s="7"/>
      <c r="Q1105" s="7"/>
      <c r="R1105" s="5">
        <f t="shared" si="541"/>
        <v>0</v>
      </c>
      <c r="S1105" s="4">
        <f t="shared" si="542"/>
        <v>0</v>
      </c>
      <c r="T1105" s="13">
        <f t="shared" si="546"/>
        <v>45.492999999999995</v>
      </c>
      <c r="U1105" s="13">
        <f t="shared" si="555"/>
        <v>22.746499999999997</v>
      </c>
      <c r="V1105" s="14">
        <f>U1105/C1105</f>
        <v>0.35</v>
      </c>
      <c r="W1105" s="14"/>
      <c r="X1105" s="19">
        <f t="shared" si="543"/>
        <v>22.746499999999997</v>
      </c>
      <c r="Y1105" s="19">
        <f t="shared" si="544"/>
        <v>45.492999999999995</v>
      </c>
      <c r="Z1105" s="15" t="e">
        <f t="shared" si="538"/>
        <v>#DIV/0!</v>
      </c>
      <c r="AA1105" s="22" t="s">
        <v>5008</v>
      </c>
      <c r="AG1105" s="94" t="s">
        <v>817</v>
      </c>
      <c r="AH1105" s="89" t="str">
        <f>VLOOKUP(AG1105,Sheet1!$B$3:$D$36,2,FALSE)</f>
        <v>Kitchen &amp; Dining</v>
      </c>
      <c r="AI1105" s="89" t="s">
        <v>2077</v>
      </c>
      <c r="AJ1105" s="1" t="str">
        <f t="shared" si="547"/>
        <v>Yelena bowl grey matte</v>
      </c>
      <c r="AK1105" s="1" t="str">
        <f t="shared" si="548"/>
        <v>ø20 x h6</v>
      </c>
      <c r="AL1105" s="1" t="str">
        <f t="shared" si="549"/>
        <v>grey matte glass semi # 6</v>
      </c>
      <c r="AM1105" s="1" t="str">
        <f t="shared" si="550"/>
        <v>grey matte glass semi # 6</v>
      </c>
      <c r="AN1105" s="1" t="str">
        <f t="shared" si="539"/>
        <v>grey matte glass semi # 6</v>
      </c>
      <c r="AQ1105" s="1" t="str">
        <f t="shared" si="551"/>
        <v>C</v>
      </c>
      <c r="AR1105" s="1" t="str">
        <f>VLOOKUP(TRIM(AI1105),Sheet1!$D$3:$E$36,2,FALSE)</f>
        <v>01</v>
      </c>
      <c r="AS1105" s="90" t="str">
        <f t="shared" si="552"/>
        <v>05</v>
      </c>
      <c r="AT1105" s="1" t="str">
        <f t="shared" si="553"/>
        <v>01</v>
      </c>
      <c r="AU1105" s="90" t="s">
        <v>2639</v>
      </c>
      <c r="AV1105" s="90"/>
      <c r="AW1105" s="90"/>
      <c r="AX1105" s="95" t="str">
        <f>AQ1105&amp;AR1105&amp;AS1105&amp;"-"&amp;AT1105&amp;AU1105&amp;BA1105</f>
        <v>C0105-0141</v>
      </c>
      <c r="AY1105" s="99" t="str">
        <f>AQ1105&amp;AR1105&amp;AS1105&amp;"-"&amp;AT1105&amp;BA1105</f>
        <v>C0105-01</v>
      </c>
      <c r="AZ1105" s="90"/>
      <c r="BA1105" s="1" t="str">
        <f t="shared" si="554"/>
        <v/>
      </c>
      <c r="BC1105" s="1" t="str">
        <f t="shared" si="536"/>
        <v/>
      </c>
      <c r="BD1105" s="90">
        <f t="shared" si="537"/>
        <v>5</v>
      </c>
      <c r="BE1105" s="1">
        <f t="shared" si="556"/>
        <v>1</v>
      </c>
      <c r="BF1105" s="1">
        <f t="shared" si="557"/>
        <v>1</v>
      </c>
    </row>
    <row r="1106" spans="1:58" ht="11.25" customHeight="1">
      <c r="A1106" s="26" t="s">
        <v>5011</v>
      </c>
      <c r="B1106" s="27" t="s">
        <v>4996</v>
      </c>
      <c r="C1106" s="28">
        <v>141.99</v>
      </c>
      <c r="D1106" s="28">
        <f t="shared" si="545"/>
        <v>70.995000000000005</v>
      </c>
      <c r="E1106" s="22" t="s">
        <v>4467</v>
      </c>
      <c r="F1106" s="22" t="s">
        <v>5012</v>
      </c>
      <c r="G1106" s="22" t="s">
        <v>947</v>
      </c>
      <c r="H1106" s="22" t="s">
        <v>4971</v>
      </c>
      <c r="I1106" s="23" t="s">
        <v>4998</v>
      </c>
      <c r="J1106" s="22" t="s">
        <v>670</v>
      </c>
      <c r="L1106" s="23">
        <v>28</v>
      </c>
      <c r="M1106" s="23">
        <v>9</v>
      </c>
      <c r="N1106" s="3">
        <f t="shared" si="540"/>
        <v>7.0559999999999998E-3</v>
      </c>
      <c r="O1106" s="4" t="e">
        <f>(C1106-(C1106*#REF!))-((C1106-(C1106*#REF!))*#REF!)</f>
        <v>#REF!</v>
      </c>
      <c r="P1106" s="7"/>
      <c r="Q1106" s="7"/>
      <c r="R1106" s="5">
        <f t="shared" si="541"/>
        <v>0</v>
      </c>
      <c r="S1106" s="4">
        <f t="shared" si="542"/>
        <v>0</v>
      </c>
      <c r="T1106" s="13">
        <f t="shared" si="546"/>
        <v>99.393000000000001</v>
      </c>
      <c r="U1106" s="13">
        <f t="shared" si="555"/>
        <v>49.6965</v>
      </c>
      <c r="V1106" s="14">
        <f>U1106/C1106</f>
        <v>0.35</v>
      </c>
      <c r="W1106" s="14"/>
      <c r="X1106" s="19">
        <f t="shared" si="543"/>
        <v>49.6965</v>
      </c>
      <c r="Y1106" s="19">
        <f t="shared" si="544"/>
        <v>99.393000000000001</v>
      </c>
      <c r="Z1106" s="15" t="e">
        <f t="shared" si="538"/>
        <v>#DIV/0!</v>
      </c>
      <c r="AA1106" s="22" t="s">
        <v>5013</v>
      </c>
      <c r="AG1106" s="94" t="s">
        <v>817</v>
      </c>
      <c r="AH1106" s="89" t="str">
        <f>VLOOKUP(AG1106,Sheet1!$B$3:$D$36,2,FALSE)</f>
        <v>Kitchen &amp; Dining</v>
      </c>
      <c r="AI1106" s="89" t="s">
        <v>2077</v>
      </c>
      <c r="AJ1106" s="1" t="str">
        <f t="shared" si="547"/>
        <v>Yelena bowl grey matte</v>
      </c>
      <c r="AK1106" s="1" t="str">
        <f t="shared" si="548"/>
        <v>ø28 x h9</v>
      </c>
      <c r="AL1106" s="1" t="str">
        <f t="shared" si="549"/>
        <v>grey matte glass semi # 6</v>
      </c>
      <c r="AM1106" s="1" t="str">
        <f t="shared" si="550"/>
        <v>grey matte glass semi # 6</v>
      </c>
      <c r="AN1106" s="1" t="str">
        <f t="shared" si="539"/>
        <v>grey matte glass semi # 6</v>
      </c>
      <c r="AQ1106" s="1" t="str">
        <f t="shared" si="551"/>
        <v>C</v>
      </c>
      <c r="AR1106" s="1" t="str">
        <f>VLOOKUP(TRIM(AI1106),Sheet1!$D$3:$E$36,2,FALSE)</f>
        <v>01</v>
      </c>
      <c r="AS1106" s="90" t="str">
        <f t="shared" si="552"/>
        <v>06</v>
      </c>
      <c r="AT1106" s="1" t="str">
        <f t="shared" si="553"/>
        <v>01</v>
      </c>
      <c r="AU1106" s="90" t="s">
        <v>2639</v>
      </c>
      <c r="AV1106" s="90"/>
      <c r="AW1106" s="90"/>
      <c r="AX1106" s="95" t="str">
        <f>AQ1106&amp;AR1106&amp;AS1106&amp;"-"&amp;AT1106&amp;AU1106&amp;BA1106</f>
        <v>C0106-0141</v>
      </c>
      <c r="AY1106" s="99" t="str">
        <f>AQ1106&amp;AR1106&amp;AS1106&amp;"-"&amp;AT1106&amp;BA1106</f>
        <v>C0106-01</v>
      </c>
      <c r="AZ1106" s="90"/>
      <c r="BA1106" s="1" t="str">
        <f t="shared" si="554"/>
        <v/>
      </c>
      <c r="BC1106" s="1" t="str">
        <f t="shared" si="536"/>
        <v/>
      </c>
      <c r="BD1106" s="90">
        <f t="shared" si="537"/>
        <v>6</v>
      </c>
      <c r="BE1106" s="1">
        <f t="shared" si="556"/>
        <v>1</v>
      </c>
      <c r="BF1106" s="1">
        <f t="shared" si="557"/>
        <v>1</v>
      </c>
    </row>
    <row r="1107" spans="1:58" ht="11.25" customHeight="1">
      <c r="A1107" s="26" t="s">
        <v>2699</v>
      </c>
      <c r="B1107" s="27" t="s">
        <v>5014</v>
      </c>
      <c r="C1107" s="28">
        <v>269.99</v>
      </c>
      <c r="D1107" s="28">
        <f t="shared" si="545"/>
        <v>134.995</v>
      </c>
      <c r="E1107" s="22" t="s">
        <v>4467</v>
      </c>
      <c r="F1107" s="22" t="s">
        <v>5015</v>
      </c>
      <c r="G1107" s="22" t="s">
        <v>639</v>
      </c>
      <c r="H1107" s="22" t="s">
        <v>2702</v>
      </c>
      <c r="I1107" s="23" t="s">
        <v>2564</v>
      </c>
      <c r="J1107" s="22" t="s">
        <v>670</v>
      </c>
      <c r="L1107" s="23">
        <v>25</v>
      </c>
      <c r="M1107" s="23">
        <v>30</v>
      </c>
      <c r="N1107" s="3">
        <f t="shared" si="540"/>
        <v>1.8749999999999999E-2</v>
      </c>
      <c r="O1107" s="4" t="e">
        <f>(C1107-(C1107*#REF!))-((C1107-(C1107*#REF!))*#REF!)</f>
        <v>#REF!</v>
      </c>
      <c r="P1107" s="7"/>
      <c r="Q1107" s="7"/>
      <c r="R1107" s="5">
        <f t="shared" si="541"/>
        <v>0</v>
      </c>
      <c r="S1107" s="4">
        <f t="shared" si="542"/>
        <v>0</v>
      </c>
      <c r="T1107" s="13">
        <f t="shared" si="546"/>
        <v>188.99299999999999</v>
      </c>
      <c r="U1107" s="13">
        <f t="shared" si="555"/>
        <v>94.496499999999997</v>
      </c>
      <c r="V1107" s="14">
        <f>U1107/C1107</f>
        <v>0.35</v>
      </c>
      <c r="W1107" s="14"/>
      <c r="X1107" s="19">
        <f t="shared" si="543"/>
        <v>94.496499999999997</v>
      </c>
      <c r="Y1107" s="19">
        <f t="shared" si="544"/>
        <v>188.99299999999999</v>
      </c>
      <c r="Z1107" s="15" t="e">
        <f t="shared" si="538"/>
        <v>#DIV/0!</v>
      </c>
      <c r="AA1107" s="22" t="s">
        <v>5016</v>
      </c>
      <c r="AG1107" s="94" t="s">
        <v>817</v>
      </c>
      <c r="AH1107" s="89" t="str">
        <f>VLOOKUP(AG1107,Sheet1!$B$3:$D$36,2,FALSE)</f>
        <v>Kitchen &amp; Dining</v>
      </c>
      <c r="AI1107" s="89" t="s">
        <v>2077</v>
      </c>
      <c r="AJ1107" s="1" t="str">
        <f t="shared" si="547"/>
        <v>Ran punch bowl</v>
      </c>
      <c r="AK1107" s="1" t="str">
        <f t="shared" si="548"/>
        <v>ø25 x h30</v>
      </c>
      <c r="AL1107" s="1" t="str">
        <f t="shared" si="549"/>
        <v>clear glass semi</v>
      </c>
      <c r="AM1107" s="1" t="str">
        <f t="shared" si="550"/>
        <v>clear glass semi</v>
      </c>
      <c r="AN1107" s="1" t="str">
        <f t="shared" si="539"/>
        <v>clear glass semi</v>
      </c>
      <c r="AQ1107" s="1" t="str">
        <f t="shared" si="551"/>
        <v>C</v>
      </c>
      <c r="AR1107" s="1" t="str">
        <f>VLOOKUP(TRIM(AI1107),Sheet1!$D$3:$E$36,2,FALSE)</f>
        <v>01</v>
      </c>
      <c r="AS1107" s="90" t="str">
        <f t="shared" si="552"/>
        <v>01</v>
      </c>
      <c r="AT1107" s="1" t="str">
        <f t="shared" si="553"/>
        <v>01</v>
      </c>
      <c r="AU1107" s="90" t="s">
        <v>2567</v>
      </c>
      <c r="AV1107" s="90"/>
      <c r="AW1107" s="90"/>
      <c r="AX1107" s="95" t="str">
        <f>AQ1107&amp;AR1107&amp;AS1107&amp;"-"&amp;AT1107&amp;AU1107&amp;BA1107</f>
        <v>C0101-0138</v>
      </c>
      <c r="AY1107" s="99" t="str">
        <f>AQ1107&amp;AR1107&amp;AS1107&amp;"-"&amp;AT1107&amp;BA1107</f>
        <v>C0101-01</v>
      </c>
      <c r="AZ1107" s="90"/>
      <c r="BA1107" s="1" t="str">
        <f t="shared" si="554"/>
        <v/>
      </c>
      <c r="BC1107" s="1">
        <f t="shared" si="536"/>
        <v>1</v>
      </c>
      <c r="BD1107" s="90">
        <f t="shared" si="537"/>
        <v>1</v>
      </c>
      <c r="BE1107" s="1">
        <f t="shared" si="556"/>
        <v>1</v>
      </c>
      <c r="BF1107" s="1">
        <f t="shared" si="557"/>
        <v>1</v>
      </c>
    </row>
    <row r="1108" spans="1:58" ht="11.25" customHeight="1">
      <c r="A1108" s="26" t="s">
        <v>5017</v>
      </c>
      <c r="B1108" s="27" t="s">
        <v>5014</v>
      </c>
      <c r="C1108" s="28">
        <v>364.99</v>
      </c>
      <c r="D1108" s="28">
        <f t="shared" si="545"/>
        <v>182.495</v>
      </c>
      <c r="E1108" s="22" t="s">
        <v>4467</v>
      </c>
      <c r="F1108" s="22" t="s">
        <v>5018</v>
      </c>
      <c r="G1108" s="22" t="s">
        <v>639</v>
      </c>
      <c r="H1108" s="22" t="s">
        <v>2706</v>
      </c>
      <c r="I1108" s="23" t="s">
        <v>2564</v>
      </c>
      <c r="J1108" s="22" t="s">
        <v>670</v>
      </c>
      <c r="L1108" s="23">
        <v>30</v>
      </c>
      <c r="M1108" s="23">
        <v>35</v>
      </c>
      <c r="N1108" s="3">
        <f t="shared" si="540"/>
        <v>3.15E-2</v>
      </c>
      <c r="O1108" s="4" t="e">
        <f>(C1108-(C1108*#REF!))-((C1108-(C1108*#REF!))*#REF!)</f>
        <v>#REF!</v>
      </c>
      <c r="P1108" s="7"/>
      <c r="Q1108" s="7"/>
      <c r="R1108" s="5">
        <f t="shared" si="541"/>
        <v>0</v>
      </c>
      <c r="S1108" s="4">
        <f t="shared" si="542"/>
        <v>0</v>
      </c>
      <c r="T1108" s="13">
        <f t="shared" si="546"/>
        <v>255.49299999999999</v>
      </c>
      <c r="U1108" s="13">
        <f t="shared" si="555"/>
        <v>127.7465</v>
      </c>
      <c r="V1108" s="14">
        <f>U1108/C1108</f>
        <v>0.35</v>
      </c>
      <c r="W1108" s="14"/>
      <c r="X1108" s="19">
        <f t="shared" si="543"/>
        <v>127.7465</v>
      </c>
      <c r="Y1108" s="19">
        <f t="shared" si="544"/>
        <v>255.49299999999999</v>
      </c>
      <c r="Z1108" s="15" t="e">
        <f t="shared" si="538"/>
        <v>#DIV/0!</v>
      </c>
      <c r="AA1108" s="22" t="s">
        <v>5019</v>
      </c>
      <c r="AG1108" s="94" t="s">
        <v>817</v>
      </c>
      <c r="AH1108" s="89" t="str">
        <f>VLOOKUP(AG1108,Sheet1!$B$3:$D$36,2,FALSE)</f>
        <v>Kitchen &amp; Dining</v>
      </c>
      <c r="AI1108" s="89" t="s">
        <v>2077</v>
      </c>
      <c r="AJ1108" s="1" t="str">
        <f t="shared" si="547"/>
        <v>Ran punch bowl</v>
      </c>
      <c r="AK1108" s="1" t="str">
        <f t="shared" si="548"/>
        <v>ø30 x h35</v>
      </c>
      <c r="AL1108" s="1" t="str">
        <f t="shared" si="549"/>
        <v>clear glass semi</v>
      </c>
      <c r="AM1108" s="1" t="str">
        <f t="shared" si="550"/>
        <v>clear glass semi</v>
      </c>
      <c r="AN1108" s="1" t="str">
        <f t="shared" si="539"/>
        <v>clear glass semi</v>
      </c>
      <c r="AQ1108" s="1" t="str">
        <f t="shared" si="551"/>
        <v>C</v>
      </c>
      <c r="AR1108" s="1" t="str">
        <f>VLOOKUP(TRIM(AI1108),Sheet1!$D$3:$E$36,2,FALSE)</f>
        <v>01</v>
      </c>
      <c r="AS1108" s="90" t="str">
        <f t="shared" si="552"/>
        <v>02</v>
      </c>
      <c r="AT1108" s="1" t="str">
        <f t="shared" si="553"/>
        <v>01</v>
      </c>
      <c r="AU1108" s="90" t="s">
        <v>2567</v>
      </c>
      <c r="AV1108" s="90"/>
      <c r="AW1108" s="90"/>
      <c r="AX1108" s="95" t="str">
        <f>AQ1108&amp;AR1108&amp;AS1108&amp;"-"&amp;AT1108&amp;AU1108&amp;BA1108</f>
        <v>C0102-0138</v>
      </c>
      <c r="AY1108" s="99" t="str">
        <f>AQ1108&amp;AR1108&amp;AS1108&amp;"-"&amp;AT1108&amp;BA1108</f>
        <v>C0102-01</v>
      </c>
      <c r="AZ1108" s="90"/>
      <c r="BA1108" s="1" t="str">
        <f t="shared" si="554"/>
        <v/>
      </c>
      <c r="BC1108" s="1" t="str">
        <f t="shared" si="536"/>
        <v/>
      </c>
      <c r="BD1108" s="90">
        <f t="shared" si="537"/>
        <v>2</v>
      </c>
      <c r="BE1108" s="1">
        <f t="shared" si="556"/>
        <v>1</v>
      </c>
      <c r="BF1108" s="1">
        <f t="shared" si="557"/>
        <v>1</v>
      </c>
    </row>
    <row r="1109" spans="1:58" ht="11.25" customHeight="1">
      <c r="A1109" s="26" t="s">
        <v>5020</v>
      </c>
      <c r="B1109" s="27" t="s">
        <v>5021</v>
      </c>
      <c r="C1109" s="28">
        <v>119.99</v>
      </c>
      <c r="D1109" s="28">
        <f t="shared" si="545"/>
        <v>59.994999999999997</v>
      </c>
      <c r="E1109" s="22" t="s">
        <v>4467</v>
      </c>
      <c r="F1109" s="22" t="s">
        <v>5022</v>
      </c>
      <c r="G1109" s="22" t="s">
        <v>5023</v>
      </c>
      <c r="H1109" s="22" t="s">
        <v>2764</v>
      </c>
      <c r="I1109" s="23" t="s">
        <v>2564</v>
      </c>
      <c r="J1109" s="22" t="s">
        <v>670</v>
      </c>
      <c r="L1109" s="23">
        <v>30</v>
      </c>
      <c r="M1109" s="23">
        <v>30</v>
      </c>
      <c r="N1109" s="3">
        <f t="shared" si="540"/>
        <v>2.7E-2</v>
      </c>
      <c r="O1109" s="4" t="e">
        <f>(C1109-(C1109*#REF!))-((C1109-(C1109*#REF!))*#REF!)</f>
        <v>#REF!</v>
      </c>
      <c r="P1109" s="7"/>
      <c r="Q1109" s="7"/>
      <c r="R1109" s="5">
        <f t="shared" si="541"/>
        <v>0</v>
      </c>
      <c r="S1109" s="4">
        <f t="shared" si="542"/>
        <v>0</v>
      </c>
      <c r="T1109" s="13">
        <f t="shared" si="546"/>
        <v>83.992999999999995</v>
      </c>
      <c r="U1109" s="13">
        <f t="shared" si="555"/>
        <v>41.996499999999997</v>
      </c>
      <c r="V1109" s="14">
        <f>U1109/C1109</f>
        <v>0.35</v>
      </c>
      <c r="W1109" s="14"/>
      <c r="X1109" s="19">
        <f t="shared" si="543"/>
        <v>41.996499999999997</v>
      </c>
      <c r="Y1109" s="19">
        <f t="shared" si="544"/>
        <v>83.992999999999995</v>
      </c>
      <c r="Z1109" s="15" t="e">
        <f t="shared" si="538"/>
        <v>#DIV/0!</v>
      </c>
      <c r="AA1109" s="22" t="s">
        <v>5024</v>
      </c>
      <c r="AG1109" s="94" t="s">
        <v>817</v>
      </c>
      <c r="AH1109" s="89" t="str">
        <f>VLOOKUP(AG1109,Sheet1!$B$3:$D$36,2,FALSE)</f>
        <v>Kitchen &amp; Dining</v>
      </c>
      <c r="AI1109" s="89" t="s">
        <v>2077</v>
      </c>
      <c r="AJ1109" s="1" t="str">
        <f t="shared" si="547"/>
        <v>Hena punch bowl</v>
      </c>
      <c r="AK1109" s="1" t="str">
        <f t="shared" si="548"/>
        <v>ø30 x h30</v>
      </c>
      <c r="AL1109" s="1" t="str">
        <f t="shared" si="549"/>
        <v>clear glass semi</v>
      </c>
      <c r="AM1109" s="1" t="str">
        <f t="shared" si="550"/>
        <v>clear glass semi</v>
      </c>
      <c r="AN1109" s="1" t="str">
        <f t="shared" si="539"/>
        <v>clear glass semi</v>
      </c>
      <c r="AQ1109" s="1" t="str">
        <f t="shared" si="551"/>
        <v>C</v>
      </c>
      <c r="AR1109" s="1" t="str">
        <f>VLOOKUP(TRIM(AI1109),Sheet1!$D$3:$E$36,2,FALSE)</f>
        <v>01</v>
      </c>
      <c r="AS1109" s="90" t="str">
        <f t="shared" si="552"/>
        <v>01</v>
      </c>
      <c r="AT1109" s="1" t="str">
        <f t="shared" si="553"/>
        <v>01</v>
      </c>
      <c r="AU1109" s="90" t="s">
        <v>2567</v>
      </c>
      <c r="AV1109" s="90"/>
      <c r="AW1109" s="90"/>
      <c r="AX1109" s="95" t="str">
        <f>AQ1109&amp;AR1109&amp;AS1109&amp;"-"&amp;AT1109&amp;AU1109&amp;BA1109</f>
        <v>C0101-0138</v>
      </c>
      <c r="AY1109" s="99" t="str">
        <f>AQ1109&amp;AR1109&amp;AS1109&amp;"-"&amp;AT1109&amp;BA1109</f>
        <v>C0101-01</v>
      </c>
      <c r="AZ1109" s="90"/>
      <c r="BA1109" s="1" t="str">
        <f t="shared" si="554"/>
        <v/>
      </c>
      <c r="BC1109" s="1">
        <f t="shared" si="536"/>
        <v>1</v>
      </c>
      <c r="BD1109" s="90">
        <f t="shared" si="537"/>
        <v>1</v>
      </c>
      <c r="BE1109" s="1">
        <f t="shared" si="556"/>
        <v>1</v>
      </c>
      <c r="BF1109" s="1">
        <f t="shared" si="557"/>
        <v>1</v>
      </c>
    </row>
    <row r="1110" spans="1:58" ht="11.25" customHeight="1">
      <c r="A1110" s="26" t="s">
        <v>5025</v>
      </c>
      <c r="B1110" s="27" t="s">
        <v>5026</v>
      </c>
      <c r="C1110" s="28">
        <v>34.99</v>
      </c>
      <c r="D1110" s="28">
        <f t="shared" si="545"/>
        <v>17.495000000000001</v>
      </c>
      <c r="E1110" s="22" t="s">
        <v>4467</v>
      </c>
      <c r="F1110" s="22" t="s">
        <v>5027</v>
      </c>
      <c r="G1110" s="22" t="s">
        <v>437</v>
      </c>
      <c r="H1110" s="22" t="s">
        <v>5028</v>
      </c>
      <c r="I1110" s="23" t="s">
        <v>4946</v>
      </c>
      <c r="J1110" s="22" t="s">
        <v>670</v>
      </c>
      <c r="L1110" s="23">
        <v>12</v>
      </c>
      <c r="M1110" s="23">
        <v>7</v>
      </c>
      <c r="N1110" s="3">
        <f t="shared" si="540"/>
        <v>1.008E-3</v>
      </c>
      <c r="O1110" s="4" t="e">
        <f>(C1110-(C1110*#REF!))-((C1110-(C1110*#REF!))*#REF!)</f>
        <v>#REF!</v>
      </c>
      <c r="P1110" s="7"/>
      <c r="Q1110" s="7"/>
      <c r="R1110" s="5">
        <f t="shared" si="541"/>
        <v>0</v>
      </c>
      <c r="S1110" s="4">
        <f t="shared" si="542"/>
        <v>0</v>
      </c>
      <c r="T1110" s="13">
        <f t="shared" si="546"/>
        <v>24.493000000000002</v>
      </c>
      <c r="U1110" s="13">
        <f t="shared" si="555"/>
        <v>12.246500000000001</v>
      </c>
      <c r="V1110" s="14">
        <f>U1110/C1110</f>
        <v>0.35000000000000003</v>
      </c>
      <c r="W1110" s="14"/>
      <c r="X1110" s="19">
        <f t="shared" si="543"/>
        <v>12.246500000000001</v>
      </c>
      <c r="Y1110" s="19">
        <f t="shared" si="544"/>
        <v>24.493000000000002</v>
      </c>
      <c r="Z1110" s="15" t="e">
        <f t="shared" si="538"/>
        <v>#DIV/0!</v>
      </c>
      <c r="AA1110" s="22" t="s">
        <v>5029</v>
      </c>
      <c r="AG1110" s="94" t="s">
        <v>817</v>
      </c>
      <c r="AH1110" s="89" t="str">
        <f>VLOOKUP(AG1110,Sheet1!$B$3:$D$36,2,FALSE)</f>
        <v>Kitchen &amp; Dining</v>
      </c>
      <c r="AI1110" s="89" t="s">
        <v>2077</v>
      </c>
      <c r="AJ1110" s="1" t="str">
        <f t="shared" si="547"/>
        <v>Klopp</v>
      </c>
      <c r="AK1110" s="1" t="str">
        <f t="shared" si="548"/>
        <v>ø12 x h7</v>
      </c>
      <c r="AL1110" s="1" t="str">
        <f t="shared" si="549"/>
        <v>clear glass semi # 6</v>
      </c>
      <c r="AM1110" s="1" t="str">
        <f t="shared" si="550"/>
        <v>clear glass semi # 6</v>
      </c>
      <c r="AN1110" s="1" t="str">
        <f t="shared" si="539"/>
        <v>clear glass semi # 6</v>
      </c>
      <c r="AQ1110" s="1" t="str">
        <f t="shared" si="551"/>
        <v>C</v>
      </c>
      <c r="AR1110" s="1" t="str">
        <f>VLOOKUP(TRIM(AI1110),Sheet1!$D$3:$E$36,2,FALSE)</f>
        <v>01</v>
      </c>
      <c r="AS1110" s="90" t="str">
        <f t="shared" si="552"/>
        <v>01</v>
      </c>
      <c r="AT1110" s="1" t="str">
        <f t="shared" si="553"/>
        <v>01</v>
      </c>
      <c r="AU1110" s="90" t="s">
        <v>2567</v>
      </c>
      <c r="AV1110" s="90"/>
      <c r="AW1110" s="90"/>
      <c r="AX1110" s="95" t="str">
        <f>AQ1110&amp;AR1110&amp;AS1110&amp;"-"&amp;AT1110&amp;AU1110&amp;BA1110</f>
        <v>C0101-0138</v>
      </c>
      <c r="AY1110" s="99" t="str">
        <f>AQ1110&amp;AR1110&amp;AS1110&amp;"-"&amp;AT1110&amp;BA1110</f>
        <v>C0101-01</v>
      </c>
      <c r="AZ1110" s="90"/>
      <c r="BA1110" s="1" t="str">
        <f t="shared" si="554"/>
        <v/>
      </c>
      <c r="BC1110" s="1">
        <f t="shared" si="536"/>
        <v>1</v>
      </c>
      <c r="BD1110" s="90">
        <f t="shared" si="537"/>
        <v>1</v>
      </c>
      <c r="BE1110" s="1">
        <f t="shared" si="556"/>
        <v>1</v>
      </c>
      <c r="BF1110" s="1">
        <f t="shared" si="557"/>
        <v>1</v>
      </c>
    </row>
    <row r="1111" spans="1:58" ht="11.25" customHeight="1">
      <c r="A1111" s="26" t="s">
        <v>5030</v>
      </c>
      <c r="B1111" s="27" t="s">
        <v>5026</v>
      </c>
      <c r="C1111" s="28">
        <v>43.99</v>
      </c>
      <c r="D1111" s="28">
        <f t="shared" si="545"/>
        <v>21.995000000000001</v>
      </c>
      <c r="E1111" s="22" t="s">
        <v>4467</v>
      </c>
      <c r="F1111" s="22" t="s">
        <v>5031</v>
      </c>
      <c r="G1111" s="22" t="s">
        <v>437</v>
      </c>
      <c r="H1111" s="22" t="s">
        <v>5032</v>
      </c>
      <c r="I1111" s="23" t="s">
        <v>4946</v>
      </c>
      <c r="J1111" s="22" t="s">
        <v>670</v>
      </c>
      <c r="L1111" s="23">
        <v>15</v>
      </c>
      <c r="M1111" s="23">
        <v>8</v>
      </c>
      <c r="N1111" s="3">
        <f t="shared" si="540"/>
        <v>1.8E-3</v>
      </c>
      <c r="O1111" s="4" t="e">
        <f>(C1111-(C1111*#REF!))-((C1111-(C1111*#REF!))*#REF!)</f>
        <v>#REF!</v>
      </c>
      <c r="P1111" s="7"/>
      <c r="Q1111" s="7"/>
      <c r="R1111" s="5">
        <f t="shared" si="541"/>
        <v>0</v>
      </c>
      <c r="S1111" s="4">
        <f t="shared" si="542"/>
        <v>0</v>
      </c>
      <c r="T1111" s="13">
        <f t="shared" si="546"/>
        <v>30.792999999999999</v>
      </c>
      <c r="U1111" s="13">
        <f t="shared" si="555"/>
        <v>15.3965</v>
      </c>
      <c r="V1111" s="14">
        <f>U1111/C1111</f>
        <v>0.35</v>
      </c>
      <c r="W1111" s="14"/>
      <c r="X1111" s="19">
        <f t="shared" si="543"/>
        <v>15.3965</v>
      </c>
      <c r="Y1111" s="19">
        <f t="shared" si="544"/>
        <v>30.792999999999999</v>
      </c>
      <c r="Z1111" s="15" t="e">
        <f t="shared" si="538"/>
        <v>#DIV/0!</v>
      </c>
      <c r="AA1111" s="22" t="s">
        <v>5033</v>
      </c>
      <c r="AG1111" s="94" t="s">
        <v>817</v>
      </c>
      <c r="AH1111" s="89" t="str">
        <f>VLOOKUP(AG1111,Sheet1!$B$3:$D$36,2,FALSE)</f>
        <v>Kitchen &amp; Dining</v>
      </c>
      <c r="AI1111" s="89" t="s">
        <v>2077</v>
      </c>
      <c r="AJ1111" s="1" t="str">
        <f t="shared" si="547"/>
        <v>Klopp</v>
      </c>
      <c r="AK1111" s="1" t="str">
        <f t="shared" si="548"/>
        <v>ø15 x h8</v>
      </c>
      <c r="AL1111" s="1" t="str">
        <f t="shared" si="549"/>
        <v>clear glass semi # 6</v>
      </c>
      <c r="AM1111" s="1" t="str">
        <f t="shared" si="550"/>
        <v>clear glass semi # 6</v>
      </c>
      <c r="AN1111" s="1" t="str">
        <f t="shared" si="539"/>
        <v>clear glass semi # 6</v>
      </c>
      <c r="AQ1111" s="1" t="str">
        <f t="shared" si="551"/>
        <v>C</v>
      </c>
      <c r="AR1111" s="1" t="str">
        <f>VLOOKUP(TRIM(AI1111),Sheet1!$D$3:$E$36,2,FALSE)</f>
        <v>01</v>
      </c>
      <c r="AS1111" s="90" t="str">
        <f t="shared" si="552"/>
        <v>02</v>
      </c>
      <c r="AT1111" s="1" t="str">
        <f t="shared" si="553"/>
        <v>01</v>
      </c>
      <c r="AU1111" s="90" t="s">
        <v>2567</v>
      </c>
      <c r="AV1111" s="90"/>
      <c r="AW1111" s="90"/>
      <c r="AX1111" s="95" t="str">
        <f>AQ1111&amp;AR1111&amp;AS1111&amp;"-"&amp;AT1111&amp;AU1111&amp;BA1111</f>
        <v>C0102-0138</v>
      </c>
      <c r="AY1111" s="99" t="str">
        <f>AQ1111&amp;AR1111&amp;AS1111&amp;"-"&amp;AT1111&amp;BA1111</f>
        <v>C0102-01</v>
      </c>
      <c r="AZ1111" s="90"/>
      <c r="BA1111" s="1" t="str">
        <f t="shared" si="554"/>
        <v/>
      </c>
      <c r="BC1111" s="1" t="str">
        <f t="shared" si="536"/>
        <v/>
      </c>
      <c r="BD1111" s="90">
        <f t="shared" si="537"/>
        <v>2</v>
      </c>
      <c r="BE1111" s="1">
        <f t="shared" si="556"/>
        <v>1</v>
      </c>
      <c r="BF1111" s="1">
        <f t="shared" si="557"/>
        <v>1</v>
      </c>
    </row>
    <row r="1112" spans="1:58" ht="11.25" customHeight="1">
      <c r="A1112" s="26" t="s">
        <v>5034</v>
      </c>
      <c r="B1112" s="27" t="s">
        <v>5026</v>
      </c>
      <c r="C1112" s="28">
        <v>58.99</v>
      </c>
      <c r="D1112" s="28">
        <f t="shared" si="545"/>
        <v>29.495000000000001</v>
      </c>
      <c r="E1112" s="22" t="s">
        <v>4467</v>
      </c>
      <c r="F1112" s="22" t="s">
        <v>5035</v>
      </c>
      <c r="G1112" s="22" t="s">
        <v>437</v>
      </c>
      <c r="H1112" s="22" t="s">
        <v>5036</v>
      </c>
      <c r="I1112" s="23" t="s">
        <v>4946</v>
      </c>
      <c r="J1112" s="22" t="s">
        <v>670</v>
      </c>
      <c r="L1112" s="23">
        <v>20</v>
      </c>
      <c r="M1112" s="23">
        <v>11</v>
      </c>
      <c r="N1112" s="3">
        <f t="shared" si="540"/>
        <v>4.4000000000000003E-3</v>
      </c>
      <c r="O1112" s="4" t="e">
        <f>(C1112-(C1112*#REF!))-((C1112-(C1112*#REF!))*#REF!)</f>
        <v>#REF!</v>
      </c>
      <c r="P1112" s="7"/>
      <c r="Q1112" s="7"/>
      <c r="R1112" s="5">
        <f t="shared" si="541"/>
        <v>0</v>
      </c>
      <c r="S1112" s="4">
        <f t="shared" si="542"/>
        <v>0</v>
      </c>
      <c r="T1112" s="13">
        <f t="shared" si="546"/>
        <v>41.293000000000006</v>
      </c>
      <c r="U1112" s="13">
        <f t="shared" si="555"/>
        <v>20.646500000000003</v>
      </c>
      <c r="V1112" s="14">
        <f>U1112/C1112</f>
        <v>0.35000000000000003</v>
      </c>
      <c r="W1112" s="14"/>
      <c r="X1112" s="19">
        <f t="shared" si="543"/>
        <v>20.646500000000003</v>
      </c>
      <c r="Y1112" s="19">
        <f t="shared" si="544"/>
        <v>41.293000000000006</v>
      </c>
      <c r="Z1112" s="15" t="e">
        <f t="shared" si="538"/>
        <v>#DIV/0!</v>
      </c>
      <c r="AA1112" s="22" t="s">
        <v>5029</v>
      </c>
      <c r="AG1112" s="94" t="s">
        <v>817</v>
      </c>
      <c r="AH1112" s="89" t="str">
        <f>VLOOKUP(AG1112,Sheet1!$B$3:$D$36,2,FALSE)</f>
        <v>Kitchen &amp; Dining</v>
      </c>
      <c r="AI1112" s="89" t="s">
        <v>2077</v>
      </c>
      <c r="AJ1112" s="1" t="str">
        <f t="shared" si="547"/>
        <v>Klopp</v>
      </c>
      <c r="AK1112" s="1" t="str">
        <f t="shared" si="548"/>
        <v>ø20 x h11</v>
      </c>
      <c r="AL1112" s="1" t="str">
        <f t="shared" si="549"/>
        <v>clear glass semi # 6</v>
      </c>
      <c r="AM1112" s="1" t="str">
        <f t="shared" si="550"/>
        <v>clear glass semi # 6</v>
      </c>
      <c r="AN1112" s="1" t="str">
        <f t="shared" si="539"/>
        <v>clear glass semi # 6</v>
      </c>
      <c r="AQ1112" s="1" t="str">
        <f t="shared" si="551"/>
        <v>C</v>
      </c>
      <c r="AR1112" s="1" t="str">
        <f>VLOOKUP(TRIM(AI1112),Sheet1!$D$3:$E$36,2,FALSE)</f>
        <v>01</v>
      </c>
      <c r="AS1112" s="90" t="str">
        <f t="shared" si="552"/>
        <v>03</v>
      </c>
      <c r="AT1112" s="1" t="str">
        <f t="shared" si="553"/>
        <v>01</v>
      </c>
      <c r="AU1112" s="90" t="s">
        <v>2567</v>
      </c>
      <c r="AV1112" s="90"/>
      <c r="AW1112" s="90"/>
      <c r="AX1112" s="95" t="str">
        <f>AQ1112&amp;AR1112&amp;AS1112&amp;"-"&amp;AT1112&amp;AU1112&amp;BA1112</f>
        <v>C0103-0138</v>
      </c>
      <c r="AY1112" s="99" t="str">
        <f>AQ1112&amp;AR1112&amp;AS1112&amp;"-"&amp;AT1112&amp;BA1112</f>
        <v>C0103-01</v>
      </c>
      <c r="AZ1112" s="90"/>
      <c r="BA1112" s="1" t="str">
        <f t="shared" si="554"/>
        <v/>
      </c>
      <c r="BC1112" s="1" t="str">
        <f t="shared" si="536"/>
        <v/>
      </c>
      <c r="BD1112" s="90">
        <f t="shared" si="537"/>
        <v>3</v>
      </c>
      <c r="BE1112" s="1">
        <f t="shared" si="556"/>
        <v>1</v>
      </c>
      <c r="BF1112" s="1">
        <f t="shared" si="557"/>
        <v>1</v>
      </c>
    </row>
    <row r="1113" spans="1:58" ht="11.25" customHeight="1">
      <c r="A1113" s="26" t="s">
        <v>5037</v>
      </c>
      <c r="B1113" s="27" t="s">
        <v>5026</v>
      </c>
      <c r="C1113" s="28">
        <v>89.99</v>
      </c>
      <c r="D1113" s="28">
        <f t="shared" si="545"/>
        <v>44.994999999999997</v>
      </c>
      <c r="E1113" s="22" t="s">
        <v>4467</v>
      </c>
      <c r="F1113" s="22" t="s">
        <v>5038</v>
      </c>
      <c r="G1113" s="22" t="s">
        <v>437</v>
      </c>
      <c r="H1113" s="22" t="s">
        <v>5039</v>
      </c>
      <c r="I1113" s="23" t="s">
        <v>4946</v>
      </c>
      <c r="J1113" s="22" t="s">
        <v>670</v>
      </c>
      <c r="L1113" s="23">
        <v>27</v>
      </c>
      <c r="M1113" s="23">
        <v>15</v>
      </c>
      <c r="N1113" s="3">
        <f t="shared" si="540"/>
        <v>1.0935E-2</v>
      </c>
      <c r="O1113" s="4" t="e">
        <f>(C1113-(C1113*#REF!))-((C1113-(C1113*#REF!))*#REF!)</f>
        <v>#REF!</v>
      </c>
      <c r="P1113" s="7"/>
      <c r="Q1113" s="7"/>
      <c r="R1113" s="5">
        <f t="shared" si="541"/>
        <v>0</v>
      </c>
      <c r="S1113" s="4">
        <f t="shared" si="542"/>
        <v>0</v>
      </c>
      <c r="T1113" s="13">
        <f t="shared" si="546"/>
        <v>62.992999999999995</v>
      </c>
      <c r="U1113" s="13">
        <f t="shared" si="555"/>
        <v>31.496499999999997</v>
      </c>
      <c r="V1113" s="14">
        <f>U1113/C1113</f>
        <v>0.35</v>
      </c>
      <c r="W1113" s="14"/>
      <c r="X1113" s="19">
        <f t="shared" si="543"/>
        <v>31.496499999999997</v>
      </c>
      <c r="Y1113" s="19">
        <f t="shared" si="544"/>
        <v>62.992999999999995</v>
      </c>
      <c r="Z1113" s="15" t="e">
        <f t="shared" si="538"/>
        <v>#DIV/0!</v>
      </c>
      <c r="AA1113" s="22" t="s">
        <v>5040</v>
      </c>
      <c r="AG1113" s="94" t="s">
        <v>817</v>
      </c>
      <c r="AH1113" s="89" t="str">
        <f>VLOOKUP(AG1113,Sheet1!$B$3:$D$36,2,FALSE)</f>
        <v>Kitchen &amp; Dining</v>
      </c>
      <c r="AI1113" s="89" t="s">
        <v>2077</v>
      </c>
      <c r="AJ1113" s="1" t="str">
        <f t="shared" si="547"/>
        <v>Klopp</v>
      </c>
      <c r="AK1113" s="1" t="str">
        <f t="shared" si="548"/>
        <v>ø27 x h15</v>
      </c>
      <c r="AL1113" s="1" t="str">
        <f t="shared" si="549"/>
        <v>clear glass semi # 6</v>
      </c>
      <c r="AM1113" s="1" t="str">
        <f t="shared" si="550"/>
        <v>clear glass semi # 6</v>
      </c>
      <c r="AN1113" s="1" t="str">
        <f t="shared" si="539"/>
        <v>clear glass semi # 6</v>
      </c>
      <c r="AQ1113" s="1" t="str">
        <f t="shared" si="551"/>
        <v>C</v>
      </c>
      <c r="AR1113" s="1" t="str">
        <f>VLOOKUP(TRIM(AI1113),Sheet1!$D$3:$E$36,2,FALSE)</f>
        <v>01</v>
      </c>
      <c r="AS1113" s="90" t="str">
        <f t="shared" si="552"/>
        <v>04</v>
      </c>
      <c r="AT1113" s="1" t="str">
        <f t="shared" si="553"/>
        <v>01</v>
      </c>
      <c r="AU1113" s="90" t="s">
        <v>2567</v>
      </c>
      <c r="AV1113" s="90"/>
      <c r="AW1113" s="90"/>
      <c r="AX1113" s="95" t="str">
        <f>AQ1113&amp;AR1113&amp;AS1113&amp;"-"&amp;AT1113&amp;AU1113&amp;BA1113</f>
        <v>C0104-0138</v>
      </c>
      <c r="AY1113" s="99" t="str">
        <f>AQ1113&amp;AR1113&amp;AS1113&amp;"-"&amp;AT1113&amp;BA1113</f>
        <v>C0104-01</v>
      </c>
      <c r="AZ1113" s="90"/>
      <c r="BA1113" s="1" t="str">
        <f t="shared" si="554"/>
        <v/>
      </c>
      <c r="BC1113" s="1" t="str">
        <f t="shared" si="536"/>
        <v/>
      </c>
      <c r="BD1113" s="90">
        <f t="shared" si="537"/>
        <v>4</v>
      </c>
      <c r="BE1113" s="1">
        <f t="shared" si="556"/>
        <v>1</v>
      </c>
      <c r="BF1113" s="1">
        <f t="shared" si="557"/>
        <v>1</v>
      </c>
    </row>
    <row r="1114" spans="1:58" ht="11.25" customHeight="1">
      <c r="A1114" s="26" t="s">
        <v>5041</v>
      </c>
      <c r="B1114" s="27" t="s">
        <v>5042</v>
      </c>
      <c r="C1114" s="28">
        <v>33.99</v>
      </c>
      <c r="D1114" s="28">
        <f t="shared" si="545"/>
        <v>16.995000000000001</v>
      </c>
      <c r="E1114" s="22" t="s">
        <v>4467</v>
      </c>
      <c r="F1114" s="22" t="s">
        <v>5043</v>
      </c>
      <c r="G1114" s="22" t="s">
        <v>204</v>
      </c>
      <c r="H1114" s="22" t="s">
        <v>5044</v>
      </c>
      <c r="I1114" s="23" t="s">
        <v>2564</v>
      </c>
      <c r="J1114" s="22" t="s">
        <v>670</v>
      </c>
      <c r="L1114" s="23">
        <v>14</v>
      </c>
      <c r="M1114" s="23">
        <v>4</v>
      </c>
      <c r="N1114" s="3">
        <f t="shared" si="540"/>
        <v>7.8399999999999997E-4</v>
      </c>
      <c r="O1114" s="4" t="e">
        <f>(C1114-(C1114*#REF!))-((C1114-(C1114*#REF!))*#REF!)</f>
        <v>#REF!</v>
      </c>
      <c r="P1114" s="7"/>
      <c r="Q1114" s="7"/>
      <c r="R1114" s="5">
        <f t="shared" si="541"/>
        <v>0</v>
      </c>
      <c r="S1114" s="4">
        <f t="shared" si="542"/>
        <v>0</v>
      </c>
      <c r="T1114" s="13">
        <f t="shared" si="546"/>
        <v>23.792999999999999</v>
      </c>
      <c r="U1114" s="13">
        <f t="shared" si="555"/>
        <v>11.8965</v>
      </c>
      <c r="V1114" s="14">
        <f>U1114/C1114</f>
        <v>0.35</v>
      </c>
      <c r="W1114" s="14"/>
      <c r="X1114" s="19">
        <f t="shared" si="543"/>
        <v>11.8965</v>
      </c>
      <c r="Y1114" s="19">
        <f t="shared" si="544"/>
        <v>23.792999999999999</v>
      </c>
      <c r="Z1114" s="15" t="e">
        <f t="shared" si="538"/>
        <v>#DIV/0!</v>
      </c>
      <c r="AA1114" s="22" t="s">
        <v>5045</v>
      </c>
      <c r="AG1114" s="94" t="s">
        <v>817</v>
      </c>
      <c r="AH1114" s="89" t="str">
        <f>VLOOKUP(AG1114,Sheet1!$B$3:$D$36,2,FALSE)</f>
        <v>Kitchen &amp; Dining</v>
      </c>
      <c r="AI1114" s="89" t="s">
        <v>2077</v>
      </c>
      <c r="AJ1114" s="1" t="str">
        <f t="shared" si="547"/>
        <v>Dan</v>
      </c>
      <c r="AK1114" s="1" t="str">
        <f t="shared" si="548"/>
        <v>ø14 x h4</v>
      </c>
      <c r="AL1114" s="1" t="str">
        <f t="shared" si="549"/>
        <v>clear glass semi</v>
      </c>
      <c r="AM1114" s="1" t="str">
        <f t="shared" si="550"/>
        <v>clear glass semi</v>
      </c>
      <c r="AN1114" s="1" t="str">
        <f t="shared" si="539"/>
        <v>clear glass semi</v>
      </c>
      <c r="AQ1114" s="1" t="str">
        <f t="shared" si="551"/>
        <v>C</v>
      </c>
      <c r="AR1114" s="1" t="str">
        <f>VLOOKUP(TRIM(AI1114),Sheet1!$D$3:$E$36,2,FALSE)</f>
        <v>01</v>
      </c>
      <c r="AS1114" s="90" t="str">
        <f t="shared" si="552"/>
        <v>01</v>
      </c>
      <c r="AT1114" s="1" t="str">
        <f t="shared" si="553"/>
        <v>01</v>
      </c>
      <c r="AU1114" s="90" t="s">
        <v>2567</v>
      </c>
      <c r="AV1114" s="90"/>
      <c r="AW1114" s="90"/>
      <c r="AX1114" s="95" t="str">
        <f>AQ1114&amp;AR1114&amp;AS1114&amp;"-"&amp;AT1114&amp;AU1114&amp;BA1114</f>
        <v>C0101-0138</v>
      </c>
      <c r="AY1114" s="99" t="str">
        <f>AQ1114&amp;AR1114&amp;AS1114&amp;"-"&amp;AT1114&amp;BA1114</f>
        <v>C0101-01</v>
      </c>
      <c r="AZ1114" s="90"/>
      <c r="BA1114" s="1" t="str">
        <f t="shared" si="554"/>
        <v/>
      </c>
      <c r="BC1114" s="1">
        <f t="shared" si="536"/>
        <v>1</v>
      </c>
      <c r="BD1114" s="90">
        <f t="shared" si="537"/>
        <v>1</v>
      </c>
      <c r="BE1114" s="1">
        <f t="shared" si="556"/>
        <v>1</v>
      </c>
      <c r="BF1114" s="1">
        <f t="shared" si="557"/>
        <v>1</v>
      </c>
    </row>
    <row r="1115" spans="1:58" ht="11.25" customHeight="1">
      <c r="A1115" s="26" t="s">
        <v>5046</v>
      </c>
      <c r="B1115" s="27" t="s">
        <v>5042</v>
      </c>
      <c r="C1115" s="28">
        <v>34.99</v>
      </c>
      <c r="D1115" s="28">
        <f t="shared" si="545"/>
        <v>17.495000000000001</v>
      </c>
      <c r="E1115" s="22" t="s">
        <v>4467</v>
      </c>
      <c r="F1115" s="22" t="s">
        <v>5047</v>
      </c>
      <c r="G1115" s="22" t="s">
        <v>204</v>
      </c>
      <c r="H1115" s="22" t="s">
        <v>5048</v>
      </c>
      <c r="I1115" s="23" t="s">
        <v>2564</v>
      </c>
      <c r="J1115" s="22" t="s">
        <v>670</v>
      </c>
      <c r="L1115" s="23">
        <v>17</v>
      </c>
      <c r="M1115" s="23">
        <v>5</v>
      </c>
      <c r="N1115" s="3">
        <f t="shared" si="540"/>
        <v>1.4450000000000001E-3</v>
      </c>
      <c r="O1115" s="4" t="e">
        <f>(C1115-(C1115*#REF!))-((C1115-(C1115*#REF!))*#REF!)</f>
        <v>#REF!</v>
      </c>
      <c r="P1115" s="7"/>
      <c r="Q1115" s="7"/>
      <c r="R1115" s="5">
        <f t="shared" si="541"/>
        <v>0</v>
      </c>
      <c r="S1115" s="4">
        <f t="shared" si="542"/>
        <v>0</v>
      </c>
      <c r="T1115" s="13">
        <f t="shared" si="546"/>
        <v>24.493000000000002</v>
      </c>
      <c r="U1115" s="13">
        <f t="shared" si="555"/>
        <v>12.246500000000001</v>
      </c>
      <c r="V1115" s="14">
        <f>U1115/C1115</f>
        <v>0.35000000000000003</v>
      </c>
      <c r="W1115" s="14"/>
      <c r="X1115" s="19">
        <f t="shared" si="543"/>
        <v>12.246500000000001</v>
      </c>
      <c r="Y1115" s="19">
        <f t="shared" si="544"/>
        <v>24.493000000000002</v>
      </c>
      <c r="Z1115" s="15" t="e">
        <f t="shared" si="538"/>
        <v>#DIV/0!</v>
      </c>
      <c r="AA1115" s="22" t="s">
        <v>5049</v>
      </c>
      <c r="AG1115" s="94" t="s">
        <v>817</v>
      </c>
      <c r="AH1115" s="89" t="str">
        <f>VLOOKUP(AG1115,Sheet1!$B$3:$D$36,2,FALSE)</f>
        <v>Kitchen &amp; Dining</v>
      </c>
      <c r="AI1115" s="89" t="s">
        <v>2077</v>
      </c>
      <c r="AJ1115" s="1" t="str">
        <f t="shared" si="547"/>
        <v>Dan</v>
      </c>
      <c r="AK1115" s="1" t="str">
        <f t="shared" si="548"/>
        <v>ø17 x h5</v>
      </c>
      <c r="AL1115" s="1" t="str">
        <f t="shared" si="549"/>
        <v>clear glass semi</v>
      </c>
      <c r="AM1115" s="1" t="str">
        <f t="shared" si="550"/>
        <v>clear glass semi</v>
      </c>
      <c r="AN1115" s="1" t="str">
        <f t="shared" si="539"/>
        <v>clear glass semi</v>
      </c>
      <c r="AQ1115" s="1" t="str">
        <f t="shared" si="551"/>
        <v>C</v>
      </c>
      <c r="AR1115" s="1" t="str">
        <f>VLOOKUP(TRIM(AI1115),Sheet1!$D$3:$E$36,2,FALSE)</f>
        <v>01</v>
      </c>
      <c r="AS1115" s="90" t="str">
        <f t="shared" si="552"/>
        <v>02</v>
      </c>
      <c r="AT1115" s="1" t="str">
        <f t="shared" si="553"/>
        <v>01</v>
      </c>
      <c r="AU1115" s="90" t="s">
        <v>2567</v>
      </c>
      <c r="AV1115" s="90"/>
      <c r="AW1115" s="90"/>
      <c r="AX1115" s="95" t="str">
        <f>AQ1115&amp;AR1115&amp;AS1115&amp;"-"&amp;AT1115&amp;AU1115&amp;BA1115</f>
        <v>C0102-0138</v>
      </c>
      <c r="AY1115" s="99" t="str">
        <f>AQ1115&amp;AR1115&amp;AS1115&amp;"-"&amp;AT1115&amp;BA1115</f>
        <v>C0102-01</v>
      </c>
      <c r="AZ1115" s="90"/>
      <c r="BA1115" s="1" t="str">
        <f t="shared" si="554"/>
        <v/>
      </c>
      <c r="BC1115" s="1" t="str">
        <f t="shared" si="536"/>
        <v/>
      </c>
      <c r="BD1115" s="90">
        <f t="shared" si="537"/>
        <v>2</v>
      </c>
      <c r="BE1115" s="1">
        <f t="shared" si="556"/>
        <v>1</v>
      </c>
      <c r="BF1115" s="1">
        <f t="shared" si="557"/>
        <v>1</v>
      </c>
    </row>
    <row r="1116" spans="1:58" ht="11.25" customHeight="1">
      <c r="A1116" s="26" t="s">
        <v>5050</v>
      </c>
      <c r="B1116" s="27" t="s">
        <v>5042</v>
      </c>
      <c r="C1116" s="28">
        <v>40.99</v>
      </c>
      <c r="D1116" s="28">
        <f t="shared" si="545"/>
        <v>20.495000000000001</v>
      </c>
      <c r="E1116" s="22" t="s">
        <v>4467</v>
      </c>
      <c r="F1116" s="22" t="s">
        <v>5051</v>
      </c>
      <c r="G1116" s="22" t="s">
        <v>204</v>
      </c>
      <c r="H1116" s="22" t="s">
        <v>5052</v>
      </c>
      <c r="I1116" s="23" t="s">
        <v>2564</v>
      </c>
      <c r="J1116" s="22" t="s">
        <v>670</v>
      </c>
      <c r="L1116" s="23">
        <v>18</v>
      </c>
      <c r="M1116" s="23">
        <v>5</v>
      </c>
      <c r="N1116" s="3">
        <f t="shared" si="540"/>
        <v>1.6199999999999999E-3</v>
      </c>
      <c r="O1116" s="4" t="e">
        <f>(C1116-(C1116*#REF!))-((C1116-(C1116*#REF!))*#REF!)</f>
        <v>#REF!</v>
      </c>
      <c r="P1116" s="7"/>
      <c r="Q1116" s="7"/>
      <c r="R1116" s="5">
        <f t="shared" si="541"/>
        <v>0</v>
      </c>
      <c r="S1116" s="4">
        <f t="shared" si="542"/>
        <v>0</v>
      </c>
      <c r="T1116" s="13">
        <f t="shared" si="546"/>
        <v>28.693000000000001</v>
      </c>
      <c r="U1116" s="13">
        <f t="shared" si="555"/>
        <v>14.346500000000001</v>
      </c>
      <c r="V1116" s="14">
        <f>U1116/C1116</f>
        <v>0.35</v>
      </c>
      <c r="W1116" s="14"/>
      <c r="X1116" s="19">
        <f t="shared" si="543"/>
        <v>14.346500000000001</v>
      </c>
      <c r="Y1116" s="19">
        <f t="shared" si="544"/>
        <v>28.693000000000001</v>
      </c>
      <c r="Z1116" s="15" t="e">
        <f t="shared" si="538"/>
        <v>#DIV/0!</v>
      </c>
      <c r="AA1116" s="22" t="s">
        <v>5049</v>
      </c>
      <c r="AG1116" s="94" t="s">
        <v>817</v>
      </c>
      <c r="AH1116" s="89" t="str">
        <f>VLOOKUP(AG1116,Sheet1!$B$3:$D$36,2,FALSE)</f>
        <v>Kitchen &amp; Dining</v>
      </c>
      <c r="AI1116" s="89" t="s">
        <v>2077</v>
      </c>
      <c r="AJ1116" s="1" t="str">
        <f t="shared" si="547"/>
        <v>Dan</v>
      </c>
      <c r="AK1116" s="1" t="str">
        <f t="shared" si="548"/>
        <v>ø18 x h5</v>
      </c>
      <c r="AL1116" s="1" t="str">
        <f t="shared" si="549"/>
        <v>clear glass semi</v>
      </c>
      <c r="AM1116" s="1" t="str">
        <f t="shared" si="550"/>
        <v>clear glass semi</v>
      </c>
      <c r="AN1116" s="1" t="str">
        <f t="shared" si="539"/>
        <v>clear glass semi</v>
      </c>
      <c r="AQ1116" s="1" t="str">
        <f t="shared" si="551"/>
        <v>C</v>
      </c>
      <c r="AR1116" s="1" t="str">
        <f>VLOOKUP(TRIM(AI1116),Sheet1!$D$3:$E$36,2,FALSE)</f>
        <v>01</v>
      </c>
      <c r="AS1116" s="90" t="str">
        <f t="shared" si="552"/>
        <v>03</v>
      </c>
      <c r="AT1116" s="1" t="str">
        <f t="shared" si="553"/>
        <v>01</v>
      </c>
      <c r="AU1116" s="90" t="s">
        <v>2567</v>
      </c>
      <c r="AV1116" s="90"/>
      <c r="AW1116" s="90"/>
      <c r="AX1116" s="95" t="str">
        <f>AQ1116&amp;AR1116&amp;AS1116&amp;"-"&amp;AT1116&amp;AU1116&amp;BA1116</f>
        <v>C0103-0138</v>
      </c>
      <c r="AY1116" s="99" t="str">
        <f>AQ1116&amp;AR1116&amp;AS1116&amp;"-"&amp;AT1116&amp;BA1116</f>
        <v>C0103-01</v>
      </c>
      <c r="AZ1116" s="90"/>
      <c r="BA1116" s="1" t="str">
        <f t="shared" si="554"/>
        <v/>
      </c>
      <c r="BC1116" s="1" t="str">
        <f t="shared" si="536"/>
        <v/>
      </c>
      <c r="BD1116" s="90">
        <f t="shared" si="537"/>
        <v>3</v>
      </c>
      <c r="BE1116" s="1">
        <f t="shared" si="556"/>
        <v>1</v>
      </c>
      <c r="BF1116" s="1">
        <f t="shared" si="557"/>
        <v>1</v>
      </c>
    </row>
    <row r="1117" spans="1:58" ht="11.25" customHeight="1">
      <c r="A1117" s="26" t="s">
        <v>5053</v>
      </c>
      <c r="B1117" s="27" t="s">
        <v>5054</v>
      </c>
      <c r="C1117" s="28">
        <v>23.99</v>
      </c>
      <c r="D1117" s="28">
        <f t="shared" si="545"/>
        <v>11.994999999999999</v>
      </c>
      <c r="E1117" s="22" t="s">
        <v>4467</v>
      </c>
      <c r="F1117" s="22" t="s">
        <v>5055</v>
      </c>
      <c r="G1117" s="22" t="s">
        <v>602</v>
      </c>
      <c r="H1117" s="22" t="s">
        <v>5056</v>
      </c>
      <c r="I1117" s="23" t="s">
        <v>4946</v>
      </c>
      <c r="J1117" s="22" t="s">
        <v>670</v>
      </c>
      <c r="L1117" s="23">
        <v>12</v>
      </c>
      <c r="M1117" s="23">
        <v>8</v>
      </c>
      <c r="N1117" s="3">
        <f t="shared" si="540"/>
        <v>1.152E-3</v>
      </c>
      <c r="O1117" s="4" t="e">
        <f>(C1117-(C1117*#REF!))-((C1117-(C1117*#REF!))*#REF!)</f>
        <v>#REF!</v>
      </c>
      <c r="P1117" s="7"/>
      <c r="Q1117" s="7"/>
      <c r="R1117" s="5">
        <f t="shared" si="541"/>
        <v>0</v>
      </c>
      <c r="S1117" s="4">
        <f t="shared" si="542"/>
        <v>0</v>
      </c>
      <c r="T1117" s="13">
        <f t="shared" si="546"/>
        <v>16.792999999999999</v>
      </c>
      <c r="U1117" s="13">
        <f t="shared" si="555"/>
        <v>8.3964999999999996</v>
      </c>
      <c r="V1117" s="14">
        <f>U1117/C1117</f>
        <v>0.35000000000000003</v>
      </c>
      <c r="W1117" s="14"/>
      <c r="X1117" s="19">
        <f t="shared" si="543"/>
        <v>8.3964999999999996</v>
      </c>
      <c r="Y1117" s="19">
        <f t="shared" si="544"/>
        <v>16.792999999999999</v>
      </c>
      <c r="Z1117" s="15" t="e">
        <f t="shared" si="538"/>
        <v>#DIV/0!</v>
      </c>
      <c r="AA1117" s="22" t="s">
        <v>5057</v>
      </c>
      <c r="AG1117" s="94" t="s">
        <v>817</v>
      </c>
      <c r="AH1117" s="89" t="str">
        <f>VLOOKUP(AG1117,Sheet1!$B$3:$D$36,2,FALSE)</f>
        <v>Kitchen &amp; Dining</v>
      </c>
      <c r="AI1117" s="89" t="s">
        <v>2077</v>
      </c>
      <c r="AJ1117" s="1" t="str">
        <f t="shared" si="547"/>
        <v>Peni</v>
      </c>
      <c r="AK1117" s="1" t="str">
        <f t="shared" si="548"/>
        <v>ø12 x h8</v>
      </c>
      <c r="AL1117" s="1" t="str">
        <f t="shared" si="549"/>
        <v>clear glass semi # 6</v>
      </c>
      <c r="AM1117" s="1" t="str">
        <f t="shared" si="550"/>
        <v>clear glass semi # 6</v>
      </c>
      <c r="AN1117" s="1" t="str">
        <f t="shared" si="539"/>
        <v>clear glass semi # 6</v>
      </c>
      <c r="AQ1117" s="1" t="str">
        <f t="shared" si="551"/>
        <v>C</v>
      </c>
      <c r="AR1117" s="1" t="str">
        <f>VLOOKUP(TRIM(AI1117),Sheet1!$D$3:$E$36,2,FALSE)</f>
        <v>01</v>
      </c>
      <c r="AS1117" s="90" t="str">
        <f t="shared" si="552"/>
        <v>01</v>
      </c>
      <c r="AT1117" s="1" t="str">
        <f t="shared" si="553"/>
        <v>01</v>
      </c>
      <c r="AU1117" s="90" t="s">
        <v>2567</v>
      </c>
      <c r="AV1117" s="90"/>
      <c r="AW1117" s="90"/>
      <c r="AX1117" s="95" t="str">
        <f>AQ1117&amp;AR1117&amp;AS1117&amp;"-"&amp;AT1117&amp;AU1117&amp;BA1117</f>
        <v>C0101-0138</v>
      </c>
      <c r="AY1117" s="99" t="str">
        <f>AQ1117&amp;AR1117&amp;AS1117&amp;"-"&amp;AT1117&amp;BA1117</f>
        <v>C0101-01</v>
      </c>
      <c r="AZ1117" s="90"/>
      <c r="BA1117" s="1" t="str">
        <f t="shared" si="554"/>
        <v/>
      </c>
      <c r="BC1117" s="1">
        <f t="shared" si="536"/>
        <v>1</v>
      </c>
      <c r="BD1117" s="90">
        <f t="shared" si="537"/>
        <v>1</v>
      </c>
      <c r="BE1117" s="1">
        <f t="shared" si="556"/>
        <v>1</v>
      </c>
      <c r="BF1117" s="1">
        <f t="shared" si="557"/>
        <v>1</v>
      </c>
    </row>
    <row r="1118" spans="1:58" ht="11.25" customHeight="1">
      <c r="A1118" s="26" t="s">
        <v>5058</v>
      </c>
      <c r="B1118" s="27" t="s">
        <v>5054</v>
      </c>
      <c r="C1118" s="28">
        <v>32.99</v>
      </c>
      <c r="D1118" s="28">
        <f t="shared" si="545"/>
        <v>16.495000000000001</v>
      </c>
      <c r="E1118" s="22" t="s">
        <v>4467</v>
      </c>
      <c r="F1118" s="22" t="s">
        <v>5059</v>
      </c>
      <c r="G1118" s="22" t="s">
        <v>602</v>
      </c>
      <c r="H1118" s="22" t="s">
        <v>5056</v>
      </c>
      <c r="I1118" s="23" t="s">
        <v>4988</v>
      </c>
      <c r="J1118" s="22" t="s">
        <v>670</v>
      </c>
      <c r="L1118" s="23">
        <v>12</v>
      </c>
      <c r="M1118" s="23">
        <v>8</v>
      </c>
      <c r="N1118" s="3">
        <f t="shared" si="540"/>
        <v>1.152E-3</v>
      </c>
      <c r="O1118" s="4" t="e">
        <f>(C1118-(C1118*#REF!))-((C1118-(C1118*#REF!))*#REF!)</f>
        <v>#REF!</v>
      </c>
      <c r="P1118" s="7"/>
      <c r="Q1118" s="7"/>
      <c r="R1118" s="5">
        <f t="shared" si="541"/>
        <v>0</v>
      </c>
      <c r="S1118" s="4">
        <f t="shared" si="542"/>
        <v>0</v>
      </c>
      <c r="T1118" s="13">
        <f t="shared" si="546"/>
        <v>23.093000000000004</v>
      </c>
      <c r="U1118" s="13">
        <f t="shared" si="555"/>
        <v>11.546500000000002</v>
      </c>
      <c r="V1118" s="14">
        <f>U1118/C1118</f>
        <v>0.35000000000000003</v>
      </c>
      <c r="W1118" s="14"/>
      <c r="X1118" s="19">
        <f t="shared" si="543"/>
        <v>11.546500000000002</v>
      </c>
      <c r="Y1118" s="19">
        <f t="shared" si="544"/>
        <v>23.093000000000004</v>
      </c>
      <c r="Z1118" s="15" t="e">
        <f t="shared" si="538"/>
        <v>#DIV/0!</v>
      </c>
      <c r="AA1118" s="22" t="s">
        <v>5060</v>
      </c>
      <c r="AG1118" s="94" t="s">
        <v>817</v>
      </c>
      <c r="AH1118" s="89" t="str">
        <f>VLOOKUP(AG1118,Sheet1!$B$3:$D$36,2,FALSE)</f>
        <v>Kitchen &amp; Dining</v>
      </c>
      <c r="AI1118" s="89" t="s">
        <v>2077</v>
      </c>
      <c r="AJ1118" s="1" t="str">
        <f t="shared" si="547"/>
        <v>Peni</v>
      </c>
      <c r="AK1118" s="1" t="str">
        <f t="shared" si="548"/>
        <v>ø12 x h8</v>
      </c>
      <c r="AL1118" s="1" t="str">
        <f t="shared" si="549"/>
        <v>grey glass semi # 6</v>
      </c>
      <c r="AM1118" s="1" t="str">
        <f t="shared" si="550"/>
        <v>grey glass semi # 6</v>
      </c>
      <c r="AN1118" s="1" t="str">
        <f t="shared" si="539"/>
        <v>grey glass semi # 6</v>
      </c>
      <c r="AQ1118" s="1" t="str">
        <f t="shared" si="551"/>
        <v>C</v>
      </c>
      <c r="AR1118" s="1" t="str">
        <f>VLOOKUP(TRIM(AI1118),Sheet1!$D$3:$E$36,2,FALSE)</f>
        <v>01</v>
      </c>
      <c r="AS1118" s="90" t="str">
        <f t="shared" si="552"/>
        <v>02</v>
      </c>
      <c r="AT1118" s="1" t="str">
        <f t="shared" si="553"/>
        <v>02</v>
      </c>
      <c r="AU1118" s="90" t="s">
        <v>2639</v>
      </c>
      <c r="AV1118" s="90"/>
      <c r="AW1118" s="90"/>
      <c r="AX1118" s="95" t="str">
        <f>AQ1118&amp;AR1118&amp;AS1118&amp;"-"&amp;AT1118&amp;AU1118&amp;BA1118</f>
        <v>C0102-0241</v>
      </c>
      <c r="AY1118" s="99" t="str">
        <f>AQ1118&amp;AR1118&amp;AS1118&amp;"-"&amp;AT1118&amp;BA1118</f>
        <v>C0102-02</v>
      </c>
      <c r="AZ1118" s="90"/>
      <c r="BA1118" s="1" t="str">
        <f t="shared" si="554"/>
        <v/>
      </c>
      <c r="BC1118" s="1" t="str">
        <f t="shared" si="536"/>
        <v/>
      </c>
      <c r="BD1118" s="90">
        <f t="shared" si="537"/>
        <v>2</v>
      </c>
      <c r="BE1118" s="1" t="str">
        <f t="shared" si="556"/>
        <v/>
      </c>
      <c r="BF1118" s="1">
        <f t="shared" si="557"/>
        <v>2</v>
      </c>
    </row>
    <row r="1119" spans="1:58" ht="11.25" customHeight="1">
      <c r="A1119" s="26" t="s">
        <v>5061</v>
      </c>
      <c r="B1119" s="27" t="s">
        <v>5062</v>
      </c>
      <c r="C1119" s="28">
        <v>39.99</v>
      </c>
      <c r="D1119" s="28">
        <f t="shared" si="545"/>
        <v>19.995000000000001</v>
      </c>
      <c r="E1119" s="22" t="s">
        <v>4467</v>
      </c>
      <c r="F1119" s="22" t="s">
        <v>5063</v>
      </c>
      <c r="G1119" s="22" t="s">
        <v>849</v>
      </c>
      <c r="H1119" s="22" t="s">
        <v>5064</v>
      </c>
      <c r="I1119" s="23" t="s">
        <v>4946</v>
      </c>
      <c r="J1119" s="22" t="s">
        <v>670</v>
      </c>
      <c r="L1119" s="23">
        <v>8</v>
      </c>
      <c r="M1119" s="23">
        <v>9.5</v>
      </c>
      <c r="N1119" s="3">
        <f t="shared" si="540"/>
        <v>6.0800000000000003E-4</v>
      </c>
      <c r="O1119" s="4" t="e">
        <f>(C1119-(C1119*#REF!))-((C1119-(C1119*#REF!))*#REF!)</f>
        <v>#REF!</v>
      </c>
      <c r="P1119" s="7"/>
      <c r="Q1119" s="7"/>
      <c r="R1119" s="5">
        <f t="shared" si="541"/>
        <v>0</v>
      </c>
      <c r="S1119" s="4">
        <f t="shared" si="542"/>
        <v>0</v>
      </c>
      <c r="T1119" s="13">
        <f t="shared" si="546"/>
        <v>27.993000000000002</v>
      </c>
      <c r="U1119" s="13">
        <f t="shared" si="555"/>
        <v>13.996500000000001</v>
      </c>
      <c r="V1119" s="14">
        <f>U1119/C1119</f>
        <v>0.35000000000000003</v>
      </c>
      <c r="W1119" s="14"/>
      <c r="X1119" s="19">
        <f t="shared" si="543"/>
        <v>13.996500000000001</v>
      </c>
      <c r="Y1119" s="19">
        <f t="shared" si="544"/>
        <v>27.993000000000002</v>
      </c>
      <c r="Z1119" s="15" t="e">
        <f t="shared" si="538"/>
        <v>#DIV/0!</v>
      </c>
      <c r="AA1119" s="22" t="s">
        <v>5065</v>
      </c>
      <c r="AG1119" s="94" t="s">
        <v>817</v>
      </c>
      <c r="AH1119" s="89" t="str">
        <f>VLOOKUP(AG1119,Sheet1!$B$3:$D$36,2,FALSE)</f>
        <v>Kitchen &amp; Dining</v>
      </c>
      <c r="AI1119" s="89" t="s">
        <v>2077</v>
      </c>
      <c r="AJ1119" s="1" t="str">
        <f t="shared" si="547"/>
        <v>Tom with lid</v>
      </c>
      <c r="AK1119" s="1" t="str">
        <f t="shared" si="548"/>
        <v>ø8 x h9,5</v>
      </c>
      <c r="AL1119" s="1" t="str">
        <f t="shared" si="549"/>
        <v>clear glass semi # 6</v>
      </c>
      <c r="AM1119" s="1" t="str">
        <f t="shared" si="550"/>
        <v>clear glass semi # 6</v>
      </c>
      <c r="AN1119" s="1" t="str">
        <f t="shared" si="539"/>
        <v>clear glass semi # 6</v>
      </c>
      <c r="AQ1119" s="1" t="str">
        <f t="shared" si="551"/>
        <v>C</v>
      </c>
      <c r="AR1119" s="1" t="str">
        <f>VLOOKUP(TRIM(AI1119),Sheet1!$D$3:$E$36,2,FALSE)</f>
        <v>01</v>
      </c>
      <c r="AS1119" s="90" t="str">
        <f t="shared" si="552"/>
        <v>01</v>
      </c>
      <c r="AT1119" s="1" t="str">
        <f t="shared" si="553"/>
        <v>01</v>
      </c>
      <c r="AU1119" s="90" t="s">
        <v>2567</v>
      </c>
      <c r="AV1119" s="90"/>
      <c r="AW1119" s="90"/>
      <c r="AX1119" s="95" t="str">
        <f>AQ1119&amp;AR1119&amp;AS1119&amp;"-"&amp;AT1119&amp;AU1119&amp;BA1119</f>
        <v>C0101-0138</v>
      </c>
      <c r="AY1119" s="99" t="str">
        <f>AQ1119&amp;AR1119&amp;AS1119&amp;"-"&amp;AT1119&amp;BA1119</f>
        <v>C0101-01</v>
      </c>
      <c r="AZ1119" s="90"/>
      <c r="BA1119" s="1" t="str">
        <f t="shared" si="554"/>
        <v/>
      </c>
      <c r="BC1119" s="1">
        <f t="shared" si="536"/>
        <v>1</v>
      </c>
      <c r="BD1119" s="90">
        <f t="shared" si="537"/>
        <v>1</v>
      </c>
      <c r="BE1119" s="1">
        <f t="shared" si="556"/>
        <v>1</v>
      </c>
      <c r="BF1119" s="1">
        <f t="shared" si="557"/>
        <v>1</v>
      </c>
    </row>
    <row r="1120" spans="1:58" ht="11.25" customHeight="1">
      <c r="A1120" s="26" t="s">
        <v>5066</v>
      </c>
      <c r="B1120" s="27" t="s">
        <v>5062</v>
      </c>
      <c r="C1120" s="28">
        <v>52.99</v>
      </c>
      <c r="D1120" s="28">
        <f t="shared" si="545"/>
        <v>26.495000000000001</v>
      </c>
      <c r="E1120" s="22" t="s">
        <v>4467</v>
      </c>
      <c r="F1120" s="22" t="s">
        <v>5063</v>
      </c>
      <c r="G1120" s="22" t="s">
        <v>849</v>
      </c>
      <c r="H1120" s="22" t="s">
        <v>5064</v>
      </c>
      <c r="I1120" s="23" t="s">
        <v>4988</v>
      </c>
      <c r="J1120" s="22" t="s">
        <v>670</v>
      </c>
      <c r="L1120" s="23">
        <v>8</v>
      </c>
      <c r="M1120" s="23">
        <v>9.5</v>
      </c>
      <c r="N1120" s="3">
        <f t="shared" si="540"/>
        <v>6.0800000000000003E-4</v>
      </c>
      <c r="O1120" s="4" t="e">
        <f>(C1120-(C1120*#REF!))-((C1120-(C1120*#REF!))*#REF!)</f>
        <v>#REF!</v>
      </c>
      <c r="P1120" s="7"/>
      <c r="Q1120" s="7"/>
      <c r="R1120" s="5">
        <f t="shared" si="541"/>
        <v>0</v>
      </c>
      <c r="S1120" s="4">
        <f t="shared" si="542"/>
        <v>0</v>
      </c>
      <c r="T1120" s="13">
        <f t="shared" si="546"/>
        <v>37.093000000000004</v>
      </c>
      <c r="U1120" s="13">
        <f t="shared" si="555"/>
        <v>18.546500000000002</v>
      </c>
      <c r="V1120" s="14">
        <f>U1120/C1120</f>
        <v>0.35000000000000003</v>
      </c>
      <c r="W1120" s="14"/>
      <c r="X1120" s="19">
        <f t="shared" si="543"/>
        <v>18.546500000000002</v>
      </c>
      <c r="Y1120" s="19">
        <f t="shared" si="544"/>
        <v>37.093000000000004</v>
      </c>
      <c r="Z1120" s="15" t="e">
        <f t="shared" si="538"/>
        <v>#DIV/0!</v>
      </c>
      <c r="AA1120" s="22" t="s">
        <v>5067</v>
      </c>
      <c r="AG1120" s="94" t="s">
        <v>817</v>
      </c>
      <c r="AH1120" s="89" t="str">
        <f>VLOOKUP(AG1120,Sheet1!$B$3:$D$36,2,FALSE)</f>
        <v>Kitchen &amp; Dining</v>
      </c>
      <c r="AI1120" s="89" t="s">
        <v>2077</v>
      </c>
      <c r="AJ1120" s="1" t="str">
        <f t="shared" si="547"/>
        <v>Tom with lid</v>
      </c>
      <c r="AK1120" s="1" t="str">
        <f t="shared" si="548"/>
        <v>ø8 x h9,5</v>
      </c>
      <c r="AL1120" s="1" t="str">
        <f t="shared" si="549"/>
        <v>grey glass semi # 6</v>
      </c>
      <c r="AM1120" s="1" t="str">
        <f t="shared" si="550"/>
        <v>grey glass semi # 6</v>
      </c>
      <c r="AN1120" s="1" t="str">
        <f t="shared" si="539"/>
        <v>grey glass semi # 6</v>
      </c>
      <c r="AQ1120" s="1" t="str">
        <f t="shared" si="551"/>
        <v>C</v>
      </c>
      <c r="AR1120" s="1" t="str">
        <f>VLOOKUP(TRIM(AI1120),Sheet1!$D$3:$E$36,2,FALSE)</f>
        <v>01</v>
      </c>
      <c r="AS1120" s="90" t="str">
        <f t="shared" si="552"/>
        <v>02</v>
      </c>
      <c r="AT1120" s="1" t="str">
        <f t="shared" si="553"/>
        <v>02</v>
      </c>
      <c r="AU1120" s="90" t="s">
        <v>2639</v>
      </c>
      <c r="AV1120" s="90"/>
      <c r="AW1120" s="90"/>
      <c r="AX1120" s="95" t="str">
        <f>AQ1120&amp;AR1120&amp;AS1120&amp;"-"&amp;AT1120&amp;AU1120&amp;BA1120</f>
        <v>C0102-0241</v>
      </c>
      <c r="AY1120" s="99" t="str">
        <f>AQ1120&amp;AR1120&amp;AS1120&amp;"-"&amp;AT1120&amp;BA1120</f>
        <v>C0102-02</v>
      </c>
      <c r="AZ1120" s="90"/>
      <c r="BA1120" s="1" t="str">
        <f t="shared" si="554"/>
        <v/>
      </c>
      <c r="BC1120" s="1" t="str">
        <f t="shared" si="536"/>
        <v/>
      </c>
      <c r="BD1120" s="90">
        <f t="shared" si="537"/>
        <v>2</v>
      </c>
      <c r="BE1120" s="1" t="str">
        <f t="shared" si="556"/>
        <v/>
      </c>
      <c r="BF1120" s="1">
        <f t="shared" si="557"/>
        <v>2</v>
      </c>
    </row>
    <row r="1121" spans="1:58" ht="11.25" customHeight="1">
      <c r="A1121" s="26" t="s">
        <v>5068</v>
      </c>
      <c r="B1121" s="27" t="s">
        <v>5069</v>
      </c>
      <c r="C1121" s="28">
        <v>49.99</v>
      </c>
      <c r="D1121" s="28">
        <f t="shared" si="545"/>
        <v>24.995000000000001</v>
      </c>
      <c r="E1121" s="22" t="s">
        <v>4467</v>
      </c>
      <c r="F1121" s="22" t="s">
        <v>5070</v>
      </c>
      <c r="G1121" s="22" t="s">
        <v>861</v>
      </c>
      <c r="H1121" s="22" t="s">
        <v>5071</v>
      </c>
      <c r="I1121" s="23" t="s">
        <v>2564</v>
      </c>
      <c r="J1121" s="22" t="s">
        <v>670</v>
      </c>
      <c r="L1121" s="23">
        <v>11.5</v>
      </c>
      <c r="M1121" s="23">
        <v>8.5</v>
      </c>
      <c r="N1121" s="3">
        <f t="shared" si="540"/>
        <v>1.1241249999999999E-3</v>
      </c>
      <c r="O1121" s="4" t="e">
        <f>(C1121-(C1121*#REF!))-((C1121-(C1121*#REF!))*#REF!)</f>
        <v>#REF!</v>
      </c>
      <c r="P1121" s="7"/>
      <c r="Q1121" s="7"/>
      <c r="R1121" s="5">
        <f t="shared" si="541"/>
        <v>0</v>
      </c>
      <c r="S1121" s="4">
        <f t="shared" si="542"/>
        <v>0</v>
      </c>
      <c r="T1121" s="13">
        <f t="shared" si="546"/>
        <v>34.993000000000002</v>
      </c>
      <c r="U1121" s="13">
        <f t="shared" si="555"/>
        <v>17.496500000000001</v>
      </c>
      <c r="V1121" s="14">
        <f>U1121/C1121</f>
        <v>0.35000000000000003</v>
      </c>
      <c r="W1121" s="14"/>
      <c r="X1121" s="19">
        <f t="shared" si="543"/>
        <v>17.496500000000001</v>
      </c>
      <c r="Y1121" s="19">
        <f t="shared" si="544"/>
        <v>34.993000000000002</v>
      </c>
      <c r="Z1121" s="15" t="e">
        <f t="shared" si="538"/>
        <v>#DIV/0!</v>
      </c>
      <c r="AA1121" s="22" t="s">
        <v>5072</v>
      </c>
      <c r="AG1121" s="94" t="s">
        <v>817</v>
      </c>
      <c r="AH1121" s="89" t="str">
        <f>VLOOKUP(AG1121,Sheet1!$B$3:$D$36,2,FALSE)</f>
        <v>Kitchen &amp; Dining</v>
      </c>
      <c r="AI1121" s="89" t="s">
        <v>2077</v>
      </c>
      <c r="AJ1121" s="1" t="str">
        <f t="shared" si="547"/>
        <v>Tom with lid low</v>
      </c>
      <c r="AK1121" s="1" t="str">
        <f t="shared" si="548"/>
        <v>ø11,5 x h8,5</v>
      </c>
      <c r="AL1121" s="1" t="str">
        <f t="shared" si="549"/>
        <v>clear glass semi</v>
      </c>
      <c r="AM1121" s="1" t="str">
        <f t="shared" si="550"/>
        <v>clear glass semi</v>
      </c>
      <c r="AN1121" s="1" t="str">
        <f t="shared" si="539"/>
        <v>clear glass semi</v>
      </c>
      <c r="AQ1121" s="1" t="str">
        <f t="shared" si="551"/>
        <v>C</v>
      </c>
      <c r="AR1121" s="1" t="str">
        <f>VLOOKUP(TRIM(AI1121),Sheet1!$D$3:$E$36,2,FALSE)</f>
        <v>01</v>
      </c>
      <c r="AS1121" s="90" t="str">
        <f t="shared" si="552"/>
        <v>01</v>
      </c>
      <c r="AT1121" s="1" t="str">
        <f t="shared" si="553"/>
        <v>01</v>
      </c>
      <c r="AU1121" s="90" t="s">
        <v>2567</v>
      </c>
      <c r="AV1121" s="90"/>
      <c r="AW1121" s="90"/>
      <c r="AX1121" s="95" t="str">
        <f>AQ1121&amp;AR1121&amp;AS1121&amp;"-"&amp;AT1121&amp;AU1121&amp;BA1121</f>
        <v>C0101-0138</v>
      </c>
      <c r="AY1121" s="99" t="str">
        <f>AQ1121&amp;AR1121&amp;AS1121&amp;"-"&amp;AT1121&amp;BA1121</f>
        <v>C0101-01</v>
      </c>
      <c r="AZ1121" s="90"/>
      <c r="BA1121" s="1" t="str">
        <f t="shared" si="554"/>
        <v/>
      </c>
      <c r="BC1121" s="1">
        <f t="shared" si="536"/>
        <v>1</v>
      </c>
      <c r="BD1121" s="90">
        <f t="shared" si="537"/>
        <v>1</v>
      </c>
      <c r="BE1121" s="1">
        <f t="shared" si="556"/>
        <v>1</v>
      </c>
      <c r="BF1121" s="1">
        <f t="shared" si="557"/>
        <v>1</v>
      </c>
    </row>
    <row r="1122" spans="1:58" ht="11.25" customHeight="1">
      <c r="A1122" s="26" t="s">
        <v>5073</v>
      </c>
      <c r="B1122" s="27" t="s">
        <v>5069</v>
      </c>
      <c r="C1122" s="28">
        <v>57.99</v>
      </c>
      <c r="D1122" s="28">
        <f t="shared" si="545"/>
        <v>28.995000000000001</v>
      </c>
      <c r="E1122" s="22" t="s">
        <v>4467</v>
      </c>
      <c r="F1122" s="22" t="s">
        <v>5074</v>
      </c>
      <c r="G1122" s="22" t="s">
        <v>861</v>
      </c>
      <c r="H1122" s="22" t="s">
        <v>5075</v>
      </c>
      <c r="I1122" s="23" t="s">
        <v>2564</v>
      </c>
      <c r="J1122" s="22" t="s">
        <v>670</v>
      </c>
      <c r="L1122" s="23">
        <v>16.5</v>
      </c>
      <c r="M1122" s="23">
        <v>8.5</v>
      </c>
      <c r="N1122" s="3">
        <f t="shared" si="540"/>
        <v>2.3141250000000002E-3</v>
      </c>
      <c r="O1122" s="4" t="e">
        <f>(C1122-(C1122*#REF!))-((C1122-(C1122*#REF!))*#REF!)</f>
        <v>#REF!</v>
      </c>
      <c r="P1122" s="7"/>
      <c r="Q1122" s="7"/>
      <c r="R1122" s="5">
        <f t="shared" si="541"/>
        <v>0</v>
      </c>
      <c r="S1122" s="4">
        <f t="shared" si="542"/>
        <v>0</v>
      </c>
      <c r="T1122" s="13">
        <f t="shared" si="546"/>
        <v>40.593000000000004</v>
      </c>
      <c r="U1122" s="13">
        <f t="shared" si="555"/>
        <v>20.296500000000002</v>
      </c>
      <c r="V1122" s="14">
        <f>U1122/C1122</f>
        <v>0.35000000000000003</v>
      </c>
      <c r="W1122" s="14"/>
      <c r="X1122" s="19">
        <f t="shared" si="543"/>
        <v>20.296500000000002</v>
      </c>
      <c r="Y1122" s="19">
        <f t="shared" si="544"/>
        <v>40.593000000000004</v>
      </c>
      <c r="Z1122" s="15" t="e">
        <f t="shared" si="538"/>
        <v>#DIV/0!</v>
      </c>
      <c r="AA1122" s="22" t="s">
        <v>5076</v>
      </c>
      <c r="AG1122" s="94" t="s">
        <v>817</v>
      </c>
      <c r="AH1122" s="89" t="str">
        <f>VLOOKUP(AG1122,Sheet1!$B$3:$D$36,2,FALSE)</f>
        <v>Kitchen &amp; Dining</v>
      </c>
      <c r="AI1122" s="89" t="s">
        <v>2077</v>
      </c>
      <c r="AJ1122" s="1" t="str">
        <f t="shared" si="547"/>
        <v>Tom with lid low</v>
      </c>
      <c r="AK1122" s="1" t="str">
        <f t="shared" si="548"/>
        <v>ø16,5 x h8,5</v>
      </c>
      <c r="AL1122" s="1" t="str">
        <f t="shared" si="549"/>
        <v>clear glass semi</v>
      </c>
      <c r="AM1122" s="1" t="str">
        <f t="shared" si="550"/>
        <v>clear glass semi</v>
      </c>
      <c r="AN1122" s="1" t="str">
        <f t="shared" si="539"/>
        <v>clear glass semi</v>
      </c>
      <c r="AQ1122" s="1" t="str">
        <f t="shared" si="551"/>
        <v>C</v>
      </c>
      <c r="AR1122" s="1" t="str">
        <f>VLOOKUP(TRIM(AI1122),Sheet1!$D$3:$E$36,2,FALSE)</f>
        <v>01</v>
      </c>
      <c r="AS1122" s="90" t="str">
        <f t="shared" si="552"/>
        <v>02</v>
      </c>
      <c r="AT1122" s="1" t="str">
        <f t="shared" si="553"/>
        <v>01</v>
      </c>
      <c r="AU1122" s="90" t="s">
        <v>2567</v>
      </c>
      <c r="AV1122" s="90"/>
      <c r="AW1122" s="90"/>
      <c r="AX1122" s="95" t="str">
        <f>AQ1122&amp;AR1122&amp;AS1122&amp;"-"&amp;AT1122&amp;AU1122&amp;BA1122</f>
        <v>C0102-0138</v>
      </c>
      <c r="AY1122" s="99" t="str">
        <f>AQ1122&amp;AR1122&amp;AS1122&amp;"-"&amp;AT1122&amp;BA1122</f>
        <v>C0102-01</v>
      </c>
      <c r="AZ1122" s="90"/>
      <c r="BA1122" s="1" t="str">
        <f t="shared" si="554"/>
        <v/>
      </c>
      <c r="BC1122" s="1" t="str">
        <f t="shared" si="536"/>
        <v/>
      </c>
      <c r="BD1122" s="90">
        <f t="shared" si="537"/>
        <v>2</v>
      </c>
      <c r="BE1122" s="1">
        <f t="shared" si="556"/>
        <v>1</v>
      </c>
      <c r="BF1122" s="1">
        <f t="shared" si="557"/>
        <v>1</v>
      </c>
    </row>
    <row r="1123" spans="1:58" ht="11.25" customHeight="1">
      <c r="A1123" s="26" t="s">
        <v>5077</v>
      </c>
      <c r="B1123" s="27" t="s">
        <v>5069</v>
      </c>
      <c r="C1123" s="28">
        <v>93.99</v>
      </c>
      <c r="D1123" s="28">
        <f t="shared" si="545"/>
        <v>46.994999999999997</v>
      </c>
      <c r="E1123" s="22" t="s">
        <v>4467</v>
      </c>
      <c r="F1123" s="22" t="s">
        <v>5078</v>
      </c>
      <c r="G1123" s="22" t="s">
        <v>861</v>
      </c>
      <c r="H1123" s="22" t="s">
        <v>5079</v>
      </c>
      <c r="I1123" s="23" t="s">
        <v>2564</v>
      </c>
      <c r="J1123" s="22" t="s">
        <v>670</v>
      </c>
      <c r="L1123" s="23">
        <v>29</v>
      </c>
      <c r="M1123" s="23">
        <v>8.5</v>
      </c>
      <c r="N1123" s="3">
        <f t="shared" si="540"/>
        <v>7.1485000000000003E-3</v>
      </c>
      <c r="O1123" s="4" t="e">
        <f>(C1123-(C1123*#REF!))-((C1123-(C1123*#REF!))*#REF!)</f>
        <v>#REF!</v>
      </c>
      <c r="P1123" s="7"/>
      <c r="Q1123" s="7"/>
      <c r="R1123" s="5">
        <f t="shared" si="541"/>
        <v>0</v>
      </c>
      <c r="S1123" s="4">
        <f t="shared" si="542"/>
        <v>0</v>
      </c>
      <c r="T1123" s="13">
        <f t="shared" si="546"/>
        <v>65.792999999999992</v>
      </c>
      <c r="U1123" s="13">
        <f t="shared" si="555"/>
        <v>32.896499999999996</v>
      </c>
      <c r="V1123" s="14">
        <f>U1123/C1123</f>
        <v>0.35</v>
      </c>
      <c r="W1123" s="14"/>
      <c r="X1123" s="19">
        <f t="shared" si="543"/>
        <v>32.896499999999996</v>
      </c>
      <c r="Y1123" s="19">
        <f t="shared" si="544"/>
        <v>65.792999999999992</v>
      </c>
      <c r="Z1123" s="15" t="e">
        <f t="shared" si="538"/>
        <v>#DIV/0!</v>
      </c>
      <c r="AA1123" s="22" t="s">
        <v>5080</v>
      </c>
      <c r="AG1123" s="94" t="s">
        <v>817</v>
      </c>
      <c r="AH1123" s="89" t="str">
        <f>VLOOKUP(AG1123,Sheet1!$B$3:$D$36,2,FALSE)</f>
        <v>Kitchen &amp; Dining</v>
      </c>
      <c r="AI1123" s="89" t="s">
        <v>2077</v>
      </c>
      <c r="AJ1123" s="1" t="str">
        <f t="shared" si="547"/>
        <v>Tom with lid low</v>
      </c>
      <c r="AK1123" s="1" t="str">
        <f t="shared" si="548"/>
        <v>ø29 x h8,5</v>
      </c>
      <c r="AL1123" s="1" t="str">
        <f t="shared" si="549"/>
        <v>clear glass semi</v>
      </c>
      <c r="AM1123" s="1" t="str">
        <f t="shared" si="550"/>
        <v>clear glass semi</v>
      </c>
      <c r="AN1123" s="1" t="str">
        <f t="shared" si="539"/>
        <v>clear glass semi</v>
      </c>
      <c r="AQ1123" s="1" t="str">
        <f t="shared" si="551"/>
        <v>C</v>
      </c>
      <c r="AR1123" s="1" t="str">
        <f>VLOOKUP(TRIM(AI1123),Sheet1!$D$3:$E$36,2,FALSE)</f>
        <v>01</v>
      </c>
      <c r="AS1123" s="90" t="str">
        <f t="shared" si="552"/>
        <v>03</v>
      </c>
      <c r="AT1123" s="1" t="str">
        <f t="shared" si="553"/>
        <v>01</v>
      </c>
      <c r="AU1123" s="90" t="s">
        <v>2567</v>
      </c>
      <c r="AV1123" s="90"/>
      <c r="AW1123" s="90"/>
      <c r="AX1123" s="95" t="str">
        <f>AQ1123&amp;AR1123&amp;AS1123&amp;"-"&amp;AT1123&amp;AU1123&amp;BA1123</f>
        <v>C0103-0138</v>
      </c>
      <c r="AY1123" s="99" t="str">
        <f>AQ1123&amp;AR1123&amp;AS1123&amp;"-"&amp;AT1123&amp;BA1123</f>
        <v>C0103-01</v>
      </c>
      <c r="AZ1123" s="90"/>
      <c r="BA1123" s="1" t="str">
        <f t="shared" si="554"/>
        <v/>
      </c>
      <c r="BC1123" s="1" t="str">
        <f t="shared" si="536"/>
        <v/>
      </c>
      <c r="BD1123" s="90">
        <f t="shared" si="537"/>
        <v>3</v>
      </c>
      <c r="BE1123" s="1">
        <f t="shared" si="556"/>
        <v>1</v>
      </c>
      <c r="BF1123" s="1">
        <f t="shared" si="557"/>
        <v>1</v>
      </c>
    </row>
    <row r="1124" spans="1:58" ht="11.25" customHeight="1">
      <c r="A1124" s="26" t="s">
        <v>5081</v>
      </c>
      <c r="B1124" s="27" t="s">
        <v>5082</v>
      </c>
      <c r="C1124" s="28">
        <v>58.99</v>
      </c>
      <c r="D1124" s="28">
        <f t="shared" si="545"/>
        <v>29.495000000000001</v>
      </c>
      <c r="E1124" s="22" t="s">
        <v>4467</v>
      </c>
      <c r="F1124" s="22" t="s">
        <v>5083</v>
      </c>
      <c r="G1124" s="22" t="s">
        <v>855</v>
      </c>
      <c r="H1124" s="22" t="s">
        <v>5084</v>
      </c>
      <c r="I1124" s="23" t="s">
        <v>2564</v>
      </c>
      <c r="J1124" s="22" t="s">
        <v>670</v>
      </c>
      <c r="L1124" s="23">
        <v>15</v>
      </c>
      <c r="M1124" s="23">
        <v>15</v>
      </c>
      <c r="N1124" s="3">
        <f t="shared" si="540"/>
        <v>3.375E-3</v>
      </c>
      <c r="O1124" s="4" t="e">
        <f>(C1124-(C1124*#REF!))-((C1124-(C1124*#REF!))*#REF!)</f>
        <v>#REF!</v>
      </c>
      <c r="P1124" s="7"/>
      <c r="Q1124" s="7"/>
      <c r="R1124" s="5">
        <f t="shared" si="541"/>
        <v>0</v>
      </c>
      <c r="S1124" s="4">
        <f t="shared" si="542"/>
        <v>0</v>
      </c>
      <c r="T1124" s="13">
        <f t="shared" si="546"/>
        <v>41.293000000000006</v>
      </c>
      <c r="U1124" s="13">
        <f t="shared" si="555"/>
        <v>20.646500000000003</v>
      </c>
      <c r="V1124" s="14">
        <f>U1124/C1124</f>
        <v>0.35000000000000003</v>
      </c>
      <c r="W1124" s="14"/>
      <c r="X1124" s="19">
        <f t="shared" si="543"/>
        <v>20.646500000000003</v>
      </c>
      <c r="Y1124" s="19">
        <f t="shared" si="544"/>
        <v>41.293000000000006</v>
      </c>
      <c r="Z1124" s="15" t="e">
        <f t="shared" si="538"/>
        <v>#DIV/0!</v>
      </c>
      <c r="AA1124" s="22" t="s">
        <v>5085</v>
      </c>
      <c r="AG1124" s="94" t="s">
        <v>817</v>
      </c>
      <c r="AH1124" s="89" t="str">
        <f>VLOOKUP(AG1124,Sheet1!$B$3:$D$36,2,FALSE)</f>
        <v>Kitchen &amp; Dining</v>
      </c>
      <c r="AI1124" s="89" t="s">
        <v>2077</v>
      </c>
      <c r="AJ1124" s="1" t="str">
        <f t="shared" si="547"/>
        <v>Tom with lid high</v>
      </c>
      <c r="AK1124" s="1" t="str">
        <f t="shared" si="548"/>
        <v>ø15 x H15</v>
      </c>
      <c r="AL1124" s="1" t="str">
        <f t="shared" si="549"/>
        <v>clear glass semi</v>
      </c>
      <c r="AM1124" s="1" t="str">
        <f t="shared" si="550"/>
        <v>clear glass semi</v>
      </c>
      <c r="AN1124" s="1" t="str">
        <f t="shared" si="539"/>
        <v>clear glass semi</v>
      </c>
      <c r="AQ1124" s="1" t="str">
        <f t="shared" si="551"/>
        <v>C</v>
      </c>
      <c r="AR1124" s="1" t="str">
        <f>VLOOKUP(TRIM(AI1124),Sheet1!$D$3:$E$36,2,FALSE)</f>
        <v>01</v>
      </c>
      <c r="AS1124" s="90" t="str">
        <f t="shared" si="552"/>
        <v>01</v>
      </c>
      <c r="AT1124" s="1" t="str">
        <f t="shared" si="553"/>
        <v>01</v>
      </c>
      <c r="AU1124" s="90" t="s">
        <v>2567</v>
      </c>
      <c r="AV1124" s="90"/>
      <c r="AW1124" s="90"/>
      <c r="AX1124" s="95" t="str">
        <f>AQ1124&amp;AR1124&amp;AS1124&amp;"-"&amp;AT1124&amp;AU1124&amp;BA1124</f>
        <v>C0101-0138</v>
      </c>
      <c r="AY1124" s="99" t="str">
        <f>AQ1124&amp;AR1124&amp;AS1124&amp;"-"&amp;AT1124&amp;BA1124</f>
        <v>C0101-01</v>
      </c>
      <c r="AZ1124" s="90"/>
      <c r="BA1124" s="1" t="str">
        <f t="shared" si="554"/>
        <v/>
      </c>
      <c r="BC1124" s="1">
        <f t="shared" si="536"/>
        <v>1</v>
      </c>
      <c r="BD1124" s="90">
        <f t="shared" si="537"/>
        <v>1</v>
      </c>
      <c r="BE1124" s="1">
        <f t="shared" si="556"/>
        <v>1</v>
      </c>
      <c r="BF1124" s="1">
        <f t="shared" si="557"/>
        <v>1</v>
      </c>
    </row>
    <row r="1125" spans="1:58" ht="11.25" customHeight="1">
      <c r="A1125" s="26" t="s">
        <v>5086</v>
      </c>
      <c r="B1125" s="27" t="s">
        <v>5082</v>
      </c>
      <c r="C1125" s="28">
        <v>64.989999999999995</v>
      </c>
      <c r="D1125" s="28">
        <f t="shared" si="545"/>
        <v>32.494999999999997</v>
      </c>
      <c r="E1125" s="22" t="s">
        <v>4467</v>
      </c>
      <c r="F1125" s="22" t="s">
        <v>5087</v>
      </c>
      <c r="G1125" s="22" t="s">
        <v>855</v>
      </c>
      <c r="H1125" s="22" t="s">
        <v>5088</v>
      </c>
      <c r="I1125" s="23" t="s">
        <v>2564</v>
      </c>
      <c r="J1125" s="22" t="s">
        <v>670</v>
      </c>
      <c r="L1125" s="23">
        <v>15</v>
      </c>
      <c r="M1125" s="23">
        <v>19</v>
      </c>
      <c r="N1125" s="3">
        <f t="shared" si="540"/>
        <v>4.2750000000000002E-3</v>
      </c>
      <c r="O1125" s="4" t="e">
        <f>(C1125-(C1125*#REF!))-((C1125-(C1125*#REF!))*#REF!)</f>
        <v>#REF!</v>
      </c>
      <c r="P1125" s="7"/>
      <c r="Q1125" s="7"/>
      <c r="R1125" s="5">
        <f t="shared" si="541"/>
        <v>0</v>
      </c>
      <c r="S1125" s="4">
        <f t="shared" si="542"/>
        <v>0</v>
      </c>
      <c r="T1125" s="13">
        <f t="shared" si="546"/>
        <v>45.492999999999995</v>
      </c>
      <c r="U1125" s="13">
        <f t="shared" si="555"/>
        <v>22.746499999999997</v>
      </c>
      <c r="V1125" s="14">
        <f>U1125/C1125</f>
        <v>0.35</v>
      </c>
      <c r="W1125" s="14"/>
      <c r="X1125" s="19">
        <f t="shared" si="543"/>
        <v>22.746499999999997</v>
      </c>
      <c r="Y1125" s="19">
        <f t="shared" si="544"/>
        <v>45.492999999999995</v>
      </c>
      <c r="Z1125" s="15" t="e">
        <f t="shared" si="538"/>
        <v>#DIV/0!</v>
      </c>
      <c r="AA1125" s="22" t="s">
        <v>5085</v>
      </c>
      <c r="AG1125" s="94" t="s">
        <v>817</v>
      </c>
      <c r="AH1125" s="89" t="str">
        <f>VLOOKUP(AG1125,Sheet1!$B$3:$D$36,2,FALSE)</f>
        <v>Kitchen &amp; Dining</v>
      </c>
      <c r="AI1125" s="89" t="s">
        <v>2077</v>
      </c>
      <c r="AJ1125" s="1" t="str">
        <f t="shared" si="547"/>
        <v>Tom with lid high</v>
      </c>
      <c r="AK1125" s="1" t="str">
        <f t="shared" si="548"/>
        <v>ø15 x h19</v>
      </c>
      <c r="AL1125" s="1" t="str">
        <f t="shared" si="549"/>
        <v>clear glass semi</v>
      </c>
      <c r="AM1125" s="1" t="str">
        <f t="shared" si="550"/>
        <v>clear glass semi</v>
      </c>
      <c r="AN1125" s="1" t="str">
        <f t="shared" si="539"/>
        <v>clear glass semi</v>
      </c>
      <c r="AQ1125" s="1" t="str">
        <f t="shared" si="551"/>
        <v>C</v>
      </c>
      <c r="AR1125" s="1" t="str">
        <f>VLOOKUP(TRIM(AI1125),Sheet1!$D$3:$E$36,2,FALSE)</f>
        <v>01</v>
      </c>
      <c r="AS1125" s="90" t="str">
        <f t="shared" si="552"/>
        <v>02</v>
      </c>
      <c r="AT1125" s="1" t="str">
        <f t="shared" si="553"/>
        <v>01</v>
      </c>
      <c r="AU1125" s="90" t="s">
        <v>2567</v>
      </c>
      <c r="AV1125" s="90"/>
      <c r="AW1125" s="90"/>
      <c r="AX1125" s="95" t="str">
        <f>AQ1125&amp;AR1125&amp;AS1125&amp;"-"&amp;AT1125&amp;AU1125&amp;BA1125</f>
        <v>C0102-0138</v>
      </c>
      <c r="AY1125" s="99" t="str">
        <f>AQ1125&amp;AR1125&amp;AS1125&amp;"-"&amp;AT1125&amp;BA1125</f>
        <v>C0102-01</v>
      </c>
      <c r="AZ1125" s="90"/>
      <c r="BA1125" s="1" t="str">
        <f t="shared" si="554"/>
        <v/>
      </c>
      <c r="BC1125" s="1" t="str">
        <f t="shared" si="536"/>
        <v/>
      </c>
      <c r="BD1125" s="90">
        <f t="shared" si="537"/>
        <v>2</v>
      </c>
      <c r="BE1125" s="1">
        <f t="shared" si="556"/>
        <v>1</v>
      </c>
      <c r="BF1125" s="1">
        <f t="shared" si="557"/>
        <v>1</v>
      </c>
    </row>
    <row r="1126" spans="1:58" ht="11.25" customHeight="1">
      <c r="A1126" s="26" t="s">
        <v>5089</v>
      </c>
      <c r="B1126" s="27" t="s">
        <v>5082</v>
      </c>
      <c r="C1126" s="28">
        <v>82.99</v>
      </c>
      <c r="D1126" s="28">
        <f t="shared" si="545"/>
        <v>41.494999999999997</v>
      </c>
      <c r="E1126" s="22" t="s">
        <v>4467</v>
      </c>
      <c r="F1126" s="22" t="s">
        <v>5090</v>
      </c>
      <c r="G1126" s="22" t="s">
        <v>855</v>
      </c>
      <c r="H1126" s="22" t="s">
        <v>5091</v>
      </c>
      <c r="I1126" s="23" t="s">
        <v>2564</v>
      </c>
      <c r="J1126" s="22" t="s">
        <v>670</v>
      </c>
      <c r="L1126" s="23">
        <v>15</v>
      </c>
      <c r="M1126" s="23">
        <v>25</v>
      </c>
      <c r="N1126" s="3">
        <f t="shared" si="540"/>
        <v>5.6249999999999998E-3</v>
      </c>
      <c r="O1126" s="4" t="e">
        <f>(C1126-(C1126*#REF!))-((C1126-(C1126*#REF!))*#REF!)</f>
        <v>#REF!</v>
      </c>
      <c r="P1126" s="7"/>
      <c r="Q1126" s="7"/>
      <c r="R1126" s="5">
        <f t="shared" si="541"/>
        <v>0</v>
      </c>
      <c r="S1126" s="4">
        <f t="shared" si="542"/>
        <v>0</v>
      </c>
      <c r="T1126" s="13">
        <f t="shared" si="546"/>
        <v>58.092999999999996</v>
      </c>
      <c r="U1126" s="13">
        <f t="shared" si="555"/>
        <v>29.046499999999998</v>
      </c>
      <c r="V1126" s="14">
        <f>U1126/C1126</f>
        <v>0.35</v>
      </c>
      <c r="W1126" s="14"/>
      <c r="X1126" s="19">
        <f t="shared" si="543"/>
        <v>29.046499999999998</v>
      </c>
      <c r="Y1126" s="19">
        <f t="shared" si="544"/>
        <v>58.092999999999996</v>
      </c>
      <c r="Z1126" s="15" t="e">
        <f t="shared" si="538"/>
        <v>#DIV/0!</v>
      </c>
      <c r="AA1126" s="22" t="s">
        <v>5092</v>
      </c>
      <c r="AG1126" s="94" t="s">
        <v>817</v>
      </c>
      <c r="AH1126" s="89" t="str">
        <f>VLOOKUP(AG1126,Sheet1!$B$3:$D$36,2,FALSE)</f>
        <v>Kitchen &amp; Dining</v>
      </c>
      <c r="AI1126" s="89" t="s">
        <v>2077</v>
      </c>
      <c r="AJ1126" s="1" t="str">
        <f t="shared" si="547"/>
        <v>Tom with lid high</v>
      </c>
      <c r="AK1126" s="1" t="str">
        <f t="shared" si="548"/>
        <v>ø15 x h25</v>
      </c>
      <c r="AL1126" s="1" t="str">
        <f t="shared" si="549"/>
        <v>clear glass semi</v>
      </c>
      <c r="AM1126" s="1" t="str">
        <f t="shared" si="550"/>
        <v>clear glass semi</v>
      </c>
      <c r="AN1126" s="1" t="str">
        <f t="shared" si="539"/>
        <v>clear glass semi</v>
      </c>
      <c r="AQ1126" s="1" t="str">
        <f t="shared" si="551"/>
        <v>C</v>
      </c>
      <c r="AR1126" s="1" t="str">
        <f>VLOOKUP(TRIM(AI1126),Sheet1!$D$3:$E$36,2,FALSE)</f>
        <v>01</v>
      </c>
      <c r="AS1126" s="90" t="str">
        <f t="shared" si="552"/>
        <v>03</v>
      </c>
      <c r="AT1126" s="1" t="str">
        <f t="shared" si="553"/>
        <v>01</v>
      </c>
      <c r="AU1126" s="90" t="s">
        <v>2567</v>
      </c>
      <c r="AV1126" s="90"/>
      <c r="AW1126" s="90"/>
      <c r="AX1126" s="95" t="str">
        <f>AQ1126&amp;AR1126&amp;AS1126&amp;"-"&amp;AT1126&amp;AU1126&amp;BA1126</f>
        <v>C0103-0138</v>
      </c>
      <c r="AY1126" s="99" t="str">
        <f>AQ1126&amp;AR1126&amp;AS1126&amp;"-"&amp;AT1126&amp;BA1126</f>
        <v>C0103-01</v>
      </c>
      <c r="AZ1126" s="90"/>
      <c r="BA1126" s="1" t="str">
        <f t="shared" si="554"/>
        <v/>
      </c>
      <c r="BC1126" s="1" t="str">
        <f t="shared" si="536"/>
        <v/>
      </c>
      <c r="BD1126" s="90">
        <f t="shared" si="537"/>
        <v>3</v>
      </c>
      <c r="BE1126" s="1">
        <f t="shared" si="556"/>
        <v>1</v>
      </c>
      <c r="BF1126" s="1">
        <f t="shared" si="557"/>
        <v>1</v>
      </c>
    </row>
    <row r="1127" spans="1:58" ht="11.25" customHeight="1">
      <c r="A1127" s="26" t="s">
        <v>5093</v>
      </c>
      <c r="B1127" s="27" t="s">
        <v>5082</v>
      </c>
      <c r="C1127" s="28">
        <v>83.99</v>
      </c>
      <c r="D1127" s="28">
        <f t="shared" si="545"/>
        <v>41.994999999999997</v>
      </c>
      <c r="E1127" s="22" t="s">
        <v>4467</v>
      </c>
      <c r="F1127" s="22" t="s">
        <v>5094</v>
      </c>
      <c r="G1127" s="22" t="s">
        <v>855</v>
      </c>
      <c r="H1127" s="22" t="s">
        <v>5095</v>
      </c>
      <c r="I1127" s="23" t="s">
        <v>2564</v>
      </c>
      <c r="J1127" s="22" t="s">
        <v>670</v>
      </c>
      <c r="L1127" s="23">
        <v>15</v>
      </c>
      <c r="M1127" s="23">
        <v>29</v>
      </c>
      <c r="N1127" s="3">
        <f t="shared" si="540"/>
        <v>6.5250000000000004E-3</v>
      </c>
      <c r="O1127" s="4" t="e">
        <f>(C1127-(C1127*#REF!))-((C1127-(C1127*#REF!))*#REF!)</f>
        <v>#REF!</v>
      </c>
      <c r="P1127" s="7"/>
      <c r="Q1127" s="7"/>
      <c r="R1127" s="5">
        <f t="shared" si="541"/>
        <v>0</v>
      </c>
      <c r="S1127" s="4">
        <f t="shared" si="542"/>
        <v>0</v>
      </c>
      <c r="T1127" s="13">
        <f t="shared" si="546"/>
        <v>58.792999999999992</v>
      </c>
      <c r="U1127" s="13">
        <f t="shared" si="555"/>
        <v>29.396499999999996</v>
      </c>
      <c r="V1127" s="14">
        <f>U1127/C1127</f>
        <v>0.35</v>
      </c>
      <c r="W1127" s="14"/>
      <c r="X1127" s="19">
        <f t="shared" si="543"/>
        <v>29.396499999999996</v>
      </c>
      <c r="Y1127" s="19">
        <f t="shared" si="544"/>
        <v>58.792999999999992</v>
      </c>
      <c r="Z1127" s="15" t="e">
        <f t="shared" si="538"/>
        <v>#DIV/0!</v>
      </c>
      <c r="AA1127" s="22" t="s">
        <v>5096</v>
      </c>
      <c r="AG1127" s="94" t="s">
        <v>817</v>
      </c>
      <c r="AH1127" s="89" t="str">
        <f>VLOOKUP(AG1127,Sheet1!$B$3:$D$36,2,FALSE)</f>
        <v>Kitchen &amp; Dining</v>
      </c>
      <c r="AI1127" s="89" t="s">
        <v>2077</v>
      </c>
      <c r="AJ1127" s="1" t="str">
        <f t="shared" si="547"/>
        <v>Tom with lid high</v>
      </c>
      <c r="AK1127" s="1" t="str">
        <f t="shared" si="548"/>
        <v>ø15 x h29</v>
      </c>
      <c r="AL1127" s="1" t="str">
        <f t="shared" si="549"/>
        <v>clear glass semi</v>
      </c>
      <c r="AM1127" s="1" t="str">
        <f t="shared" si="550"/>
        <v>clear glass semi</v>
      </c>
      <c r="AN1127" s="1" t="str">
        <f t="shared" si="539"/>
        <v>clear glass semi</v>
      </c>
      <c r="AQ1127" s="1" t="str">
        <f t="shared" si="551"/>
        <v>C</v>
      </c>
      <c r="AR1127" s="1" t="str">
        <f>VLOOKUP(TRIM(AI1127),Sheet1!$D$3:$E$36,2,FALSE)</f>
        <v>01</v>
      </c>
      <c r="AS1127" s="90" t="str">
        <f t="shared" si="552"/>
        <v>04</v>
      </c>
      <c r="AT1127" s="1" t="str">
        <f t="shared" si="553"/>
        <v>01</v>
      </c>
      <c r="AU1127" s="90" t="s">
        <v>2567</v>
      </c>
      <c r="AV1127" s="90"/>
      <c r="AW1127" s="90"/>
      <c r="AX1127" s="95" t="str">
        <f>AQ1127&amp;AR1127&amp;AS1127&amp;"-"&amp;AT1127&amp;AU1127&amp;BA1127</f>
        <v>C0104-0138</v>
      </c>
      <c r="AY1127" s="99" t="str">
        <f>AQ1127&amp;AR1127&amp;AS1127&amp;"-"&amp;AT1127&amp;BA1127</f>
        <v>C0104-01</v>
      </c>
      <c r="AZ1127" s="90"/>
      <c r="BA1127" s="1" t="str">
        <f t="shared" si="554"/>
        <v/>
      </c>
      <c r="BC1127" s="1" t="str">
        <f t="shared" si="536"/>
        <v/>
      </c>
      <c r="BD1127" s="90">
        <f t="shared" si="537"/>
        <v>4</v>
      </c>
      <c r="BE1127" s="1">
        <f t="shared" si="556"/>
        <v>1</v>
      </c>
      <c r="BF1127" s="1">
        <f t="shared" si="557"/>
        <v>1</v>
      </c>
    </row>
    <row r="1128" spans="1:58" s="63" customFormat="1" ht="15.75">
      <c r="A1128" s="33" t="s">
        <v>5097</v>
      </c>
      <c r="B1128" s="34"/>
      <c r="C1128" s="35"/>
      <c r="D1128" s="28"/>
      <c r="E1128" s="39"/>
      <c r="F1128" s="40"/>
      <c r="G1128" s="39"/>
      <c r="H1128" s="39"/>
      <c r="I1128" s="41"/>
      <c r="J1128" s="39"/>
      <c r="K1128" s="41"/>
      <c r="L1128" s="41"/>
      <c r="M1128" s="41"/>
      <c r="N1128" s="48"/>
      <c r="O1128" s="48"/>
      <c r="P1128" s="49"/>
      <c r="Q1128" s="49"/>
      <c r="R1128" s="50"/>
      <c r="S1128" s="48"/>
      <c r="T1128" s="13"/>
      <c r="U1128" s="13"/>
      <c r="V1128" s="14"/>
      <c r="W1128" s="14"/>
      <c r="X1128" s="60"/>
      <c r="Y1128" s="60"/>
      <c r="Z1128" s="15"/>
      <c r="AA1128" s="39"/>
      <c r="AG1128" s="93"/>
      <c r="AH1128" s="89"/>
      <c r="AI1128" s="89"/>
      <c r="AJ1128" s="1"/>
      <c r="AK1128" s="1"/>
      <c r="AL1128" s="1"/>
      <c r="AM1128" s="1"/>
      <c r="AQ1128" s="1"/>
      <c r="AR1128" s="1"/>
      <c r="AS1128" s="90"/>
      <c r="AT1128" s="1"/>
      <c r="AU1128" s="90"/>
      <c r="AV1128" s="90"/>
      <c r="AW1128" s="90"/>
      <c r="AX1128" s="95"/>
      <c r="AY1128" s="99" t="str">
        <f>AQ1128&amp;AR1128&amp;AS1128&amp;"-"&amp;AT1128&amp;BA1128</f>
        <v>-</v>
      </c>
      <c r="AZ1128" s="90"/>
      <c r="BA1128" s="1"/>
      <c r="BC1128" s="1"/>
      <c r="BD1128" s="90"/>
      <c r="BE1128" s="1"/>
      <c r="BF1128" s="1"/>
    </row>
    <row r="1129" spans="1:58" ht="11.25" customHeight="1">
      <c r="A1129" s="26" t="s">
        <v>5098</v>
      </c>
      <c r="B1129" s="27" t="s">
        <v>5099</v>
      </c>
      <c r="D1129" s="28">
        <f t="shared" si="545"/>
        <v>0</v>
      </c>
      <c r="E1129" s="22" t="s">
        <v>5100</v>
      </c>
      <c r="F1129" s="22" t="s">
        <v>5101</v>
      </c>
      <c r="G1129" s="22" t="s">
        <v>5102</v>
      </c>
      <c r="H1129" s="22" t="s">
        <v>5103</v>
      </c>
      <c r="I1129" s="23" t="s">
        <v>5104</v>
      </c>
      <c r="J1129" s="22" t="s">
        <v>670</v>
      </c>
      <c r="L1129" s="23">
        <v>3</v>
      </c>
      <c r="M1129" s="23">
        <v>12</v>
      </c>
      <c r="N1129" s="3">
        <f t="shared" ref="N1129:N1152" si="558">(IF(ISBLANK(K1129),(L1129*L1129*M1129),(K1129*L1129*M1129)))/1000000</f>
        <v>1.08E-4</v>
      </c>
      <c r="O1129" s="4" t="e">
        <f>(C1129-(C1129*#REF!))-((C1129-(C1129*#REF!))*#REF!)</f>
        <v>#REF!</v>
      </c>
      <c r="P1129" s="7"/>
      <c r="Q1129" s="7"/>
      <c r="R1129" s="5">
        <f t="shared" ref="R1129:R1152" si="559">P1129+Q1129</f>
        <v>0</v>
      </c>
      <c r="S1129" s="4">
        <f t="shared" ref="S1129:S1152" si="560">R1129/15000</f>
        <v>0</v>
      </c>
      <c r="T1129" s="13">
        <f t="shared" si="546"/>
        <v>0</v>
      </c>
      <c r="U1129" s="13">
        <f t="shared" si="555"/>
        <v>0</v>
      </c>
      <c r="V1129" s="14" t="e">
        <f>U1129/C1129</f>
        <v>#DIV/0!</v>
      </c>
      <c r="W1129" s="14"/>
      <c r="X1129" s="19">
        <f t="shared" ref="X1129:X1152" si="561">IF(ISBLANK(W1129),U1129, W1129)</f>
        <v>0</v>
      </c>
      <c r="Y1129" s="19">
        <f t="shared" ref="Y1129:Y1152" si="562">X1129*2</f>
        <v>0</v>
      </c>
      <c r="Z1129" s="15" t="e">
        <f t="shared" si="538"/>
        <v>#DIV/0!</v>
      </c>
      <c r="AA1129" s="22" t="s">
        <v>5105</v>
      </c>
      <c r="AG1129" s="94" t="s">
        <v>817</v>
      </c>
      <c r="AH1129" s="89" t="str">
        <f>VLOOKUP(AG1129,Sheet1!$B$3:$D$36,2,FALSE)</f>
        <v>Kitchen &amp; Dining</v>
      </c>
      <c r="AI1129" s="89" t="s">
        <v>5106</v>
      </c>
      <c r="AJ1129" s="1" t="str">
        <f t="shared" si="547"/>
        <v>Hena stick wood</v>
      </c>
      <c r="AK1129" s="1" t="str">
        <f t="shared" si="548"/>
        <v>ø3 x h12</v>
      </c>
      <c r="AL1129" s="1" t="str">
        <f t="shared" si="549"/>
        <v>teak root
indoor</v>
      </c>
      <c r="AM1129" s="1" t="str">
        <f t="shared" si="550"/>
        <v>teak root
indoor</v>
      </c>
      <c r="AN1129" s="1" t="str">
        <f t="shared" ref="AN1129:AN1138" si="563">SUBSTITUTE(AL1129,"indoor","")</f>
        <v xml:space="preserve">teak root
</v>
      </c>
      <c r="AO1129" s="1" t="s">
        <v>54</v>
      </c>
      <c r="AQ1129" s="1" t="str">
        <f t="shared" si="551"/>
        <v>C</v>
      </c>
      <c r="AR1129" s="1" t="str">
        <f>VLOOKUP(TRIM(AI1129),Sheet1!$D$3:$E$36,2,FALSE)</f>
        <v>02</v>
      </c>
      <c r="AS1129" s="90" t="str">
        <f t="shared" si="552"/>
        <v>01</v>
      </c>
      <c r="AT1129" s="1" t="str">
        <f t="shared" si="553"/>
        <v>01</v>
      </c>
      <c r="AU1129" s="90" t="s">
        <v>648</v>
      </c>
      <c r="AV1129" s="90"/>
      <c r="AW1129" s="90"/>
      <c r="AX1129" s="95" t="str">
        <f>AQ1129&amp;AR1129&amp;AS1129&amp;"-"&amp;AT1129&amp;AU1129&amp;BA1129</f>
        <v>C0201-0132IND</v>
      </c>
      <c r="AY1129" s="99" t="str">
        <f>AQ1129&amp;AR1129&amp;AS1129&amp;"-"&amp;AT1129&amp;BA1129</f>
        <v>C0201-01IND</v>
      </c>
      <c r="AZ1129" s="90"/>
      <c r="BA1129" s="1" t="str">
        <f t="shared" si="554"/>
        <v>IND</v>
      </c>
      <c r="BC1129" s="1">
        <f t="shared" ref="BC1129:BC1152" si="564">IF(AJ1128&lt;&gt;AJ1129,1,"")</f>
        <v>1</v>
      </c>
      <c r="BD1129" s="90">
        <f t="shared" ref="BD1129:BD1152" si="565">IF(BC1129=1,1,BD1128+1)</f>
        <v>1</v>
      </c>
      <c r="BE1129" s="1">
        <f t="shared" si="556"/>
        <v>1</v>
      </c>
      <c r="BF1129" s="1">
        <f t="shared" si="557"/>
        <v>1</v>
      </c>
    </row>
    <row r="1130" spans="1:58" ht="11.25" customHeight="1">
      <c r="A1130" s="26" t="s">
        <v>5107</v>
      </c>
      <c r="B1130" s="27" t="s">
        <v>5108</v>
      </c>
      <c r="C1130" s="28">
        <v>4.99</v>
      </c>
      <c r="D1130" s="28">
        <f t="shared" si="545"/>
        <v>2.4950000000000001</v>
      </c>
      <c r="E1130" s="22" t="s">
        <v>5100</v>
      </c>
      <c r="F1130" s="22" t="s">
        <v>5109</v>
      </c>
      <c r="G1130" s="22" t="s">
        <v>5110</v>
      </c>
      <c r="H1130" s="22" t="s">
        <v>5111</v>
      </c>
      <c r="I1130" s="23" t="s">
        <v>2407</v>
      </c>
      <c r="J1130" s="22" t="s">
        <v>670</v>
      </c>
      <c r="L1130" s="23">
        <v>3.5</v>
      </c>
      <c r="M1130" s="23">
        <v>15.5</v>
      </c>
      <c r="N1130" s="3">
        <f t="shared" si="558"/>
        <v>1.8987499999999999E-4</v>
      </c>
      <c r="O1130" s="4" t="e">
        <f>(C1130-(C1130*#REF!))-((C1130-(C1130*#REF!))*#REF!)</f>
        <v>#REF!</v>
      </c>
      <c r="P1130" s="7"/>
      <c r="Q1130" s="7"/>
      <c r="R1130" s="5">
        <f t="shared" si="559"/>
        <v>0</v>
      </c>
      <c r="S1130" s="4">
        <f t="shared" si="560"/>
        <v>0</v>
      </c>
      <c r="T1130" s="13">
        <f t="shared" si="546"/>
        <v>3.4930000000000003</v>
      </c>
      <c r="U1130" s="13">
        <f t="shared" si="555"/>
        <v>1.7465000000000002</v>
      </c>
      <c r="V1130" s="14">
        <f>U1130/C1130</f>
        <v>0.35000000000000003</v>
      </c>
      <c r="W1130" s="14"/>
      <c r="X1130" s="19">
        <f t="shared" si="561"/>
        <v>1.7465000000000002</v>
      </c>
      <c r="Y1130" s="19">
        <f t="shared" si="562"/>
        <v>3.4930000000000003</v>
      </c>
      <c r="Z1130" s="15" t="e">
        <f t="shared" si="538"/>
        <v>#DIV/0!</v>
      </c>
      <c r="AA1130" s="22" t="s">
        <v>5112</v>
      </c>
      <c r="AG1130" s="94" t="s">
        <v>817</v>
      </c>
      <c r="AH1130" s="89" t="str">
        <f>VLOOKUP(AG1130,Sheet1!$B$3:$D$36,2,FALSE)</f>
        <v>Kitchen &amp; Dining</v>
      </c>
      <c r="AI1130" s="89" t="s">
        <v>5106</v>
      </c>
      <c r="AJ1130" s="1" t="str">
        <f t="shared" si="547"/>
        <v>Felix stick wood</v>
      </c>
      <c r="AK1130" s="1" t="str">
        <f t="shared" si="548"/>
        <v>ø3,5 x h15,5</v>
      </c>
      <c r="AL1130" s="1" t="str">
        <f t="shared" si="549"/>
        <v>teak root indoor</v>
      </c>
      <c r="AM1130" s="1" t="str">
        <f t="shared" si="550"/>
        <v>teak root indoor</v>
      </c>
      <c r="AN1130" s="1" t="str">
        <f t="shared" si="563"/>
        <v xml:space="preserve">teak root </v>
      </c>
      <c r="AO1130" s="1" t="s">
        <v>54</v>
      </c>
      <c r="AQ1130" s="1" t="str">
        <f t="shared" si="551"/>
        <v>C</v>
      </c>
      <c r="AR1130" s="1" t="str">
        <f>VLOOKUP(TRIM(AI1130),Sheet1!$D$3:$E$36,2,FALSE)</f>
        <v>02</v>
      </c>
      <c r="AS1130" s="90" t="str">
        <f t="shared" si="552"/>
        <v>01</v>
      </c>
      <c r="AT1130" s="1" t="str">
        <f t="shared" si="553"/>
        <v>01</v>
      </c>
      <c r="AU1130" s="90" t="s">
        <v>648</v>
      </c>
      <c r="AV1130" s="90"/>
      <c r="AW1130" s="90"/>
      <c r="AX1130" s="95" t="str">
        <f>AQ1130&amp;AR1130&amp;AS1130&amp;"-"&amp;AT1130&amp;AU1130&amp;BA1130</f>
        <v>C0201-0132IND</v>
      </c>
      <c r="AY1130" s="99" t="str">
        <f>AQ1130&amp;AR1130&amp;AS1130&amp;"-"&amp;AT1130&amp;BA1130</f>
        <v>C0201-01IND</v>
      </c>
      <c r="AZ1130" s="90"/>
      <c r="BA1130" s="1" t="str">
        <f t="shared" si="554"/>
        <v>IND</v>
      </c>
      <c r="BC1130" s="1">
        <f t="shared" si="564"/>
        <v>1</v>
      </c>
      <c r="BD1130" s="90">
        <f t="shared" si="565"/>
        <v>1</v>
      </c>
      <c r="BE1130" s="1">
        <f t="shared" si="556"/>
        <v>1</v>
      </c>
      <c r="BF1130" s="1">
        <f t="shared" si="557"/>
        <v>1</v>
      </c>
    </row>
    <row r="1131" spans="1:58" ht="11.25" customHeight="1">
      <c r="A1131" s="26" t="s">
        <v>5113</v>
      </c>
      <c r="B1131" s="27" t="s">
        <v>5114</v>
      </c>
      <c r="C1131" s="28">
        <v>23.99</v>
      </c>
      <c r="D1131" s="28">
        <f t="shared" si="545"/>
        <v>11.994999999999999</v>
      </c>
      <c r="E1131" s="22" t="s">
        <v>5100</v>
      </c>
      <c r="F1131" s="22" t="s">
        <v>5115</v>
      </c>
      <c r="G1131" s="22" t="s">
        <v>5116</v>
      </c>
      <c r="H1131" s="22" t="s">
        <v>5117</v>
      </c>
      <c r="I1131" s="23" t="s">
        <v>2407</v>
      </c>
      <c r="J1131" s="22" t="s">
        <v>646</v>
      </c>
      <c r="L1131" s="23">
        <v>17</v>
      </c>
      <c r="M1131" s="23">
        <v>10</v>
      </c>
      <c r="N1131" s="3">
        <f t="shared" si="558"/>
        <v>2.8900000000000002E-3</v>
      </c>
      <c r="O1131" s="4" t="e">
        <f>(C1131-(C1131*#REF!))-((C1131-(C1131*#REF!))*#REF!)</f>
        <v>#REF!</v>
      </c>
      <c r="P1131" s="7">
        <f>79737.0380267408-Q1131</f>
        <v>19237.038026740804</v>
      </c>
      <c r="Q1131" s="7">
        <v>60500</v>
      </c>
      <c r="R1131" s="5">
        <f t="shared" si="559"/>
        <v>79737.038026740804</v>
      </c>
      <c r="S1131" s="4">
        <f t="shared" si="560"/>
        <v>5.3158025351160534</v>
      </c>
      <c r="T1131" s="13">
        <f t="shared" si="546"/>
        <v>16.792999999999999</v>
      </c>
      <c r="U1131" s="13">
        <f t="shared" si="555"/>
        <v>8.3964999999999996</v>
      </c>
      <c r="V1131" s="14">
        <f>U1131/C1131</f>
        <v>0.35000000000000003</v>
      </c>
      <c r="W1131" s="18">
        <f>S1131*$W$1</f>
        <v>10.631605070232107</v>
      </c>
      <c r="X1131" s="19">
        <f t="shared" si="561"/>
        <v>10.631605070232107</v>
      </c>
      <c r="Y1131" s="19">
        <f t="shared" si="562"/>
        <v>21.263210140464214</v>
      </c>
      <c r="Z1131" s="15">
        <v>2</v>
      </c>
      <c r="AA1131" s="22" t="s">
        <v>5118</v>
      </c>
      <c r="AG1131" s="94" t="s">
        <v>817</v>
      </c>
      <c r="AH1131" s="89" t="str">
        <f>VLOOKUP(AG1131,Sheet1!$B$3:$D$36,2,FALSE)</f>
        <v>Kitchen &amp; Dining</v>
      </c>
      <c r="AI1131" s="89" t="s">
        <v>5106</v>
      </c>
      <c r="AJ1131" s="1" t="str">
        <f t="shared" si="547"/>
        <v>Tom mortar wood</v>
      </c>
      <c r="AK1131" s="1" t="str">
        <f t="shared" si="548"/>
        <v>ø17 x h10</v>
      </c>
      <c r="AL1131" s="1" t="str">
        <f t="shared" si="549"/>
        <v>teak root indoor</v>
      </c>
      <c r="AM1131" s="1" t="str">
        <f t="shared" si="550"/>
        <v>teak root indoor</v>
      </c>
      <c r="AN1131" s="1" t="str">
        <f t="shared" si="563"/>
        <v xml:space="preserve">teak root </v>
      </c>
      <c r="AO1131" s="1" t="s">
        <v>54</v>
      </c>
      <c r="AQ1131" s="1" t="str">
        <f t="shared" si="551"/>
        <v>C</v>
      </c>
      <c r="AR1131" s="1" t="str">
        <f>VLOOKUP(TRIM(AI1131),Sheet1!$D$3:$E$36,2,FALSE)</f>
        <v>02</v>
      </c>
      <c r="AS1131" s="90" t="str">
        <f t="shared" si="552"/>
        <v>01</v>
      </c>
      <c r="AT1131" s="1" t="str">
        <f t="shared" si="553"/>
        <v>01</v>
      </c>
      <c r="AU1131" s="90" t="s">
        <v>648</v>
      </c>
      <c r="AV1131" s="90"/>
      <c r="AW1131" s="90"/>
      <c r="AX1131" s="95" t="str">
        <f>AQ1131&amp;AR1131&amp;AS1131&amp;"-"&amp;AT1131&amp;AU1131&amp;BA1131</f>
        <v>C0201-0132IND</v>
      </c>
      <c r="AY1131" s="99" t="str">
        <f>AQ1131&amp;AR1131&amp;AS1131&amp;"-"&amp;AT1131&amp;BA1131</f>
        <v>C0201-01IND</v>
      </c>
      <c r="AZ1131" s="90"/>
      <c r="BA1131" s="1" t="str">
        <f t="shared" si="554"/>
        <v>IND</v>
      </c>
      <c r="BC1131" s="1">
        <f t="shared" si="564"/>
        <v>1</v>
      </c>
      <c r="BD1131" s="90">
        <f t="shared" si="565"/>
        <v>1</v>
      </c>
      <c r="BE1131" s="1">
        <f t="shared" si="556"/>
        <v>1</v>
      </c>
      <c r="BF1131" s="1">
        <f t="shared" si="557"/>
        <v>1</v>
      </c>
    </row>
    <row r="1132" spans="1:58" ht="11.25" customHeight="1">
      <c r="A1132" s="26" t="s">
        <v>5119</v>
      </c>
      <c r="B1132" s="27" t="s">
        <v>5120</v>
      </c>
      <c r="C1132" s="28">
        <v>15.99</v>
      </c>
      <c r="D1132" s="28">
        <f t="shared" si="545"/>
        <v>7.9950000000000001</v>
      </c>
      <c r="E1132" s="22" t="s">
        <v>5100</v>
      </c>
      <c r="F1132" s="22" t="s">
        <v>5121</v>
      </c>
      <c r="G1132" s="22" t="s">
        <v>5122</v>
      </c>
      <c r="H1132" s="22" t="s">
        <v>5123</v>
      </c>
      <c r="I1132" s="23" t="s">
        <v>2407</v>
      </c>
      <c r="J1132" s="22" t="s">
        <v>646</v>
      </c>
      <c r="L1132" s="23">
        <v>12</v>
      </c>
      <c r="M1132" s="23">
        <v>10</v>
      </c>
      <c r="N1132" s="3">
        <f t="shared" si="558"/>
        <v>1.4400000000000001E-3</v>
      </c>
      <c r="O1132" s="4" t="e">
        <f>(C1132-(C1132*#REF!))-((C1132-(C1132*#REF!))*#REF!)</f>
        <v>#REF!</v>
      </c>
      <c r="P1132" s="7">
        <f>Q1132*0.3</f>
        <v>13500</v>
      </c>
      <c r="Q1132" s="7">
        <v>45000</v>
      </c>
      <c r="R1132" s="5">
        <f t="shared" si="559"/>
        <v>58500</v>
      </c>
      <c r="S1132" s="4">
        <f t="shared" si="560"/>
        <v>3.9</v>
      </c>
      <c r="T1132" s="13">
        <f t="shared" si="546"/>
        <v>11.193000000000001</v>
      </c>
      <c r="U1132" s="13">
        <f t="shared" si="555"/>
        <v>5.5965000000000007</v>
      </c>
      <c r="V1132" s="14">
        <f>U1132/C1132</f>
        <v>0.35000000000000003</v>
      </c>
      <c r="W1132" s="18">
        <f>S1132*2</f>
        <v>7.8</v>
      </c>
      <c r="X1132" s="19">
        <f t="shared" si="561"/>
        <v>7.8</v>
      </c>
      <c r="Y1132" s="19">
        <f t="shared" si="562"/>
        <v>15.6</v>
      </c>
      <c r="Z1132" s="15">
        <v>2</v>
      </c>
      <c r="AA1132" s="22" t="s">
        <v>5124</v>
      </c>
      <c r="AG1132" s="94" t="s">
        <v>817</v>
      </c>
      <c r="AH1132" s="89" t="str">
        <f>VLOOKUP(AG1132,Sheet1!$B$3:$D$36,2,FALSE)</f>
        <v>Kitchen &amp; Dining</v>
      </c>
      <c r="AI1132" s="89" t="s">
        <v>5106</v>
      </c>
      <c r="AJ1132" s="1" t="str">
        <f t="shared" si="547"/>
        <v>Felix mortar wood</v>
      </c>
      <c r="AK1132" s="1" t="str">
        <f t="shared" si="548"/>
        <v>ø12 x h10</v>
      </c>
      <c r="AL1132" s="1" t="str">
        <f t="shared" si="549"/>
        <v>teak root indoor</v>
      </c>
      <c r="AM1132" s="1" t="str">
        <f t="shared" si="550"/>
        <v>teak root indoor</v>
      </c>
      <c r="AN1132" s="1" t="str">
        <f t="shared" si="563"/>
        <v xml:space="preserve">teak root </v>
      </c>
      <c r="AO1132" s="1" t="s">
        <v>54</v>
      </c>
      <c r="AQ1132" s="1" t="str">
        <f t="shared" si="551"/>
        <v>C</v>
      </c>
      <c r="AR1132" s="1" t="str">
        <f>VLOOKUP(TRIM(AI1132),Sheet1!$D$3:$E$36,2,FALSE)</f>
        <v>02</v>
      </c>
      <c r="AS1132" s="90" t="str">
        <f t="shared" si="552"/>
        <v>01</v>
      </c>
      <c r="AT1132" s="1" t="str">
        <f t="shared" si="553"/>
        <v>01</v>
      </c>
      <c r="AU1132" s="90" t="s">
        <v>648</v>
      </c>
      <c r="AV1132" s="90"/>
      <c r="AW1132" s="90"/>
      <c r="AX1132" s="95" t="str">
        <f>AQ1132&amp;AR1132&amp;AS1132&amp;"-"&amp;AT1132&amp;AU1132&amp;BA1132</f>
        <v>C0201-0132IND</v>
      </c>
      <c r="AY1132" s="99" t="str">
        <f>AQ1132&amp;AR1132&amp;AS1132&amp;"-"&amp;AT1132&amp;BA1132</f>
        <v>C0201-01IND</v>
      </c>
      <c r="AZ1132" s="90"/>
      <c r="BA1132" s="1" t="str">
        <f t="shared" si="554"/>
        <v>IND</v>
      </c>
      <c r="BC1132" s="1">
        <f t="shared" si="564"/>
        <v>1</v>
      </c>
      <c r="BD1132" s="90">
        <f t="shared" si="565"/>
        <v>1</v>
      </c>
      <c r="BE1132" s="1">
        <f t="shared" si="556"/>
        <v>1</v>
      </c>
      <c r="BF1132" s="1">
        <f t="shared" si="557"/>
        <v>1</v>
      </c>
    </row>
    <row r="1133" spans="1:58" ht="11.25" customHeight="1">
      <c r="A1133" s="26" t="s">
        <v>5125</v>
      </c>
      <c r="B1133" s="27" t="s">
        <v>5126</v>
      </c>
      <c r="C1133" s="28">
        <v>32.99</v>
      </c>
      <c r="D1133" s="28">
        <f t="shared" si="545"/>
        <v>16.495000000000001</v>
      </c>
      <c r="E1133" s="22" t="s">
        <v>5100</v>
      </c>
      <c r="F1133" s="22" t="s">
        <v>5127</v>
      </c>
      <c r="G1133" s="22" t="s">
        <v>5128</v>
      </c>
      <c r="H1133" s="22" t="s">
        <v>5117</v>
      </c>
      <c r="I1133" s="23" t="s">
        <v>2407</v>
      </c>
      <c r="J1133" s="22" t="s">
        <v>646</v>
      </c>
      <c r="L1133" s="23">
        <v>17</v>
      </c>
      <c r="M1133" s="23">
        <v>10</v>
      </c>
      <c r="N1133" s="3">
        <f t="shared" si="558"/>
        <v>2.8900000000000002E-3</v>
      </c>
      <c r="O1133" s="4" t="e">
        <f>(C1133-(C1133*#REF!))-((C1133-(C1133*#REF!))*#REF!)</f>
        <v>#REF!</v>
      </c>
      <c r="P1133" s="7">
        <f>84943.9120894172-Q1133</f>
        <v>19943.912089417194</v>
      </c>
      <c r="Q1133" s="7">
        <v>65000</v>
      </c>
      <c r="R1133" s="5">
        <f t="shared" si="559"/>
        <v>84943.912089417194</v>
      </c>
      <c r="S1133" s="4">
        <f t="shared" si="560"/>
        <v>5.6629274726278132</v>
      </c>
      <c r="T1133" s="13">
        <f t="shared" si="546"/>
        <v>23.093000000000004</v>
      </c>
      <c r="U1133" s="13">
        <f t="shared" si="555"/>
        <v>11.546500000000002</v>
      </c>
      <c r="V1133" s="14">
        <f>U1133/C1133</f>
        <v>0.35000000000000003</v>
      </c>
      <c r="W1133" s="14"/>
      <c r="X1133" s="19">
        <f t="shared" si="561"/>
        <v>11.546500000000002</v>
      </c>
      <c r="Y1133" s="19">
        <f t="shared" si="562"/>
        <v>23.093000000000004</v>
      </c>
      <c r="Z1133" s="15">
        <f>U1133/S1133</f>
        <v>2.0389630726882659</v>
      </c>
      <c r="AA1133" s="22" t="s">
        <v>5129</v>
      </c>
      <c r="AG1133" s="94" t="s">
        <v>817</v>
      </c>
      <c r="AH1133" s="89" t="str">
        <f>VLOOKUP(AG1133,Sheet1!$B$3:$D$36,2,FALSE)</f>
        <v>Kitchen &amp; Dining</v>
      </c>
      <c r="AI1133" s="89" t="s">
        <v>5106</v>
      </c>
      <c r="AJ1133" s="1" t="str">
        <f t="shared" si="547"/>
        <v>Hena mortar wood</v>
      </c>
      <c r="AK1133" s="1" t="str">
        <f t="shared" si="548"/>
        <v>ø17 x h10</v>
      </c>
      <c r="AL1133" s="1" t="str">
        <f t="shared" si="549"/>
        <v>teak root indoor</v>
      </c>
      <c r="AM1133" s="1" t="str">
        <f t="shared" si="550"/>
        <v>teak root indoor</v>
      </c>
      <c r="AN1133" s="1" t="str">
        <f t="shared" si="563"/>
        <v xml:space="preserve">teak root </v>
      </c>
      <c r="AO1133" s="1" t="s">
        <v>54</v>
      </c>
      <c r="AQ1133" s="1" t="str">
        <f t="shared" si="551"/>
        <v>C</v>
      </c>
      <c r="AR1133" s="1" t="str">
        <f>VLOOKUP(TRIM(AI1133),Sheet1!$D$3:$E$36,2,FALSE)</f>
        <v>02</v>
      </c>
      <c r="AS1133" s="90" t="str">
        <f t="shared" si="552"/>
        <v>01</v>
      </c>
      <c r="AT1133" s="1" t="str">
        <f t="shared" si="553"/>
        <v>01</v>
      </c>
      <c r="AU1133" s="90" t="s">
        <v>648</v>
      </c>
      <c r="AV1133" s="90"/>
      <c r="AW1133" s="90"/>
      <c r="AX1133" s="95" t="str">
        <f>AQ1133&amp;AR1133&amp;AS1133&amp;"-"&amp;AT1133&amp;AU1133&amp;BA1133</f>
        <v>C0201-0132IND</v>
      </c>
      <c r="AY1133" s="99" t="str">
        <f>AQ1133&amp;AR1133&amp;AS1133&amp;"-"&amp;AT1133&amp;BA1133</f>
        <v>C0201-01IND</v>
      </c>
      <c r="AZ1133" s="90"/>
      <c r="BA1133" s="1" t="str">
        <f t="shared" si="554"/>
        <v>IND</v>
      </c>
      <c r="BC1133" s="1">
        <f t="shared" si="564"/>
        <v>1</v>
      </c>
      <c r="BD1133" s="90">
        <f t="shared" si="565"/>
        <v>1</v>
      </c>
      <c r="BE1133" s="1">
        <f t="shared" si="556"/>
        <v>1</v>
      </c>
      <c r="BF1133" s="1">
        <f t="shared" si="557"/>
        <v>1</v>
      </c>
    </row>
    <row r="1134" spans="1:58" ht="11.25" customHeight="1">
      <c r="A1134" s="26" t="s">
        <v>5130</v>
      </c>
      <c r="B1134" s="27" t="s">
        <v>5131</v>
      </c>
      <c r="C1134" s="28">
        <v>38.99</v>
      </c>
      <c r="D1134" s="28">
        <f t="shared" si="545"/>
        <v>19.495000000000001</v>
      </c>
      <c r="E1134" s="22" t="s">
        <v>5100</v>
      </c>
      <c r="F1134" s="22" t="s">
        <v>5132</v>
      </c>
      <c r="G1134" s="22" t="s">
        <v>5133</v>
      </c>
      <c r="H1134" s="22" t="s">
        <v>5134</v>
      </c>
      <c r="I1134" s="23" t="s">
        <v>2983</v>
      </c>
      <c r="J1134" s="22" t="s">
        <v>670</v>
      </c>
      <c r="L1134" s="23">
        <v>4.5</v>
      </c>
      <c r="M1134" s="23">
        <v>16</v>
      </c>
      <c r="N1134" s="3">
        <f t="shared" si="558"/>
        <v>3.2400000000000001E-4</v>
      </c>
      <c r="O1134" s="4" t="e">
        <f>(C1134-(C1134*#REF!))-((C1134-(C1134*#REF!))*#REF!)</f>
        <v>#REF!</v>
      </c>
      <c r="P1134" s="7">
        <f>82578.2167384478-Q1134</f>
        <v>78.216738447794341</v>
      </c>
      <c r="Q1134" s="7">
        <v>82500</v>
      </c>
      <c r="R1134" s="5">
        <f t="shared" si="559"/>
        <v>82578.216738447794</v>
      </c>
      <c r="S1134" s="4">
        <f t="shared" si="560"/>
        <v>5.5052144492298529</v>
      </c>
      <c r="T1134" s="13">
        <f t="shared" si="546"/>
        <v>27.292999999999999</v>
      </c>
      <c r="U1134" s="13">
        <f t="shared" si="555"/>
        <v>13.6465</v>
      </c>
      <c r="V1134" s="14">
        <f>U1134/C1134</f>
        <v>0.35</v>
      </c>
      <c r="W1134" s="14"/>
      <c r="X1134" s="19">
        <f t="shared" si="561"/>
        <v>13.6465</v>
      </c>
      <c r="Y1134" s="19">
        <f t="shared" si="562"/>
        <v>27.292999999999999</v>
      </c>
      <c r="Z1134" s="15">
        <f>U1134/S1134</f>
        <v>2.4788316832796702</v>
      </c>
      <c r="AA1134" s="22" t="s">
        <v>5135</v>
      </c>
      <c r="AG1134" s="94" t="s">
        <v>817</v>
      </c>
      <c r="AH1134" s="89" t="str">
        <f>VLOOKUP(AG1134,Sheet1!$B$3:$D$36,2,FALSE)</f>
        <v>Kitchen &amp; Dining</v>
      </c>
      <c r="AI1134" s="89" t="s">
        <v>5106</v>
      </c>
      <c r="AJ1134" s="1" t="str">
        <f t="shared" si="547"/>
        <v>Tom stick stone</v>
      </c>
      <c r="AK1134" s="1" t="str">
        <f t="shared" si="548"/>
        <v>ø4,5 x h16</v>
      </c>
      <c r="AL1134" s="1" t="str">
        <f t="shared" si="549"/>
        <v>lavastone indoor</v>
      </c>
      <c r="AM1134" s="1" t="str">
        <f t="shared" si="550"/>
        <v>lavastone indoor</v>
      </c>
      <c r="AN1134" s="1" t="str">
        <f t="shared" si="563"/>
        <v xml:space="preserve">lavastone </v>
      </c>
      <c r="AO1134" s="1" t="s">
        <v>54</v>
      </c>
      <c r="AQ1134" s="1" t="str">
        <f t="shared" si="551"/>
        <v>C</v>
      </c>
      <c r="AR1134" s="1" t="str">
        <f>VLOOKUP(TRIM(AI1134),Sheet1!$D$3:$E$36,2,FALSE)</f>
        <v>02</v>
      </c>
      <c r="AS1134" s="90" t="str">
        <f t="shared" si="552"/>
        <v>01</v>
      </c>
      <c r="AT1134" s="1" t="str">
        <f t="shared" si="553"/>
        <v>01</v>
      </c>
      <c r="AU1134" s="90" t="s">
        <v>823</v>
      </c>
      <c r="AV1134" s="90"/>
      <c r="AW1134" s="90"/>
      <c r="AX1134" s="95" t="str">
        <f>AQ1134&amp;AR1134&amp;AS1134&amp;"-"&amp;AT1134&amp;AU1134&amp;BA1134</f>
        <v>C0201-0108IND</v>
      </c>
      <c r="AY1134" s="99" t="str">
        <f>AQ1134&amp;AR1134&amp;AS1134&amp;"-"&amp;AT1134&amp;BA1134</f>
        <v>C0201-01IND</v>
      </c>
      <c r="AZ1134" s="90"/>
      <c r="BA1134" s="1" t="str">
        <f t="shared" si="554"/>
        <v>IND</v>
      </c>
      <c r="BC1134" s="1">
        <f t="shared" si="564"/>
        <v>1</v>
      </c>
      <c r="BD1134" s="90">
        <f t="shared" si="565"/>
        <v>1</v>
      </c>
      <c r="BE1134" s="1">
        <f t="shared" si="556"/>
        <v>1</v>
      </c>
      <c r="BF1134" s="1">
        <f t="shared" si="557"/>
        <v>1</v>
      </c>
    </row>
    <row r="1135" spans="1:58" ht="11.25" customHeight="1">
      <c r="A1135" s="26" t="s">
        <v>5136</v>
      </c>
      <c r="B1135" s="27" t="s">
        <v>5137</v>
      </c>
      <c r="C1135" s="28">
        <v>28.99</v>
      </c>
      <c r="D1135" s="28">
        <f t="shared" si="545"/>
        <v>14.494999999999999</v>
      </c>
      <c r="E1135" s="22" t="s">
        <v>5100</v>
      </c>
      <c r="F1135" s="22" t="s">
        <v>5138</v>
      </c>
      <c r="G1135" s="22" t="s">
        <v>5139</v>
      </c>
      <c r="H1135" s="22" t="s">
        <v>5140</v>
      </c>
      <c r="I1135" s="23" t="s">
        <v>2983</v>
      </c>
      <c r="J1135" s="22" t="s">
        <v>670</v>
      </c>
      <c r="L1135" s="23">
        <v>3.5</v>
      </c>
      <c r="M1135" s="23">
        <v>16</v>
      </c>
      <c r="N1135" s="3">
        <f t="shared" si="558"/>
        <v>1.9599999999999999E-4</v>
      </c>
      <c r="O1135" s="4" t="e">
        <f>(C1135-(C1135*#REF!))-((C1135-(C1135*#REF!))*#REF!)</f>
        <v>#REF!</v>
      </c>
      <c r="P1135" s="7"/>
      <c r="Q1135" s="7"/>
      <c r="R1135" s="5">
        <f t="shared" si="559"/>
        <v>0</v>
      </c>
      <c r="S1135" s="4">
        <f t="shared" si="560"/>
        <v>0</v>
      </c>
      <c r="T1135" s="13">
        <f t="shared" si="546"/>
        <v>20.292999999999999</v>
      </c>
      <c r="U1135" s="13">
        <f t="shared" si="555"/>
        <v>10.1465</v>
      </c>
      <c r="V1135" s="14">
        <f>U1135/C1135</f>
        <v>0.35000000000000003</v>
      </c>
      <c r="W1135" s="14"/>
      <c r="X1135" s="19">
        <f t="shared" si="561"/>
        <v>10.1465</v>
      </c>
      <c r="Y1135" s="19">
        <f t="shared" si="562"/>
        <v>20.292999999999999</v>
      </c>
      <c r="Z1135" s="15" t="e">
        <f>U1135/S1135</f>
        <v>#DIV/0!</v>
      </c>
      <c r="AA1135" s="22" t="s">
        <v>5141</v>
      </c>
      <c r="AG1135" s="94" t="s">
        <v>817</v>
      </c>
      <c r="AH1135" s="89" t="str">
        <f>VLOOKUP(AG1135,Sheet1!$B$3:$D$36,2,FALSE)</f>
        <v>Kitchen &amp; Dining</v>
      </c>
      <c r="AI1135" s="89" t="s">
        <v>5106</v>
      </c>
      <c r="AJ1135" s="1" t="str">
        <f t="shared" si="547"/>
        <v>Felix stick stone</v>
      </c>
      <c r="AK1135" s="1" t="str">
        <f t="shared" si="548"/>
        <v>ø3,5 x h16</v>
      </c>
      <c r="AL1135" s="1" t="str">
        <f t="shared" si="549"/>
        <v>lavastone indoor</v>
      </c>
      <c r="AM1135" s="1" t="str">
        <f t="shared" si="550"/>
        <v>lavastone indoor</v>
      </c>
      <c r="AN1135" s="1" t="str">
        <f t="shared" si="563"/>
        <v xml:space="preserve">lavastone </v>
      </c>
      <c r="AO1135" s="1" t="s">
        <v>54</v>
      </c>
      <c r="AQ1135" s="1" t="str">
        <f t="shared" si="551"/>
        <v>C</v>
      </c>
      <c r="AR1135" s="1" t="str">
        <f>VLOOKUP(TRIM(AI1135),Sheet1!$D$3:$E$36,2,FALSE)</f>
        <v>02</v>
      </c>
      <c r="AS1135" s="90" t="str">
        <f t="shared" si="552"/>
        <v>01</v>
      </c>
      <c r="AT1135" s="1" t="str">
        <f t="shared" si="553"/>
        <v>01</v>
      </c>
      <c r="AU1135" s="90" t="s">
        <v>823</v>
      </c>
      <c r="AV1135" s="90"/>
      <c r="AW1135" s="90"/>
      <c r="AX1135" s="95" t="str">
        <f>AQ1135&amp;AR1135&amp;AS1135&amp;"-"&amp;AT1135&amp;AU1135&amp;BA1135</f>
        <v>C0201-0108IND</v>
      </c>
      <c r="AY1135" s="99" t="str">
        <f>AQ1135&amp;AR1135&amp;AS1135&amp;"-"&amp;AT1135&amp;BA1135</f>
        <v>C0201-01IND</v>
      </c>
      <c r="AZ1135" s="90"/>
      <c r="BA1135" s="1" t="str">
        <f t="shared" si="554"/>
        <v>IND</v>
      </c>
      <c r="BC1135" s="1">
        <f t="shared" si="564"/>
        <v>1</v>
      </c>
      <c r="BD1135" s="90">
        <f t="shared" si="565"/>
        <v>1</v>
      </c>
      <c r="BE1135" s="1">
        <f t="shared" si="556"/>
        <v>1</v>
      </c>
      <c r="BF1135" s="1">
        <f t="shared" si="557"/>
        <v>1</v>
      </c>
    </row>
    <row r="1136" spans="1:58" ht="11.25" customHeight="1">
      <c r="A1136" s="26" t="s">
        <v>5142</v>
      </c>
      <c r="B1136" s="27" t="s">
        <v>5143</v>
      </c>
      <c r="C1136" s="28">
        <v>82.99</v>
      </c>
      <c r="D1136" s="28">
        <f t="shared" si="545"/>
        <v>41.494999999999997</v>
      </c>
      <c r="E1136" s="22" t="s">
        <v>5100</v>
      </c>
      <c r="F1136" s="22" t="s">
        <v>5144</v>
      </c>
      <c r="G1136" s="22" t="s">
        <v>5145</v>
      </c>
      <c r="H1136" s="22" t="s">
        <v>5146</v>
      </c>
      <c r="I1136" s="23" t="s">
        <v>2983</v>
      </c>
      <c r="J1136" s="22" t="s">
        <v>670</v>
      </c>
      <c r="L1136" s="23">
        <v>17</v>
      </c>
      <c r="M1136" s="23">
        <v>10</v>
      </c>
      <c r="N1136" s="3">
        <f t="shared" si="558"/>
        <v>2.8900000000000002E-3</v>
      </c>
      <c r="O1136" s="4" t="e">
        <f>(C1136-(C1136*#REF!))-((C1136-(C1136*#REF!))*#REF!)</f>
        <v>#REF!</v>
      </c>
      <c r="P1136" s="7">
        <f>275697.673994179-Q1136</f>
        <v>697.67399417900015</v>
      </c>
      <c r="Q1136" s="7">
        <v>275000</v>
      </c>
      <c r="R1136" s="5">
        <f t="shared" si="559"/>
        <v>275697.673994179</v>
      </c>
      <c r="S1136" s="4">
        <f t="shared" si="560"/>
        <v>18.379844932945268</v>
      </c>
      <c r="T1136" s="13">
        <f t="shared" si="546"/>
        <v>58.092999999999996</v>
      </c>
      <c r="U1136" s="13">
        <f t="shared" si="555"/>
        <v>29.046499999999998</v>
      </c>
      <c r="V1136" s="14">
        <f>U1136/C1136</f>
        <v>0.35</v>
      </c>
      <c r="W1136" s="18">
        <f>S1136*$W$1</f>
        <v>36.759689865890536</v>
      </c>
      <c r="X1136" s="19">
        <f t="shared" si="561"/>
        <v>36.759689865890536</v>
      </c>
      <c r="Y1136" s="19">
        <f t="shared" si="562"/>
        <v>73.519379731781072</v>
      </c>
      <c r="Z1136" s="15">
        <v>2</v>
      </c>
      <c r="AA1136" s="22" t="s">
        <v>5147</v>
      </c>
      <c r="AG1136" s="94" t="s">
        <v>817</v>
      </c>
      <c r="AH1136" s="89" t="str">
        <f>VLOOKUP(AG1136,Sheet1!$B$3:$D$36,2,FALSE)</f>
        <v>Kitchen &amp; Dining</v>
      </c>
      <c r="AI1136" s="89" t="s">
        <v>5106</v>
      </c>
      <c r="AJ1136" s="1" t="str">
        <f t="shared" si="547"/>
        <v>Tom mortar stone</v>
      </c>
      <c r="AK1136" s="1" t="str">
        <f t="shared" si="548"/>
        <v>ø17 x H10</v>
      </c>
      <c r="AL1136" s="1" t="str">
        <f t="shared" si="549"/>
        <v>lavastone indoor</v>
      </c>
      <c r="AM1136" s="1" t="str">
        <f t="shared" si="550"/>
        <v>lavastone indoor</v>
      </c>
      <c r="AN1136" s="1" t="str">
        <f t="shared" si="563"/>
        <v xml:space="preserve">lavastone </v>
      </c>
      <c r="AO1136" s="1" t="s">
        <v>54</v>
      </c>
      <c r="AQ1136" s="1" t="str">
        <f t="shared" si="551"/>
        <v>C</v>
      </c>
      <c r="AR1136" s="1" t="str">
        <f>VLOOKUP(TRIM(AI1136),Sheet1!$D$3:$E$36,2,FALSE)</f>
        <v>02</v>
      </c>
      <c r="AS1136" s="90" t="str">
        <f t="shared" si="552"/>
        <v>01</v>
      </c>
      <c r="AT1136" s="1" t="str">
        <f t="shared" si="553"/>
        <v>01</v>
      </c>
      <c r="AU1136" s="90" t="s">
        <v>823</v>
      </c>
      <c r="AV1136" s="90"/>
      <c r="AW1136" s="90"/>
      <c r="AX1136" s="95" t="str">
        <f>AQ1136&amp;AR1136&amp;AS1136&amp;"-"&amp;AT1136&amp;AU1136&amp;BA1136</f>
        <v>C0201-0108IND</v>
      </c>
      <c r="AY1136" s="99" t="str">
        <f>AQ1136&amp;AR1136&amp;AS1136&amp;"-"&amp;AT1136&amp;BA1136</f>
        <v>C0201-01IND</v>
      </c>
      <c r="AZ1136" s="90"/>
      <c r="BA1136" s="1" t="str">
        <f t="shared" si="554"/>
        <v>IND</v>
      </c>
      <c r="BC1136" s="1">
        <f t="shared" si="564"/>
        <v>1</v>
      </c>
      <c r="BD1136" s="90">
        <f t="shared" si="565"/>
        <v>1</v>
      </c>
      <c r="BE1136" s="1">
        <f t="shared" si="556"/>
        <v>1</v>
      </c>
      <c r="BF1136" s="1">
        <f t="shared" si="557"/>
        <v>1</v>
      </c>
    </row>
    <row r="1137" spans="1:58" ht="11.25" customHeight="1">
      <c r="A1137" s="26" t="s">
        <v>5148</v>
      </c>
      <c r="B1137" s="27" t="s">
        <v>5149</v>
      </c>
      <c r="C1137" s="28">
        <v>67.989999999999995</v>
      </c>
      <c r="D1137" s="28">
        <f t="shared" si="545"/>
        <v>33.994999999999997</v>
      </c>
      <c r="E1137" s="22" t="s">
        <v>5100</v>
      </c>
      <c r="F1137" s="22" t="s">
        <v>5150</v>
      </c>
      <c r="G1137" s="22" t="s">
        <v>5151</v>
      </c>
      <c r="H1137" s="22" t="s">
        <v>5028</v>
      </c>
      <c r="I1137" s="23" t="s">
        <v>2983</v>
      </c>
      <c r="J1137" s="22" t="s">
        <v>670</v>
      </c>
      <c r="L1137" s="23">
        <v>12</v>
      </c>
      <c r="M1137" s="23">
        <v>7</v>
      </c>
      <c r="N1137" s="3">
        <f t="shared" si="558"/>
        <v>1.008E-3</v>
      </c>
      <c r="O1137" s="4" t="e">
        <f>(C1137-(C1137*#REF!))-((C1137-(C1137*#REF!))*#REF!)</f>
        <v>#REF!</v>
      </c>
      <c r="P1137" s="7"/>
      <c r="Q1137" s="7"/>
      <c r="R1137" s="5">
        <f t="shared" si="559"/>
        <v>0</v>
      </c>
      <c r="S1137" s="4">
        <f t="shared" si="560"/>
        <v>0</v>
      </c>
      <c r="T1137" s="13">
        <f t="shared" si="546"/>
        <v>47.592999999999996</v>
      </c>
      <c r="U1137" s="13">
        <f t="shared" si="555"/>
        <v>23.796499999999998</v>
      </c>
      <c r="V1137" s="14">
        <f>U1137/C1137</f>
        <v>0.35</v>
      </c>
      <c r="W1137" s="14"/>
      <c r="X1137" s="19">
        <f t="shared" si="561"/>
        <v>23.796499999999998</v>
      </c>
      <c r="Y1137" s="19">
        <f t="shared" si="562"/>
        <v>47.592999999999996</v>
      </c>
      <c r="Z1137" s="15" t="e">
        <f t="shared" ref="Z1137:Z1150" si="566">U1137/S1137</f>
        <v>#DIV/0!</v>
      </c>
      <c r="AA1137" s="22" t="s">
        <v>5152</v>
      </c>
      <c r="AG1137" s="94" t="s">
        <v>817</v>
      </c>
      <c r="AH1137" s="89" t="str">
        <f>VLOOKUP(AG1137,Sheet1!$B$3:$D$36,2,FALSE)</f>
        <v>Kitchen &amp; Dining</v>
      </c>
      <c r="AI1137" s="89" t="s">
        <v>5106</v>
      </c>
      <c r="AJ1137" s="1" t="str">
        <f t="shared" si="547"/>
        <v>Felix mortar stone</v>
      </c>
      <c r="AK1137" s="1" t="str">
        <f t="shared" si="548"/>
        <v>ø12 x h7</v>
      </c>
      <c r="AL1137" s="1" t="str">
        <f t="shared" si="549"/>
        <v>lavastone indoor</v>
      </c>
      <c r="AM1137" s="1" t="str">
        <f t="shared" si="550"/>
        <v>lavastone indoor</v>
      </c>
      <c r="AN1137" s="1" t="str">
        <f t="shared" si="563"/>
        <v xml:space="preserve">lavastone </v>
      </c>
      <c r="AO1137" s="1" t="s">
        <v>54</v>
      </c>
      <c r="AQ1137" s="1" t="str">
        <f t="shared" si="551"/>
        <v>C</v>
      </c>
      <c r="AR1137" s="1" t="str">
        <f>VLOOKUP(TRIM(AI1137),Sheet1!$D$3:$E$36,2,FALSE)</f>
        <v>02</v>
      </c>
      <c r="AS1137" s="90" t="str">
        <f t="shared" si="552"/>
        <v>01</v>
      </c>
      <c r="AT1137" s="1" t="str">
        <f t="shared" si="553"/>
        <v>01</v>
      </c>
      <c r="AU1137" s="90" t="s">
        <v>823</v>
      </c>
      <c r="AV1137" s="90"/>
      <c r="AW1137" s="90"/>
      <c r="AX1137" s="95" t="str">
        <f>AQ1137&amp;AR1137&amp;AS1137&amp;"-"&amp;AT1137&amp;AU1137&amp;BA1137</f>
        <v>C0201-0108IND</v>
      </c>
      <c r="AY1137" s="99" t="str">
        <f>AQ1137&amp;AR1137&amp;AS1137&amp;"-"&amp;AT1137&amp;BA1137</f>
        <v>C0201-01IND</v>
      </c>
      <c r="AZ1137" s="90"/>
      <c r="BA1137" s="1" t="str">
        <f t="shared" si="554"/>
        <v>IND</v>
      </c>
      <c r="BC1137" s="1">
        <f t="shared" si="564"/>
        <v>1</v>
      </c>
      <c r="BD1137" s="90">
        <f t="shared" si="565"/>
        <v>1</v>
      </c>
      <c r="BE1137" s="1">
        <f t="shared" si="556"/>
        <v>1</v>
      </c>
      <c r="BF1137" s="1">
        <f t="shared" si="557"/>
        <v>1</v>
      </c>
    </row>
    <row r="1138" spans="1:58" ht="11.25" customHeight="1">
      <c r="A1138" s="26" t="s">
        <v>5153</v>
      </c>
      <c r="B1138" s="27" t="s">
        <v>5154</v>
      </c>
      <c r="C1138" s="28">
        <v>82.99</v>
      </c>
      <c r="D1138" s="28">
        <f t="shared" si="545"/>
        <v>41.494999999999997</v>
      </c>
      <c r="E1138" s="22" t="s">
        <v>5100</v>
      </c>
      <c r="F1138" s="22" t="s">
        <v>5155</v>
      </c>
      <c r="G1138" s="22" t="s">
        <v>5156</v>
      </c>
      <c r="H1138" s="22" t="s">
        <v>5117</v>
      </c>
      <c r="I1138" s="23" t="s">
        <v>2983</v>
      </c>
      <c r="J1138" s="22" t="s">
        <v>670</v>
      </c>
      <c r="L1138" s="23">
        <v>17</v>
      </c>
      <c r="M1138" s="23">
        <v>10</v>
      </c>
      <c r="N1138" s="3">
        <f t="shared" si="558"/>
        <v>2.8900000000000002E-3</v>
      </c>
      <c r="O1138" s="4" t="e">
        <f>(C1138-(C1138*#REF!))-((C1138-(C1138*#REF!))*#REF!)</f>
        <v>#REF!</v>
      </c>
      <c r="P1138" s="7"/>
      <c r="Q1138" s="7"/>
      <c r="R1138" s="5">
        <f t="shared" si="559"/>
        <v>0</v>
      </c>
      <c r="S1138" s="4">
        <f t="shared" si="560"/>
        <v>0</v>
      </c>
      <c r="T1138" s="13">
        <f t="shared" si="546"/>
        <v>58.092999999999996</v>
      </c>
      <c r="U1138" s="13">
        <f t="shared" si="555"/>
        <v>29.046499999999998</v>
      </c>
      <c r="V1138" s="14">
        <f>U1138/C1138</f>
        <v>0.35</v>
      </c>
      <c r="W1138" s="14"/>
      <c r="X1138" s="19">
        <f t="shared" si="561"/>
        <v>29.046499999999998</v>
      </c>
      <c r="Y1138" s="19">
        <f t="shared" si="562"/>
        <v>58.092999999999996</v>
      </c>
      <c r="Z1138" s="15" t="e">
        <f t="shared" si="566"/>
        <v>#DIV/0!</v>
      </c>
      <c r="AA1138" s="22" t="s">
        <v>5157</v>
      </c>
      <c r="AG1138" s="94" t="s">
        <v>817</v>
      </c>
      <c r="AH1138" s="89" t="str">
        <f>VLOOKUP(AG1138,Sheet1!$B$3:$D$36,2,FALSE)</f>
        <v>Kitchen &amp; Dining</v>
      </c>
      <c r="AI1138" s="89" t="s">
        <v>5106</v>
      </c>
      <c r="AJ1138" s="1" t="str">
        <f t="shared" si="547"/>
        <v>Hena mortar stone</v>
      </c>
      <c r="AK1138" s="1" t="str">
        <f t="shared" si="548"/>
        <v>ø17 x h10</v>
      </c>
      <c r="AL1138" s="1" t="str">
        <f t="shared" si="549"/>
        <v>lavastone indoor</v>
      </c>
      <c r="AM1138" s="1" t="str">
        <f t="shared" si="550"/>
        <v>lavastone indoor</v>
      </c>
      <c r="AN1138" s="1" t="str">
        <f t="shared" si="563"/>
        <v xml:space="preserve">lavastone </v>
      </c>
      <c r="AO1138" s="1" t="s">
        <v>54</v>
      </c>
      <c r="AQ1138" s="1" t="str">
        <f t="shared" si="551"/>
        <v>C</v>
      </c>
      <c r="AR1138" s="1" t="str">
        <f>VLOOKUP(TRIM(AI1138),Sheet1!$D$3:$E$36,2,FALSE)</f>
        <v>02</v>
      </c>
      <c r="AS1138" s="90" t="str">
        <f t="shared" si="552"/>
        <v>01</v>
      </c>
      <c r="AT1138" s="1" t="str">
        <f t="shared" si="553"/>
        <v>01</v>
      </c>
      <c r="AU1138" s="90" t="s">
        <v>823</v>
      </c>
      <c r="AV1138" s="90"/>
      <c r="AW1138" s="90"/>
      <c r="AX1138" s="95" t="str">
        <f>AQ1138&amp;AR1138&amp;AS1138&amp;"-"&amp;AT1138&amp;AU1138&amp;BA1138</f>
        <v>C0201-0108IND</v>
      </c>
      <c r="AY1138" s="99" t="str">
        <f>AQ1138&amp;AR1138&amp;AS1138&amp;"-"&amp;AT1138&amp;BA1138</f>
        <v>C0201-01IND</v>
      </c>
      <c r="AZ1138" s="90"/>
      <c r="BA1138" s="1" t="str">
        <f t="shared" si="554"/>
        <v>IND</v>
      </c>
      <c r="BC1138" s="1">
        <f t="shared" si="564"/>
        <v>1</v>
      </c>
      <c r="BD1138" s="90">
        <f t="shared" si="565"/>
        <v>1</v>
      </c>
      <c r="BE1138" s="1">
        <f t="shared" si="556"/>
        <v>1</v>
      </c>
      <c r="BF1138" s="1">
        <f t="shared" si="557"/>
        <v>1</v>
      </c>
    </row>
    <row r="1139" spans="1:58" ht="11.25" customHeight="1">
      <c r="A1139" s="26" t="s">
        <v>5158</v>
      </c>
      <c r="B1139" s="27" t="s">
        <v>5159</v>
      </c>
      <c r="C1139" s="28">
        <v>17.989999999999998</v>
      </c>
      <c r="D1139" s="28">
        <f t="shared" si="545"/>
        <v>8.9949999999999992</v>
      </c>
      <c r="E1139" s="22" t="s">
        <v>5100</v>
      </c>
      <c r="F1139" s="22" t="s">
        <v>5160</v>
      </c>
      <c r="G1139" s="22" t="s">
        <v>581</v>
      </c>
      <c r="H1139" s="22" t="s">
        <v>5161</v>
      </c>
      <c r="I1139" s="23" t="s">
        <v>3413</v>
      </c>
      <c r="J1139" s="22" t="s">
        <v>670</v>
      </c>
      <c r="K1139" s="23">
        <v>13</v>
      </c>
      <c r="L1139" s="23">
        <v>13</v>
      </c>
      <c r="M1139" s="23">
        <v>7</v>
      </c>
      <c r="N1139" s="3">
        <f t="shared" si="558"/>
        <v>1.183E-3</v>
      </c>
      <c r="O1139" s="4" t="e">
        <f>(C1139-(C1139*#REF!))-((C1139-(C1139*#REF!))*#REF!)</f>
        <v>#REF!</v>
      </c>
      <c r="P1139" s="7"/>
      <c r="Q1139" s="7"/>
      <c r="R1139" s="5">
        <f t="shared" si="559"/>
        <v>0</v>
      </c>
      <c r="S1139" s="4">
        <f t="shared" si="560"/>
        <v>0</v>
      </c>
      <c r="T1139" s="13">
        <f t="shared" si="546"/>
        <v>12.593</v>
      </c>
      <c r="U1139" s="13">
        <f t="shared" si="555"/>
        <v>6.2965</v>
      </c>
      <c r="V1139" s="14">
        <f>U1139/C1139</f>
        <v>0.35000000000000003</v>
      </c>
      <c r="W1139" s="14"/>
      <c r="X1139" s="19">
        <f t="shared" si="561"/>
        <v>6.2965</v>
      </c>
      <c r="Y1139" s="19">
        <f t="shared" si="562"/>
        <v>12.593</v>
      </c>
      <c r="Z1139" s="15" t="e">
        <f t="shared" si="566"/>
        <v>#DIV/0!</v>
      </c>
      <c r="AA1139" s="22" t="s">
        <v>5162</v>
      </c>
      <c r="AG1139" s="94" t="s">
        <v>817</v>
      </c>
      <c r="AH1139" s="89" t="str">
        <f>VLOOKUP(AG1139,Sheet1!$B$3:$D$36,2,FALSE)</f>
        <v>Kitchen &amp; Dining</v>
      </c>
      <c r="AI1139" s="89" t="s">
        <v>5106</v>
      </c>
      <c r="AJ1139" s="1" t="str">
        <f t="shared" si="547"/>
        <v>nomi sake server</v>
      </c>
      <c r="AK1139" s="1" t="str">
        <f t="shared" si="548"/>
        <v>w13 x d13 x h7</v>
      </c>
      <c r="AL1139" s="1" t="str">
        <f t="shared" si="549"/>
        <v>riverstone outdoor</v>
      </c>
      <c r="AM1139" s="1" t="str">
        <f t="shared" si="550"/>
        <v>riverstone outdoor</v>
      </c>
      <c r="AN1139" s="1" t="str">
        <f t="shared" ref="AN1139:AN1144" si="567">SUBSTITUTE(AL1139,"outdoor","")</f>
        <v xml:space="preserve">riverstone </v>
      </c>
      <c r="AO1139" s="1" t="s">
        <v>59</v>
      </c>
      <c r="AQ1139" s="1" t="str">
        <f t="shared" si="551"/>
        <v>C</v>
      </c>
      <c r="AR1139" s="1" t="str">
        <f>VLOOKUP(TRIM(AI1139),Sheet1!$D$3:$E$36,2,FALSE)</f>
        <v>02</v>
      </c>
      <c r="AS1139" s="90" t="str">
        <f t="shared" si="552"/>
        <v>01</v>
      </c>
      <c r="AT1139" s="1" t="str">
        <f t="shared" si="553"/>
        <v>01</v>
      </c>
      <c r="AU1139" s="90" t="s">
        <v>975</v>
      </c>
      <c r="AV1139" s="90"/>
      <c r="AW1139" s="90"/>
      <c r="AX1139" s="95" t="str">
        <f>AQ1139&amp;AR1139&amp;AS1139&amp;"-"&amp;AT1139&amp;AU1139&amp;BA1139</f>
        <v>C0201-0118OUT</v>
      </c>
      <c r="AY1139" s="99" t="str">
        <f>AQ1139&amp;AR1139&amp;AS1139&amp;"-"&amp;AT1139&amp;BA1139</f>
        <v>C0201-01OUT</v>
      </c>
      <c r="AZ1139" s="90"/>
      <c r="BA1139" s="1" t="str">
        <f t="shared" si="554"/>
        <v>OUT</v>
      </c>
      <c r="BC1139" s="1">
        <f t="shared" si="564"/>
        <v>1</v>
      </c>
      <c r="BD1139" s="90">
        <f t="shared" si="565"/>
        <v>1</v>
      </c>
      <c r="BE1139" s="1">
        <f t="shared" si="556"/>
        <v>1</v>
      </c>
      <c r="BF1139" s="1">
        <f t="shared" si="557"/>
        <v>1</v>
      </c>
    </row>
    <row r="1140" spans="1:58" ht="11.25" customHeight="1">
      <c r="A1140" s="26" t="s">
        <v>5163</v>
      </c>
      <c r="B1140" s="27" t="s">
        <v>5159</v>
      </c>
      <c r="C1140" s="28">
        <v>31.99</v>
      </c>
      <c r="D1140" s="28">
        <f t="shared" si="545"/>
        <v>15.994999999999999</v>
      </c>
      <c r="E1140" s="22" t="s">
        <v>5100</v>
      </c>
      <c r="F1140" s="22" t="s">
        <v>5164</v>
      </c>
      <c r="G1140" s="22" t="s">
        <v>581</v>
      </c>
      <c r="H1140" s="22" t="s">
        <v>5165</v>
      </c>
      <c r="I1140" s="23" t="s">
        <v>3413</v>
      </c>
      <c r="J1140" s="22" t="s">
        <v>670</v>
      </c>
      <c r="K1140" s="23">
        <v>17</v>
      </c>
      <c r="L1140" s="23">
        <v>17</v>
      </c>
      <c r="M1140" s="23">
        <v>7</v>
      </c>
      <c r="N1140" s="3">
        <f t="shared" si="558"/>
        <v>2.0230000000000001E-3</v>
      </c>
      <c r="O1140" s="4" t="e">
        <f>(C1140-(C1140*#REF!))-((C1140-(C1140*#REF!))*#REF!)</f>
        <v>#REF!</v>
      </c>
      <c r="P1140" s="7"/>
      <c r="Q1140" s="7"/>
      <c r="R1140" s="5">
        <f t="shared" si="559"/>
        <v>0</v>
      </c>
      <c r="S1140" s="4">
        <f t="shared" si="560"/>
        <v>0</v>
      </c>
      <c r="T1140" s="13">
        <f t="shared" si="546"/>
        <v>22.393000000000001</v>
      </c>
      <c r="U1140" s="13">
        <f t="shared" si="555"/>
        <v>11.1965</v>
      </c>
      <c r="V1140" s="14">
        <f>U1140/C1140</f>
        <v>0.35000000000000003</v>
      </c>
      <c r="W1140" s="14"/>
      <c r="X1140" s="19">
        <f t="shared" si="561"/>
        <v>11.1965</v>
      </c>
      <c r="Y1140" s="19">
        <f t="shared" si="562"/>
        <v>22.393000000000001</v>
      </c>
      <c r="Z1140" s="15" t="e">
        <f t="shared" si="566"/>
        <v>#DIV/0!</v>
      </c>
      <c r="AA1140" s="22" t="s">
        <v>5166</v>
      </c>
      <c r="AG1140" s="94" t="s">
        <v>817</v>
      </c>
      <c r="AH1140" s="89" t="str">
        <f>VLOOKUP(AG1140,Sheet1!$B$3:$D$36,2,FALSE)</f>
        <v>Kitchen &amp; Dining</v>
      </c>
      <c r="AI1140" s="89" t="s">
        <v>5106</v>
      </c>
      <c r="AJ1140" s="1" t="str">
        <f t="shared" si="547"/>
        <v>nomi sake server</v>
      </c>
      <c r="AK1140" s="1" t="str">
        <f t="shared" si="548"/>
        <v>w17 x d17 x h7</v>
      </c>
      <c r="AL1140" s="1" t="str">
        <f t="shared" si="549"/>
        <v>riverstone outdoor</v>
      </c>
      <c r="AM1140" s="1" t="str">
        <f t="shared" si="550"/>
        <v>riverstone outdoor</v>
      </c>
      <c r="AN1140" s="1" t="str">
        <f t="shared" si="567"/>
        <v xml:space="preserve">riverstone </v>
      </c>
      <c r="AO1140" s="1" t="s">
        <v>59</v>
      </c>
      <c r="AQ1140" s="1" t="str">
        <f t="shared" si="551"/>
        <v>C</v>
      </c>
      <c r="AR1140" s="1" t="str">
        <f>VLOOKUP(TRIM(AI1140),Sheet1!$D$3:$E$36,2,FALSE)</f>
        <v>02</v>
      </c>
      <c r="AS1140" s="90" t="str">
        <f t="shared" si="552"/>
        <v>02</v>
      </c>
      <c r="AT1140" s="1" t="str">
        <f t="shared" si="553"/>
        <v>01</v>
      </c>
      <c r="AU1140" s="90" t="s">
        <v>975</v>
      </c>
      <c r="AV1140" s="90"/>
      <c r="AW1140" s="90"/>
      <c r="AX1140" s="95" t="str">
        <f>AQ1140&amp;AR1140&amp;AS1140&amp;"-"&amp;AT1140&amp;AU1140&amp;BA1140</f>
        <v>C0202-0118OUT</v>
      </c>
      <c r="AY1140" s="99" t="str">
        <f>AQ1140&amp;AR1140&amp;AS1140&amp;"-"&amp;AT1140&amp;BA1140</f>
        <v>C0202-01OUT</v>
      </c>
      <c r="AZ1140" s="90"/>
      <c r="BA1140" s="1" t="str">
        <f t="shared" si="554"/>
        <v>OUT</v>
      </c>
      <c r="BC1140" s="1" t="str">
        <f t="shared" si="564"/>
        <v/>
      </c>
      <c r="BD1140" s="90">
        <f t="shared" si="565"/>
        <v>2</v>
      </c>
      <c r="BE1140" s="1">
        <f t="shared" si="556"/>
        <v>1</v>
      </c>
      <c r="BF1140" s="1">
        <f t="shared" si="557"/>
        <v>1</v>
      </c>
    </row>
    <row r="1141" spans="1:58" ht="11.25" customHeight="1">
      <c r="A1141" s="26" t="s">
        <v>5167</v>
      </c>
      <c r="B1141" s="27" t="s">
        <v>5168</v>
      </c>
      <c r="C1141" s="28">
        <v>9.99</v>
      </c>
      <c r="D1141" s="28">
        <f t="shared" si="545"/>
        <v>4.9950000000000001</v>
      </c>
      <c r="E1141" s="22" t="s">
        <v>5100</v>
      </c>
      <c r="F1141" s="22" t="s">
        <v>5169</v>
      </c>
      <c r="G1141" s="22" t="s">
        <v>5170</v>
      </c>
      <c r="H1141" s="22" t="s">
        <v>5171</v>
      </c>
      <c r="I1141" s="23" t="s">
        <v>5172</v>
      </c>
      <c r="J1141" s="22" t="s">
        <v>670</v>
      </c>
      <c r="K1141" s="23">
        <v>6.5</v>
      </c>
      <c r="L1141" s="23">
        <v>5</v>
      </c>
      <c r="M1141" s="23">
        <v>5</v>
      </c>
      <c r="N1141" s="3">
        <f t="shared" si="558"/>
        <v>1.6249999999999999E-4</v>
      </c>
      <c r="O1141" s="4" t="e">
        <f>(C1141-(C1141*#REF!))-((C1141-(C1141*#REF!))*#REF!)</f>
        <v>#REF!</v>
      </c>
      <c r="P1141" s="7"/>
      <c r="Q1141" s="7"/>
      <c r="R1141" s="5">
        <f t="shared" si="559"/>
        <v>0</v>
      </c>
      <c r="S1141" s="4">
        <f t="shared" si="560"/>
        <v>0</v>
      </c>
      <c r="T1141" s="13">
        <f t="shared" si="546"/>
        <v>6.9930000000000003</v>
      </c>
      <c r="U1141" s="13">
        <f t="shared" si="555"/>
        <v>3.4965000000000002</v>
      </c>
      <c r="V1141" s="14">
        <f>U1141/C1141</f>
        <v>0.35000000000000003</v>
      </c>
      <c r="W1141" s="14"/>
      <c r="X1141" s="19">
        <f t="shared" si="561"/>
        <v>3.4965000000000002</v>
      </c>
      <c r="Y1141" s="19">
        <f t="shared" si="562"/>
        <v>6.9930000000000003</v>
      </c>
      <c r="Z1141" s="15" t="e">
        <f t="shared" si="566"/>
        <v>#DIV/0!</v>
      </c>
      <c r="AA1141" s="22" t="s">
        <v>5173</v>
      </c>
      <c r="AG1141" s="94" t="s">
        <v>817</v>
      </c>
      <c r="AH1141" s="89" t="str">
        <f>VLOOKUP(AG1141,Sheet1!$B$3:$D$36,2,FALSE)</f>
        <v>Kitchen &amp; Dining</v>
      </c>
      <c r="AI1141" s="89" t="s">
        <v>5106</v>
      </c>
      <c r="AJ1141" s="1" t="str">
        <f t="shared" si="547"/>
        <v>Rano salt &amp; pepper holder</v>
      </c>
      <c r="AK1141" s="1" t="str">
        <f t="shared" si="548"/>
        <v>w6,5 x d5x h5</v>
      </c>
      <c r="AL1141" s="1" t="str">
        <f t="shared" si="549"/>
        <v>riverstone rough outside, polished inside outdoor</v>
      </c>
      <c r="AM1141" s="1" t="str">
        <f t="shared" si="550"/>
        <v>riverstone rough outside, polished inside outdoor</v>
      </c>
      <c r="AN1141" s="1" t="str">
        <f t="shared" si="567"/>
        <v xml:space="preserve">riverstone rough outside, polished inside </v>
      </c>
      <c r="AO1141" s="1" t="s">
        <v>59</v>
      </c>
      <c r="AQ1141" s="1" t="str">
        <f t="shared" si="551"/>
        <v>C</v>
      </c>
      <c r="AR1141" s="1" t="str">
        <f>VLOOKUP(TRIM(AI1141),Sheet1!$D$3:$E$36,2,FALSE)</f>
        <v>02</v>
      </c>
      <c r="AS1141" s="90" t="str">
        <f t="shared" si="552"/>
        <v>01</v>
      </c>
      <c r="AT1141" s="1" t="str">
        <f t="shared" si="553"/>
        <v>01</v>
      </c>
      <c r="AU1141" s="90" t="s">
        <v>975</v>
      </c>
      <c r="AV1141" s="90"/>
      <c r="AW1141" s="90"/>
      <c r="AX1141" s="95" t="str">
        <f>AQ1141&amp;AR1141&amp;AS1141&amp;"-"&amp;AT1141&amp;AU1141&amp;BA1141</f>
        <v>C0201-0118OUT</v>
      </c>
      <c r="AY1141" s="99" t="str">
        <f>AQ1141&amp;AR1141&amp;AS1141&amp;"-"&amp;AT1141&amp;BA1141</f>
        <v>C0201-01OUT</v>
      </c>
      <c r="AZ1141" s="90"/>
      <c r="BA1141" s="1" t="str">
        <f t="shared" si="554"/>
        <v>OUT</v>
      </c>
      <c r="BC1141" s="1">
        <f t="shared" si="564"/>
        <v>1</v>
      </c>
      <c r="BD1141" s="90">
        <f t="shared" si="565"/>
        <v>1</v>
      </c>
      <c r="BE1141" s="1">
        <f t="shared" si="556"/>
        <v>1</v>
      </c>
      <c r="BF1141" s="1">
        <f t="shared" si="557"/>
        <v>1</v>
      </c>
    </row>
    <row r="1142" spans="1:58" ht="11.25" customHeight="1">
      <c r="A1142" s="26" t="s">
        <v>2170</v>
      </c>
      <c r="B1142" s="27" t="s">
        <v>5174</v>
      </c>
      <c r="C1142" s="28">
        <v>12.99</v>
      </c>
      <c r="D1142" s="28">
        <f t="shared" si="545"/>
        <v>6.4950000000000001</v>
      </c>
      <c r="E1142" s="22" t="s">
        <v>5100</v>
      </c>
      <c r="F1142" s="22" t="s">
        <v>5175</v>
      </c>
      <c r="G1142" s="22" t="s">
        <v>729</v>
      </c>
      <c r="H1142" s="22" t="s">
        <v>2174</v>
      </c>
      <c r="I1142" s="23" t="s">
        <v>2866</v>
      </c>
      <c r="J1142" s="22" t="s">
        <v>670</v>
      </c>
      <c r="K1142" s="23">
        <v>11</v>
      </c>
      <c r="L1142" s="23">
        <v>11</v>
      </c>
      <c r="M1142" s="23">
        <v>5</v>
      </c>
      <c r="N1142" s="3">
        <f t="shared" si="558"/>
        <v>6.0499999999999996E-4</v>
      </c>
      <c r="O1142" s="4" t="e">
        <f>(C1142-(C1142*#REF!))-((C1142-(C1142*#REF!))*#REF!)</f>
        <v>#REF!</v>
      </c>
      <c r="P1142" s="7"/>
      <c r="Q1142" s="7"/>
      <c r="R1142" s="5">
        <f t="shared" si="559"/>
        <v>0</v>
      </c>
      <c r="S1142" s="4">
        <f t="shared" si="560"/>
        <v>0</v>
      </c>
      <c r="T1142" s="13">
        <f t="shared" si="546"/>
        <v>9.093</v>
      </c>
      <c r="U1142" s="13">
        <f t="shared" si="555"/>
        <v>4.5465</v>
      </c>
      <c r="V1142" s="14">
        <f>U1142/C1142</f>
        <v>0.35</v>
      </c>
      <c r="W1142" s="14"/>
      <c r="X1142" s="19">
        <f t="shared" si="561"/>
        <v>4.5465</v>
      </c>
      <c r="Y1142" s="19">
        <f t="shared" si="562"/>
        <v>9.093</v>
      </c>
      <c r="Z1142" s="15" t="e">
        <f t="shared" si="566"/>
        <v>#DIV/0!</v>
      </c>
      <c r="AA1142" s="22" t="s">
        <v>5176</v>
      </c>
      <c r="AG1142" s="94" t="s">
        <v>817</v>
      </c>
      <c r="AH1142" s="89" t="str">
        <f>VLOOKUP(AG1142,Sheet1!$B$3:$D$36,2,FALSE)</f>
        <v>Kitchen &amp; Dining</v>
      </c>
      <c r="AI1142" s="89" t="s">
        <v>5106</v>
      </c>
      <c r="AJ1142" s="1" t="str">
        <f t="shared" si="547"/>
        <v>Ryu server</v>
      </c>
      <c r="AK1142" s="1" t="str">
        <f t="shared" si="548"/>
        <v>w11 x d11 x h5</v>
      </c>
      <c r="AL1142" s="1" t="str">
        <f t="shared" si="549"/>
        <v>lavastone outdoor</v>
      </c>
      <c r="AM1142" s="1" t="str">
        <f t="shared" si="550"/>
        <v>lavastone outdoor</v>
      </c>
      <c r="AN1142" s="1" t="str">
        <f t="shared" si="567"/>
        <v xml:space="preserve">lavastone </v>
      </c>
      <c r="AO1142" s="1" t="s">
        <v>59</v>
      </c>
      <c r="AQ1142" s="1" t="str">
        <f t="shared" si="551"/>
        <v>C</v>
      </c>
      <c r="AR1142" s="1" t="str">
        <f>VLOOKUP(TRIM(AI1142),Sheet1!$D$3:$E$36,2,FALSE)</f>
        <v>02</v>
      </c>
      <c r="AS1142" s="90" t="str">
        <f t="shared" si="552"/>
        <v>01</v>
      </c>
      <c r="AT1142" s="1" t="str">
        <f t="shared" si="553"/>
        <v>01</v>
      </c>
      <c r="AU1142" s="90" t="s">
        <v>823</v>
      </c>
      <c r="AV1142" s="90"/>
      <c r="AW1142" s="90"/>
      <c r="AX1142" s="95" t="str">
        <f>AQ1142&amp;AR1142&amp;AS1142&amp;"-"&amp;AT1142&amp;AU1142&amp;BA1142</f>
        <v>C0201-0108OUT</v>
      </c>
      <c r="AY1142" s="99" t="str">
        <f>AQ1142&amp;AR1142&amp;AS1142&amp;"-"&amp;AT1142&amp;BA1142</f>
        <v>C0201-01OUT</v>
      </c>
      <c r="AZ1142" s="90"/>
      <c r="BA1142" s="1" t="str">
        <f t="shared" si="554"/>
        <v>OUT</v>
      </c>
      <c r="BC1142" s="1">
        <f t="shared" si="564"/>
        <v>1</v>
      </c>
      <c r="BD1142" s="90">
        <f t="shared" si="565"/>
        <v>1</v>
      </c>
      <c r="BE1142" s="1">
        <f t="shared" si="556"/>
        <v>1</v>
      </c>
      <c r="BF1142" s="1">
        <f t="shared" si="557"/>
        <v>1</v>
      </c>
    </row>
    <row r="1143" spans="1:58" ht="11.25" customHeight="1">
      <c r="A1143" s="26" t="s">
        <v>2177</v>
      </c>
      <c r="B1143" s="27" t="s">
        <v>5174</v>
      </c>
      <c r="C1143" s="28">
        <v>20.99</v>
      </c>
      <c r="D1143" s="28">
        <f t="shared" si="545"/>
        <v>10.494999999999999</v>
      </c>
      <c r="E1143" s="22" t="s">
        <v>5100</v>
      </c>
      <c r="F1143" s="22" t="s">
        <v>5177</v>
      </c>
      <c r="G1143" s="22" t="s">
        <v>729</v>
      </c>
      <c r="H1143" s="22" t="s">
        <v>2180</v>
      </c>
      <c r="I1143" s="23" t="s">
        <v>2866</v>
      </c>
      <c r="J1143" s="22" t="s">
        <v>670</v>
      </c>
      <c r="K1143" s="23">
        <v>14</v>
      </c>
      <c r="L1143" s="23">
        <v>14</v>
      </c>
      <c r="M1143" s="23">
        <v>5</v>
      </c>
      <c r="N1143" s="3">
        <f t="shared" si="558"/>
        <v>9.7999999999999997E-4</v>
      </c>
      <c r="O1143" s="4" t="e">
        <f>(C1143-(C1143*#REF!))-((C1143-(C1143*#REF!))*#REF!)</f>
        <v>#REF!</v>
      </c>
      <c r="P1143" s="7"/>
      <c r="Q1143" s="7"/>
      <c r="R1143" s="5">
        <f t="shared" si="559"/>
        <v>0</v>
      </c>
      <c r="S1143" s="4">
        <f t="shared" si="560"/>
        <v>0</v>
      </c>
      <c r="T1143" s="13">
        <f t="shared" si="546"/>
        <v>14.692999999999998</v>
      </c>
      <c r="U1143" s="13">
        <f t="shared" si="555"/>
        <v>7.3464999999999989</v>
      </c>
      <c r="V1143" s="14">
        <f>U1143/C1143</f>
        <v>0.35</v>
      </c>
      <c r="W1143" s="14"/>
      <c r="X1143" s="19">
        <f t="shared" si="561"/>
        <v>7.3464999999999989</v>
      </c>
      <c r="Y1143" s="19">
        <f t="shared" si="562"/>
        <v>14.692999999999998</v>
      </c>
      <c r="Z1143" s="15" t="e">
        <f t="shared" si="566"/>
        <v>#DIV/0!</v>
      </c>
      <c r="AA1143" s="22" t="s">
        <v>5178</v>
      </c>
      <c r="AG1143" s="94" t="s">
        <v>817</v>
      </c>
      <c r="AH1143" s="89" t="str">
        <f>VLOOKUP(AG1143,Sheet1!$B$3:$D$36,2,FALSE)</f>
        <v>Kitchen &amp; Dining</v>
      </c>
      <c r="AI1143" s="89" t="s">
        <v>5106</v>
      </c>
      <c r="AJ1143" s="1" t="str">
        <f t="shared" si="547"/>
        <v>Ryu server</v>
      </c>
      <c r="AK1143" s="1" t="str">
        <f t="shared" si="548"/>
        <v>w14 x d14 x h5</v>
      </c>
      <c r="AL1143" s="1" t="str">
        <f t="shared" si="549"/>
        <v>lavastone outdoor</v>
      </c>
      <c r="AM1143" s="1" t="str">
        <f t="shared" si="550"/>
        <v>lavastone outdoor</v>
      </c>
      <c r="AN1143" s="1" t="str">
        <f t="shared" si="567"/>
        <v xml:space="preserve">lavastone </v>
      </c>
      <c r="AO1143" s="1" t="s">
        <v>59</v>
      </c>
      <c r="AQ1143" s="1" t="str">
        <f t="shared" si="551"/>
        <v>C</v>
      </c>
      <c r="AR1143" s="1" t="str">
        <f>VLOOKUP(TRIM(AI1143),Sheet1!$D$3:$E$36,2,FALSE)</f>
        <v>02</v>
      </c>
      <c r="AS1143" s="90" t="str">
        <f t="shared" si="552"/>
        <v>02</v>
      </c>
      <c r="AT1143" s="1" t="str">
        <f t="shared" si="553"/>
        <v>01</v>
      </c>
      <c r="AU1143" s="90" t="s">
        <v>823</v>
      </c>
      <c r="AV1143" s="90"/>
      <c r="AW1143" s="90"/>
      <c r="AX1143" s="95" t="str">
        <f>AQ1143&amp;AR1143&amp;AS1143&amp;"-"&amp;AT1143&amp;AU1143&amp;BA1143</f>
        <v>C0202-0108OUT</v>
      </c>
      <c r="AY1143" s="99" t="str">
        <f>AQ1143&amp;AR1143&amp;AS1143&amp;"-"&amp;AT1143&amp;BA1143</f>
        <v>C0202-01OUT</v>
      </c>
      <c r="AZ1143" s="90"/>
      <c r="BA1143" s="1" t="str">
        <f t="shared" si="554"/>
        <v>OUT</v>
      </c>
      <c r="BC1143" s="1" t="str">
        <f t="shared" si="564"/>
        <v/>
      </c>
      <c r="BD1143" s="90">
        <f t="shared" si="565"/>
        <v>2</v>
      </c>
      <c r="BE1143" s="1">
        <f t="shared" si="556"/>
        <v>1</v>
      </c>
      <c r="BF1143" s="1">
        <f t="shared" si="557"/>
        <v>1</v>
      </c>
    </row>
    <row r="1144" spans="1:58" ht="11.25" customHeight="1">
      <c r="A1144" s="26" t="s">
        <v>2182</v>
      </c>
      <c r="B1144" s="27" t="s">
        <v>5174</v>
      </c>
      <c r="C1144" s="28">
        <v>31.99</v>
      </c>
      <c r="D1144" s="28">
        <f t="shared" si="545"/>
        <v>15.994999999999999</v>
      </c>
      <c r="E1144" s="22" t="s">
        <v>5100</v>
      </c>
      <c r="F1144" s="22" t="s">
        <v>5179</v>
      </c>
      <c r="G1144" s="22" t="s">
        <v>729</v>
      </c>
      <c r="H1144" s="22" t="s">
        <v>5180</v>
      </c>
      <c r="I1144" s="23" t="s">
        <v>2866</v>
      </c>
      <c r="J1144" s="22" t="s">
        <v>670</v>
      </c>
      <c r="K1144" s="23">
        <v>20</v>
      </c>
      <c r="L1144" s="23">
        <v>20</v>
      </c>
      <c r="M1144" s="23">
        <v>5</v>
      </c>
      <c r="N1144" s="3">
        <f t="shared" si="558"/>
        <v>2E-3</v>
      </c>
      <c r="O1144" s="4" t="e">
        <f>(C1144-(C1144*#REF!))-((C1144-(C1144*#REF!))*#REF!)</f>
        <v>#REF!</v>
      </c>
      <c r="P1144" s="7"/>
      <c r="Q1144" s="7"/>
      <c r="R1144" s="5">
        <f t="shared" si="559"/>
        <v>0</v>
      </c>
      <c r="S1144" s="4">
        <f t="shared" si="560"/>
        <v>0</v>
      </c>
      <c r="T1144" s="13">
        <f t="shared" si="546"/>
        <v>22.393000000000001</v>
      </c>
      <c r="U1144" s="13">
        <f t="shared" si="555"/>
        <v>11.1965</v>
      </c>
      <c r="V1144" s="14">
        <f>U1144/C1144</f>
        <v>0.35000000000000003</v>
      </c>
      <c r="W1144" s="14"/>
      <c r="X1144" s="19">
        <f t="shared" si="561"/>
        <v>11.1965</v>
      </c>
      <c r="Y1144" s="19">
        <f t="shared" si="562"/>
        <v>22.393000000000001</v>
      </c>
      <c r="Z1144" s="15" t="e">
        <f t="shared" si="566"/>
        <v>#DIV/0!</v>
      </c>
      <c r="AA1144" s="22" t="s">
        <v>5181</v>
      </c>
      <c r="AG1144" s="94" t="s">
        <v>817</v>
      </c>
      <c r="AH1144" s="89" t="str">
        <f>VLOOKUP(AG1144,Sheet1!$B$3:$D$36,2,FALSE)</f>
        <v>Kitchen &amp; Dining</v>
      </c>
      <c r="AI1144" s="89" t="s">
        <v>5106</v>
      </c>
      <c r="AJ1144" s="1" t="str">
        <f t="shared" si="547"/>
        <v>Ryu server</v>
      </c>
      <c r="AK1144" s="1" t="str">
        <f t="shared" si="548"/>
        <v>w20 x d20 x h5</v>
      </c>
      <c r="AL1144" s="1" t="str">
        <f t="shared" si="549"/>
        <v>lavastone outdoor</v>
      </c>
      <c r="AM1144" s="1" t="str">
        <f t="shared" si="550"/>
        <v>lavastone outdoor</v>
      </c>
      <c r="AN1144" s="1" t="str">
        <f t="shared" si="567"/>
        <v xml:space="preserve">lavastone </v>
      </c>
      <c r="AO1144" s="1" t="s">
        <v>59</v>
      </c>
      <c r="AQ1144" s="1" t="str">
        <f t="shared" si="551"/>
        <v>C</v>
      </c>
      <c r="AR1144" s="1" t="str">
        <f>VLOOKUP(TRIM(AI1144),Sheet1!$D$3:$E$36,2,FALSE)</f>
        <v>02</v>
      </c>
      <c r="AS1144" s="90" t="str">
        <f t="shared" si="552"/>
        <v>03</v>
      </c>
      <c r="AT1144" s="1" t="str">
        <f t="shared" si="553"/>
        <v>01</v>
      </c>
      <c r="AU1144" s="90" t="s">
        <v>823</v>
      </c>
      <c r="AV1144" s="90"/>
      <c r="AW1144" s="90"/>
      <c r="AX1144" s="95" t="str">
        <f>AQ1144&amp;AR1144&amp;AS1144&amp;"-"&amp;AT1144&amp;AU1144&amp;BA1144</f>
        <v>C0203-0108OUT</v>
      </c>
      <c r="AY1144" s="99" t="str">
        <f>AQ1144&amp;AR1144&amp;AS1144&amp;"-"&amp;AT1144&amp;BA1144</f>
        <v>C0203-01OUT</v>
      </c>
      <c r="AZ1144" s="90"/>
      <c r="BA1144" s="1" t="str">
        <f t="shared" si="554"/>
        <v>OUT</v>
      </c>
      <c r="BC1144" s="1" t="str">
        <f t="shared" si="564"/>
        <v/>
      </c>
      <c r="BD1144" s="90">
        <f t="shared" si="565"/>
        <v>3</v>
      </c>
      <c r="BE1144" s="1">
        <f t="shared" si="556"/>
        <v>1</v>
      </c>
      <c r="BF1144" s="1">
        <f t="shared" si="557"/>
        <v>1</v>
      </c>
    </row>
    <row r="1145" spans="1:58" ht="11.25" customHeight="1">
      <c r="A1145" s="26" t="s">
        <v>5182</v>
      </c>
      <c r="B1145" s="27" t="s">
        <v>5183</v>
      </c>
      <c r="C1145" s="28">
        <v>9.99</v>
      </c>
      <c r="D1145" s="28">
        <f t="shared" si="545"/>
        <v>4.9950000000000001</v>
      </c>
      <c r="E1145" s="22" t="s">
        <v>5100</v>
      </c>
      <c r="F1145" s="22" t="s">
        <v>5184</v>
      </c>
      <c r="G1145" s="22" t="s">
        <v>5185</v>
      </c>
      <c r="H1145" s="22" t="s">
        <v>5186</v>
      </c>
      <c r="I1145" s="23" t="s">
        <v>4484</v>
      </c>
      <c r="J1145" s="22" t="s">
        <v>670</v>
      </c>
      <c r="L1145" s="23">
        <v>2.5</v>
      </c>
      <c r="M1145" s="23">
        <v>2</v>
      </c>
      <c r="N1145" s="3">
        <f t="shared" si="558"/>
        <v>1.2500000000000001E-5</v>
      </c>
      <c r="O1145" s="4" t="e">
        <f>(C1145-(C1145*#REF!))-((C1145-(C1145*#REF!))*#REF!)</f>
        <v>#REF!</v>
      </c>
      <c r="P1145" s="7">
        <f>16503.0176210821-Q1145</f>
        <v>3.017621082100959</v>
      </c>
      <c r="Q1145" s="7">
        <v>16500</v>
      </c>
      <c r="R1145" s="5">
        <f t="shared" si="559"/>
        <v>16503.017621082101</v>
      </c>
      <c r="S1145" s="4">
        <f t="shared" si="560"/>
        <v>1.1002011747388067</v>
      </c>
      <c r="T1145" s="13">
        <f t="shared" si="546"/>
        <v>6.9930000000000003</v>
      </c>
      <c r="U1145" s="13">
        <f t="shared" si="555"/>
        <v>3.4965000000000002</v>
      </c>
      <c r="V1145" s="14">
        <f>U1145/C1145</f>
        <v>0.35000000000000003</v>
      </c>
      <c r="W1145" s="14"/>
      <c r="X1145" s="19">
        <f t="shared" si="561"/>
        <v>3.4965000000000002</v>
      </c>
      <c r="Y1145" s="19">
        <f t="shared" si="562"/>
        <v>6.9930000000000003</v>
      </c>
      <c r="Z1145" s="15">
        <f t="shared" si="566"/>
        <v>3.1780551414427336</v>
      </c>
      <c r="AA1145" s="22" t="s">
        <v>5187</v>
      </c>
      <c r="AG1145" s="94" t="s">
        <v>817</v>
      </c>
      <c r="AH1145" s="89" t="str">
        <f>VLOOKUP(AG1145,Sheet1!$B$3:$D$36,2,FALSE)</f>
        <v>Kitchen &amp; Dining</v>
      </c>
      <c r="AI1145" s="89" t="s">
        <v>5106</v>
      </c>
      <c r="AJ1145" s="1" t="str">
        <f t="shared" si="547"/>
        <v>Hashi</v>
      </c>
      <c r="AK1145" s="1" t="str">
        <f t="shared" si="548"/>
        <v>ø2.5 x h2</v>
      </c>
      <c r="AL1145" s="1" t="str">
        <f t="shared" si="549"/>
        <v>riverstone indoor</v>
      </c>
      <c r="AM1145" s="1" t="str">
        <f t="shared" si="550"/>
        <v>riverstone indoor</v>
      </c>
      <c r="AN1145" s="1" t="str">
        <f t="shared" ref="AN1145:AN1152" si="568">SUBSTITUTE(AL1145,"indoor","")</f>
        <v xml:space="preserve">riverstone </v>
      </c>
      <c r="AO1145" s="1" t="s">
        <v>54</v>
      </c>
      <c r="AQ1145" s="1" t="str">
        <f t="shared" si="551"/>
        <v>C</v>
      </c>
      <c r="AR1145" s="1" t="str">
        <f>VLOOKUP(TRIM(AI1145),Sheet1!$D$3:$E$36,2,FALSE)</f>
        <v>02</v>
      </c>
      <c r="AS1145" s="90" t="str">
        <f t="shared" si="552"/>
        <v>01</v>
      </c>
      <c r="AT1145" s="1" t="str">
        <f t="shared" si="553"/>
        <v>01</v>
      </c>
      <c r="AU1145" s="90" t="s">
        <v>975</v>
      </c>
      <c r="AV1145" s="90"/>
      <c r="AW1145" s="90"/>
      <c r="AX1145" s="95" t="str">
        <f>AQ1145&amp;AR1145&amp;AS1145&amp;"-"&amp;AT1145&amp;AU1145&amp;BA1145</f>
        <v>C0201-0118IND</v>
      </c>
      <c r="AY1145" s="99" t="str">
        <f>AQ1145&amp;AR1145&amp;AS1145&amp;"-"&amp;AT1145&amp;BA1145</f>
        <v>C0201-01IND</v>
      </c>
      <c r="AZ1145" s="90"/>
      <c r="BA1145" s="1" t="str">
        <f t="shared" si="554"/>
        <v>IND</v>
      </c>
      <c r="BC1145" s="1">
        <f t="shared" si="564"/>
        <v>1</v>
      </c>
      <c r="BD1145" s="90">
        <f t="shared" si="565"/>
        <v>1</v>
      </c>
      <c r="BE1145" s="1">
        <f t="shared" si="556"/>
        <v>1</v>
      </c>
      <c r="BF1145" s="1">
        <f t="shared" si="557"/>
        <v>1</v>
      </c>
    </row>
    <row r="1146" spans="1:58" ht="11.25" customHeight="1">
      <c r="A1146" s="26" t="s">
        <v>5188</v>
      </c>
      <c r="B1146" s="27" t="s">
        <v>5189</v>
      </c>
      <c r="C1146" s="28">
        <v>14.99</v>
      </c>
      <c r="D1146" s="28">
        <f t="shared" si="545"/>
        <v>7.4950000000000001</v>
      </c>
      <c r="E1146" s="22" t="s">
        <v>5100</v>
      </c>
      <c r="F1146" s="22" t="s">
        <v>5190</v>
      </c>
      <c r="G1146" s="22" t="s">
        <v>5191</v>
      </c>
      <c r="H1146" s="22" t="s">
        <v>5192</v>
      </c>
      <c r="I1146" s="23" t="s">
        <v>5193</v>
      </c>
      <c r="J1146" s="22" t="s">
        <v>670</v>
      </c>
      <c r="L1146" s="23">
        <v>10</v>
      </c>
      <c r="M1146" s="23">
        <v>4.5</v>
      </c>
      <c r="N1146" s="3">
        <f t="shared" si="558"/>
        <v>4.4999999999999999E-4</v>
      </c>
      <c r="O1146" s="4" t="e">
        <f>(C1146-(C1146*#REF!))-((C1146-(C1146*#REF!))*#REF!)</f>
        <v>#REF!</v>
      </c>
      <c r="P1146" s="7">
        <f>11108.6343589552-Q1146</f>
        <v>108.63435895519979</v>
      </c>
      <c r="Q1146" s="7">
        <v>11000</v>
      </c>
      <c r="R1146" s="5">
        <f t="shared" si="559"/>
        <v>11108.6343589552</v>
      </c>
      <c r="S1146" s="4">
        <f t="shared" si="560"/>
        <v>0.7405756239303467</v>
      </c>
      <c r="T1146" s="13">
        <f t="shared" si="546"/>
        <v>10.493</v>
      </c>
      <c r="U1146" s="13">
        <f t="shared" si="555"/>
        <v>5.2465000000000002</v>
      </c>
      <c r="V1146" s="14">
        <f>U1146/C1146</f>
        <v>0.35000000000000003</v>
      </c>
      <c r="W1146" s="14"/>
      <c r="X1146" s="19">
        <f t="shared" si="561"/>
        <v>5.2465000000000002</v>
      </c>
      <c r="Y1146" s="19">
        <f t="shared" si="562"/>
        <v>10.493</v>
      </c>
      <c r="Z1146" s="15">
        <f t="shared" si="566"/>
        <v>7.0843541570488533</v>
      </c>
      <c r="AA1146" s="22" t="s">
        <v>5194</v>
      </c>
      <c r="AG1146" s="94" t="s">
        <v>817</v>
      </c>
      <c r="AH1146" s="89" t="str">
        <f>VLOOKUP(AG1146,Sheet1!$B$3:$D$36,2,FALSE)</f>
        <v>Kitchen &amp; Dining</v>
      </c>
      <c r="AI1146" s="89" t="s">
        <v>5106</v>
      </c>
      <c r="AJ1146" s="1" t="str">
        <f t="shared" si="547"/>
        <v>Diogo cupholders</v>
      </c>
      <c r="AK1146" s="1" t="str">
        <f t="shared" si="548"/>
        <v>ø10 x h4,5</v>
      </c>
      <c r="AL1146" s="1" t="str">
        <f t="shared" si="549"/>
        <v>jute indoor</v>
      </c>
      <c r="AM1146" s="1" t="str">
        <f t="shared" si="550"/>
        <v>jute indoor</v>
      </c>
      <c r="AN1146" s="1" t="str">
        <f t="shared" si="568"/>
        <v xml:space="preserve">jute </v>
      </c>
      <c r="AO1146" s="1" t="s">
        <v>54</v>
      </c>
      <c r="AQ1146" s="1" t="str">
        <f t="shared" si="551"/>
        <v>C</v>
      </c>
      <c r="AR1146" s="1" t="str">
        <f>VLOOKUP(TRIM(AI1146),Sheet1!$D$3:$E$36,2,FALSE)</f>
        <v>02</v>
      </c>
      <c r="AS1146" s="90" t="str">
        <f t="shared" si="552"/>
        <v>01</v>
      </c>
      <c r="AT1146" s="1" t="str">
        <f t="shared" si="553"/>
        <v>01</v>
      </c>
      <c r="AU1146" s="90" t="s">
        <v>5195</v>
      </c>
      <c r="AV1146" s="90"/>
      <c r="AW1146" s="90"/>
      <c r="AX1146" s="95" t="str">
        <f>AQ1146&amp;AR1146&amp;AS1146&amp;"-"&amp;AT1146&amp;AU1146&amp;BA1146</f>
        <v>C0201-0106IND</v>
      </c>
      <c r="AY1146" s="99" t="str">
        <f>AQ1146&amp;AR1146&amp;AS1146&amp;"-"&amp;AT1146&amp;BA1146</f>
        <v>C0201-01IND</v>
      </c>
      <c r="AZ1146" s="90"/>
      <c r="BA1146" s="1" t="str">
        <f t="shared" si="554"/>
        <v>IND</v>
      </c>
      <c r="BC1146" s="1">
        <f t="shared" si="564"/>
        <v>1</v>
      </c>
      <c r="BD1146" s="90">
        <f t="shared" si="565"/>
        <v>1</v>
      </c>
      <c r="BE1146" s="1">
        <f t="shared" si="556"/>
        <v>1</v>
      </c>
      <c r="BF1146" s="1">
        <f t="shared" si="557"/>
        <v>1</v>
      </c>
    </row>
    <row r="1147" spans="1:58" ht="11.25" customHeight="1">
      <c r="A1147" s="26" t="s">
        <v>5196</v>
      </c>
      <c r="B1147" s="27" t="s">
        <v>5197</v>
      </c>
      <c r="C1147" s="28">
        <v>29.99</v>
      </c>
      <c r="D1147" s="28">
        <f t="shared" si="545"/>
        <v>14.994999999999999</v>
      </c>
      <c r="E1147" s="22" t="s">
        <v>5100</v>
      </c>
      <c r="F1147" s="22" t="s">
        <v>5198</v>
      </c>
      <c r="G1147" s="22" t="s">
        <v>5199</v>
      </c>
      <c r="H1147" s="22" t="s">
        <v>5200</v>
      </c>
      <c r="I1147" s="23" t="s">
        <v>4484</v>
      </c>
      <c r="J1147" s="22" t="s">
        <v>670</v>
      </c>
      <c r="L1147" s="23">
        <v>11</v>
      </c>
      <c r="M1147" s="23">
        <v>1.5</v>
      </c>
      <c r="N1147" s="3">
        <f t="shared" si="558"/>
        <v>1.8149999999999999E-4</v>
      </c>
      <c r="O1147" s="4" t="e">
        <f>(C1147-(C1147*#REF!))-((C1147-(C1147*#REF!))*#REF!)</f>
        <v>#REF!</v>
      </c>
      <c r="P1147" s="7"/>
      <c r="Q1147" s="7"/>
      <c r="R1147" s="5">
        <f t="shared" si="559"/>
        <v>0</v>
      </c>
      <c r="S1147" s="4">
        <f t="shared" si="560"/>
        <v>0</v>
      </c>
      <c r="T1147" s="13">
        <f t="shared" si="546"/>
        <v>20.992999999999999</v>
      </c>
      <c r="U1147" s="13">
        <f t="shared" si="555"/>
        <v>10.496499999999999</v>
      </c>
      <c r="V1147" s="14">
        <f>U1147/C1147</f>
        <v>0.35</v>
      </c>
      <c r="W1147" s="14"/>
      <c r="X1147" s="19">
        <f t="shared" si="561"/>
        <v>10.496499999999999</v>
      </c>
      <c r="Y1147" s="19">
        <f t="shared" si="562"/>
        <v>20.992999999999999</v>
      </c>
      <c r="Z1147" s="15" t="e">
        <f t="shared" si="566"/>
        <v>#DIV/0!</v>
      </c>
      <c r="AA1147" s="22" t="s">
        <v>5201</v>
      </c>
      <c r="AG1147" s="94" t="s">
        <v>817</v>
      </c>
      <c r="AH1147" s="89" t="str">
        <f>VLOOKUP(AG1147,Sheet1!$B$3:$D$36,2,FALSE)</f>
        <v>Kitchen &amp; Dining</v>
      </c>
      <c r="AI1147" s="89" t="s">
        <v>5106</v>
      </c>
      <c r="AJ1147" s="1" t="str">
        <f t="shared" si="547"/>
        <v>Krasak coasters</v>
      </c>
      <c r="AK1147" s="1" t="str">
        <f t="shared" si="548"/>
        <v>ø11 x h1,5</v>
      </c>
      <c r="AL1147" s="1" t="str">
        <f t="shared" si="549"/>
        <v>riverstone indoor</v>
      </c>
      <c r="AM1147" s="1" t="str">
        <f t="shared" si="550"/>
        <v>riverstone indoor</v>
      </c>
      <c r="AN1147" s="1" t="str">
        <f t="shared" si="568"/>
        <v xml:space="preserve">riverstone </v>
      </c>
      <c r="AO1147" s="1" t="s">
        <v>54</v>
      </c>
      <c r="AQ1147" s="1" t="str">
        <f t="shared" si="551"/>
        <v>C</v>
      </c>
      <c r="AR1147" s="1" t="str">
        <f>VLOOKUP(TRIM(AI1147),Sheet1!$D$3:$E$36,2,FALSE)</f>
        <v>02</v>
      </c>
      <c r="AS1147" s="90" t="str">
        <f t="shared" si="552"/>
        <v>01</v>
      </c>
      <c r="AT1147" s="1" t="str">
        <f t="shared" si="553"/>
        <v>01</v>
      </c>
      <c r="AU1147" s="90" t="s">
        <v>975</v>
      </c>
      <c r="AV1147" s="90"/>
      <c r="AW1147" s="90"/>
      <c r="AX1147" s="95" t="str">
        <f>AQ1147&amp;AR1147&amp;AS1147&amp;"-"&amp;AT1147&amp;AU1147&amp;BA1147</f>
        <v>C0201-0118IND</v>
      </c>
      <c r="AY1147" s="99" t="str">
        <f>AQ1147&amp;AR1147&amp;AS1147&amp;"-"&amp;AT1147&amp;BA1147</f>
        <v>C0201-01IND</v>
      </c>
      <c r="AZ1147" s="90"/>
      <c r="BA1147" s="1" t="str">
        <f t="shared" si="554"/>
        <v>IND</v>
      </c>
      <c r="BC1147" s="1">
        <f t="shared" si="564"/>
        <v>1</v>
      </c>
      <c r="BD1147" s="90">
        <f t="shared" si="565"/>
        <v>1</v>
      </c>
      <c r="BE1147" s="1">
        <f t="shared" si="556"/>
        <v>1</v>
      </c>
      <c r="BF1147" s="1">
        <f t="shared" si="557"/>
        <v>1</v>
      </c>
    </row>
    <row r="1148" spans="1:58" ht="11.25" customHeight="1">
      <c r="A1148" s="26" t="s">
        <v>5202</v>
      </c>
      <c r="B1148" s="27" t="s">
        <v>5203</v>
      </c>
      <c r="C1148" s="28">
        <v>19.989999999999998</v>
      </c>
      <c r="D1148" s="28">
        <f t="shared" si="545"/>
        <v>9.9949999999999992</v>
      </c>
      <c r="E1148" s="22" t="s">
        <v>5100</v>
      </c>
      <c r="F1148" s="22" t="s">
        <v>5204</v>
      </c>
      <c r="G1148" s="22" t="s">
        <v>5205</v>
      </c>
      <c r="H1148" s="22" t="s">
        <v>5206</v>
      </c>
      <c r="I1148" s="23" t="s">
        <v>5207</v>
      </c>
      <c r="J1148" s="22" t="s">
        <v>670</v>
      </c>
      <c r="L1148" s="23">
        <v>8</v>
      </c>
      <c r="M1148" s="23">
        <v>8</v>
      </c>
      <c r="N1148" s="3">
        <f t="shared" si="558"/>
        <v>5.1199999999999998E-4</v>
      </c>
      <c r="O1148" s="4" t="e">
        <f>(C1148-(C1148*#REF!))-((C1148-(C1148*#REF!))*#REF!)</f>
        <v>#REF!</v>
      </c>
      <c r="P1148" s="7"/>
      <c r="Q1148" s="7"/>
      <c r="R1148" s="5">
        <f t="shared" si="559"/>
        <v>0</v>
      </c>
      <c r="S1148" s="4">
        <f t="shared" si="560"/>
        <v>0</v>
      </c>
      <c r="T1148" s="13">
        <f t="shared" si="546"/>
        <v>13.992999999999999</v>
      </c>
      <c r="U1148" s="13">
        <f t="shared" si="555"/>
        <v>6.9964999999999993</v>
      </c>
      <c r="V1148" s="14">
        <f>U1148/C1148</f>
        <v>0.35</v>
      </c>
      <c r="W1148" s="14"/>
      <c r="X1148" s="19">
        <f t="shared" si="561"/>
        <v>6.9964999999999993</v>
      </c>
      <c r="Y1148" s="19">
        <f t="shared" si="562"/>
        <v>13.992999999999999</v>
      </c>
      <c r="Z1148" s="15" t="e">
        <f t="shared" si="566"/>
        <v>#DIV/0!</v>
      </c>
      <c r="AA1148" s="22" t="s">
        <v>5208</v>
      </c>
      <c r="AG1148" s="94" t="s">
        <v>817</v>
      </c>
      <c r="AH1148" s="89" t="str">
        <f>VLOOKUP(AG1148,Sheet1!$B$3:$D$36,2,FALSE)</f>
        <v>Kitchen &amp; Dining</v>
      </c>
      <c r="AI1148" s="89" t="s">
        <v>5106</v>
      </c>
      <c r="AJ1148" s="1" t="str">
        <f t="shared" si="547"/>
        <v>Ganjle wind stone</v>
      </c>
      <c r="AK1148" s="1" t="str">
        <f t="shared" si="548"/>
        <v>ø6-8 x h6-8</v>
      </c>
      <c r="AL1148" s="1" t="str">
        <f t="shared" si="549"/>
        <v>stone with rope indoor</v>
      </c>
      <c r="AM1148" s="1" t="str">
        <f t="shared" si="550"/>
        <v>stone with rope indoor</v>
      </c>
      <c r="AN1148" s="1" t="str">
        <f t="shared" si="568"/>
        <v xml:space="preserve">stone with rope </v>
      </c>
      <c r="AO1148" s="1" t="s">
        <v>54</v>
      </c>
      <c r="AQ1148" s="1" t="str">
        <f t="shared" si="551"/>
        <v>C</v>
      </c>
      <c r="AR1148" s="1" t="str">
        <f>VLOOKUP(TRIM(AI1148),Sheet1!$D$3:$E$36,2,FALSE)</f>
        <v>02</v>
      </c>
      <c r="AS1148" s="90" t="str">
        <f t="shared" si="552"/>
        <v>01</v>
      </c>
      <c r="AT1148" s="1" t="str">
        <f t="shared" si="553"/>
        <v>01</v>
      </c>
      <c r="AU1148" s="90" t="s">
        <v>2507</v>
      </c>
      <c r="AV1148" s="90"/>
      <c r="AW1148" s="90"/>
      <c r="AX1148" s="95" t="str">
        <f>AQ1148&amp;AR1148&amp;AS1148&amp;"-"&amp;AT1148&amp;AU1148&amp;BA1148</f>
        <v>C0201-0123IND</v>
      </c>
      <c r="AY1148" s="99" t="str">
        <f>AQ1148&amp;AR1148&amp;AS1148&amp;"-"&amp;AT1148&amp;BA1148</f>
        <v>C0201-01IND</v>
      </c>
      <c r="AZ1148" s="90"/>
      <c r="BA1148" s="1" t="str">
        <f t="shared" si="554"/>
        <v>IND</v>
      </c>
      <c r="BC1148" s="1">
        <f t="shared" si="564"/>
        <v>1</v>
      </c>
      <c r="BD1148" s="90">
        <f t="shared" si="565"/>
        <v>1</v>
      </c>
      <c r="BE1148" s="1">
        <f t="shared" si="556"/>
        <v>1</v>
      </c>
      <c r="BF1148" s="1">
        <f t="shared" si="557"/>
        <v>1</v>
      </c>
    </row>
    <row r="1149" spans="1:58" ht="11.25" customHeight="1">
      <c r="A1149" s="26">
        <v>33020</v>
      </c>
      <c r="B1149" s="27" t="s">
        <v>5209</v>
      </c>
      <c r="C1149" s="28">
        <v>77.989999999999995</v>
      </c>
      <c r="D1149" s="28">
        <f t="shared" si="545"/>
        <v>38.994999999999997</v>
      </c>
      <c r="E1149" s="22" t="s">
        <v>5100</v>
      </c>
      <c r="F1149" s="22" t="s">
        <v>5210</v>
      </c>
      <c r="G1149" s="22" t="s">
        <v>5211</v>
      </c>
      <c r="H1149" s="22" t="s">
        <v>2764</v>
      </c>
      <c r="I1149" s="23" t="s">
        <v>3075</v>
      </c>
      <c r="J1149" s="22" t="s">
        <v>670</v>
      </c>
      <c r="L1149" s="23">
        <v>30</v>
      </c>
      <c r="M1149" s="23">
        <v>30</v>
      </c>
      <c r="N1149" s="3">
        <f t="shared" si="558"/>
        <v>2.7E-2</v>
      </c>
      <c r="O1149" s="4" t="e">
        <f>(C1149-(C1149*#REF!))-((C1149-(C1149*#REF!))*#REF!)</f>
        <v>#REF!</v>
      </c>
      <c r="P1149" s="7"/>
      <c r="Q1149" s="7"/>
      <c r="R1149" s="5">
        <f t="shared" si="559"/>
        <v>0</v>
      </c>
      <c r="S1149" s="4">
        <f t="shared" si="560"/>
        <v>0</v>
      </c>
      <c r="T1149" s="13">
        <f t="shared" si="546"/>
        <v>54.592999999999996</v>
      </c>
      <c r="U1149" s="13">
        <f t="shared" si="555"/>
        <v>27.296499999999998</v>
      </c>
      <c r="V1149" s="14">
        <f>U1149/C1149</f>
        <v>0.35</v>
      </c>
      <c r="W1149" s="14"/>
      <c r="X1149" s="19">
        <f t="shared" si="561"/>
        <v>27.296499999999998</v>
      </c>
      <c r="Y1149" s="19">
        <f t="shared" si="562"/>
        <v>54.592999999999996</v>
      </c>
      <c r="Z1149" s="15" t="e">
        <f t="shared" si="566"/>
        <v>#DIV/0!</v>
      </c>
      <c r="AA1149" s="22" t="s">
        <v>5212</v>
      </c>
      <c r="AG1149" s="94" t="s">
        <v>817</v>
      </c>
      <c r="AH1149" s="89" t="str">
        <f>VLOOKUP(AG1149,Sheet1!$B$3:$D$36,2,FALSE)</f>
        <v>Kitchen &amp; Dining</v>
      </c>
      <c r="AI1149" s="89" t="s">
        <v>5106</v>
      </c>
      <c r="AJ1149" s="1" t="str">
        <f t="shared" si="547"/>
        <v>Naomi basket with handles</v>
      </c>
      <c r="AK1149" s="1" t="str">
        <f t="shared" si="548"/>
        <v>ø30 x h30</v>
      </c>
      <c r="AL1149" s="1" t="str">
        <f t="shared" si="549"/>
        <v>abaca indoor</v>
      </c>
      <c r="AM1149" s="1" t="str">
        <f t="shared" si="550"/>
        <v>abaca indoor</v>
      </c>
      <c r="AN1149" s="1" t="str">
        <f t="shared" si="568"/>
        <v xml:space="preserve">abaca </v>
      </c>
      <c r="AO1149" s="1" t="s">
        <v>54</v>
      </c>
      <c r="AQ1149" s="1" t="str">
        <f t="shared" si="551"/>
        <v>C</v>
      </c>
      <c r="AR1149" s="1" t="str">
        <f>VLOOKUP(TRIM(AI1149),Sheet1!$D$3:$E$36,2,FALSE)</f>
        <v>02</v>
      </c>
      <c r="AS1149" s="90" t="str">
        <f t="shared" si="552"/>
        <v>01</v>
      </c>
      <c r="AT1149" s="1" t="str">
        <f t="shared" si="553"/>
        <v>01</v>
      </c>
      <c r="AU1149" s="90" t="s">
        <v>52</v>
      </c>
      <c r="AV1149" s="90"/>
      <c r="AW1149" s="90"/>
      <c r="AX1149" s="95" t="str">
        <f>AQ1149&amp;AR1149&amp;AS1149&amp;"-"&amp;AT1149&amp;AU1149&amp;BA1149</f>
        <v>C0201-0101IND</v>
      </c>
      <c r="AY1149" s="99" t="str">
        <f>AQ1149&amp;AR1149&amp;AS1149&amp;"-"&amp;AT1149&amp;BA1149</f>
        <v>C0201-01IND</v>
      </c>
      <c r="AZ1149" s="90"/>
      <c r="BA1149" s="1" t="str">
        <f t="shared" si="554"/>
        <v>IND</v>
      </c>
      <c r="BC1149" s="1">
        <f t="shared" si="564"/>
        <v>1</v>
      </c>
      <c r="BD1149" s="90">
        <f t="shared" si="565"/>
        <v>1</v>
      </c>
      <c r="BE1149" s="1">
        <f t="shared" si="556"/>
        <v>1</v>
      </c>
      <c r="BF1149" s="1">
        <f t="shared" si="557"/>
        <v>1</v>
      </c>
    </row>
    <row r="1150" spans="1:58" ht="11.25" customHeight="1">
      <c r="A1150" s="26" t="s">
        <v>3018</v>
      </c>
      <c r="B1150" s="27" t="s">
        <v>5213</v>
      </c>
      <c r="C1150" s="28">
        <v>44.99</v>
      </c>
      <c r="D1150" s="28">
        <f t="shared" si="545"/>
        <v>22.495000000000001</v>
      </c>
      <c r="E1150" s="22" t="s">
        <v>5100</v>
      </c>
      <c r="F1150" s="22" t="s">
        <v>5214</v>
      </c>
      <c r="G1150" s="22" t="s">
        <v>5215</v>
      </c>
      <c r="H1150" s="22" t="s">
        <v>5216</v>
      </c>
      <c r="I1150" s="23" t="s">
        <v>2407</v>
      </c>
      <c r="J1150" s="22" t="s">
        <v>646</v>
      </c>
      <c r="L1150" s="23">
        <v>11</v>
      </c>
      <c r="M1150" s="23">
        <v>1.5</v>
      </c>
      <c r="N1150" s="3">
        <f t="shared" si="558"/>
        <v>1.8149999999999999E-4</v>
      </c>
      <c r="O1150" s="4" t="e">
        <f>(C1150-(C1150*#REF!))-((C1150-(C1150*#REF!))*#REF!)</f>
        <v>#REF!</v>
      </c>
      <c r="P1150" s="7"/>
      <c r="Q1150" s="7"/>
      <c r="R1150" s="5">
        <f t="shared" si="559"/>
        <v>0</v>
      </c>
      <c r="S1150" s="4">
        <f t="shared" si="560"/>
        <v>0</v>
      </c>
      <c r="T1150" s="13">
        <f t="shared" si="546"/>
        <v>31.493000000000002</v>
      </c>
      <c r="U1150" s="13">
        <f t="shared" si="555"/>
        <v>15.746500000000001</v>
      </c>
      <c r="V1150" s="14">
        <f>U1150/C1150</f>
        <v>0.35000000000000003</v>
      </c>
      <c r="W1150" s="14"/>
      <c r="X1150" s="19">
        <f t="shared" si="561"/>
        <v>15.746500000000001</v>
      </c>
      <c r="Y1150" s="19">
        <f t="shared" si="562"/>
        <v>31.493000000000002</v>
      </c>
      <c r="Z1150" s="15" t="e">
        <f t="shared" si="566"/>
        <v>#DIV/0!</v>
      </c>
      <c r="AA1150" s="22" t="s">
        <v>5217</v>
      </c>
      <c r="AG1150" s="94" t="s">
        <v>817</v>
      </c>
      <c r="AH1150" s="89" t="str">
        <f>VLOOKUP(AG1150,Sheet1!$B$3:$D$36,2,FALSE)</f>
        <v>Kitchen &amp; Dining</v>
      </c>
      <c r="AI1150" s="89" t="s">
        <v>5106</v>
      </c>
      <c r="AJ1150" s="1" t="str">
        <f t="shared" si="547"/>
        <v>Fujiko drinking coaster</v>
      </c>
      <c r="AK1150" s="1" t="str">
        <f t="shared" si="548"/>
        <v>ø11 x h1.5 per coaster</v>
      </c>
      <c r="AL1150" s="1" t="str">
        <f t="shared" si="549"/>
        <v>teak root indoor</v>
      </c>
      <c r="AM1150" s="1" t="str">
        <f t="shared" si="550"/>
        <v>teak root indoor</v>
      </c>
      <c r="AN1150" s="1" t="str">
        <f t="shared" si="568"/>
        <v xml:space="preserve">teak root </v>
      </c>
      <c r="AO1150" s="1" t="s">
        <v>54</v>
      </c>
      <c r="AQ1150" s="1" t="str">
        <f t="shared" si="551"/>
        <v>C</v>
      </c>
      <c r="AR1150" s="1" t="str">
        <f>VLOOKUP(TRIM(AI1150),Sheet1!$D$3:$E$36,2,FALSE)</f>
        <v>02</v>
      </c>
      <c r="AS1150" s="90" t="str">
        <f t="shared" si="552"/>
        <v>01</v>
      </c>
      <c r="AT1150" s="1" t="str">
        <f t="shared" si="553"/>
        <v>01</v>
      </c>
      <c r="AU1150" s="90" t="s">
        <v>648</v>
      </c>
      <c r="AV1150" s="90"/>
      <c r="AW1150" s="90"/>
      <c r="AX1150" s="95" t="str">
        <f>AQ1150&amp;AR1150&amp;AS1150&amp;"-"&amp;AT1150&amp;AU1150&amp;BA1150</f>
        <v>C0201-0132IND</v>
      </c>
      <c r="AY1150" s="99" t="str">
        <f>AQ1150&amp;AR1150&amp;AS1150&amp;"-"&amp;AT1150&amp;BA1150</f>
        <v>C0201-01IND</v>
      </c>
      <c r="AZ1150" s="90"/>
      <c r="BA1150" s="1" t="str">
        <f t="shared" si="554"/>
        <v>IND</v>
      </c>
      <c r="BC1150" s="1">
        <f t="shared" si="564"/>
        <v>1</v>
      </c>
      <c r="BD1150" s="90">
        <f t="shared" si="565"/>
        <v>1</v>
      </c>
      <c r="BE1150" s="1">
        <f t="shared" si="556"/>
        <v>1</v>
      </c>
      <c r="BF1150" s="1">
        <f t="shared" si="557"/>
        <v>1</v>
      </c>
    </row>
    <row r="1151" spans="1:58" ht="11.25" customHeight="1">
      <c r="A1151" s="26">
        <v>33022</v>
      </c>
      <c r="B1151" s="27" t="s">
        <v>5218</v>
      </c>
      <c r="C1151" s="28">
        <v>20.99</v>
      </c>
      <c r="D1151" s="28">
        <f t="shared" si="545"/>
        <v>10.494999999999999</v>
      </c>
      <c r="E1151" s="22" t="s">
        <v>5100</v>
      </c>
      <c r="F1151" s="22" t="s">
        <v>5219</v>
      </c>
      <c r="G1151" s="22" t="s">
        <v>5220</v>
      </c>
      <c r="H1151" s="22" t="s">
        <v>5221</v>
      </c>
      <c r="I1151" s="23" t="s">
        <v>5222</v>
      </c>
      <c r="J1151" s="22" t="s">
        <v>670</v>
      </c>
      <c r="L1151" s="23">
        <v>37</v>
      </c>
      <c r="M1151" s="23">
        <v>3</v>
      </c>
      <c r="N1151" s="3">
        <f t="shared" si="558"/>
        <v>4.1070000000000004E-3</v>
      </c>
      <c r="O1151" s="4" t="e">
        <f>(C1151-(C1151*#REF!))-((C1151-(C1151*#REF!))*#REF!)</f>
        <v>#REF!</v>
      </c>
      <c r="P1151" s="7">
        <f>64791.4695827313-Q1151</f>
        <v>991.46958273129712</v>
      </c>
      <c r="Q1151" s="7">
        <v>63800</v>
      </c>
      <c r="R1151" s="5">
        <f t="shared" si="559"/>
        <v>64791.469582731297</v>
      </c>
      <c r="S1151" s="4">
        <f t="shared" si="560"/>
        <v>4.3194313055154199</v>
      </c>
      <c r="T1151" s="13">
        <f t="shared" si="546"/>
        <v>14.692999999999998</v>
      </c>
      <c r="U1151" s="13">
        <f t="shared" si="555"/>
        <v>7.3464999999999989</v>
      </c>
      <c r="V1151" s="14">
        <f>U1151/C1151</f>
        <v>0.35</v>
      </c>
      <c r="W1151" s="18">
        <f>S1151*$W$1</f>
        <v>8.6388626110308397</v>
      </c>
      <c r="X1151" s="19">
        <f t="shared" si="561"/>
        <v>8.6388626110308397</v>
      </c>
      <c r="Y1151" s="19">
        <f t="shared" si="562"/>
        <v>17.277725222061679</v>
      </c>
      <c r="Z1151" s="15">
        <v>2</v>
      </c>
      <c r="AA1151" s="22" t="s">
        <v>5223</v>
      </c>
      <c r="AG1151" s="94" t="s">
        <v>817</v>
      </c>
      <c r="AH1151" s="89" t="str">
        <f>VLOOKUP(AG1151,Sheet1!$B$3:$D$36,2,FALSE)</f>
        <v>Kitchen &amp; Dining</v>
      </c>
      <c r="AI1151" s="89" t="s">
        <v>5106</v>
      </c>
      <c r="AJ1151" s="1" t="str">
        <f t="shared" si="547"/>
        <v>Tatag plate coaster</v>
      </c>
      <c r="AK1151" s="1" t="str">
        <f t="shared" si="548"/>
        <v>ø37 x h3</v>
      </c>
      <c r="AL1151" s="1" t="str">
        <f t="shared" si="549"/>
        <v>kubu indoor</v>
      </c>
      <c r="AM1151" s="1" t="str">
        <f t="shared" si="550"/>
        <v>kubu indoor</v>
      </c>
      <c r="AN1151" s="1" t="str">
        <f t="shared" si="568"/>
        <v xml:space="preserve">kubu </v>
      </c>
      <c r="AO1151" s="1" t="s">
        <v>54</v>
      </c>
      <c r="AQ1151" s="1" t="str">
        <f t="shared" si="551"/>
        <v>C</v>
      </c>
      <c r="AR1151" s="1" t="str">
        <f>VLOOKUP(TRIM(AI1151),Sheet1!$D$3:$E$36,2,FALSE)</f>
        <v>02</v>
      </c>
      <c r="AS1151" s="90" t="str">
        <f t="shared" si="552"/>
        <v>01</v>
      </c>
      <c r="AT1151" s="1" t="str">
        <f t="shared" si="553"/>
        <v>01</v>
      </c>
      <c r="AU1151" s="90" t="s">
        <v>1198</v>
      </c>
      <c r="AV1151" s="90"/>
      <c r="AW1151" s="90"/>
      <c r="AX1151" s="95" t="str">
        <f>AQ1151&amp;AR1151&amp;AS1151&amp;"-"&amp;AT1151&amp;AU1151&amp;BA1151</f>
        <v>C0201-0107IND</v>
      </c>
      <c r="AY1151" s="99" t="str">
        <f>AQ1151&amp;AR1151&amp;AS1151&amp;"-"&amp;AT1151&amp;BA1151</f>
        <v>C0201-01IND</v>
      </c>
      <c r="AZ1151" s="90"/>
      <c r="BA1151" s="1" t="str">
        <f t="shared" si="554"/>
        <v>IND</v>
      </c>
      <c r="BC1151" s="1">
        <f t="shared" si="564"/>
        <v>1</v>
      </c>
      <c r="BD1151" s="90">
        <f t="shared" si="565"/>
        <v>1</v>
      </c>
      <c r="BE1151" s="1">
        <f t="shared" si="556"/>
        <v>1</v>
      </c>
      <c r="BF1151" s="1">
        <f t="shared" si="557"/>
        <v>1</v>
      </c>
    </row>
    <row r="1152" spans="1:58" ht="11.25" customHeight="1">
      <c r="A1152" s="26">
        <v>33023</v>
      </c>
      <c r="B1152" s="27" t="s">
        <v>5224</v>
      </c>
      <c r="C1152" s="28">
        <v>19.989999999999998</v>
      </c>
      <c r="D1152" s="28">
        <f t="shared" si="545"/>
        <v>9.9949999999999992</v>
      </c>
      <c r="E1152" s="22" t="s">
        <v>5100</v>
      </c>
      <c r="F1152" s="22" t="s">
        <v>5225</v>
      </c>
      <c r="G1152" s="22" t="s">
        <v>5226</v>
      </c>
      <c r="H1152" s="22" t="s">
        <v>5227</v>
      </c>
      <c r="I1152" s="23" t="s">
        <v>5222</v>
      </c>
      <c r="J1152" s="22" t="s">
        <v>670</v>
      </c>
      <c r="L1152" s="23">
        <v>11</v>
      </c>
      <c r="M1152" s="23">
        <v>3</v>
      </c>
      <c r="N1152" s="3">
        <f t="shared" si="558"/>
        <v>3.6299999999999999E-4</v>
      </c>
      <c r="O1152" s="4" t="e">
        <f>(C1152-(C1152*#REF!))-((C1152-(C1152*#REF!))*#REF!)</f>
        <v>#REF!</v>
      </c>
      <c r="P1152" s="7">
        <f>38587.6317162238-Q1152</f>
        <v>87.631716223797412</v>
      </c>
      <c r="Q1152" s="7">
        <v>38500</v>
      </c>
      <c r="R1152" s="5">
        <f t="shared" si="559"/>
        <v>38587.631716223797</v>
      </c>
      <c r="S1152" s="4">
        <f t="shared" si="560"/>
        <v>2.5725087810815865</v>
      </c>
      <c r="T1152" s="13">
        <f t="shared" si="546"/>
        <v>13.992999999999999</v>
      </c>
      <c r="U1152" s="13">
        <f t="shared" si="555"/>
        <v>6.9964999999999993</v>
      </c>
      <c r="V1152" s="14">
        <f>U1152/C1152</f>
        <v>0.35</v>
      </c>
      <c r="W1152" s="14"/>
      <c r="X1152" s="19">
        <f t="shared" si="561"/>
        <v>6.9964999999999993</v>
      </c>
      <c r="Y1152" s="19">
        <f t="shared" si="562"/>
        <v>13.992999999999999</v>
      </c>
      <c r="Z1152" s="15">
        <f>U1152/S1152</f>
        <v>2.7197186075525805</v>
      </c>
      <c r="AA1152" s="22" t="s">
        <v>5228</v>
      </c>
      <c r="AG1152" s="94" t="s">
        <v>817</v>
      </c>
      <c r="AH1152" s="89" t="str">
        <f>VLOOKUP(AG1152,Sheet1!$B$3:$D$36,2,FALSE)</f>
        <v>Kitchen &amp; Dining</v>
      </c>
      <c r="AI1152" s="89" t="s">
        <v>5106</v>
      </c>
      <c r="AJ1152" s="1" t="str">
        <f t="shared" si="547"/>
        <v>Glam drinking coaster</v>
      </c>
      <c r="AK1152" s="1" t="str">
        <f t="shared" si="548"/>
        <v>ø11 x h3</v>
      </c>
      <c r="AL1152" s="1" t="str">
        <f t="shared" si="549"/>
        <v>kubu indoor</v>
      </c>
      <c r="AM1152" s="1" t="str">
        <f t="shared" si="550"/>
        <v>kubu indoor</v>
      </c>
      <c r="AN1152" s="1" t="str">
        <f t="shared" si="568"/>
        <v xml:space="preserve">kubu </v>
      </c>
      <c r="AO1152" s="1" t="s">
        <v>54</v>
      </c>
      <c r="AQ1152" s="1" t="str">
        <f t="shared" si="551"/>
        <v>C</v>
      </c>
      <c r="AR1152" s="1" t="str">
        <f>VLOOKUP(TRIM(AI1152),Sheet1!$D$3:$E$36,2,FALSE)</f>
        <v>02</v>
      </c>
      <c r="AS1152" s="90" t="str">
        <f t="shared" si="552"/>
        <v>01</v>
      </c>
      <c r="AT1152" s="1" t="str">
        <f t="shared" si="553"/>
        <v>01</v>
      </c>
      <c r="AU1152" s="90" t="s">
        <v>1198</v>
      </c>
      <c r="AV1152" s="90"/>
      <c r="AW1152" s="90"/>
      <c r="AX1152" s="95" t="str">
        <f>AQ1152&amp;AR1152&amp;AS1152&amp;"-"&amp;AT1152&amp;AU1152&amp;BA1152</f>
        <v>C0201-0107IND</v>
      </c>
      <c r="AY1152" s="99" t="str">
        <f>AQ1152&amp;AR1152&amp;AS1152&amp;"-"&amp;AT1152&amp;BA1152</f>
        <v>C0201-01IND</v>
      </c>
      <c r="AZ1152" s="90"/>
      <c r="BA1152" s="1" t="str">
        <f t="shared" si="554"/>
        <v>IND</v>
      </c>
      <c r="BC1152" s="1">
        <f t="shared" si="564"/>
        <v>1</v>
      </c>
      <c r="BD1152" s="90">
        <f t="shared" si="565"/>
        <v>1</v>
      </c>
      <c r="BE1152" s="1">
        <f t="shared" si="556"/>
        <v>1</v>
      </c>
      <c r="BF1152" s="1">
        <f t="shared" si="557"/>
        <v>1</v>
      </c>
    </row>
    <row r="1153" spans="14:52" ht="11.25" customHeight="1">
      <c r="N1153" s="48"/>
      <c r="O1153" s="48"/>
      <c r="P1153" s="49"/>
      <c r="Q1153" s="49"/>
      <c r="R1153" s="50"/>
      <c r="S1153" s="48"/>
      <c r="T1153" s="58"/>
      <c r="U1153" s="13"/>
      <c r="W1153" s="14"/>
      <c r="X1153" s="60"/>
      <c r="Y1153" s="60"/>
      <c r="AH1153" s="89"/>
      <c r="AI1153" s="89"/>
      <c r="AS1153" s="90"/>
      <c r="AT1153" s="90"/>
      <c r="AU1153" s="90"/>
      <c r="AV1153" s="90"/>
      <c r="AW1153" s="90"/>
      <c r="AX1153" s="98"/>
      <c r="AY1153" s="102"/>
      <c r="AZ1153" s="90"/>
    </row>
    <row r="1154" spans="14:52" ht="11.25" customHeight="1">
      <c r="AH1154" s="89"/>
      <c r="AI1154" s="89"/>
      <c r="AS1154" s="90"/>
      <c r="AT1154" s="90"/>
      <c r="AU1154" s="90"/>
      <c r="AV1154" s="90"/>
      <c r="AW1154" s="90"/>
      <c r="AX1154" s="98"/>
      <c r="AY1154" s="102"/>
      <c r="AZ1154" s="90"/>
    </row>
    <row r="1155" spans="14:52" ht="11.25" customHeight="1">
      <c r="AH1155" s="89"/>
      <c r="AI1155" s="89"/>
      <c r="AS1155" s="90"/>
      <c r="AT1155" s="90"/>
      <c r="AU1155" s="90"/>
      <c r="AV1155" s="90"/>
      <c r="AW1155" s="90"/>
      <c r="AX1155" s="98"/>
      <c r="AY1155" s="102"/>
      <c r="AZ1155" s="90"/>
    </row>
    <row r="1156" spans="14:52" ht="11.25" customHeight="1">
      <c r="AS1156" s="90"/>
      <c r="AT1156" s="90"/>
      <c r="AU1156" s="90"/>
      <c r="AV1156" s="90"/>
      <c r="AW1156" s="90"/>
      <c r="AX1156" s="98"/>
      <c r="AY1156" s="102"/>
      <c r="AZ1156" s="90"/>
    </row>
    <row r="1157" spans="14:52" ht="11.25" customHeight="1">
      <c r="AS1157" s="90"/>
      <c r="AT1157" s="90"/>
      <c r="AU1157" s="90"/>
      <c r="AV1157" s="90"/>
      <c r="AW1157" s="90"/>
      <c r="AX1157" s="98"/>
      <c r="AY1157" s="102"/>
      <c r="AZ1157" s="90"/>
    </row>
    <row r="1158" spans="14:52" ht="11.25" customHeight="1">
      <c r="AS1158" s="90"/>
      <c r="AT1158" s="90"/>
      <c r="AU1158" s="90"/>
      <c r="AV1158" s="90"/>
      <c r="AW1158" s="90"/>
      <c r="AX1158" s="98"/>
      <c r="AY1158" s="102"/>
      <c r="AZ1158" s="90"/>
    </row>
    <row r="1159" spans="14:52" ht="11.25" customHeight="1">
      <c r="AS1159" s="90"/>
      <c r="AT1159" s="90"/>
      <c r="AU1159" s="90"/>
      <c r="AV1159" s="90"/>
      <c r="AW1159" s="90"/>
      <c r="AX1159" s="98"/>
      <c r="AY1159" s="102"/>
      <c r="AZ1159" s="90"/>
    </row>
    <row r="1160" spans="14:52" ht="11.25" customHeight="1">
      <c r="AS1160" s="90"/>
      <c r="AT1160" s="90"/>
      <c r="AU1160" s="90"/>
      <c r="AV1160" s="90"/>
      <c r="AW1160" s="90"/>
      <c r="AX1160" s="98"/>
      <c r="AY1160" s="102"/>
      <c r="AZ1160" s="90"/>
    </row>
    <row r="1161" spans="14:52" ht="11.25" customHeight="1">
      <c r="AS1161" s="90"/>
      <c r="AT1161" s="90"/>
      <c r="AU1161" s="90"/>
      <c r="AV1161" s="90"/>
      <c r="AW1161" s="90"/>
      <c r="AX1161" s="98"/>
      <c r="AY1161" s="102"/>
      <c r="AZ1161" s="90"/>
    </row>
    <row r="1162" spans="14:52" ht="11.25" customHeight="1">
      <c r="AS1162" s="90"/>
      <c r="AT1162" s="90"/>
      <c r="AU1162" s="90"/>
      <c r="AV1162" s="90"/>
      <c r="AW1162" s="90"/>
      <c r="AX1162" s="98"/>
      <c r="AY1162" s="102"/>
      <c r="AZ1162" s="90"/>
    </row>
    <row r="1163" spans="14:52" ht="11.25" customHeight="1">
      <c r="AS1163" s="90"/>
      <c r="AT1163" s="90"/>
      <c r="AU1163" s="90"/>
      <c r="AV1163" s="90"/>
      <c r="AW1163" s="90"/>
      <c r="AX1163" s="98"/>
      <c r="AY1163" s="102"/>
      <c r="AZ1163" s="90"/>
    </row>
    <row r="1164" spans="14:52" ht="11.25" customHeight="1">
      <c r="AS1164" s="90"/>
      <c r="AT1164" s="90"/>
      <c r="AU1164" s="90"/>
      <c r="AV1164" s="90"/>
      <c r="AW1164" s="90"/>
      <c r="AX1164" s="98"/>
      <c r="AY1164" s="102"/>
      <c r="AZ1164" s="90"/>
    </row>
    <row r="1165" spans="14:52" ht="11.25" customHeight="1">
      <c r="AS1165" s="90"/>
      <c r="AT1165" s="90"/>
      <c r="AU1165" s="90"/>
      <c r="AV1165" s="90"/>
      <c r="AW1165" s="90"/>
      <c r="AX1165" s="98"/>
      <c r="AY1165" s="102"/>
      <c r="AZ1165" s="90"/>
    </row>
    <row r="1166" spans="14:52" ht="11.25" customHeight="1">
      <c r="AS1166" s="90"/>
      <c r="AT1166" s="90"/>
      <c r="AU1166" s="90"/>
      <c r="AV1166" s="90"/>
      <c r="AW1166" s="90"/>
      <c r="AX1166" s="98"/>
      <c r="AY1166" s="102"/>
      <c r="AZ1166" s="90"/>
    </row>
    <row r="1167" spans="14:52" ht="11.25" customHeight="1">
      <c r="AS1167" s="90"/>
      <c r="AT1167" s="90"/>
      <c r="AU1167" s="90"/>
      <c r="AV1167" s="90"/>
      <c r="AW1167" s="90"/>
      <c r="AX1167" s="98"/>
      <c r="AY1167" s="102"/>
      <c r="AZ1167" s="90"/>
    </row>
    <row r="1168" spans="14:52" ht="11.25" customHeight="1">
      <c r="AS1168" s="90"/>
      <c r="AT1168" s="90"/>
      <c r="AU1168" s="90"/>
      <c r="AV1168" s="90"/>
      <c r="AW1168" s="90"/>
      <c r="AX1168" s="98"/>
      <c r="AY1168" s="102"/>
      <c r="AZ1168" s="90"/>
    </row>
    <row r="1169" spans="45:52" ht="11.25" customHeight="1">
      <c r="AS1169" s="90"/>
      <c r="AT1169" s="90"/>
      <c r="AU1169" s="90"/>
      <c r="AV1169" s="90"/>
      <c r="AW1169" s="90"/>
      <c r="AX1169" s="98"/>
      <c r="AY1169" s="102"/>
      <c r="AZ1169" s="90"/>
    </row>
  </sheetData>
  <autoFilter ref="A1:BG1425" xr:uid="{8BB2095F-9C38-4B10-911A-3D710897E2B5}"/>
  <sortState xmlns:xlrd2="http://schemas.microsoft.com/office/spreadsheetml/2017/richdata2" ref="BJ7:BK202">
    <sortCondition ref="BJ7:BJ202"/>
  </sortState>
  <phoneticPr fontId="1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6F926-5CFB-4CEB-8B49-EC94E60DB767}">
  <dimension ref="A2:E36"/>
  <sheetViews>
    <sheetView topLeftCell="A11" workbookViewId="0">
      <selection activeCell="D28" sqref="D28"/>
    </sheetView>
  </sheetViews>
  <sheetFormatPr defaultRowHeight="15"/>
  <cols>
    <col min="2" max="2" width="13.28515625" bestFit="1" customWidth="1"/>
    <col min="3" max="3" width="15.85546875" bestFit="1" customWidth="1"/>
    <col min="4" max="4" width="19.85546875" bestFit="1" customWidth="1"/>
    <col min="5" max="5" width="15.85546875" customWidth="1"/>
  </cols>
  <sheetData>
    <row r="2" spans="1:5">
      <c r="B2" t="s">
        <v>26</v>
      </c>
      <c r="C2" t="s">
        <v>27</v>
      </c>
      <c r="D2" t="s">
        <v>28</v>
      </c>
      <c r="E2" t="s">
        <v>5229</v>
      </c>
    </row>
    <row r="3" spans="1:5">
      <c r="A3" t="s">
        <v>5230</v>
      </c>
      <c r="B3" s="20" t="s">
        <v>52</v>
      </c>
      <c r="C3" t="s">
        <v>5231</v>
      </c>
      <c r="D3" t="s">
        <v>53</v>
      </c>
      <c r="E3" s="20" t="s">
        <v>52</v>
      </c>
    </row>
    <row r="4" spans="1:5">
      <c r="A4" t="s">
        <v>5230</v>
      </c>
      <c r="B4" s="20" t="s">
        <v>52</v>
      </c>
      <c r="C4" t="s">
        <v>5231</v>
      </c>
      <c r="D4" t="s">
        <v>515</v>
      </c>
      <c r="E4" s="20" t="s">
        <v>1169</v>
      </c>
    </row>
    <row r="5" spans="1:5">
      <c r="A5" t="s">
        <v>5230</v>
      </c>
      <c r="B5" s="20" t="s">
        <v>52</v>
      </c>
      <c r="C5" t="s">
        <v>5231</v>
      </c>
      <c r="D5" t="s">
        <v>713</v>
      </c>
      <c r="E5" s="20" t="s">
        <v>817</v>
      </c>
    </row>
    <row r="6" spans="1:5">
      <c r="A6" t="s">
        <v>5230</v>
      </c>
      <c r="B6" s="20" t="s">
        <v>52</v>
      </c>
      <c r="C6" t="s">
        <v>5231</v>
      </c>
      <c r="D6" t="s">
        <v>5232</v>
      </c>
      <c r="E6" s="20" t="s">
        <v>1871</v>
      </c>
    </row>
    <row r="7" spans="1:5">
      <c r="A7" t="s">
        <v>5230</v>
      </c>
      <c r="B7" s="20" t="s">
        <v>52</v>
      </c>
      <c r="C7" t="s">
        <v>5231</v>
      </c>
      <c r="D7" t="s">
        <v>809</v>
      </c>
      <c r="E7" s="20" t="s">
        <v>2489</v>
      </c>
    </row>
    <row r="8" spans="1:5">
      <c r="A8" t="s">
        <v>5230</v>
      </c>
      <c r="B8" s="20" t="s">
        <v>52</v>
      </c>
      <c r="C8" t="s">
        <v>5231</v>
      </c>
      <c r="D8" t="s">
        <v>881</v>
      </c>
      <c r="E8" s="20" t="s">
        <v>5195</v>
      </c>
    </row>
    <row r="9" spans="1:5">
      <c r="A9" t="s">
        <v>5230</v>
      </c>
      <c r="B9" s="20" t="s">
        <v>52</v>
      </c>
      <c r="C9" t="s">
        <v>5231</v>
      </c>
      <c r="D9" t="s">
        <v>1027</v>
      </c>
      <c r="E9" s="20" t="s">
        <v>1198</v>
      </c>
    </row>
    <row r="10" spans="1:5">
      <c r="A10" t="s">
        <v>5230</v>
      </c>
      <c r="B10" s="20" t="s">
        <v>52</v>
      </c>
      <c r="C10" t="s">
        <v>5231</v>
      </c>
      <c r="D10" t="s">
        <v>1178</v>
      </c>
      <c r="E10" s="20" t="s">
        <v>823</v>
      </c>
    </row>
    <row r="11" spans="1:5">
      <c r="A11" t="s">
        <v>5230</v>
      </c>
      <c r="B11" s="20" t="s">
        <v>52</v>
      </c>
      <c r="C11" t="s">
        <v>5231</v>
      </c>
      <c r="D11" t="s">
        <v>1340</v>
      </c>
      <c r="E11" s="20" t="s">
        <v>3746</v>
      </c>
    </row>
    <row r="12" spans="1:5">
      <c r="A12" t="s">
        <v>5230</v>
      </c>
      <c r="B12" s="20" t="s">
        <v>52</v>
      </c>
      <c r="C12" t="s">
        <v>5231</v>
      </c>
      <c r="D12" t="s">
        <v>1461</v>
      </c>
      <c r="E12" s="20" t="s">
        <v>55</v>
      </c>
    </row>
    <row r="13" spans="1:5">
      <c r="A13" t="s">
        <v>5230</v>
      </c>
      <c r="B13" s="20" t="s">
        <v>52</v>
      </c>
      <c r="C13" t="s">
        <v>5231</v>
      </c>
      <c r="D13" t="s">
        <v>1514</v>
      </c>
      <c r="E13" s="20" t="s">
        <v>990</v>
      </c>
    </row>
    <row r="14" spans="1:5">
      <c r="A14" t="s">
        <v>5230</v>
      </c>
      <c r="B14" s="20" t="s">
        <v>52</v>
      </c>
      <c r="C14" t="s">
        <v>5231</v>
      </c>
      <c r="D14" t="s">
        <v>1617</v>
      </c>
      <c r="E14" s="20" t="s">
        <v>2384</v>
      </c>
    </row>
    <row r="15" spans="1:5">
      <c r="A15" t="s">
        <v>5230</v>
      </c>
      <c r="B15" s="20" t="s">
        <v>52</v>
      </c>
      <c r="C15" t="s">
        <v>5231</v>
      </c>
      <c r="D15" t="s">
        <v>1693</v>
      </c>
      <c r="E15" s="20" t="s">
        <v>2014</v>
      </c>
    </row>
    <row r="16" spans="1:5">
      <c r="A16" t="s">
        <v>5233</v>
      </c>
      <c r="B16" s="20" t="s">
        <v>1169</v>
      </c>
      <c r="C16" t="s">
        <v>5234</v>
      </c>
      <c r="D16" t="s">
        <v>5235</v>
      </c>
      <c r="E16" s="20" t="s">
        <v>52</v>
      </c>
    </row>
    <row r="17" spans="1:5">
      <c r="A17" t="s">
        <v>5233</v>
      </c>
      <c r="B17" s="20" t="s">
        <v>1169</v>
      </c>
      <c r="C17" t="s">
        <v>5234</v>
      </c>
      <c r="D17" t="s">
        <v>3205</v>
      </c>
      <c r="E17" s="20" t="s">
        <v>1169</v>
      </c>
    </row>
    <row r="18" spans="1:5">
      <c r="A18" t="s">
        <v>5233</v>
      </c>
      <c r="B18" s="20" t="s">
        <v>1169</v>
      </c>
      <c r="C18" t="s">
        <v>5234</v>
      </c>
      <c r="D18" t="s">
        <v>3246</v>
      </c>
      <c r="E18" s="20" t="s">
        <v>817</v>
      </c>
    </row>
    <row r="19" spans="1:5">
      <c r="A19" t="s">
        <v>5233</v>
      </c>
      <c r="B19" s="20" t="s">
        <v>1169</v>
      </c>
      <c r="C19" t="s">
        <v>5234</v>
      </c>
      <c r="D19" t="s">
        <v>3331</v>
      </c>
      <c r="E19" s="20" t="s">
        <v>1871</v>
      </c>
    </row>
    <row r="20" spans="1:5">
      <c r="A20" t="s">
        <v>5233</v>
      </c>
      <c r="B20" s="20" t="s">
        <v>1169</v>
      </c>
      <c r="C20" t="s">
        <v>5234</v>
      </c>
      <c r="D20" t="s">
        <v>3463</v>
      </c>
      <c r="E20" s="20" t="s">
        <v>2489</v>
      </c>
    </row>
    <row r="21" spans="1:5">
      <c r="A21" t="s">
        <v>5233</v>
      </c>
      <c r="B21" s="20" t="s">
        <v>1169</v>
      </c>
      <c r="C21" t="s">
        <v>5234</v>
      </c>
      <c r="D21" t="s">
        <v>3657</v>
      </c>
      <c r="E21" s="20" t="s">
        <v>5195</v>
      </c>
    </row>
    <row r="22" spans="1:5">
      <c r="A22" t="s">
        <v>5233</v>
      </c>
      <c r="B22" s="20" t="s">
        <v>1169</v>
      </c>
      <c r="C22" t="s">
        <v>5234</v>
      </c>
      <c r="D22" t="s">
        <v>2070</v>
      </c>
      <c r="E22" s="20" t="s">
        <v>1198</v>
      </c>
    </row>
    <row r="23" spans="1:5">
      <c r="A23" t="s">
        <v>5233</v>
      </c>
      <c r="B23" s="20" t="s">
        <v>1169</v>
      </c>
      <c r="C23" t="s">
        <v>5234</v>
      </c>
      <c r="D23" t="s">
        <v>2263</v>
      </c>
      <c r="E23" s="20" t="s">
        <v>823</v>
      </c>
    </row>
    <row r="24" spans="1:5">
      <c r="A24" t="s">
        <v>5233</v>
      </c>
      <c r="B24" s="20" t="s">
        <v>1169</v>
      </c>
      <c r="C24" t="s">
        <v>5234</v>
      </c>
      <c r="D24" t="s">
        <v>2566</v>
      </c>
      <c r="E24" s="20" t="s">
        <v>3746</v>
      </c>
    </row>
    <row r="25" spans="1:5">
      <c r="A25" t="s">
        <v>5233</v>
      </c>
      <c r="B25" s="20" t="s">
        <v>1169</v>
      </c>
      <c r="C25" t="s">
        <v>5234</v>
      </c>
      <c r="D25" t="s">
        <v>2835</v>
      </c>
      <c r="E25" s="20" t="s">
        <v>55</v>
      </c>
    </row>
    <row r="26" spans="1:5">
      <c r="A26" t="s">
        <v>5233</v>
      </c>
      <c r="B26" s="20" t="s">
        <v>1169</v>
      </c>
      <c r="C26" t="s">
        <v>5234</v>
      </c>
      <c r="D26" t="s">
        <v>3092</v>
      </c>
      <c r="E26" s="20" t="s">
        <v>990</v>
      </c>
    </row>
    <row r="27" spans="1:5">
      <c r="A27" t="s">
        <v>5236</v>
      </c>
      <c r="B27" s="20" t="s">
        <v>817</v>
      </c>
      <c r="C27" t="s">
        <v>5237</v>
      </c>
      <c r="D27" t="s">
        <v>2077</v>
      </c>
      <c r="E27" s="20" t="s">
        <v>52</v>
      </c>
    </row>
    <row r="28" spans="1:5">
      <c r="A28" t="s">
        <v>5236</v>
      </c>
      <c r="B28" s="20" t="s">
        <v>817</v>
      </c>
      <c r="C28" t="s">
        <v>5237</v>
      </c>
      <c r="D28" t="s">
        <v>5106</v>
      </c>
      <c r="E28" s="20" t="s">
        <v>1169</v>
      </c>
    </row>
    <row r="29" spans="1:5">
      <c r="A29" t="s">
        <v>5236</v>
      </c>
      <c r="B29" s="20" t="s">
        <v>817</v>
      </c>
      <c r="C29" t="s">
        <v>5237</v>
      </c>
      <c r="D29" t="s">
        <v>4370</v>
      </c>
      <c r="E29" s="20" t="s">
        <v>817</v>
      </c>
    </row>
    <row r="30" spans="1:5">
      <c r="A30" t="s">
        <v>5236</v>
      </c>
      <c r="B30" s="20" t="s">
        <v>817</v>
      </c>
      <c r="C30" t="s">
        <v>5237</v>
      </c>
      <c r="D30" t="s">
        <v>2821</v>
      </c>
      <c r="E30" s="20" t="s">
        <v>1871</v>
      </c>
    </row>
    <row r="31" spans="1:5">
      <c r="A31" t="s">
        <v>10</v>
      </c>
      <c r="B31" s="20" t="s">
        <v>1871</v>
      </c>
      <c r="C31" t="s">
        <v>5238</v>
      </c>
      <c r="D31" t="s">
        <v>5239</v>
      </c>
      <c r="E31" s="20" t="s">
        <v>52</v>
      </c>
    </row>
    <row r="32" spans="1:5">
      <c r="A32" t="s">
        <v>10</v>
      </c>
      <c r="B32" s="20" t="s">
        <v>1871</v>
      </c>
      <c r="C32" t="s">
        <v>5238</v>
      </c>
      <c r="D32" t="s">
        <v>1941</v>
      </c>
      <c r="E32" s="20" t="s">
        <v>1169</v>
      </c>
    </row>
    <row r="33" spans="1:5">
      <c r="A33" t="s">
        <v>10</v>
      </c>
      <c r="B33" s="20" t="s">
        <v>1871</v>
      </c>
      <c r="C33" t="s">
        <v>5238</v>
      </c>
      <c r="D33" t="s">
        <v>1994</v>
      </c>
      <c r="E33" s="20" t="s">
        <v>817</v>
      </c>
    </row>
    <row r="34" spans="1:5">
      <c r="A34" t="s">
        <v>5240</v>
      </c>
      <c r="B34" s="20" t="s">
        <v>2489</v>
      </c>
      <c r="C34" t="s">
        <v>5241</v>
      </c>
      <c r="D34" t="s">
        <v>3745</v>
      </c>
      <c r="E34" s="20" t="s">
        <v>52</v>
      </c>
    </row>
    <row r="35" spans="1:5">
      <c r="A35" t="s">
        <v>5240</v>
      </c>
      <c r="B35" s="20" t="s">
        <v>2489</v>
      </c>
      <c r="C35" t="s">
        <v>5241</v>
      </c>
      <c r="D35" t="s">
        <v>3783</v>
      </c>
      <c r="E35" s="20" t="s">
        <v>1169</v>
      </c>
    </row>
    <row r="36" spans="1:5">
      <c r="A36" t="s">
        <v>5240</v>
      </c>
      <c r="B36" s="20" t="s">
        <v>2489</v>
      </c>
      <c r="C36" t="s">
        <v>5241</v>
      </c>
      <c r="D36" t="s">
        <v>3857</v>
      </c>
      <c r="E36" s="20" t="s">
        <v>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19C6B-71DD-4C27-B75A-038BCFB08588}">
  <dimension ref="B2:AC1156"/>
  <sheetViews>
    <sheetView workbookViewId="0"/>
  </sheetViews>
  <sheetFormatPr defaultRowHeight="15"/>
  <cols>
    <col min="5" max="5" width="12.42578125" bestFit="1" customWidth="1"/>
    <col min="6" max="6" width="11.28515625" bestFit="1" customWidth="1"/>
    <col min="18" max="18" width="17" bestFit="1" customWidth="1"/>
    <col min="19" max="19" width="16" bestFit="1" customWidth="1"/>
    <col min="20" max="20" width="17" bestFit="1" customWidth="1"/>
    <col min="21" max="21" width="9.7109375" bestFit="1" customWidth="1"/>
    <col min="22" max="22" width="12.42578125" bestFit="1" customWidth="1"/>
    <col min="23" max="23" width="11.28515625" bestFit="1" customWidth="1"/>
    <col min="25" max="26" width="11.28515625" bestFit="1" customWidth="1"/>
    <col min="27" max="27" width="12.42578125" bestFit="1" customWidth="1"/>
    <col min="28" max="28" width="9.28515625" bestFit="1" customWidth="1"/>
  </cols>
  <sheetData>
    <row r="2" spans="2:29">
      <c r="B2" s="80" t="s">
        <v>5242</v>
      </c>
    </row>
    <row r="3" spans="2:29">
      <c r="B3" s="81" t="s">
        <v>5243</v>
      </c>
    </row>
    <row r="4" spans="2:29">
      <c r="B4" s="81"/>
    </row>
    <row r="6" spans="2:29">
      <c r="C6" t="s">
        <v>0</v>
      </c>
      <c r="D6" t="s">
        <v>1</v>
      </c>
      <c r="E6" t="s">
        <v>2</v>
      </c>
      <c r="F6" t="s">
        <v>5244</v>
      </c>
      <c r="G6" t="s">
        <v>3</v>
      </c>
      <c r="H6" t="s">
        <v>4</v>
      </c>
      <c r="I6" t="s">
        <v>5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P6" t="s">
        <v>12</v>
      </c>
      <c r="Q6" t="s">
        <v>13</v>
      </c>
      <c r="R6" t="s">
        <v>14</v>
      </c>
      <c r="S6" t="s">
        <v>15</v>
      </c>
      <c r="T6" t="s">
        <v>16</v>
      </c>
      <c r="U6" t="s">
        <v>17</v>
      </c>
      <c r="V6" t="s">
        <v>18</v>
      </c>
      <c r="W6" t="s">
        <v>19</v>
      </c>
      <c r="X6" t="s">
        <v>20</v>
      </c>
      <c r="Y6" t="s">
        <v>21</v>
      </c>
      <c r="Z6" t="s">
        <v>22</v>
      </c>
      <c r="AA6" t="s">
        <v>23</v>
      </c>
      <c r="AB6" t="s">
        <v>24</v>
      </c>
      <c r="AC6" t="s">
        <v>25</v>
      </c>
    </row>
    <row r="7" spans="2:29">
      <c r="C7" t="s">
        <v>40</v>
      </c>
      <c r="E7" s="84"/>
      <c r="F7" s="84"/>
      <c r="R7" s="85"/>
      <c r="S7" s="85"/>
      <c r="T7" s="86"/>
      <c r="X7" s="82"/>
      <c r="Y7" s="82"/>
      <c r="Z7" s="82"/>
      <c r="AA7" s="82"/>
      <c r="AB7" s="88"/>
    </row>
    <row r="8" spans="2:29">
      <c r="C8" t="s">
        <v>44</v>
      </c>
      <c r="D8" t="s">
        <v>45</v>
      </c>
      <c r="E8" s="84">
        <v>3409.99</v>
      </c>
      <c r="F8" s="84">
        <v>1704.9949999999999</v>
      </c>
      <c r="G8" t="s">
        <v>40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>
        <v>260</v>
      </c>
      <c r="N8">
        <v>85</v>
      </c>
      <c r="O8">
        <v>75</v>
      </c>
      <c r="P8">
        <v>1.6575</v>
      </c>
      <c r="Q8" s="84" t="e">
        <v>#REF!</v>
      </c>
      <c r="R8" s="85"/>
      <c r="S8" s="85"/>
      <c r="T8" s="86">
        <v>0</v>
      </c>
      <c r="U8" s="84">
        <v>0</v>
      </c>
      <c r="V8" s="84">
        <v>2386.9929999999999</v>
      </c>
      <c r="W8" s="84">
        <v>1193.4965</v>
      </c>
      <c r="X8" s="82">
        <v>0.35</v>
      </c>
      <c r="Y8" s="84"/>
      <c r="Z8" s="84">
        <v>1193.4965</v>
      </c>
      <c r="AA8" s="84">
        <v>2386.9929999999999</v>
      </c>
      <c r="AB8" s="88" t="e">
        <v>#DIV/0!</v>
      </c>
      <c r="AC8" t="s">
        <v>51</v>
      </c>
    </row>
    <row r="9" spans="2:29">
      <c r="C9" t="s">
        <v>56</v>
      </c>
      <c r="D9" t="s">
        <v>45</v>
      </c>
      <c r="E9" s="84">
        <v>3619.99</v>
      </c>
      <c r="F9" s="84">
        <v>1809.9949999999999</v>
      </c>
      <c r="G9" t="s">
        <v>40</v>
      </c>
      <c r="H9" t="s">
        <v>57</v>
      </c>
      <c r="I9" t="s">
        <v>47</v>
      </c>
      <c r="J9" t="s">
        <v>48</v>
      </c>
      <c r="K9" t="s">
        <v>58</v>
      </c>
      <c r="L9" t="s">
        <v>50</v>
      </c>
      <c r="M9">
        <v>260</v>
      </c>
      <c r="N9">
        <v>85</v>
      </c>
      <c r="O9">
        <v>75</v>
      </c>
      <c r="P9">
        <v>1.6575</v>
      </c>
      <c r="Q9" s="84" t="e">
        <v>#REF!</v>
      </c>
      <c r="R9" s="85"/>
      <c r="S9" s="85"/>
      <c r="T9" s="86">
        <v>0</v>
      </c>
      <c r="U9" s="84">
        <v>0</v>
      </c>
      <c r="V9" s="84">
        <v>2533.9929999999999</v>
      </c>
      <c r="W9" s="84">
        <v>1266.9965</v>
      </c>
      <c r="X9" s="82">
        <v>0.35</v>
      </c>
      <c r="Y9" s="82"/>
      <c r="Z9" s="84">
        <v>1266.9965</v>
      </c>
      <c r="AA9" s="84">
        <v>2533.9929999999999</v>
      </c>
      <c r="AB9" s="88" t="e">
        <v>#DIV/0!</v>
      </c>
      <c r="AC9" t="s">
        <v>51</v>
      </c>
    </row>
    <row r="10" spans="2:29">
      <c r="C10" t="s">
        <v>60</v>
      </c>
      <c r="D10" t="s">
        <v>45</v>
      </c>
      <c r="E10" s="84">
        <v>3759.99</v>
      </c>
      <c r="F10" s="84">
        <v>1879.9949999999999</v>
      </c>
      <c r="G10" t="s">
        <v>40</v>
      </c>
      <c r="H10" t="s">
        <v>61</v>
      </c>
      <c r="I10" t="s">
        <v>47</v>
      </c>
      <c r="J10" t="s">
        <v>62</v>
      </c>
      <c r="K10" t="s">
        <v>49</v>
      </c>
      <c r="L10" t="s">
        <v>50</v>
      </c>
      <c r="M10">
        <v>300</v>
      </c>
      <c r="N10">
        <v>90</v>
      </c>
      <c r="O10">
        <v>75</v>
      </c>
      <c r="P10">
        <v>2.0249999999999999</v>
      </c>
      <c r="Q10" s="84" t="e">
        <v>#REF!</v>
      </c>
      <c r="R10" s="85"/>
      <c r="S10" s="85"/>
      <c r="T10" s="86">
        <v>0</v>
      </c>
      <c r="U10" s="84">
        <v>0</v>
      </c>
      <c r="V10" s="84">
        <v>2631.9929999999999</v>
      </c>
      <c r="W10" s="84">
        <v>1315.9965</v>
      </c>
      <c r="X10" s="82">
        <v>0.35</v>
      </c>
      <c r="Y10" s="82"/>
      <c r="Z10" s="84">
        <v>1315.9965</v>
      </c>
      <c r="AA10" s="84">
        <v>2631.9929999999999</v>
      </c>
      <c r="AB10" s="88" t="e">
        <v>#DIV/0!</v>
      </c>
      <c r="AC10" t="s">
        <v>51</v>
      </c>
    </row>
    <row r="11" spans="2:29">
      <c r="C11" t="s">
        <v>64</v>
      </c>
      <c r="D11" t="s">
        <v>45</v>
      </c>
      <c r="E11" s="84">
        <v>4119.99</v>
      </c>
      <c r="F11" s="84">
        <v>2059.9949999999999</v>
      </c>
      <c r="G11" t="s">
        <v>40</v>
      </c>
      <c r="H11" t="s">
        <v>65</v>
      </c>
      <c r="I11" t="s">
        <v>47</v>
      </c>
      <c r="J11" t="s">
        <v>62</v>
      </c>
      <c r="K11" t="s">
        <v>58</v>
      </c>
      <c r="L11" t="s">
        <v>50</v>
      </c>
      <c r="M11">
        <v>300</v>
      </c>
      <c r="N11">
        <v>90</v>
      </c>
      <c r="O11">
        <v>75</v>
      </c>
      <c r="P11">
        <v>2.0249999999999999</v>
      </c>
      <c r="Q11" s="84" t="e">
        <v>#REF!</v>
      </c>
      <c r="R11" s="85"/>
      <c r="S11" s="85"/>
      <c r="T11" s="86">
        <v>0</v>
      </c>
      <c r="U11" s="84">
        <v>0</v>
      </c>
      <c r="V11" s="84">
        <v>2883.9929999999999</v>
      </c>
      <c r="W11" s="84">
        <v>1441.9965</v>
      </c>
      <c r="X11" s="82">
        <v>0.35</v>
      </c>
      <c r="Y11" s="82"/>
      <c r="Z11" s="84">
        <v>1441.9965</v>
      </c>
      <c r="AA11" s="84">
        <v>2883.9929999999999</v>
      </c>
      <c r="AB11" s="88" t="e">
        <v>#DIV/0!</v>
      </c>
      <c r="AC11" t="s">
        <v>51</v>
      </c>
    </row>
    <row r="12" spans="2:29">
      <c r="C12" t="s">
        <v>67</v>
      </c>
      <c r="D12" t="s">
        <v>68</v>
      </c>
      <c r="E12" s="84">
        <v>1009.99</v>
      </c>
      <c r="F12" s="84">
        <v>504.995</v>
      </c>
      <c r="G12" t="s">
        <v>40</v>
      </c>
      <c r="H12" t="s">
        <v>69</v>
      </c>
      <c r="I12" t="s">
        <v>70</v>
      </c>
      <c r="J12" t="s">
        <v>71</v>
      </c>
      <c r="K12" t="s">
        <v>49</v>
      </c>
      <c r="L12" t="s">
        <v>50</v>
      </c>
      <c r="N12">
        <v>70</v>
      </c>
      <c r="O12">
        <v>75</v>
      </c>
      <c r="P12">
        <v>0.36749999999999999</v>
      </c>
      <c r="Q12" s="84" t="e">
        <v>#REF!</v>
      </c>
      <c r="R12" s="85"/>
      <c r="S12" s="85"/>
      <c r="T12" s="86">
        <v>0</v>
      </c>
      <c r="U12" s="84">
        <v>0</v>
      </c>
      <c r="V12" s="84">
        <v>706.99300000000005</v>
      </c>
      <c r="W12" s="84">
        <v>353.49650000000003</v>
      </c>
      <c r="X12" s="82">
        <v>0.35</v>
      </c>
      <c r="Y12" s="82"/>
      <c r="Z12" s="84">
        <v>353.49650000000003</v>
      </c>
      <c r="AA12" s="84">
        <v>706.99300000000005</v>
      </c>
      <c r="AB12" s="88" t="e">
        <v>#DIV/0!</v>
      </c>
      <c r="AC12" t="s">
        <v>72</v>
      </c>
    </row>
    <row r="13" spans="2:29">
      <c r="C13" t="s">
        <v>74</v>
      </c>
      <c r="D13" t="s">
        <v>68</v>
      </c>
      <c r="E13" s="84">
        <v>1079.99</v>
      </c>
      <c r="F13" s="84">
        <v>539.995</v>
      </c>
      <c r="G13" t="s">
        <v>40</v>
      </c>
      <c r="H13" t="s">
        <v>75</v>
      </c>
      <c r="I13" t="s">
        <v>70</v>
      </c>
      <c r="J13" t="s">
        <v>71</v>
      </c>
      <c r="K13" t="s">
        <v>58</v>
      </c>
      <c r="L13" t="s">
        <v>50</v>
      </c>
      <c r="N13">
        <v>70</v>
      </c>
      <c r="O13">
        <v>75</v>
      </c>
      <c r="P13">
        <v>0.36749999999999999</v>
      </c>
      <c r="Q13" s="84" t="e">
        <v>#REF!</v>
      </c>
      <c r="R13" s="85"/>
      <c r="S13" s="85"/>
      <c r="T13" s="86">
        <v>0</v>
      </c>
      <c r="U13" s="84">
        <v>0</v>
      </c>
      <c r="V13" s="84">
        <v>755.99300000000005</v>
      </c>
      <c r="W13" s="84">
        <v>377.99650000000003</v>
      </c>
      <c r="X13" s="82">
        <v>0.35</v>
      </c>
      <c r="Y13" s="82"/>
      <c r="Z13" s="84">
        <v>377.99650000000003</v>
      </c>
      <c r="AA13" s="84">
        <v>755.99300000000005</v>
      </c>
      <c r="AB13" s="88" t="e">
        <v>#DIV/0!</v>
      </c>
      <c r="AC13" t="s">
        <v>76</v>
      </c>
    </row>
    <row r="14" spans="2:29">
      <c r="C14" t="s">
        <v>78</v>
      </c>
      <c r="D14" t="s">
        <v>68</v>
      </c>
      <c r="E14" s="84">
        <v>1249.99</v>
      </c>
      <c r="F14" s="84">
        <v>624.995</v>
      </c>
      <c r="G14" t="s">
        <v>40</v>
      </c>
      <c r="H14" t="s">
        <v>79</v>
      </c>
      <c r="I14" t="s">
        <v>70</v>
      </c>
      <c r="J14" t="s">
        <v>80</v>
      </c>
      <c r="K14" t="s">
        <v>49</v>
      </c>
      <c r="L14" t="s">
        <v>50</v>
      </c>
      <c r="N14">
        <v>90</v>
      </c>
      <c r="O14">
        <v>75</v>
      </c>
      <c r="P14">
        <v>0.60750000000000004</v>
      </c>
      <c r="Q14" s="84" t="e">
        <v>#REF!</v>
      </c>
      <c r="R14" s="85"/>
      <c r="S14" s="85"/>
      <c r="T14" s="86">
        <v>0</v>
      </c>
      <c r="U14" s="84">
        <v>0</v>
      </c>
      <c r="V14" s="84">
        <v>874.99300000000005</v>
      </c>
      <c r="W14" s="84">
        <v>437.49650000000003</v>
      </c>
      <c r="X14" s="82">
        <v>0.35</v>
      </c>
      <c r="Y14" s="82"/>
      <c r="Z14" s="84">
        <v>437.49650000000003</v>
      </c>
      <c r="AA14" s="84">
        <v>874.99300000000005</v>
      </c>
      <c r="AB14" s="88" t="e">
        <v>#DIV/0!</v>
      </c>
      <c r="AC14" t="s">
        <v>81</v>
      </c>
    </row>
    <row r="15" spans="2:29">
      <c r="C15" t="s">
        <v>83</v>
      </c>
      <c r="D15" t="s">
        <v>68</v>
      </c>
      <c r="E15" s="84">
        <v>1329.99</v>
      </c>
      <c r="F15" s="84">
        <v>664.995</v>
      </c>
      <c r="G15" t="s">
        <v>40</v>
      </c>
      <c r="H15" t="s">
        <v>84</v>
      </c>
      <c r="I15" t="s">
        <v>70</v>
      </c>
      <c r="J15" t="s">
        <v>80</v>
      </c>
      <c r="K15" t="s">
        <v>58</v>
      </c>
      <c r="L15" t="s">
        <v>50</v>
      </c>
      <c r="N15">
        <v>90</v>
      </c>
      <c r="O15">
        <v>75</v>
      </c>
      <c r="P15">
        <v>0.60750000000000004</v>
      </c>
      <c r="Q15" s="84" t="e">
        <v>#REF!</v>
      </c>
      <c r="R15" s="85"/>
      <c r="S15" s="85"/>
      <c r="T15" s="86">
        <v>0</v>
      </c>
      <c r="U15" s="84">
        <v>0</v>
      </c>
      <c r="V15" s="84">
        <v>930.99300000000005</v>
      </c>
      <c r="W15" s="84">
        <v>465.49650000000003</v>
      </c>
      <c r="X15" s="82">
        <v>0.35</v>
      </c>
      <c r="Y15" s="82"/>
      <c r="Z15" s="84">
        <v>465.49650000000003</v>
      </c>
      <c r="AA15" s="84">
        <v>930.99300000000005</v>
      </c>
      <c r="AB15" s="88" t="e">
        <v>#DIV/0!</v>
      </c>
      <c r="AC15" t="s">
        <v>81</v>
      </c>
    </row>
    <row r="16" spans="2:29">
      <c r="C16" t="s">
        <v>86</v>
      </c>
      <c r="D16" t="s">
        <v>68</v>
      </c>
      <c r="E16" s="84">
        <v>2169.9899999999998</v>
      </c>
      <c r="F16" s="84">
        <v>1084.9949999999999</v>
      </c>
      <c r="G16" t="s">
        <v>40</v>
      </c>
      <c r="H16" t="s">
        <v>87</v>
      </c>
      <c r="I16" t="s">
        <v>70</v>
      </c>
      <c r="J16" t="s">
        <v>88</v>
      </c>
      <c r="K16" t="s">
        <v>49</v>
      </c>
      <c r="L16" t="s">
        <v>50</v>
      </c>
      <c r="N16">
        <v>130</v>
      </c>
      <c r="O16">
        <v>75</v>
      </c>
      <c r="P16">
        <v>1.2675000000000001</v>
      </c>
      <c r="Q16" s="84" t="e">
        <v>#REF!</v>
      </c>
      <c r="R16" s="85"/>
      <c r="S16" s="85"/>
      <c r="T16" s="86">
        <v>0</v>
      </c>
      <c r="U16" s="84">
        <v>0</v>
      </c>
      <c r="V16" s="84">
        <v>1518.9929999999999</v>
      </c>
      <c r="W16" s="84">
        <v>759.49649999999997</v>
      </c>
      <c r="X16" s="82">
        <v>0.35</v>
      </c>
      <c r="Y16" s="82"/>
      <c r="Z16" s="84">
        <v>759.49649999999997</v>
      </c>
      <c r="AA16" s="84">
        <v>1518.9929999999999</v>
      </c>
      <c r="AB16" s="88" t="e">
        <v>#DIV/0!</v>
      </c>
      <c r="AC16" t="s">
        <v>89</v>
      </c>
    </row>
    <row r="17" spans="3:29">
      <c r="C17" t="s">
        <v>91</v>
      </c>
      <c r="D17" t="s">
        <v>68</v>
      </c>
      <c r="E17" s="84">
        <v>2299.9899999999998</v>
      </c>
      <c r="F17" s="84">
        <v>1149.9949999999999</v>
      </c>
      <c r="G17" t="s">
        <v>40</v>
      </c>
      <c r="H17" t="s">
        <v>92</v>
      </c>
      <c r="I17" t="s">
        <v>70</v>
      </c>
      <c r="J17" t="s">
        <v>88</v>
      </c>
      <c r="K17" t="s">
        <v>58</v>
      </c>
      <c r="L17" t="s">
        <v>50</v>
      </c>
      <c r="N17">
        <v>130</v>
      </c>
      <c r="O17">
        <v>75</v>
      </c>
      <c r="P17">
        <v>1.2675000000000001</v>
      </c>
      <c r="Q17" s="84" t="e">
        <v>#REF!</v>
      </c>
      <c r="R17" s="85"/>
      <c r="S17" s="85"/>
      <c r="T17" s="86">
        <v>0</v>
      </c>
      <c r="U17" s="84">
        <v>0</v>
      </c>
      <c r="V17" s="84">
        <v>1609.9929999999999</v>
      </c>
      <c r="W17" s="84">
        <v>804.99649999999997</v>
      </c>
      <c r="X17" s="82">
        <v>0.35</v>
      </c>
      <c r="Y17" s="82"/>
      <c r="Z17" s="84">
        <v>804.99649999999997</v>
      </c>
      <c r="AA17" s="84">
        <v>1609.9929999999999</v>
      </c>
      <c r="AB17" s="88" t="e">
        <v>#DIV/0!</v>
      </c>
      <c r="AC17" t="s">
        <v>76</v>
      </c>
    </row>
    <row r="18" spans="3:29" ht="76.5">
      <c r="C18" t="s">
        <v>94</v>
      </c>
      <c r="D18" t="s">
        <v>95</v>
      </c>
      <c r="E18" s="84">
        <v>3649.99</v>
      </c>
      <c r="F18" s="84">
        <v>1824.9949999999999</v>
      </c>
      <c r="G18" t="s">
        <v>40</v>
      </c>
      <c r="H18" t="s">
        <v>96</v>
      </c>
      <c r="I18" t="s">
        <v>97</v>
      </c>
      <c r="J18" s="83" t="s">
        <v>98</v>
      </c>
      <c r="K18" t="s">
        <v>49</v>
      </c>
      <c r="L18" t="s">
        <v>50</v>
      </c>
      <c r="M18">
        <v>250</v>
      </c>
      <c r="N18">
        <v>100</v>
      </c>
      <c r="O18">
        <v>75</v>
      </c>
      <c r="P18">
        <v>1.875</v>
      </c>
      <c r="Q18" s="84" t="e">
        <v>#REF!</v>
      </c>
      <c r="R18" s="85">
        <v>5932953.53624932</v>
      </c>
      <c r="S18" s="85">
        <v>0</v>
      </c>
      <c r="T18" s="86">
        <v>5932953.53624932</v>
      </c>
      <c r="U18" s="84">
        <v>395.53023574995501</v>
      </c>
      <c r="V18" s="84">
        <v>2554.9929999999999</v>
      </c>
      <c r="W18" s="84">
        <v>1277.4965</v>
      </c>
      <c r="X18" s="82">
        <v>0.35</v>
      </c>
      <c r="Y18" s="82"/>
      <c r="Z18" s="84">
        <v>1277.4965</v>
      </c>
      <c r="AA18" s="84">
        <v>2554.9929999999999</v>
      </c>
      <c r="AB18" s="88">
        <v>3.2298327271435299</v>
      </c>
      <c r="AC18" t="s">
        <v>99</v>
      </c>
    </row>
    <row r="19" spans="3:29" ht="76.5">
      <c r="C19" t="s">
        <v>101</v>
      </c>
      <c r="D19" t="s">
        <v>95</v>
      </c>
      <c r="E19" s="84">
        <v>3869.99</v>
      </c>
      <c r="F19" s="84">
        <v>1934.9949999999999</v>
      </c>
      <c r="G19" t="s">
        <v>40</v>
      </c>
      <c r="H19" t="s">
        <v>102</v>
      </c>
      <c r="I19" t="s">
        <v>97</v>
      </c>
      <c r="J19" s="83" t="s">
        <v>98</v>
      </c>
      <c r="K19" t="s">
        <v>58</v>
      </c>
      <c r="L19" t="s">
        <v>50</v>
      </c>
      <c r="M19">
        <v>250</v>
      </c>
      <c r="N19">
        <v>100</v>
      </c>
      <c r="O19">
        <v>75</v>
      </c>
      <c r="P19">
        <v>1.875</v>
      </c>
      <c r="Q19" s="84" t="e">
        <v>#REF!</v>
      </c>
      <c r="R19" s="85">
        <v>5508697.28624932</v>
      </c>
      <c r="S19" s="85">
        <v>0</v>
      </c>
      <c r="T19" s="86">
        <v>5508697.28624932</v>
      </c>
      <c r="U19" s="84">
        <v>367.24648574995501</v>
      </c>
      <c r="V19" s="84">
        <v>2708.9929999999999</v>
      </c>
      <c r="W19" s="84">
        <v>1354.4965</v>
      </c>
      <c r="X19" s="82">
        <v>0.35</v>
      </c>
      <c r="Y19" s="82"/>
      <c r="Z19" s="84">
        <v>1354.4965</v>
      </c>
      <c r="AA19" s="84">
        <v>2708.9929999999999</v>
      </c>
      <c r="AB19" s="88">
        <v>3.6882490440554698</v>
      </c>
      <c r="AC19" t="s">
        <v>103</v>
      </c>
    </row>
    <row r="20" spans="3:29">
      <c r="C20" t="s">
        <v>105</v>
      </c>
      <c r="D20" t="s">
        <v>95</v>
      </c>
      <c r="E20" s="84">
        <v>4439.99</v>
      </c>
      <c r="F20" s="84">
        <v>2219.9949999999999</v>
      </c>
      <c r="G20" t="s">
        <v>40</v>
      </c>
      <c r="H20" t="s">
        <v>106</v>
      </c>
      <c r="I20" t="s">
        <v>97</v>
      </c>
      <c r="J20" t="s">
        <v>107</v>
      </c>
      <c r="K20" t="s">
        <v>49</v>
      </c>
      <c r="L20" t="s">
        <v>50</v>
      </c>
      <c r="M20">
        <v>300</v>
      </c>
      <c r="N20">
        <v>110</v>
      </c>
      <c r="O20">
        <v>75</v>
      </c>
      <c r="P20">
        <v>2.4750000000000001</v>
      </c>
      <c r="Q20" s="84" t="e">
        <v>#REF!</v>
      </c>
      <c r="R20" s="85">
        <v>6817133.9873353802</v>
      </c>
      <c r="S20" s="85">
        <v>0</v>
      </c>
      <c r="T20" s="86">
        <v>6817133.9873353802</v>
      </c>
      <c r="U20" s="84">
        <v>454.47559915569201</v>
      </c>
      <c r="V20" s="84">
        <v>3107.9929999999999</v>
      </c>
      <c r="W20" s="84">
        <v>1553.9965</v>
      </c>
      <c r="X20" s="82">
        <v>0.35</v>
      </c>
      <c r="Y20" s="82"/>
      <c r="Z20" s="84">
        <v>1553.9965</v>
      </c>
      <c r="AA20" s="84">
        <v>3107.9929999999999</v>
      </c>
      <c r="AB20" s="88">
        <v>3.4193177871088301</v>
      </c>
      <c r="AC20" t="s">
        <v>108</v>
      </c>
    </row>
    <row r="21" spans="3:29">
      <c r="C21" t="s">
        <v>110</v>
      </c>
      <c r="D21" t="s">
        <v>95</v>
      </c>
      <c r="E21" s="84">
        <v>4699.99</v>
      </c>
      <c r="F21" s="84">
        <v>2349.9949999999999</v>
      </c>
      <c r="G21" t="s">
        <v>40</v>
      </c>
      <c r="H21" t="s">
        <v>111</v>
      </c>
      <c r="I21" t="s">
        <v>97</v>
      </c>
      <c r="J21" t="s">
        <v>107</v>
      </c>
      <c r="K21" t="s">
        <v>58</v>
      </c>
      <c r="L21" t="s">
        <v>50</v>
      </c>
      <c r="M21">
        <v>300</v>
      </c>
      <c r="N21">
        <v>110</v>
      </c>
      <c r="O21">
        <v>75</v>
      </c>
      <c r="P21">
        <v>2.4750000000000001</v>
      </c>
      <c r="Q21" s="84" t="e">
        <v>#REF!</v>
      </c>
      <c r="R21" s="85">
        <v>6586074.9377983399</v>
      </c>
      <c r="S21" s="85">
        <v>0</v>
      </c>
      <c r="T21" s="86">
        <v>6586074.9377983399</v>
      </c>
      <c r="U21" s="84">
        <v>439.071662519889</v>
      </c>
      <c r="V21" s="84">
        <v>3289.9929999999999</v>
      </c>
      <c r="W21" s="84">
        <v>1644.9965</v>
      </c>
      <c r="X21" s="82">
        <v>0.35</v>
      </c>
      <c r="Y21" s="82"/>
      <c r="Z21" s="84">
        <v>1644.9965</v>
      </c>
      <c r="AA21" s="84">
        <v>3289.9929999999999</v>
      </c>
      <c r="AB21" s="88">
        <v>3.7465330615033299</v>
      </c>
      <c r="AC21" t="s">
        <v>99</v>
      </c>
    </row>
    <row r="22" spans="3:29">
      <c r="D22" t="s">
        <v>113</v>
      </c>
      <c r="E22" s="84"/>
      <c r="F22" s="84">
        <v>0</v>
      </c>
      <c r="G22" t="s">
        <v>40</v>
      </c>
      <c r="H22" t="s">
        <v>114</v>
      </c>
      <c r="I22" t="s">
        <v>115</v>
      </c>
      <c r="J22" t="s">
        <v>116</v>
      </c>
      <c r="K22" t="s">
        <v>117</v>
      </c>
      <c r="L22" t="s">
        <v>50</v>
      </c>
      <c r="M22">
        <v>330</v>
      </c>
      <c r="N22">
        <v>75</v>
      </c>
      <c r="O22">
        <v>76</v>
      </c>
      <c r="P22">
        <v>1.881</v>
      </c>
      <c r="Q22" s="84" t="e">
        <v>#REF!</v>
      </c>
      <c r="R22" s="85"/>
      <c r="S22" s="85"/>
      <c r="T22" s="86">
        <v>0</v>
      </c>
      <c r="U22" s="84">
        <v>0</v>
      </c>
      <c r="V22" s="84">
        <v>0</v>
      </c>
      <c r="W22" s="84">
        <v>0</v>
      </c>
      <c r="X22" s="82" t="e">
        <v>#DIV/0!</v>
      </c>
      <c r="Y22" s="82"/>
      <c r="Z22" s="84">
        <v>0</v>
      </c>
      <c r="AA22" s="84">
        <v>0</v>
      </c>
      <c r="AB22" s="88" t="e">
        <v>#DIV/0!</v>
      </c>
      <c r="AC22" t="s">
        <v>118</v>
      </c>
    </row>
    <row r="23" spans="3:29">
      <c r="C23" t="s">
        <v>121</v>
      </c>
      <c r="D23" t="s">
        <v>113</v>
      </c>
      <c r="E23" s="84">
        <v>6509.99</v>
      </c>
      <c r="F23" s="84">
        <v>3254.9949999999999</v>
      </c>
      <c r="G23" t="s">
        <v>40</v>
      </c>
      <c r="H23" t="s">
        <v>122</v>
      </c>
      <c r="I23" t="s">
        <v>115</v>
      </c>
      <c r="J23" t="s">
        <v>116</v>
      </c>
      <c r="K23" t="s">
        <v>123</v>
      </c>
      <c r="L23" t="s">
        <v>50</v>
      </c>
      <c r="M23">
        <v>330</v>
      </c>
      <c r="N23">
        <v>75</v>
      </c>
      <c r="O23">
        <v>76</v>
      </c>
      <c r="P23">
        <v>1.881</v>
      </c>
      <c r="Q23" s="84" t="e">
        <v>#REF!</v>
      </c>
      <c r="R23" s="85"/>
      <c r="S23" s="85"/>
      <c r="T23" s="86">
        <v>0</v>
      </c>
      <c r="U23" s="84">
        <v>0</v>
      </c>
      <c r="V23" s="84">
        <v>4556.9930000000004</v>
      </c>
      <c r="W23" s="84">
        <v>2278.4965000000002</v>
      </c>
      <c r="X23" s="82">
        <v>0.35</v>
      </c>
      <c r="Y23" s="82"/>
      <c r="Z23" s="84">
        <v>2278.4965000000002</v>
      </c>
      <c r="AA23" s="84">
        <v>4556.9930000000004</v>
      </c>
      <c r="AB23" s="88" t="e">
        <v>#DIV/0!</v>
      </c>
      <c r="AC23" t="s">
        <v>124</v>
      </c>
    </row>
    <row r="24" spans="3:29">
      <c r="C24" t="s">
        <v>126</v>
      </c>
      <c r="D24" t="s">
        <v>127</v>
      </c>
      <c r="E24" s="84">
        <v>3469.99</v>
      </c>
      <c r="F24" s="84">
        <v>1734.9949999999999</v>
      </c>
      <c r="G24" t="s">
        <v>40</v>
      </c>
      <c r="H24" t="s">
        <v>128</v>
      </c>
      <c r="I24" t="s">
        <v>129</v>
      </c>
      <c r="J24" t="s">
        <v>130</v>
      </c>
      <c r="K24" t="s">
        <v>49</v>
      </c>
      <c r="L24" t="s">
        <v>50</v>
      </c>
      <c r="M24">
        <v>280</v>
      </c>
      <c r="N24">
        <v>85</v>
      </c>
      <c r="O24">
        <v>78</v>
      </c>
      <c r="P24">
        <v>1.8564000000000001</v>
      </c>
      <c r="Q24" s="84" t="e">
        <v>#REF!</v>
      </c>
      <c r="R24" s="85"/>
      <c r="S24" s="85"/>
      <c r="T24" s="86">
        <v>0</v>
      </c>
      <c r="U24" s="84">
        <v>0</v>
      </c>
      <c r="V24" s="84">
        <v>2428.9929999999999</v>
      </c>
      <c r="W24" s="84">
        <v>1214.4965</v>
      </c>
      <c r="X24" s="82">
        <v>0.35</v>
      </c>
      <c r="Y24" s="82"/>
      <c r="Z24" s="84">
        <v>1214.4965</v>
      </c>
      <c r="AA24" s="84">
        <v>2428.9929999999999</v>
      </c>
      <c r="AB24" s="88" t="e">
        <v>#DIV/0!</v>
      </c>
      <c r="AC24" t="s">
        <v>131</v>
      </c>
    </row>
    <row r="25" spans="3:29">
      <c r="C25" t="s">
        <v>133</v>
      </c>
      <c r="D25" t="s">
        <v>127</v>
      </c>
      <c r="E25" s="84">
        <v>3619.99</v>
      </c>
      <c r="F25" s="84">
        <v>1809.9949999999999</v>
      </c>
      <c r="G25" t="s">
        <v>40</v>
      </c>
      <c r="H25" t="s">
        <v>134</v>
      </c>
      <c r="I25" t="s">
        <v>129</v>
      </c>
      <c r="J25" t="s">
        <v>130</v>
      </c>
      <c r="K25" t="s">
        <v>58</v>
      </c>
      <c r="L25" t="s">
        <v>50</v>
      </c>
      <c r="M25">
        <v>280</v>
      </c>
      <c r="N25">
        <v>85</v>
      </c>
      <c r="O25">
        <v>78</v>
      </c>
      <c r="P25">
        <v>1.8564000000000001</v>
      </c>
      <c r="Q25" s="84" t="e">
        <v>#REF!</v>
      </c>
      <c r="R25" s="85"/>
      <c r="S25" s="85"/>
      <c r="T25" s="86">
        <v>0</v>
      </c>
      <c r="U25" s="84">
        <v>0</v>
      </c>
      <c r="V25" s="84">
        <v>2533.9929999999999</v>
      </c>
      <c r="W25" s="84">
        <v>1266.9965</v>
      </c>
      <c r="X25" s="82">
        <v>0.35</v>
      </c>
      <c r="Y25" s="82"/>
      <c r="Z25" s="84">
        <v>1266.9965</v>
      </c>
      <c r="AA25" s="84">
        <v>2533.9929999999999</v>
      </c>
      <c r="AB25" s="88" t="e">
        <v>#DIV/0!</v>
      </c>
      <c r="AC25" t="s">
        <v>131</v>
      </c>
    </row>
    <row r="26" spans="3:29">
      <c r="C26" t="s">
        <v>136</v>
      </c>
      <c r="D26" t="s">
        <v>127</v>
      </c>
      <c r="E26" s="84">
        <v>6959.99</v>
      </c>
      <c r="F26" s="84">
        <v>3479.9949999999999</v>
      </c>
      <c r="G26" t="s">
        <v>40</v>
      </c>
      <c r="H26" t="s">
        <v>137</v>
      </c>
      <c r="I26" t="s">
        <v>129</v>
      </c>
      <c r="J26" t="s">
        <v>138</v>
      </c>
      <c r="K26" t="s">
        <v>49</v>
      </c>
      <c r="L26" t="s">
        <v>50</v>
      </c>
      <c r="M26">
        <v>320</v>
      </c>
      <c r="N26">
        <v>90</v>
      </c>
      <c r="O26">
        <v>78</v>
      </c>
      <c r="P26">
        <v>2.2464</v>
      </c>
      <c r="Q26" s="84" t="e">
        <v>#REF!</v>
      </c>
      <c r="R26" s="85"/>
      <c r="S26" s="85"/>
      <c r="T26" s="86">
        <v>0</v>
      </c>
      <c r="U26" s="84">
        <v>0</v>
      </c>
      <c r="V26" s="84">
        <v>4871.9930000000004</v>
      </c>
      <c r="W26" s="84">
        <v>2435.9965000000002</v>
      </c>
      <c r="X26" s="82">
        <v>0.35</v>
      </c>
      <c r="Y26" s="82"/>
      <c r="Z26" s="84">
        <v>2435.9965000000002</v>
      </c>
      <c r="AA26" s="84">
        <v>4871.9930000000004</v>
      </c>
      <c r="AB26" s="88" t="e">
        <v>#DIV/0!</v>
      </c>
      <c r="AC26" t="s">
        <v>139</v>
      </c>
    </row>
    <row r="27" spans="3:29">
      <c r="C27" t="s">
        <v>141</v>
      </c>
      <c r="D27" t="s">
        <v>127</v>
      </c>
      <c r="E27" s="84">
        <v>7389.99</v>
      </c>
      <c r="F27" s="84">
        <v>3694.9949999999999</v>
      </c>
      <c r="G27" t="s">
        <v>40</v>
      </c>
      <c r="H27" t="s">
        <v>142</v>
      </c>
      <c r="I27" t="s">
        <v>129</v>
      </c>
      <c r="J27" t="s">
        <v>138</v>
      </c>
      <c r="K27" t="s">
        <v>58</v>
      </c>
      <c r="L27" t="s">
        <v>50</v>
      </c>
      <c r="M27">
        <v>320</v>
      </c>
      <c r="N27">
        <v>90</v>
      </c>
      <c r="O27">
        <v>78</v>
      </c>
      <c r="P27">
        <v>2.2464</v>
      </c>
      <c r="Q27" s="84" t="e">
        <v>#REF!</v>
      </c>
      <c r="R27" s="85"/>
      <c r="S27" s="85"/>
      <c r="T27" s="86">
        <v>0</v>
      </c>
      <c r="U27" s="84">
        <v>0</v>
      </c>
      <c r="V27" s="84">
        <v>5172.9930000000004</v>
      </c>
      <c r="W27" s="84">
        <v>2586.4965000000002</v>
      </c>
      <c r="X27" s="82">
        <v>0.35</v>
      </c>
      <c r="Y27" s="82"/>
      <c r="Z27" s="84">
        <v>2586.4965000000002</v>
      </c>
      <c r="AA27" s="84">
        <v>5172.9930000000004</v>
      </c>
      <c r="AB27" s="88" t="e">
        <v>#DIV/0!</v>
      </c>
      <c r="AC27" t="s">
        <v>143</v>
      </c>
    </row>
    <row r="28" spans="3:29">
      <c r="C28" t="s">
        <v>145</v>
      </c>
      <c r="D28" t="s">
        <v>127</v>
      </c>
      <c r="E28" s="84">
        <v>11209.99</v>
      </c>
      <c r="F28" s="84">
        <v>5604.9949999999999</v>
      </c>
      <c r="G28" t="s">
        <v>40</v>
      </c>
      <c r="H28" t="s">
        <v>146</v>
      </c>
      <c r="I28" t="s">
        <v>129</v>
      </c>
      <c r="J28" t="s">
        <v>147</v>
      </c>
      <c r="K28" t="s">
        <v>49</v>
      </c>
      <c r="L28" t="s">
        <v>50</v>
      </c>
      <c r="M28">
        <v>400</v>
      </c>
      <c r="N28">
        <v>100</v>
      </c>
      <c r="O28">
        <v>78</v>
      </c>
      <c r="P28">
        <v>3.12</v>
      </c>
      <c r="Q28" s="84" t="e">
        <v>#REF!</v>
      </c>
      <c r="R28" s="85">
        <v>10209585.901805401</v>
      </c>
      <c r="S28" s="85">
        <v>0</v>
      </c>
      <c r="T28" s="86">
        <v>10209585.901805401</v>
      </c>
      <c r="U28" s="84">
        <v>680.63906012036205</v>
      </c>
      <c r="V28" s="84">
        <v>7846.9930000000004</v>
      </c>
      <c r="W28" s="84">
        <v>3923.4965000000002</v>
      </c>
      <c r="X28" s="82">
        <v>0.35</v>
      </c>
      <c r="Y28" s="82"/>
      <c r="Z28" s="84">
        <v>3923.4965000000002</v>
      </c>
      <c r="AA28" s="84">
        <v>7846.9930000000004</v>
      </c>
      <c r="AB28" s="88">
        <v>5.7644304153014403</v>
      </c>
      <c r="AC28" t="s">
        <v>139</v>
      </c>
    </row>
    <row r="29" spans="3:29">
      <c r="C29" t="s">
        <v>148</v>
      </c>
      <c r="D29" t="s">
        <v>127</v>
      </c>
      <c r="E29" s="84">
        <v>11879.99</v>
      </c>
      <c r="F29" s="84">
        <v>5939.9949999999999</v>
      </c>
      <c r="G29" t="s">
        <v>40</v>
      </c>
      <c r="H29" t="s">
        <v>149</v>
      </c>
      <c r="I29" t="s">
        <v>129</v>
      </c>
      <c r="J29" t="s">
        <v>147</v>
      </c>
      <c r="K29" t="s">
        <v>58</v>
      </c>
      <c r="L29" t="s">
        <v>50</v>
      </c>
      <c r="M29">
        <v>400</v>
      </c>
      <c r="N29">
        <v>100</v>
      </c>
      <c r="O29">
        <v>78</v>
      </c>
      <c r="P29">
        <v>3.12</v>
      </c>
      <c r="Q29" s="84" t="e">
        <v>#REF!</v>
      </c>
      <c r="R29" s="85">
        <v>9593125.72273135</v>
      </c>
      <c r="S29" s="85">
        <v>0</v>
      </c>
      <c r="T29" s="86">
        <v>9593125.72273135</v>
      </c>
      <c r="U29" s="84">
        <v>639.54171484875701</v>
      </c>
      <c r="V29" s="84">
        <v>8315.9930000000004</v>
      </c>
      <c r="W29" s="84">
        <v>4157.9965000000002</v>
      </c>
      <c r="X29" s="82">
        <v>0.35</v>
      </c>
      <c r="Y29" s="82"/>
      <c r="Z29" s="84">
        <v>4157.9965000000002</v>
      </c>
      <c r="AA29" s="84">
        <v>8315.9930000000004</v>
      </c>
      <c r="AB29" s="88">
        <v>6.5015250818835399</v>
      </c>
      <c r="AC29" t="s">
        <v>150</v>
      </c>
    </row>
    <row r="30" spans="3:29">
      <c r="C30" t="s">
        <v>152</v>
      </c>
      <c r="D30" t="s">
        <v>153</v>
      </c>
      <c r="E30" s="84"/>
      <c r="F30" s="84">
        <v>0</v>
      </c>
      <c r="G30" t="s">
        <v>40</v>
      </c>
      <c r="H30" t="s">
        <v>154</v>
      </c>
      <c r="I30" t="s">
        <v>155</v>
      </c>
      <c r="J30" t="s">
        <v>156</v>
      </c>
      <c r="K30" t="s">
        <v>49</v>
      </c>
      <c r="L30" t="s">
        <v>50</v>
      </c>
      <c r="N30">
        <v>90</v>
      </c>
      <c r="O30">
        <v>76</v>
      </c>
      <c r="P30">
        <v>0.61560000000000004</v>
      </c>
      <c r="Q30" s="84" t="e">
        <v>#REF!</v>
      </c>
      <c r="R30" s="85">
        <v>2132513.1339489101</v>
      </c>
      <c r="S30" s="85">
        <v>0</v>
      </c>
      <c r="T30" s="86">
        <v>2132513.1339489101</v>
      </c>
      <c r="U30" s="84">
        <v>142.167542263261</v>
      </c>
      <c r="V30" s="84">
        <v>0</v>
      </c>
      <c r="W30" s="84">
        <v>0</v>
      </c>
      <c r="X30" s="82" t="e">
        <v>#DIV/0!</v>
      </c>
      <c r="Y30" s="87">
        <v>426.50262678978203</v>
      </c>
      <c r="Z30" s="84">
        <v>426.50262678978203</v>
      </c>
      <c r="AA30" s="84">
        <v>853.00525357956406</v>
      </c>
      <c r="AB30" s="88">
        <v>3</v>
      </c>
      <c r="AC30" t="s">
        <v>157</v>
      </c>
    </row>
    <row r="31" spans="3:29">
      <c r="C31" t="s">
        <v>159</v>
      </c>
      <c r="D31" t="s">
        <v>153</v>
      </c>
      <c r="E31" s="84"/>
      <c r="F31" s="84">
        <v>0</v>
      </c>
      <c r="G31" t="s">
        <v>40</v>
      </c>
      <c r="H31" t="s">
        <v>160</v>
      </c>
      <c r="I31" t="s">
        <v>155</v>
      </c>
      <c r="J31" t="s">
        <v>156</v>
      </c>
      <c r="K31" t="s">
        <v>58</v>
      </c>
      <c r="L31" t="s">
        <v>50</v>
      </c>
      <c r="N31">
        <v>90</v>
      </c>
      <c r="O31">
        <v>76</v>
      </c>
      <c r="P31">
        <v>0.61560000000000004</v>
      </c>
      <c r="Q31" s="84" t="e">
        <v>#REF!</v>
      </c>
      <c r="R31" s="85">
        <v>2058963.6861248401</v>
      </c>
      <c r="S31" s="85">
        <v>0</v>
      </c>
      <c r="T31" s="86">
        <v>2058963.6861248401</v>
      </c>
      <c r="U31" s="84">
        <v>137.264245741656</v>
      </c>
      <c r="V31" s="84">
        <v>0</v>
      </c>
      <c r="W31" s="84">
        <v>0</v>
      </c>
      <c r="X31" s="82" t="e">
        <v>#DIV/0!</v>
      </c>
      <c r="Y31" s="87">
        <v>411.79273722496703</v>
      </c>
      <c r="Z31" s="84">
        <v>411.79273722496703</v>
      </c>
      <c r="AA31" s="84">
        <v>823.58547444993496</v>
      </c>
      <c r="AB31" s="88">
        <v>3</v>
      </c>
      <c r="AC31" t="s">
        <v>161</v>
      </c>
    </row>
    <row r="32" spans="3:29">
      <c r="C32" t="s">
        <v>163</v>
      </c>
      <c r="D32" t="s">
        <v>164</v>
      </c>
      <c r="E32" s="84"/>
      <c r="F32" s="84">
        <v>0</v>
      </c>
      <c r="G32" t="s">
        <v>40</v>
      </c>
      <c r="H32" t="s">
        <v>165</v>
      </c>
      <c r="I32" t="s">
        <v>166</v>
      </c>
      <c r="J32" t="s">
        <v>48</v>
      </c>
      <c r="K32" t="s">
        <v>49</v>
      </c>
      <c r="L32" t="s">
        <v>50</v>
      </c>
      <c r="M32">
        <v>260</v>
      </c>
      <c r="N32">
        <v>85</v>
      </c>
      <c r="O32">
        <v>75</v>
      </c>
      <c r="P32">
        <v>1.6575</v>
      </c>
      <c r="Q32" s="84" t="e">
        <v>#REF!</v>
      </c>
      <c r="R32" s="85"/>
      <c r="S32" s="85"/>
      <c r="T32" s="86">
        <v>0</v>
      </c>
      <c r="U32" s="84">
        <v>0</v>
      </c>
      <c r="V32" s="84">
        <v>0</v>
      </c>
      <c r="W32" s="84">
        <v>0</v>
      </c>
      <c r="X32" s="82" t="e">
        <v>#DIV/0!</v>
      </c>
      <c r="Y32" s="82"/>
      <c r="Z32" s="84">
        <v>0</v>
      </c>
      <c r="AA32" s="84">
        <v>0</v>
      </c>
      <c r="AB32" s="88" t="e">
        <v>#DIV/0!</v>
      </c>
      <c r="AC32" t="s">
        <v>167</v>
      </c>
    </row>
    <row r="33" spans="3:29">
      <c r="C33" t="s">
        <v>169</v>
      </c>
      <c r="D33" t="s">
        <v>164</v>
      </c>
      <c r="E33" s="84"/>
      <c r="F33" s="84">
        <v>0</v>
      </c>
      <c r="G33" t="s">
        <v>40</v>
      </c>
      <c r="H33" t="s">
        <v>170</v>
      </c>
      <c r="I33" t="s">
        <v>166</v>
      </c>
      <c r="J33" t="s">
        <v>48</v>
      </c>
      <c r="K33" t="s">
        <v>58</v>
      </c>
      <c r="L33" t="s">
        <v>50</v>
      </c>
      <c r="M33">
        <v>260</v>
      </c>
      <c r="N33">
        <v>85</v>
      </c>
      <c r="O33">
        <v>75</v>
      </c>
      <c r="P33">
        <v>1.6575</v>
      </c>
      <c r="Q33" s="84" t="e">
        <v>#REF!</v>
      </c>
      <c r="R33" s="85"/>
      <c r="S33" s="85"/>
      <c r="T33" s="86">
        <v>0</v>
      </c>
      <c r="U33" s="84">
        <v>0</v>
      </c>
      <c r="V33" s="84">
        <v>0</v>
      </c>
      <c r="W33" s="84">
        <v>0</v>
      </c>
      <c r="X33" s="82" t="e">
        <v>#DIV/0!</v>
      </c>
      <c r="Y33" s="82"/>
      <c r="Z33" s="84">
        <v>0</v>
      </c>
      <c r="AA33" s="84">
        <v>0</v>
      </c>
      <c r="AB33" s="88" t="e">
        <v>#DIV/0!</v>
      </c>
      <c r="AC33" t="s">
        <v>171</v>
      </c>
    </row>
    <row r="34" spans="3:29">
      <c r="C34" t="s">
        <v>173</v>
      </c>
      <c r="D34" t="s">
        <v>174</v>
      </c>
      <c r="E34" s="84">
        <v>1929.99</v>
      </c>
      <c r="F34" s="84">
        <v>964.995</v>
      </c>
      <c r="G34" t="s">
        <v>40</v>
      </c>
      <c r="H34" t="s">
        <v>175</v>
      </c>
      <c r="I34" t="s">
        <v>176</v>
      </c>
      <c r="J34" t="s">
        <v>88</v>
      </c>
      <c r="K34" t="s">
        <v>49</v>
      </c>
      <c r="L34" t="s">
        <v>50</v>
      </c>
      <c r="N34">
        <v>130</v>
      </c>
      <c r="O34">
        <v>75</v>
      </c>
      <c r="P34">
        <v>1.2675000000000001</v>
      </c>
      <c r="Q34" s="84" t="e">
        <v>#REF!</v>
      </c>
      <c r="R34" s="85">
        <v>3474302.9304486401</v>
      </c>
      <c r="S34" s="85">
        <v>0</v>
      </c>
      <c r="T34" s="86">
        <v>3474302.9304486401</v>
      </c>
      <c r="U34" s="84">
        <v>231.620195363243</v>
      </c>
      <c r="V34" s="84">
        <v>1350.9929999999999</v>
      </c>
      <c r="W34" s="84">
        <v>675.49649999999997</v>
      </c>
      <c r="X34" s="82">
        <v>0.35</v>
      </c>
      <c r="Y34" s="82"/>
      <c r="Z34" s="84">
        <v>675.49649999999997</v>
      </c>
      <c r="AA34" s="84">
        <v>1350.9929999999999</v>
      </c>
      <c r="AB34" s="88">
        <v>2.9163972465381902</v>
      </c>
      <c r="AC34" t="s">
        <v>177</v>
      </c>
    </row>
    <row r="35" spans="3:29">
      <c r="C35" t="s">
        <v>179</v>
      </c>
      <c r="D35" t="s">
        <v>174</v>
      </c>
      <c r="E35" s="84">
        <v>2079.9899999999998</v>
      </c>
      <c r="F35" s="84">
        <v>1039.9949999999999</v>
      </c>
      <c r="G35" t="s">
        <v>40</v>
      </c>
      <c r="H35" t="s">
        <v>180</v>
      </c>
      <c r="I35" t="s">
        <v>176</v>
      </c>
      <c r="J35" t="s">
        <v>88</v>
      </c>
      <c r="K35" t="s">
        <v>58</v>
      </c>
      <c r="L35" t="s">
        <v>50</v>
      </c>
      <c r="N35">
        <v>130</v>
      </c>
      <c r="O35">
        <v>75</v>
      </c>
      <c r="P35">
        <v>1.2675000000000001</v>
      </c>
      <c r="Q35" s="84" t="e">
        <v>#REF!</v>
      </c>
      <c r="R35" s="85">
        <v>3334121.2362356801</v>
      </c>
      <c r="S35" s="85">
        <v>0</v>
      </c>
      <c r="T35" s="86">
        <v>3334121.2362356801</v>
      </c>
      <c r="U35" s="84">
        <v>222.274749082379</v>
      </c>
      <c r="V35" s="84">
        <v>1455.9929999999999</v>
      </c>
      <c r="W35" s="84">
        <v>727.99649999999997</v>
      </c>
      <c r="X35" s="82">
        <v>0.35</v>
      </c>
      <c r="Y35" s="82"/>
      <c r="Z35" s="84">
        <v>727.99649999999997</v>
      </c>
      <c r="AA35" s="84">
        <v>1455.9929999999999</v>
      </c>
      <c r="AB35" s="88">
        <v>3.2752100857402899</v>
      </c>
      <c r="AC35" t="s">
        <v>181</v>
      </c>
    </row>
    <row r="36" spans="3:29">
      <c r="C36" t="s">
        <v>183</v>
      </c>
      <c r="D36" t="s">
        <v>174</v>
      </c>
      <c r="E36" s="84">
        <v>4019.99</v>
      </c>
      <c r="F36" s="84">
        <v>2009.9949999999999</v>
      </c>
      <c r="G36" t="s">
        <v>40</v>
      </c>
      <c r="H36" t="s">
        <v>184</v>
      </c>
      <c r="I36" t="s">
        <v>176</v>
      </c>
      <c r="J36" t="s">
        <v>185</v>
      </c>
      <c r="K36" t="s">
        <v>49</v>
      </c>
      <c r="L36" t="s">
        <v>50</v>
      </c>
      <c r="N36">
        <v>180</v>
      </c>
      <c r="O36">
        <v>75</v>
      </c>
      <c r="P36">
        <v>2.4300000000000002</v>
      </c>
      <c r="Q36" s="84" t="e">
        <v>#REF!</v>
      </c>
      <c r="R36" s="85"/>
      <c r="S36" s="85"/>
      <c r="T36" s="86">
        <v>0</v>
      </c>
      <c r="U36" s="84">
        <v>0</v>
      </c>
      <c r="V36" s="84">
        <v>2813.9929999999999</v>
      </c>
      <c r="W36" s="84">
        <v>1406.9965</v>
      </c>
      <c r="X36" s="82">
        <v>0.35</v>
      </c>
      <c r="Y36" s="82"/>
      <c r="Z36" s="84">
        <v>1406.9965</v>
      </c>
      <c r="AA36" s="84">
        <v>2813.9929999999999</v>
      </c>
      <c r="AB36" s="88" t="e">
        <v>#DIV/0!</v>
      </c>
      <c r="AC36" t="s">
        <v>177</v>
      </c>
    </row>
    <row r="37" spans="3:29">
      <c r="C37" t="s">
        <v>187</v>
      </c>
      <c r="D37" t="s">
        <v>174</v>
      </c>
      <c r="E37" s="84">
        <v>4169.99</v>
      </c>
      <c r="F37" s="84">
        <v>2084.9949999999999</v>
      </c>
      <c r="G37" t="s">
        <v>40</v>
      </c>
      <c r="H37" t="s">
        <v>188</v>
      </c>
      <c r="I37" t="s">
        <v>176</v>
      </c>
      <c r="J37" t="s">
        <v>185</v>
      </c>
      <c r="K37" t="s">
        <v>58</v>
      </c>
      <c r="L37" t="s">
        <v>50</v>
      </c>
      <c r="N37">
        <v>180</v>
      </c>
      <c r="O37">
        <v>75</v>
      </c>
      <c r="P37">
        <v>2.4300000000000002</v>
      </c>
      <c r="Q37" s="84" t="e">
        <v>#REF!</v>
      </c>
      <c r="R37" s="85"/>
      <c r="S37" s="85"/>
      <c r="T37" s="86">
        <v>0</v>
      </c>
      <c r="U37" s="84">
        <v>0</v>
      </c>
      <c r="V37" s="84">
        <v>2918.9929999999999</v>
      </c>
      <c r="W37" s="84">
        <v>1459.4965</v>
      </c>
      <c r="X37" s="82">
        <v>0.35</v>
      </c>
      <c r="Y37" s="82"/>
      <c r="Z37" s="84">
        <v>1459.4965</v>
      </c>
      <c r="AA37" s="84">
        <v>2918.9929999999999</v>
      </c>
      <c r="AB37" s="88" t="e">
        <v>#DIV/0!</v>
      </c>
      <c r="AC37" t="s">
        <v>189</v>
      </c>
    </row>
    <row r="38" spans="3:29">
      <c r="C38" t="s">
        <v>191</v>
      </c>
      <c r="D38" t="s">
        <v>192</v>
      </c>
      <c r="E38" s="84">
        <v>1869.99</v>
      </c>
      <c r="F38" s="84">
        <v>934.995</v>
      </c>
      <c r="G38" t="s">
        <v>40</v>
      </c>
      <c r="H38" t="s">
        <v>193</v>
      </c>
      <c r="I38" t="s">
        <v>194</v>
      </c>
      <c r="J38" t="s">
        <v>88</v>
      </c>
      <c r="K38" t="s">
        <v>49</v>
      </c>
      <c r="L38" t="s">
        <v>50</v>
      </c>
      <c r="N38">
        <v>130</v>
      </c>
      <c r="O38">
        <v>75</v>
      </c>
      <c r="P38">
        <v>1.2675000000000001</v>
      </c>
      <c r="Q38" s="84" t="e">
        <v>#REF!</v>
      </c>
      <c r="R38" s="85"/>
      <c r="S38" s="85"/>
      <c r="T38" s="86">
        <v>0</v>
      </c>
      <c r="U38" s="84">
        <v>0</v>
      </c>
      <c r="V38" s="84">
        <v>1308.9929999999999</v>
      </c>
      <c r="W38" s="84">
        <v>654.49649999999997</v>
      </c>
      <c r="X38" s="82">
        <v>0.35</v>
      </c>
      <c r="Y38" s="82"/>
      <c r="Z38" s="84">
        <v>654.49649999999997</v>
      </c>
      <c r="AA38" s="84">
        <v>1308.9929999999999</v>
      </c>
      <c r="AB38" s="88" t="e">
        <v>#DIV/0!</v>
      </c>
      <c r="AC38" t="s">
        <v>195</v>
      </c>
    </row>
    <row r="39" spans="3:29">
      <c r="C39" t="s">
        <v>197</v>
      </c>
      <c r="D39" t="s">
        <v>192</v>
      </c>
      <c r="E39" s="84">
        <v>2029.99</v>
      </c>
      <c r="F39" s="84">
        <v>1014.995</v>
      </c>
      <c r="G39" t="s">
        <v>40</v>
      </c>
      <c r="H39" t="s">
        <v>198</v>
      </c>
      <c r="I39" t="s">
        <v>194</v>
      </c>
      <c r="J39" t="s">
        <v>88</v>
      </c>
      <c r="K39" t="s">
        <v>58</v>
      </c>
      <c r="L39" t="s">
        <v>50</v>
      </c>
      <c r="N39">
        <v>130</v>
      </c>
      <c r="O39">
        <v>75</v>
      </c>
      <c r="P39">
        <v>1.2675000000000001</v>
      </c>
      <c r="Q39" s="84" t="e">
        <v>#REF!</v>
      </c>
      <c r="R39" s="85"/>
      <c r="S39" s="85"/>
      <c r="T39" s="86">
        <v>0</v>
      </c>
      <c r="U39" s="84">
        <v>0</v>
      </c>
      <c r="V39" s="84">
        <v>1420.9929999999999</v>
      </c>
      <c r="W39" s="84">
        <v>710.49649999999997</v>
      </c>
      <c r="X39" s="82">
        <v>0.35</v>
      </c>
      <c r="Y39" s="82"/>
      <c r="Z39" s="84">
        <v>710.49649999999997</v>
      </c>
      <c r="AA39" s="84">
        <v>1420.9929999999999</v>
      </c>
      <c r="AB39" s="88" t="e">
        <v>#DIV/0!</v>
      </c>
      <c r="AC39" t="s">
        <v>195</v>
      </c>
    </row>
    <row r="40" spans="3:29">
      <c r="C40" t="s">
        <v>200</v>
      </c>
      <c r="D40" t="s">
        <v>192</v>
      </c>
      <c r="E40" s="84">
        <v>3229.99</v>
      </c>
      <c r="F40" s="84">
        <v>1614.9949999999999</v>
      </c>
      <c r="G40" t="s">
        <v>40</v>
      </c>
      <c r="H40" t="s">
        <v>201</v>
      </c>
      <c r="I40" t="s">
        <v>194</v>
      </c>
      <c r="J40" t="s">
        <v>202</v>
      </c>
      <c r="K40" t="s">
        <v>49</v>
      </c>
      <c r="L40" t="s">
        <v>50</v>
      </c>
      <c r="N40">
        <v>160</v>
      </c>
      <c r="O40">
        <v>75</v>
      </c>
      <c r="P40">
        <v>1.92</v>
      </c>
      <c r="Q40" s="84" t="e">
        <v>#REF!</v>
      </c>
      <c r="R40" s="85">
        <v>5231484.0556807304</v>
      </c>
      <c r="S40" s="85">
        <v>0</v>
      </c>
      <c r="T40" s="86">
        <v>5231484.0556807304</v>
      </c>
      <c r="U40" s="84">
        <v>348.76560371204903</v>
      </c>
      <c r="V40" s="84">
        <v>2260.9929999999999</v>
      </c>
      <c r="W40" s="84">
        <v>1130.4965</v>
      </c>
      <c r="X40" s="82">
        <v>0.35</v>
      </c>
      <c r="Y40" s="82"/>
      <c r="Z40" s="84">
        <v>1130.4965</v>
      </c>
      <c r="AA40" s="84">
        <v>2260.9929999999999</v>
      </c>
      <c r="AB40" s="88">
        <v>3.24142199794843</v>
      </c>
      <c r="AC40" t="s">
        <v>203</v>
      </c>
    </row>
    <row r="41" spans="3:29">
      <c r="C41" t="s">
        <v>205</v>
      </c>
      <c r="D41" t="s">
        <v>192</v>
      </c>
      <c r="E41" s="84">
        <v>3569.99</v>
      </c>
      <c r="F41" s="84">
        <v>1784.9949999999999</v>
      </c>
      <c r="G41" t="s">
        <v>40</v>
      </c>
      <c r="H41" t="s">
        <v>206</v>
      </c>
      <c r="I41" t="s">
        <v>194</v>
      </c>
      <c r="J41" t="s">
        <v>202</v>
      </c>
      <c r="K41" t="s">
        <v>58</v>
      </c>
      <c r="L41" t="s">
        <v>50</v>
      </c>
      <c r="N41">
        <v>160</v>
      </c>
      <c r="O41">
        <v>75</v>
      </c>
      <c r="P41">
        <v>1.92</v>
      </c>
      <c r="Q41" s="84" t="e">
        <v>#REF!</v>
      </c>
      <c r="R41" s="85">
        <v>4979755.4014677703</v>
      </c>
      <c r="S41" s="85">
        <v>0</v>
      </c>
      <c r="T41" s="86">
        <v>4979755.4014677703</v>
      </c>
      <c r="U41" s="84">
        <v>331.98369343118497</v>
      </c>
      <c r="V41" s="84">
        <v>2498.9929999999999</v>
      </c>
      <c r="W41" s="84">
        <v>1249.4965</v>
      </c>
      <c r="X41" s="82">
        <v>0.35</v>
      </c>
      <c r="Y41" s="82"/>
      <c r="Z41" s="84">
        <v>1249.4965</v>
      </c>
      <c r="AA41" s="84">
        <v>2498.9929999999999</v>
      </c>
      <c r="AB41" s="88">
        <v>3.7637285346335898</v>
      </c>
      <c r="AC41" t="s">
        <v>207</v>
      </c>
    </row>
    <row r="42" spans="3:29">
      <c r="C42" t="s">
        <v>209</v>
      </c>
      <c r="D42" t="s">
        <v>192</v>
      </c>
      <c r="E42" s="84">
        <v>3629.99</v>
      </c>
      <c r="F42" s="84">
        <v>1814.9949999999999</v>
      </c>
      <c r="G42" t="s">
        <v>40</v>
      </c>
      <c r="H42" t="s">
        <v>210</v>
      </c>
      <c r="I42" t="s">
        <v>194</v>
      </c>
      <c r="J42" t="s">
        <v>185</v>
      </c>
      <c r="K42" t="s">
        <v>49</v>
      </c>
      <c r="L42" t="s">
        <v>50</v>
      </c>
      <c r="N42">
        <v>180</v>
      </c>
      <c r="O42">
        <v>75</v>
      </c>
      <c r="P42">
        <v>2.4300000000000002</v>
      </c>
      <c r="Q42" s="84" t="e">
        <v>#REF!</v>
      </c>
      <c r="R42" s="85">
        <v>6148937.9726216504</v>
      </c>
      <c r="S42" s="85">
        <v>0</v>
      </c>
      <c r="T42" s="86">
        <v>6148937.9726216504</v>
      </c>
      <c r="U42" s="84">
        <v>409.92919817477701</v>
      </c>
      <c r="V42" s="84">
        <v>2540.9929999999999</v>
      </c>
      <c r="W42" s="84">
        <v>1270.4965</v>
      </c>
      <c r="X42" s="82">
        <v>0.35</v>
      </c>
      <c r="Y42" s="82"/>
      <c r="Z42" s="84">
        <v>1270.4965</v>
      </c>
      <c r="AA42" s="84">
        <v>2540.9929999999999</v>
      </c>
      <c r="AB42" s="88">
        <v>3.09930716244885</v>
      </c>
      <c r="AC42" t="s">
        <v>211</v>
      </c>
    </row>
    <row r="43" spans="3:29">
      <c r="C43" t="s">
        <v>213</v>
      </c>
      <c r="D43" t="s">
        <v>192</v>
      </c>
      <c r="E43" s="84">
        <v>4099.99</v>
      </c>
      <c r="F43" s="84">
        <v>2049.9949999999999</v>
      </c>
      <c r="G43" t="s">
        <v>40</v>
      </c>
      <c r="H43" t="s">
        <v>214</v>
      </c>
      <c r="I43" t="s">
        <v>194</v>
      </c>
      <c r="J43" t="s">
        <v>185</v>
      </c>
      <c r="K43" t="s">
        <v>58</v>
      </c>
      <c r="L43" t="s">
        <v>50</v>
      </c>
      <c r="N43">
        <v>180</v>
      </c>
      <c r="O43">
        <v>75</v>
      </c>
      <c r="P43">
        <v>2.4300000000000002</v>
      </c>
      <c r="Q43" s="84" t="e">
        <v>#REF!</v>
      </c>
      <c r="R43" s="85">
        <v>5825150.3966957303</v>
      </c>
      <c r="S43" s="85">
        <v>0</v>
      </c>
      <c r="T43" s="86">
        <v>5825150.3966957303</v>
      </c>
      <c r="U43" s="84">
        <v>388.343359779715</v>
      </c>
      <c r="V43" s="84">
        <v>2869.9929999999999</v>
      </c>
      <c r="W43" s="84">
        <v>1434.9965</v>
      </c>
      <c r="X43" s="82">
        <v>0.35</v>
      </c>
      <c r="Y43" s="82"/>
      <c r="Z43" s="84">
        <v>1434.9965</v>
      </c>
      <c r="AA43" s="84">
        <v>2869.9929999999999</v>
      </c>
      <c r="AB43" s="88">
        <v>3.6951745507223102</v>
      </c>
      <c r="AC43" t="s">
        <v>195</v>
      </c>
    </row>
    <row r="44" spans="3:29">
      <c r="C44" t="s">
        <v>216</v>
      </c>
      <c r="D44" t="s">
        <v>217</v>
      </c>
      <c r="E44" s="84">
        <v>2519.9899999999998</v>
      </c>
      <c r="F44" s="84">
        <v>1259.9949999999999</v>
      </c>
      <c r="G44" t="s">
        <v>40</v>
      </c>
      <c r="H44" t="s">
        <v>218</v>
      </c>
      <c r="I44" t="s">
        <v>219</v>
      </c>
      <c r="J44" t="s">
        <v>220</v>
      </c>
      <c r="K44" t="s">
        <v>49</v>
      </c>
      <c r="L44" t="s">
        <v>50</v>
      </c>
      <c r="M44">
        <v>240</v>
      </c>
      <c r="N44">
        <v>80</v>
      </c>
      <c r="O44">
        <v>75</v>
      </c>
      <c r="P44">
        <v>1.44</v>
      </c>
      <c r="Q44" s="84" t="e">
        <v>#REF!</v>
      </c>
      <c r="R44" s="85"/>
      <c r="S44" s="85"/>
      <c r="T44" s="86">
        <v>0</v>
      </c>
      <c r="U44" s="84">
        <v>0</v>
      </c>
      <c r="V44" s="84">
        <v>1763.9929999999999</v>
      </c>
      <c r="W44" s="84">
        <v>881.99649999999997</v>
      </c>
      <c r="X44" s="82">
        <v>0.35</v>
      </c>
      <c r="Y44" s="82"/>
      <c r="Z44" s="84">
        <v>881.99649999999997</v>
      </c>
      <c r="AA44" s="84">
        <v>1763.9929999999999</v>
      </c>
      <c r="AB44" s="88" t="e">
        <v>#DIV/0!</v>
      </c>
      <c r="AC44" t="s">
        <v>221</v>
      </c>
    </row>
    <row r="45" spans="3:29">
      <c r="C45" t="s">
        <v>223</v>
      </c>
      <c r="D45" t="s">
        <v>217</v>
      </c>
      <c r="E45" s="84">
        <v>2949.99</v>
      </c>
      <c r="F45" s="84">
        <v>1474.9949999999999</v>
      </c>
      <c r="G45" t="s">
        <v>40</v>
      </c>
      <c r="H45" t="s">
        <v>224</v>
      </c>
      <c r="I45" t="s">
        <v>219</v>
      </c>
      <c r="J45" t="s">
        <v>220</v>
      </c>
      <c r="K45" t="s">
        <v>58</v>
      </c>
      <c r="L45" t="s">
        <v>50</v>
      </c>
      <c r="M45">
        <v>240</v>
      </c>
      <c r="N45">
        <v>80</v>
      </c>
      <c r="O45">
        <v>75</v>
      </c>
      <c r="P45">
        <v>1.44</v>
      </c>
      <c r="Q45" s="84" t="e">
        <v>#REF!</v>
      </c>
      <c r="R45" s="85"/>
      <c r="S45" s="85"/>
      <c r="T45" s="86">
        <v>0</v>
      </c>
      <c r="U45" s="84">
        <v>0</v>
      </c>
      <c r="V45" s="84">
        <v>2064.9929999999999</v>
      </c>
      <c r="W45" s="84">
        <v>1032.4965</v>
      </c>
      <c r="X45" s="82">
        <v>0.35</v>
      </c>
      <c r="Y45" s="82"/>
      <c r="Z45" s="84">
        <v>1032.4965</v>
      </c>
      <c r="AA45" s="84">
        <v>2064.9929999999999</v>
      </c>
      <c r="AB45" s="88" t="e">
        <v>#DIV/0!</v>
      </c>
      <c r="AC45" t="s">
        <v>225</v>
      </c>
    </row>
    <row r="46" spans="3:29">
      <c r="C46" t="s">
        <v>227</v>
      </c>
      <c r="D46" t="s">
        <v>217</v>
      </c>
      <c r="E46" s="84">
        <v>3319.99</v>
      </c>
      <c r="F46" s="84">
        <v>1659.9949999999999</v>
      </c>
      <c r="G46" t="s">
        <v>40</v>
      </c>
      <c r="H46" t="s">
        <v>228</v>
      </c>
      <c r="I46" t="s">
        <v>219</v>
      </c>
      <c r="J46" t="s">
        <v>229</v>
      </c>
      <c r="K46" t="s">
        <v>49</v>
      </c>
      <c r="L46" t="s">
        <v>50</v>
      </c>
      <c r="M46">
        <v>280</v>
      </c>
      <c r="N46">
        <v>80</v>
      </c>
      <c r="O46">
        <v>75</v>
      </c>
      <c r="P46">
        <v>1.68</v>
      </c>
      <c r="Q46" s="84" t="e">
        <v>#REF!</v>
      </c>
      <c r="R46" s="85"/>
      <c r="S46" s="85"/>
      <c r="T46" s="86">
        <v>0</v>
      </c>
      <c r="U46" s="84">
        <v>0</v>
      </c>
      <c r="V46" s="84">
        <v>2323.9929999999999</v>
      </c>
      <c r="W46" s="84">
        <v>1161.9965</v>
      </c>
      <c r="X46" s="82">
        <v>0.35</v>
      </c>
      <c r="Y46" s="82"/>
      <c r="Z46" s="84">
        <v>1161.9965</v>
      </c>
      <c r="AA46" s="84">
        <v>2323.9929999999999</v>
      </c>
      <c r="AB46" s="88" t="e">
        <v>#DIV/0!</v>
      </c>
      <c r="AC46" t="s">
        <v>225</v>
      </c>
    </row>
    <row r="47" spans="3:29">
      <c r="C47" t="s">
        <v>231</v>
      </c>
      <c r="D47" t="s">
        <v>217</v>
      </c>
      <c r="E47" s="84">
        <v>3519.99</v>
      </c>
      <c r="F47" s="84">
        <v>1759.9949999999999</v>
      </c>
      <c r="G47" t="s">
        <v>40</v>
      </c>
      <c r="H47" t="s">
        <v>232</v>
      </c>
      <c r="I47" t="s">
        <v>219</v>
      </c>
      <c r="J47" t="s">
        <v>229</v>
      </c>
      <c r="K47" t="s">
        <v>58</v>
      </c>
      <c r="L47" t="s">
        <v>50</v>
      </c>
      <c r="M47">
        <v>280</v>
      </c>
      <c r="N47">
        <v>80</v>
      </c>
      <c r="O47">
        <v>75</v>
      </c>
      <c r="P47">
        <v>1.68</v>
      </c>
      <c r="Q47" s="84" t="e">
        <v>#REF!</v>
      </c>
      <c r="R47" s="85"/>
      <c r="S47" s="85"/>
      <c r="T47" s="86">
        <v>0</v>
      </c>
      <c r="U47" s="84">
        <v>0</v>
      </c>
      <c r="V47" s="84">
        <v>2463.9929999999999</v>
      </c>
      <c r="W47" s="84">
        <v>1231.9965</v>
      </c>
      <c r="X47" s="82">
        <v>0.35</v>
      </c>
      <c r="Y47" s="82"/>
      <c r="Z47" s="84">
        <v>1231.9965</v>
      </c>
      <c r="AA47" s="84">
        <v>2463.9929999999999</v>
      </c>
      <c r="AB47" s="88" t="e">
        <v>#DIV/0!</v>
      </c>
      <c r="AC47" t="s">
        <v>233</v>
      </c>
    </row>
    <row r="48" spans="3:29">
      <c r="C48" t="s">
        <v>235</v>
      </c>
      <c r="D48" t="s">
        <v>236</v>
      </c>
      <c r="E48" s="84">
        <v>2629.99</v>
      </c>
      <c r="F48" s="84">
        <v>1314.9949999999999</v>
      </c>
      <c r="G48" t="s">
        <v>40</v>
      </c>
      <c r="H48" t="s">
        <v>237</v>
      </c>
      <c r="I48" t="s">
        <v>238</v>
      </c>
      <c r="J48" t="s">
        <v>239</v>
      </c>
      <c r="K48" t="s">
        <v>49</v>
      </c>
      <c r="L48" t="s">
        <v>50</v>
      </c>
      <c r="M48">
        <v>250</v>
      </c>
      <c r="N48">
        <v>85</v>
      </c>
      <c r="O48">
        <v>75</v>
      </c>
      <c r="P48">
        <v>1.59375</v>
      </c>
      <c r="Q48" s="84" t="e">
        <v>#REF!</v>
      </c>
      <c r="R48" s="85">
        <v>4918879.6011451501</v>
      </c>
      <c r="S48" s="85">
        <v>0</v>
      </c>
      <c r="T48" s="86">
        <v>4918879.6011451501</v>
      </c>
      <c r="U48" s="84">
        <v>327.92530674301003</v>
      </c>
      <c r="V48" s="84">
        <v>1840.9929999999999</v>
      </c>
      <c r="W48" s="84">
        <v>920.49649999999997</v>
      </c>
      <c r="X48" s="82">
        <v>0.35</v>
      </c>
      <c r="Y48" s="82"/>
      <c r="Z48" s="84">
        <v>920.49649999999997</v>
      </c>
      <c r="AA48" s="84">
        <v>1840.9929999999999</v>
      </c>
      <c r="AB48" s="88">
        <v>2.8070309947788799</v>
      </c>
      <c r="AC48" t="s">
        <v>240</v>
      </c>
    </row>
    <row r="49" spans="3:29">
      <c r="C49" t="s">
        <v>242</v>
      </c>
      <c r="D49" t="s">
        <v>236</v>
      </c>
      <c r="E49" s="84">
        <v>2709.99</v>
      </c>
      <c r="F49" s="84">
        <v>1354.9949999999999</v>
      </c>
      <c r="G49" t="s">
        <v>40</v>
      </c>
      <c r="H49" t="s">
        <v>243</v>
      </c>
      <c r="I49" t="s">
        <v>238</v>
      </c>
      <c r="J49" t="s">
        <v>239</v>
      </c>
      <c r="K49" t="s">
        <v>58</v>
      </c>
      <c r="L49" t="s">
        <v>50</v>
      </c>
      <c r="M49">
        <v>250</v>
      </c>
      <c r="N49">
        <v>85</v>
      </c>
      <c r="O49">
        <v>75</v>
      </c>
      <c r="P49">
        <v>1.59375</v>
      </c>
      <c r="Q49" s="84" t="e">
        <v>#REF!</v>
      </c>
      <c r="R49" s="85">
        <v>4700350.2927192198</v>
      </c>
      <c r="S49" s="85">
        <v>0</v>
      </c>
      <c r="T49" s="86">
        <v>4700350.2927192198</v>
      </c>
      <c r="U49" s="84">
        <v>313.35668618128102</v>
      </c>
      <c r="V49" s="84">
        <v>1896.9929999999999</v>
      </c>
      <c r="W49" s="84">
        <v>948.49649999999997</v>
      </c>
      <c r="X49" s="82">
        <v>0.35</v>
      </c>
      <c r="Y49" s="82"/>
      <c r="Z49" s="84">
        <v>948.49649999999997</v>
      </c>
      <c r="AA49" s="84">
        <v>1896.9929999999999</v>
      </c>
      <c r="AB49" s="88">
        <v>3.0268908940761499</v>
      </c>
      <c r="AC49" t="s">
        <v>244</v>
      </c>
    </row>
    <row r="50" spans="3:29">
      <c r="C50" t="s">
        <v>246</v>
      </c>
      <c r="D50" t="s">
        <v>247</v>
      </c>
      <c r="E50" s="84">
        <v>1189.99</v>
      </c>
      <c r="F50" s="84">
        <v>594.995</v>
      </c>
      <c r="G50" t="s">
        <v>40</v>
      </c>
      <c r="H50" t="s">
        <v>248</v>
      </c>
      <c r="I50" t="s">
        <v>249</v>
      </c>
      <c r="J50" t="s">
        <v>250</v>
      </c>
      <c r="K50" t="s">
        <v>49</v>
      </c>
      <c r="L50" t="s">
        <v>50</v>
      </c>
      <c r="M50">
        <v>120</v>
      </c>
      <c r="N50">
        <v>70</v>
      </c>
      <c r="O50">
        <v>75</v>
      </c>
      <c r="P50">
        <v>0.63</v>
      </c>
      <c r="Q50" s="84" t="e">
        <v>#REF!</v>
      </c>
      <c r="R50" s="85">
        <v>2242816.8710493199</v>
      </c>
      <c r="S50" s="85">
        <v>0</v>
      </c>
      <c r="T50" s="86">
        <v>2242816.8710493199</v>
      </c>
      <c r="U50" s="84">
        <v>149.521124736621</v>
      </c>
      <c r="V50" s="84">
        <v>832.99300000000005</v>
      </c>
      <c r="W50" s="84">
        <v>416.49650000000003</v>
      </c>
      <c r="X50" s="82">
        <v>0.35</v>
      </c>
      <c r="Y50" s="82"/>
      <c r="Z50" s="84">
        <v>416.49650000000003</v>
      </c>
      <c r="AA50" s="84">
        <v>832.99300000000005</v>
      </c>
      <c r="AB50" s="88">
        <v>2.78553616242288</v>
      </c>
      <c r="AC50" t="s">
        <v>251</v>
      </c>
    </row>
    <row r="51" spans="3:29">
      <c r="C51" t="s">
        <v>253</v>
      </c>
      <c r="D51" t="s">
        <v>247</v>
      </c>
      <c r="E51" s="84">
        <v>1299.99</v>
      </c>
      <c r="F51" s="84">
        <v>649.995</v>
      </c>
      <c r="G51" t="s">
        <v>40</v>
      </c>
      <c r="H51" t="s">
        <v>254</v>
      </c>
      <c r="I51" t="s">
        <v>249</v>
      </c>
      <c r="J51" t="s">
        <v>250</v>
      </c>
      <c r="K51" t="s">
        <v>58</v>
      </c>
      <c r="L51" t="s">
        <v>50</v>
      </c>
      <c r="M51">
        <v>120</v>
      </c>
      <c r="N51">
        <v>70</v>
      </c>
      <c r="O51">
        <v>75</v>
      </c>
      <c r="P51">
        <v>0.63</v>
      </c>
      <c r="Q51" s="84" t="e">
        <v>#REF!</v>
      </c>
      <c r="R51" s="85">
        <v>2162306.7689263802</v>
      </c>
      <c r="S51" s="85">
        <v>0</v>
      </c>
      <c r="T51" s="86">
        <v>2162306.7689263802</v>
      </c>
      <c r="U51" s="84">
        <v>144.15378459509199</v>
      </c>
      <c r="V51" s="84">
        <v>909.99300000000005</v>
      </c>
      <c r="W51" s="84">
        <v>454.99650000000003</v>
      </c>
      <c r="X51" s="82">
        <v>0.35</v>
      </c>
      <c r="Y51" s="82"/>
      <c r="Z51" s="84">
        <v>454.99650000000003</v>
      </c>
      <c r="AA51" s="84">
        <v>909.99300000000005</v>
      </c>
      <c r="AB51" s="88">
        <v>3.15632712160851</v>
      </c>
      <c r="AC51" t="s">
        <v>255</v>
      </c>
    </row>
    <row r="52" spans="3:29">
      <c r="C52" t="s">
        <v>257</v>
      </c>
      <c r="D52" t="s">
        <v>247</v>
      </c>
      <c r="E52" s="84">
        <v>1429.99</v>
      </c>
      <c r="F52" s="84">
        <v>714.995</v>
      </c>
      <c r="G52" t="s">
        <v>40</v>
      </c>
      <c r="H52" t="s">
        <v>258</v>
      </c>
      <c r="I52" t="s">
        <v>249</v>
      </c>
      <c r="J52" t="s">
        <v>259</v>
      </c>
      <c r="K52" t="s">
        <v>49</v>
      </c>
      <c r="L52" t="s">
        <v>50</v>
      </c>
      <c r="M52">
        <v>140</v>
      </c>
      <c r="N52">
        <v>80</v>
      </c>
      <c r="O52">
        <v>75</v>
      </c>
      <c r="P52">
        <v>0.84</v>
      </c>
      <c r="Q52" s="84" t="e">
        <v>#REF!</v>
      </c>
      <c r="R52" s="85">
        <v>2559766.4337862399</v>
      </c>
      <c r="S52" s="85">
        <v>0</v>
      </c>
      <c r="T52" s="86">
        <v>2559766.4337862399</v>
      </c>
      <c r="U52" s="84">
        <v>170.651095585749</v>
      </c>
      <c r="V52" s="84">
        <v>1000.9930000000001</v>
      </c>
      <c r="W52" s="84">
        <v>500.49650000000003</v>
      </c>
      <c r="X52" s="82">
        <v>0.35</v>
      </c>
      <c r="Y52" s="82"/>
      <c r="Z52" s="84">
        <v>500.49650000000003</v>
      </c>
      <c r="AA52" s="84">
        <v>1000.9930000000001</v>
      </c>
      <c r="AB52" s="88">
        <v>2.9328642648444601</v>
      </c>
      <c r="AC52" t="s">
        <v>260</v>
      </c>
    </row>
    <row r="53" spans="3:29">
      <c r="C53" t="s">
        <v>262</v>
      </c>
      <c r="D53" t="s">
        <v>247</v>
      </c>
      <c r="E53" s="84">
        <v>1569.99</v>
      </c>
      <c r="F53" s="84">
        <v>784.995</v>
      </c>
      <c r="G53" t="s">
        <v>40</v>
      </c>
      <c r="H53" t="s">
        <v>263</v>
      </c>
      <c r="I53" t="s">
        <v>249</v>
      </c>
      <c r="J53" t="s">
        <v>259</v>
      </c>
      <c r="K53" t="s">
        <v>58</v>
      </c>
      <c r="L53" t="s">
        <v>50</v>
      </c>
      <c r="M53">
        <v>140</v>
      </c>
      <c r="N53">
        <v>80</v>
      </c>
      <c r="O53">
        <v>75</v>
      </c>
      <c r="P53">
        <v>0.84</v>
      </c>
      <c r="Q53" s="84" t="e">
        <v>#REF!</v>
      </c>
      <c r="R53" s="85">
        <v>2443129.2951288298</v>
      </c>
      <c r="S53" s="85">
        <v>0</v>
      </c>
      <c r="T53" s="86">
        <v>2443129.2951288298</v>
      </c>
      <c r="U53" s="84">
        <v>162.87528634192199</v>
      </c>
      <c r="V53" s="84">
        <v>1098.9929999999999</v>
      </c>
      <c r="W53" s="84">
        <v>549.49649999999997</v>
      </c>
      <c r="X53" s="82">
        <v>0.35</v>
      </c>
      <c r="Y53" s="82"/>
      <c r="Z53" s="84">
        <v>549.49649999999997</v>
      </c>
      <c r="AA53" s="84">
        <v>1098.9929999999999</v>
      </c>
      <c r="AB53" s="88">
        <v>3.3737254579338001</v>
      </c>
      <c r="AC53" t="s">
        <v>251</v>
      </c>
    </row>
    <row r="54" spans="3:29">
      <c r="C54" t="s">
        <v>265</v>
      </c>
      <c r="D54" t="s">
        <v>266</v>
      </c>
      <c r="E54" s="84">
        <v>889.99</v>
      </c>
      <c r="F54" s="84">
        <v>444.995</v>
      </c>
      <c r="G54" t="s">
        <v>40</v>
      </c>
      <c r="H54" t="s">
        <v>267</v>
      </c>
      <c r="I54" t="s">
        <v>268</v>
      </c>
      <c r="J54" t="s">
        <v>269</v>
      </c>
      <c r="K54" t="s">
        <v>49</v>
      </c>
      <c r="L54" t="s">
        <v>50</v>
      </c>
      <c r="N54">
        <v>70</v>
      </c>
      <c r="O54">
        <v>75</v>
      </c>
      <c r="P54">
        <v>0.36749999999999999</v>
      </c>
      <c r="Q54" s="84" t="e">
        <v>#REF!</v>
      </c>
      <c r="R54" s="85"/>
      <c r="S54" s="85"/>
      <c r="T54" s="86">
        <v>0</v>
      </c>
      <c r="U54" s="84">
        <v>0</v>
      </c>
      <c r="V54" s="84">
        <v>622.99300000000005</v>
      </c>
      <c r="W54" s="84">
        <v>311.49650000000003</v>
      </c>
      <c r="X54" s="82">
        <v>0.35</v>
      </c>
      <c r="Y54" s="82"/>
      <c r="Z54" s="84">
        <v>311.49650000000003</v>
      </c>
      <c r="AA54" s="84">
        <v>622.99300000000005</v>
      </c>
      <c r="AB54" s="88" t="e">
        <v>#DIV/0!</v>
      </c>
      <c r="AC54" t="s">
        <v>270</v>
      </c>
    </row>
    <row r="55" spans="3:29">
      <c r="C55" t="s">
        <v>272</v>
      </c>
      <c r="D55" t="s">
        <v>266</v>
      </c>
      <c r="E55" s="84">
        <v>919.99</v>
      </c>
      <c r="F55" s="84">
        <v>459.995</v>
      </c>
      <c r="G55" t="s">
        <v>40</v>
      </c>
      <c r="H55" t="s">
        <v>273</v>
      </c>
      <c r="I55" t="s">
        <v>268</v>
      </c>
      <c r="J55" t="s">
        <v>269</v>
      </c>
      <c r="K55" t="s">
        <v>58</v>
      </c>
      <c r="L55" t="s">
        <v>50</v>
      </c>
      <c r="N55">
        <v>70</v>
      </c>
      <c r="O55">
        <v>75</v>
      </c>
      <c r="P55">
        <v>0.36749999999999999</v>
      </c>
      <c r="Q55" s="84" t="e">
        <v>#REF!</v>
      </c>
      <c r="R55" s="85"/>
      <c r="S55" s="85"/>
      <c r="T55" s="86">
        <v>0</v>
      </c>
      <c r="U55" s="84">
        <v>0</v>
      </c>
      <c r="V55" s="84">
        <v>643.99300000000005</v>
      </c>
      <c r="W55" s="84">
        <v>321.99650000000003</v>
      </c>
      <c r="X55" s="82">
        <v>0.35</v>
      </c>
      <c r="Y55" s="82"/>
      <c r="Z55" s="84">
        <v>321.99650000000003</v>
      </c>
      <c r="AA55" s="84">
        <v>643.99300000000005</v>
      </c>
      <c r="AB55" s="88" t="e">
        <v>#DIV/0!</v>
      </c>
      <c r="AC55" t="s">
        <v>274</v>
      </c>
    </row>
    <row r="56" spans="3:29">
      <c r="C56" t="s">
        <v>276</v>
      </c>
      <c r="D56" t="s">
        <v>266</v>
      </c>
      <c r="E56" s="84">
        <v>939.99</v>
      </c>
      <c r="F56" s="84">
        <v>469.995</v>
      </c>
      <c r="G56" t="s">
        <v>40</v>
      </c>
      <c r="H56" t="s">
        <v>277</v>
      </c>
      <c r="I56" t="s">
        <v>268</v>
      </c>
      <c r="J56" t="s">
        <v>278</v>
      </c>
      <c r="K56" t="s">
        <v>49</v>
      </c>
      <c r="L56" t="s">
        <v>50</v>
      </c>
      <c r="N56">
        <v>76</v>
      </c>
      <c r="O56">
        <v>75</v>
      </c>
      <c r="P56">
        <v>0.43319999999999997</v>
      </c>
      <c r="Q56" s="84" t="e">
        <v>#REF!</v>
      </c>
      <c r="R56" s="85"/>
      <c r="S56" s="82"/>
      <c r="T56" s="86">
        <v>0</v>
      </c>
      <c r="U56" s="84">
        <v>0</v>
      </c>
      <c r="V56" s="84">
        <v>657.99300000000005</v>
      </c>
      <c r="W56" s="84">
        <v>328.99650000000003</v>
      </c>
      <c r="X56" s="82">
        <v>0.35</v>
      </c>
      <c r="Y56" s="82"/>
      <c r="Z56" s="84">
        <v>328.99650000000003</v>
      </c>
      <c r="AA56" s="84">
        <v>657.99300000000005</v>
      </c>
      <c r="AB56" s="88" t="e">
        <v>#DIV/0!</v>
      </c>
      <c r="AC56" t="s">
        <v>274</v>
      </c>
    </row>
    <row r="57" spans="3:29">
      <c r="C57" t="s">
        <v>280</v>
      </c>
      <c r="D57" t="s">
        <v>266</v>
      </c>
      <c r="E57" s="84">
        <v>1089.99</v>
      </c>
      <c r="F57" s="84">
        <v>544.995</v>
      </c>
      <c r="G57" t="s">
        <v>40</v>
      </c>
      <c r="H57" t="s">
        <v>281</v>
      </c>
      <c r="I57" t="s">
        <v>268</v>
      </c>
      <c r="J57" t="s">
        <v>278</v>
      </c>
      <c r="K57" t="s">
        <v>58</v>
      </c>
      <c r="L57" t="s">
        <v>50</v>
      </c>
      <c r="N57">
        <v>76</v>
      </c>
      <c r="O57">
        <v>75</v>
      </c>
      <c r="P57">
        <v>0.43319999999999997</v>
      </c>
      <c r="Q57" s="84" t="e">
        <v>#REF!</v>
      </c>
      <c r="R57" s="85"/>
      <c r="S57" s="85"/>
      <c r="T57" s="86">
        <v>0</v>
      </c>
      <c r="U57" s="84">
        <v>0</v>
      </c>
      <c r="V57" s="84">
        <v>762.99300000000005</v>
      </c>
      <c r="W57" s="84">
        <v>381.49650000000003</v>
      </c>
      <c r="X57" s="82">
        <v>0.35</v>
      </c>
      <c r="Y57" s="82"/>
      <c r="Z57" s="84">
        <v>381.49650000000003</v>
      </c>
      <c r="AA57" s="84">
        <v>762.99300000000005</v>
      </c>
      <c r="AB57" s="88" t="e">
        <v>#DIV/0!</v>
      </c>
      <c r="AC57" t="s">
        <v>274</v>
      </c>
    </row>
    <row r="58" spans="3:29">
      <c r="C58" t="s">
        <v>283</v>
      </c>
      <c r="D58" t="s">
        <v>266</v>
      </c>
      <c r="E58" s="84">
        <v>1199.99</v>
      </c>
      <c r="F58" s="84">
        <v>599.995</v>
      </c>
      <c r="G58" t="s">
        <v>40</v>
      </c>
      <c r="H58" t="s">
        <v>284</v>
      </c>
      <c r="I58" t="s">
        <v>268</v>
      </c>
      <c r="J58" t="s">
        <v>80</v>
      </c>
      <c r="K58" t="s">
        <v>49</v>
      </c>
      <c r="L58" t="s">
        <v>50</v>
      </c>
      <c r="N58">
        <v>90</v>
      </c>
      <c r="O58">
        <v>75</v>
      </c>
      <c r="P58">
        <v>0.60750000000000004</v>
      </c>
      <c r="Q58" s="84" t="e">
        <v>#REF!</v>
      </c>
      <c r="R58" s="85"/>
      <c r="S58" s="85"/>
      <c r="T58" s="86">
        <v>0</v>
      </c>
      <c r="U58" s="84">
        <v>0</v>
      </c>
      <c r="V58" s="84">
        <v>839.99300000000005</v>
      </c>
      <c r="W58" s="84">
        <v>419.99650000000003</v>
      </c>
      <c r="X58" s="82">
        <v>0.35</v>
      </c>
      <c r="Y58" s="82"/>
      <c r="Z58" s="84">
        <v>419.99650000000003</v>
      </c>
      <c r="AA58" s="84">
        <v>839.99300000000005</v>
      </c>
      <c r="AB58" s="88" t="e">
        <v>#DIV/0!</v>
      </c>
      <c r="AC58" t="s">
        <v>274</v>
      </c>
    </row>
    <row r="59" spans="3:29">
      <c r="C59" t="s">
        <v>286</v>
      </c>
      <c r="D59" t="s">
        <v>266</v>
      </c>
      <c r="E59" s="84">
        <v>1379.99</v>
      </c>
      <c r="F59" s="84">
        <v>689.995</v>
      </c>
      <c r="G59" t="s">
        <v>40</v>
      </c>
      <c r="H59" t="s">
        <v>287</v>
      </c>
      <c r="I59" t="s">
        <v>268</v>
      </c>
      <c r="J59" t="s">
        <v>80</v>
      </c>
      <c r="K59" t="s">
        <v>58</v>
      </c>
      <c r="L59" t="s">
        <v>50</v>
      </c>
      <c r="N59">
        <v>90</v>
      </c>
      <c r="O59">
        <v>75</v>
      </c>
      <c r="P59">
        <v>0.60750000000000004</v>
      </c>
      <c r="Q59" s="84" t="e">
        <v>#REF!</v>
      </c>
      <c r="R59" s="85"/>
      <c r="S59" s="85"/>
      <c r="T59" s="86">
        <v>0</v>
      </c>
      <c r="U59" s="84">
        <v>0</v>
      </c>
      <c r="V59" s="84">
        <v>965.99300000000005</v>
      </c>
      <c r="W59" s="84">
        <v>482.99650000000003</v>
      </c>
      <c r="X59" s="82">
        <v>0.35</v>
      </c>
      <c r="Y59" s="82"/>
      <c r="Z59" s="84">
        <v>482.99650000000003</v>
      </c>
      <c r="AA59" s="84">
        <v>965.99300000000005</v>
      </c>
      <c r="AB59" s="88" t="e">
        <v>#DIV/0!</v>
      </c>
      <c r="AC59" t="s">
        <v>274</v>
      </c>
    </row>
    <row r="60" spans="3:29">
      <c r="C60" t="s">
        <v>289</v>
      </c>
      <c r="D60" t="s">
        <v>266</v>
      </c>
      <c r="E60" s="84">
        <v>1369.99</v>
      </c>
      <c r="F60" s="84">
        <v>684.995</v>
      </c>
      <c r="G60" t="s">
        <v>40</v>
      </c>
      <c r="H60" t="s">
        <v>290</v>
      </c>
      <c r="I60" t="s">
        <v>268</v>
      </c>
      <c r="J60" t="s">
        <v>291</v>
      </c>
      <c r="K60" t="s">
        <v>49</v>
      </c>
      <c r="L60" t="s">
        <v>50</v>
      </c>
      <c r="N60">
        <v>101</v>
      </c>
      <c r="O60">
        <v>75</v>
      </c>
      <c r="P60">
        <v>0.76507499999999995</v>
      </c>
      <c r="Q60" s="84" t="e">
        <v>#REF!</v>
      </c>
      <c r="R60" s="85"/>
      <c r="S60" s="85"/>
      <c r="T60" s="86">
        <v>0</v>
      </c>
      <c r="U60" s="84">
        <v>0</v>
      </c>
      <c r="V60" s="84">
        <v>958.99300000000005</v>
      </c>
      <c r="W60" s="84">
        <v>479.49650000000003</v>
      </c>
      <c r="X60" s="82">
        <v>0.35</v>
      </c>
      <c r="Y60" s="82"/>
      <c r="Z60" s="84">
        <v>479.49650000000003</v>
      </c>
      <c r="AA60" s="84">
        <v>958.99300000000005</v>
      </c>
      <c r="AB60" s="88" t="e">
        <v>#DIV/0!</v>
      </c>
      <c r="AC60" t="s">
        <v>292</v>
      </c>
    </row>
    <row r="61" spans="3:29">
      <c r="C61" t="s">
        <v>294</v>
      </c>
      <c r="D61" t="s">
        <v>266</v>
      </c>
      <c r="E61" s="84">
        <v>1439.99</v>
      </c>
      <c r="F61" s="84">
        <v>719.995</v>
      </c>
      <c r="G61" t="s">
        <v>40</v>
      </c>
      <c r="H61" t="s">
        <v>295</v>
      </c>
      <c r="I61" t="s">
        <v>268</v>
      </c>
      <c r="J61" t="s">
        <v>291</v>
      </c>
      <c r="K61" t="s">
        <v>58</v>
      </c>
      <c r="L61" t="s">
        <v>50</v>
      </c>
      <c r="N61">
        <v>101</v>
      </c>
      <c r="O61">
        <v>75</v>
      </c>
      <c r="P61">
        <v>0.76507499999999995</v>
      </c>
      <c r="Q61" s="84" t="e">
        <v>#REF!</v>
      </c>
      <c r="R61" s="85"/>
      <c r="S61" s="85"/>
      <c r="T61" s="86">
        <v>0</v>
      </c>
      <c r="U61" s="84">
        <v>0</v>
      </c>
      <c r="V61" s="84">
        <v>1007.9930000000001</v>
      </c>
      <c r="W61" s="84">
        <v>503.99650000000003</v>
      </c>
      <c r="X61" s="82">
        <v>0.35</v>
      </c>
      <c r="Y61" s="82"/>
      <c r="Z61" s="84">
        <v>503.99650000000003</v>
      </c>
      <c r="AA61" s="84">
        <v>1007.9930000000001</v>
      </c>
      <c r="AB61" s="88" t="e">
        <v>#DIV/0!</v>
      </c>
      <c r="AC61" t="s">
        <v>270</v>
      </c>
    </row>
    <row r="62" spans="3:29">
      <c r="C62" t="s">
        <v>297</v>
      </c>
      <c r="D62" t="s">
        <v>266</v>
      </c>
      <c r="E62" s="84">
        <v>1919.99</v>
      </c>
      <c r="F62" s="84">
        <v>959.995</v>
      </c>
      <c r="G62" t="s">
        <v>40</v>
      </c>
      <c r="H62" t="s">
        <v>298</v>
      </c>
      <c r="I62" t="s">
        <v>268</v>
      </c>
      <c r="J62" t="s">
        <v>299</v>
      </c>
      <c r="K62" t="s">
        <v>49</v>
      </c>
      <c r="L62" t="s">
        <v>50</v>
      </c>
      <c r="N62">
        <v>130</v>
      </c>
      <c r="O62">
        <v>75</v>
      </c>
      <c r="P62">
        <v>1.2675000000000001</v>
      </c>
      <c r="Q62" s="84" t="e">
        <v>#REF!</v>
      </c>
      <c r="R62" s="85"/>
      <c r="S62" s="85"/>
      <c r="T62" s="86">
        <v>0</v>
      </c>
      <c r="U62" s="84">
        <v>0</v>
      </c>
      <c r="V62" s="84">
        <v>1343.9929999999999</v>
      </c>
      <c r="W62" s="84">
        <v>671.99649999999997</v>
      </c>
      <c r="X62" s="82">
        <v>0.35</v>
      </c>
      <c r="Y62" s="82"/>
      <c r="Z62" s="84">
        <v>671.99649999999997</v>
      </c>
      <c r="AA62" s="84">
        <v>1343.9929999999999</v>
      </c>
      <c r="AB62" s="88" t="e">
        <v>#DIV/0!</v>
      </c>
      <c r="AC62" t="s">
        <v>300</v>
      </c>
    </row>
    <row r="63" spans="3:29">
      <c r="C63" t="s">
        <v>302</v>
      </c>
      <c r="D63" t="s">
        <v>266</v>
      </c>
      <c r="E63" s="84">
        <v>2069.9899999999998</v>
      </c>
      <c r="F63" s="84">
        <v>1034.9949999999999</v>
      </c>
      <c r="G63" t="s">
        <v>40</v>
      </c>
      <c r="H63" t="s">
        <v>303</v>
      </c>
      <c r="I63" t="s">
        <v>268</v>
      </c>
      <c r="J63" t="s">
        <v>299</v>
      </c>
      <c r="K63" t="s">
        <v>58</v>
      </c>
      <c r="L63" t="s">
        <v>50</v>
      </c>
      <c r="N63">
        <v>130</v>
      </c>
      <c r="O63">
        <v>75</v>
      </c>
      <c r="P63">
        <v>1.2675000000000001</v>
      </c>
      <c r="Q63" s="84" t="e">
        <v>#REF!</v>
      </c>
      <c r="R63" s="85"/>
      <c r="S63" s="85"/>
      <c r="T63" s="86">
        <v>0</v>
      </c>
      <c r="U63" s="84">
        <v>0</v>
      </c>
      <c r="V63" s="84">
        <v>1448.9929999999999</v>
      </c>
      <c r="W63" s="84">
        <v>724.49649999999997</v>
      </c>
      <c r="X63" s="82">
        <v>0.35</v>
      </c>
      <c r="Y63" s="82"/>
      <c r="Z63" s="84">
        <v>724.49649999999997</v>
      </c>
      <c r="AA63" s="84">
        <v>1448.9929999999999</v>
      </c>
      <c r="AB63" s="88" t="e">
        <v>#DIV/0!</v>
      </c>
      <c r="AC63" t="s">
        <v>300</v>
      </c>
    </row>
    <row r="64" spans="3:29">
      <c r="C64" t="s">
        <v>305</v>
      </c>
      <c r="D64" t="s">
        <v>306</v>
      </c>
      <c r="E64" s="84">
        <v>959.99</v>
      </c>
      <c r="F64" s="84">
        <v>479.995</v>
      </c>
      <c r="G64" t="s">
        <v>40</v>
      </c>
      <c r="H64" t="s">
        <v>307</v>
      </c>
      <c r="I64" t="s">
        <v>308</v>
      </c>
      <c r="J64" t="s">
        <v>309</v>
      </c>
      <c r="K64" t="s">
        <v>49</v>
      </c>
      <c r="L64" t="s">
        <v>50</v>
      </c>
      <c r="M64">
        <v>70</v>
      </c>
      <c r="N64">
        <v>70</v>
      </c>
      <c r="O64">
        <v>75</v>
      </c>
      <c r="P64">
        <v>0.36749999999999999</v>
      </c>
      <c r="Q64" s="84" t="e">
        <v>#REF!</v>
      </c>
      <c r="R64" s="85">
        <v>1678534.45178936</v>
      </c>
      <c r="S64" s="85">
        <v>0</v>
      </c>
      <c r="T64" s="86">
        <v>1678534.45178936</v>
      </c>
      <c r="U64" s="84">
        <v>111.90229678595701</v>
      </c>
      <c r="V64" s="84">
        <v>671.99300000000005</v>
      </c>
      <c r="W64" s="84">
        <v>335.99650000000003</v>
      </c>
      <c r="X64" s="82">
        <v>0.35</v>
      </c>
      <c r="Y64" s="82"/>
      <c r="Z64" s="84">
        <v>335.99650000000003</v>
      </c>
      <c r="AA64" s="84">
        <v>671.99300000000005</v>
      </c>
      <c r="AB64" s="88">
        <v>3.0025880580689299</v>
      </c>
      <c r="AC64" t="s">
        <v>310</v>
      </c>
    </row>
    <row r="65" spans="3:29">
      <c r="C65" t="s">
        <v>312</v>
      </c>
      <c r="D65" t="s">
        <v>306</v>
      </c>
      <c r="E65" s="84">
        <v>1019.99</v>
      </c>
      <c r="F65" s="84">
        <v>509.995</v>
      </c>
      <c r="G65" t="s">
        <v>40</v>
      </c>
      <c r="H65" t="s">
        <v>313</v>
      </c>
      <c r="I65" t="s">
        <v>308</v>
      </c>
      <c r="J65" t="s">
        <v>309</v>
      </c>
      <c r="K65" t="s">
        <v>58</v>
      </c>
      <c r="L65" t="s">
        <v>50</v>
      </c>
      <c r="M65">
        <v>70</v>
      </c>
      <c r="N65">
        <v>70</v>
      </c>
      <c r="O65">
        <v>75</v>
      </c>
      <c r="P65">
        <v>0.36749999999999999</v>
      </c>
      <c r="Q65" s="84" t="e">
        <v>#REF!</v>
      </c>
      <c r="R65" s="85">
        <v>1626327.5433634301</v>
      </c>
      <c r="S65" s="85">
        <v>0</v>
      </c>
      <c r="T65" s="86">
        <v>1626327.5433634301</v>
      </c>
      <c r="U65" s="84">
        <v>108.421836224229</v>
      </c>
      <c r="V65" s="84">
        <v>713.99300000000005</v>
      </c>
      <c r="W65" s="84">
        <v>356.99650000000003</v>
      </c>
      <c r="X65" s="82">
        <v>0.35</v>
      </c>
      <c r="Y65" s="82"/>
      <c r="Z65" s="84">
        <v>356.99650000000003</v>
      </c>
      <c r="AA65" s="84">
        <v>713.99300000000005</v>
      </c>
      <c r="AB65" s="88">
        <v>3.2926623679541001</v>
      </c>
      <c r="AC65" t="s">
        <v>314</v>
      </c>
    </row>
    <row r="66" spans="3:29">
      <c r="C66" t="s">
        <v>316</v>
      </c>
      <c r="D66" t="s">
        <v>306</v>
      </c>
      <c r="E66" s="84">
        <v>1029.99</v>
      </c>
      <c r="F66" s="84">
        <v>514.995</v>
      </c>
      <c r="G66" t="s">
        <v>40</v>
      </c>
      <c r="H66" t="s">
        <v>317</v>
      </c>
      <c r="I66" t="s">
        <v>308</v>
      </c>
      <c r="J66" t="s">
        <v>318</v>
      </c>
      <c r="K66" t="s">
        <v>49</v>
      </c>
      <c r="L66" t="s">
        <v>50</v>
      </c>
      <c r="M66">
        <v>80</v>
      </c>
      <c r="N66">
        <v>80</v>
      </c>
      <c r="O66">
        <v>75</v>
      </c>
      <c r="P66">
        <v>0.48</v>
      </c>
      <c r="Q66" s="84" t="e">
        <v>#REF!</v>
      </c>
      <c r="R66" s="85">
        <v>1867996.45397441</v>
      </c>
      <c r="S66" s="85">
        <v>0</v>
      </c>
      <c r="T66" s="86">
        <v>1867996.45397441</v>
      </c>
      <c r="U66" s="84">
        <v>124.53309693162799</v>
      </c>
      <c r="V66" s="84">
        <v>720.99300000000005</v>
      </c>
      <c r="W66" s="84">
        <v>360.49650000000003</v>
      </c>
      <c r="X66" s="82">
        <v>0.35</v>
      </c>
      <c r="Y66" s="82"/>
      <c r="Z66" s="84">
        <v>360.49650000000003</v>
      </c>
      <c r="AA66" s="84">
        <v>720.99300000000005</v>
      </c>
      <c r="AB66" s="88">
        <v>2.8947846707604401</v>
      </c>
      <c r="AC66" t="s">
        <v>319</v>
      </c>
    </row>
    <row r="67" spans="3:29">
      <c r="C67" t="s">
        <v>321</v>
      </c>
      <c r="D67" t="s">
        <v>306</v>
      </c>
      <c r="E67" s="84">
        <v>1109.99</v>
      </c>
      <c r="F67" s="84">
        <v>554.995</v>
      </c>
      <c r="G67" t="s">
        <v>40</v>
      </c>
      <c r="H67" t="s">
        <v>322</v>
      </c>
      <c r="I67" t="s">
        <v>308</v>
      </c>
      <c r="J67" t="s">
        <v>318</v>
      </c>
      <c r="K67" t="s">
        <v>58</v>
      </c>
      <c r="L67" t="s">
        <v>50</v>
      </c>
      <c r="M67">
        <v>80</v>
      </c>
      <c r="N67">
        <v>80</v>
      </c>
      <c r="O67">
        <v>75</v>
      </c>
      <c r="P67">
        <v>0.48</v>
      </c>
      <c r="Q67" s="84" t="e">
        <v>#REF!</v>
      </c>
      <c r="R67" s="85">
        <v>1797507.35976145</v>
      </c>
      <c r="S67" s="85">
        <v>0</v>
      </c>
      <c r="T67" s="86">
        <v>1797507.35976145</v>
      </c>
      <c r="U67" s="84">
        <v>119.83382398409699</v>
      </c>
      <c r="V67" s="84">
        <v>776.99300000000005</v>
      </c>
      <c r="W67" s="84">
        <v>388.49650000000003</v>
      </c>
      <c r="X67" s="82">
        <v>0.35</v>
      </c>
      <c r="Y67" s="82"/>
      <c r="Z67" s="84">
        <v>388.49650000000003</v>
      </c>
      <c r="AA67" s="84">
        <v>776.99300000000005</v>
      </c>
      <c r="AB67" s="88">
        <v>3.2419603003869599</v>
      </c>
      <c r="AC67" t="s">
        <v>314</v>
      </c>
    </row>
    <row r="68" spans="3:29">
      <c r="C68" t="s">
        <v>324</v>
      </c>
      <c r="D68" t="s">
        <v>306</v>
      </c>
      <c r="E68" s="84">
        <v>1309.99</v>
      </c>
      <c r="F68" s="84">
        <v>654.995</v>
      </c>
      <c r="G68" t="s">
        <v>40</v>
      </c>
      <c r="H68" t="s">
        <v>325</v>
      </c>
      <c r="I68" t="s">
        <v>308</v>
      </c>
      <c r="J68" t="s">
        <v>326</v>
      </c>
      <c r="K68" t="s">
        <v>49</v>
      </c>
      <c r="L68" t="s">
        <v>50</v>
      </c>
      <c r="M68">
        <v>90</v>
      </c>
      <c r="N68">
        <v>90</v>
      </c>
      <c r="O68">
        <v>75</v>
      </c>
      <c r="P68">
        <v>0.60750000000000004</v>
      </c>
      <c r="Q68" s="84" t="e">
        <v>#REF!</v>
      </c>
      <c r="R68" s="85">
        <v>2099495.2221617298</v>
      </c>
      <c r="S68" s="85">
        <v>0</v>
      </c>
      <c r="T68" s="86">
        <v>2099495.2221617298</v>
      </c>
      <c r="U68" s="84">
        <v>139.96634814411499</v>
      </c>
      <c r="V68" s="84">
        <v>916.99300000000005</v>
      </c>
      <c r="W68" s="84">
        <v>458.49650000000003</v>
      </c>
      <c r="X68" s="82">
        <v>0.35</v>
      </c>
      <c r="Y68" s="82"/>
      <c r="Z68" s="84">
        <v>458.49650000000003</v>
      </c>
      <c r="AA68" s="84">
        <v>916.99300000000005</v>
      </c>
      <c r="AB68" s="88">
        <v>3.2757623963148101</v>
      </c>
      <c r="AC68" t="s">
        <v>327</v>
      </c>
    </row>
    <row r="69" spans="3:29">
      <c r="C69" t="s">
        <v>329</v>
      </c>
      <c r="D69" t="s">
        <v>306</v>
      </c>
      <c r="E69" s="84">
        <v>1549.99</v>
      </c>
      <c r="F69" s="84">
        <v>774.995</v>
      </c>
      <c r="G69" t="s">
        <v>40</v>
      </c>
      <c r="H69" t="s">
        <v>330</v>
      </c>
      <c r="I69" t="s">
        <v>308</v>
      </c>
      <c r="J69" t="s">
        <v>326</v>
      </c>
      <c r="K69" t="s">
        <v>58</v>
      </c>
      <c r="L69" t="s">
        <v>50</v>
      </c>
      <c r="M69">
        <v>90</v>
      </c>
      <c r="N69">
        <v>90</v>
      </c>
      <c r="O69">
        <v>75</v>
      </c>
      <c r="P69">
        <v>0.60750000000000004</v>
      </c>
      <c r="Q69" s="84" t="e">
        <v>#REF!</v>
      </c>
      <c r="R69" s="85">
        <v>2043990.49591173</v>
      </c>
      <c r="S69" s="85">
        <v>0</v>
      </c>
      <c r="T69" s="86">
        <v>2043990.49591173</v>
      </c>
      <c r="U69" s="84">
        <v>136.26603306078201</v>
      </c>
      <c r="V69" s="84">
        <v>1084.9929999999999</v>
      </c>
      <c r="W69" s="84">
        <v>542.49649999999997</v>
      </c>
      <c r="X69" s="82">
        <v>0.35</v>
      </c>
      <c r="Y69" s="82"/>
      <c r="Z69" s="84">
        <v>542.49649999999997</v>
      </c>
      <c r="AA69" s="84">
        <v>1084.9929999999999</v>
      </c>
      <c r="AB69" s="88">
        <v>3.9811572100144499</v>
      </c>
      <c r="AC69" t="s">
        <v>314</v>
      </c>
    </row>
    <row r="70" spans="3:29">
      <c r="C70" t="s">
        <v>332</v>
      </c>
      <c r="D70" t="s">
        <v>306</v>
      </c>
      <c r="E70" s="84">
        <v>2159.9899999999998</v>
      </c>
      <c r="F70" s="84">
        <v>1079.9949999999999</v>
      </c>
      <c r="G70" t="s">
        <v>40</v>
      </c>
      <c r="H70" t="s">
        <v>333</v>
      </c>
      <c r="I70" t="s">
        <v>308</v>
      </c>
      <c r="J70" t="s">
        <v>334</v>
      </c>
      <c r="K70" t="s">
        <v>49</v>
      </c>
      <c r="L70" t="s">
        <v>50</v>
      </c>
      <c r="M70">
        <v>120</v>
      </c>
      <c r="N70">
        <v>120</v>
      </c>
      <c r="O70">
        <v>75</v>
      </c>
      <c r="P70">
        <v>1.08</v>
      </c>
      <c r="Q70" s="84" t="e">
        <v>#REF!</v>
      </c>
      <c r="R70" s="85"/>
      <c r="S70" s="85"/>
      <c r="T70" s="86">
        <v>0</v>
      </c>
      <c r="U70" s="84">
        <v>0</v>
      </c>
      <c r="V70" s="84">
        <v>1511.9929999999999</v>
      </c>
      <c r="W70" s="84">
        <v>755.99649999999997</v>
      </c>
      <c r="X70" s="82">
        <v>0.35</v>
      </c>
      <c r="Y70" s="82"/>
      <c r="Z70" s="84">
        <v>755.99649999999997</v>
      </c>
      <c r="AA70" s="84">
        <v>1511.9929999999999</v>
      </c>
      <c r="AB70" s="88" t="e">
        <v>#DIV/0!</v>
      </c>
      <c r="AC70" t="s">
        <v>327</v>
      </c>
    </row>
    <row r="71" spans="3:29">
      <c r="C71" t="s">
        <v>336</v>
      </c>
      <c r="D71" t="s">
        <v>306</v>
      </c>
      <c r="E71" s="84">
        <v>2289.9899999999998</v>
      </c>
      <c r="F71" s="84">
        <v>1144.9949999999999</v>
      </c>
      <c r="G71" t="s">
        <v>40</v>
      </c>
      <c r="H71" t="s">
        <v>337</v>
      </c>
      <c r="I71" t="s">
        <v>308</v>
      </c>
      <c r="J71" t="s">
        <v>334</v>
      </c>
      <c r="K71" t="s">
        <v>58</v>
      </c>
      <c r="L71" t="s">
        <v>50</v>
      </c>
      <c r="M71">
        <v>120</v>
      </c>
      <c r="N71">
        <v>120</v>
      </c>
      <c r="O71">
        <v>75</v>
      </c>
      <c r="P71">
        <v>1.08</v>
      </c>
      <c r="Q71" s="84" t="e">
        <v>#REF!</v>
      </c>
      <c r="R71" s="85"/>
      <c r="S71" s="85"/>
      <c r="T71" s="86">
        <v>0</v>
      </c>
      <c r="U71" s="84">
        <v>0</v>
      </c>
      <c r="V71" s="84">
        <v>1602.9929999999999</v>
      </c>
      <c r="W71" s="84">
        <v>801.49649999999997</v>
      </c>
      <c r="X71" s="82">
        <v>0.35</v>
      </c>
      <c r="Y71" s="82"/>
      <c r="Z71" s="84">
        <v>801.49649999999997</v>
      </c>
      <c r="AA71" s="84">
        <v>1602.9929999999999</v>
      </c>
      <c r="AB71" s="88" t="e">
        <v>#DIV/0!</v>
      </c>
      <c r="AC71" t="s">
        <v>314</v>
      </c>
    </row>
    <row r="72" spans="3:29">
      <c r="C72" t="s">
        <v>339</v>
      </c>
      <c r="D72" t="s">
        <v>306</v>
      </c>
      <c r="E72" s="84">
        <v>2649.99</v>
      </c>
      <c r="F72" s="84">
        <v>1324.9949999999999</v>
      </c>
      <c r="G72" t="s">
        <v>40</v>
      </c>
      <c r="H72" t="s">
        <v>340</v>
      </c>
      <c r="I72" t="s">
        <v>308</v>
      </c>
      <c r="J72" t="s">
        <v>341</v>
      </c>
      <c r="K72" t="s">
        <v>49</v>
      </c>
      <c r="L72" t="s">
        <v>50</v>
      </c>
      <c r="M72">
        <v>150</v>
      </c>
      <c r="N72">
        <v>150</v>
      </c>
      <c r="O72">
        <v>75</v>
      </c>
      <c r="P72">
        <v>1.6875</v>
      </c>
      <c r="Q72" s="84" t="e">
        <v>#REF!</v>
      </c>
      <c r="R72" s="85"/>
      <c r="S72" s="85"/>
      <c r="T72" s="86">
        <v>0</v>
      </c>
      <c r="U72" s="84">
        <v>0</v>
      </c>
      <c r="V72" s="84">
        <v>1854.9929999999999</v>
      </c>
      <c r="W72" s="84">
        <v>927.49649999999997</v>
      </c>
      <c r="X72" s="82">
        <v>0.35</v>
      </c>
      <c r="Y72" s="82"/>
      <c r="Z72" s="84">
        <v>927.49649999999997</v>
      </c>
      <c r="AA72" s="84">
        <v>1854.9929999999999</v>
      </c>
      <c r="AB72" s="88" t="e">
        <v>#DIV/0!</v>
      </c>
      <c r="AC72" t="s">
        <v>310</v>
      </c>
    </row>
    <row r="73" spans="3:29">
      <c r="C73" t="s">
        <v>343</v>
      </c>
      <c r="D73" t="s">
        <v>306</v>
      </c>
      <c r="E73" s="84">
        <v>3479.99</v>
      </c>
      <c r="F73" s="84">
        <v>1739.9949999999999</v>
      </c>
      <c r="G73" t="s">
        <v>40</v>
      </c>
      <c r="H73" t="s">
        <v>344</v>
      </c>
      <c r="I73" t="s">
        <v>308</v>
      </c>
      <c r="J73" t="s">
        <v>341</v>
      </c>
      <c r="K73" t="s">
        <v>58</v>
      </c>
      <c r="L73" t="s">
        <v>50</v>
      </c>
      <c r="M73">
        <v>150</v>
      </c>
      <c r="N73">
        <v>150</v>
      </c>
      <c r="O73">
        <v>75</v>
      </c>
      <c r="P73">
        <v>1.6875</v>
      </c>
      <c r="Q73" s="84" t="e">
        <v>#REF!</v>
      </c>
      <c r="R73" s="85"/>
      <c r="S73" s="85"/>
      <c r="T73" s="86">
        <v>0</v>
      </c>
      <c r="U73" s="84">
        <v>0</v>
      </c>
      <c r="V73" s="84">
        <v>2435.9929999999999</v>
      </c>
      <c r="W73" s="84">
        <v>1217.9965</v>
      </c>
      <c r="X73" s="82">
        <v>0.35</v>
      </c>
      <c r="Y73" s="82"/>
      <c r="Z73" s="84">
        <v>1217.9965</v>
      </c>
      <c r="AA73" s="84">
        <v>2435.9929999999999</v>
      </c>
      <c r="AB73" s="88" t="e">
        <v>#DIV/0!</v>
      </c>
      <c r="AC73" t="s">
        <v>319</v>
      </c>
    </row>
    <row r="74" spans="3:29">
      <c r="C74" t="s">
        <v>346</v>
      </c>
      <c r="D74" t="s">
        <v>347</v>
      </c>
      <c r="E74" s="84">
        <v>609.99</v>
      </c>
      <c r="F74" s="84">
        <v>304.995</v>
      </c>
      <c r="G74" t="s">
        <v>40</v>
      </c>
      <c r="H74" t="s">
        <v>348</v>
      </c>
      <c r="I74" t="s">
        <v>349</v>
      </c>
      <c r="J74" t="s">
        <v>350</v>
      </c>
      <c r="K74" t="s">
        <v>49</v>
      </c>
      <c r="L74" t="s">
        <v>50</v>
      </c>
      <c r="M74">
        <v>75</v>
      </c>
      <c r="N74">
        <v>40</v>
      </c>
      <c r="O74">
        <v>75</v>
      </c>
      <c r="P74">
        <v>0.22500000000000001</v>
      </c>
      <c r="Q74" s="84" t="e">
        <v>#REF!</v>
      </c>
      <c r="R74" s="85"/>
      <c r="S74" s="85"/>
      <c r="T74" s="86">
        <v>0</v>
      </c>
      <c r="U74" s="84">
        <v>0</v>
      </c>
      <c r="V74" s="84">
        <v>426.99299999999999</v>
      </c>
      <c r="W74" s="84">
        <v>213.4965</v>
      </c>
      <c r="X74" s="82">
        <v>0.35</v>
      </c>
      <c r="Y74" s="82"/>
      <c r="Z74" s="84">
        <v>213.4965</v>
      </c>
      <c r="AA74" s="84">
        <v>426.99299999999999</v>
      </c>
      <c r="AB74" s="88" t="e">
        <v>#DIV/0!</v>
      </c>
      <c r="AC74" t="s">
        <v>351</v>
      </c>
    </row>
    <row r="75" spans="3:29">
      <c r="C75" t="s">
        <v>353</v>
      </c>
      <c r="D75" t="s">
        <v>347</v>
      </c>
      <c r="E75" s="84">
        <v>709.99</v>
      </c>
      <c r="F75" s="84">
        <v>354.995</v>
      </c>
      <c r="G75" t="s">
        <v>40</v>
      </c>
      <c r="H75" t="s">
        <v>354</v>
      </c>
      <c r="I75" t="s">
        <v>349</v>
      </c>
      <c r="J75" t="s">
        <v>350</v>
      </c>
      <c r="K75" t="s">
        <v>58</v>
      </c>
      <c r="L75" t="s">
        <v>50</v>
      </c>
      <c r="M75">
        <v>75</v>
      </c>
      <c r="N75">
        <v>40</v>
      </c>
      <c r="O75">
        <v>75</v>
      </c>
      <c r="P75">
        <v>0.22500000000000001</v>
      </c>
      <c r="Q75" s="84" t="e">
        <v>#REF!</v>
      </c>
      <c r="R75" s="85"/>
      <c r="S75" s="85"/>
      <c r="T75" s="86">
        <v>0</v>
      </c>
      <c r="U75" s="84">
        <v>0</v>
      </c>
      <c r="V75" s="84">
        <v>496.99299999999999</v>
      </c>
      <c r="W75" s="84">
        <v>248.4965</v>
      </c>
      <c r="X75" s="82">
        <v>0.35</v>
      </c>
      <c r="Y75" s="82"/>
      <c r="Z75" s="84">
        <v>248.4965</v>
      </c>
      <c r="AA75" s="84">
        <v>496.99299999999999</v>
      </c>
      <c r="AB75" s="88" t="e">
        <v>#DIV/0!</v>
      </c>
      <c r="AC75" t="s">
        <v>355</v>
      </c>
    </row>
    <row r="76" spans="3:29">
      <c r="C76" t="s">
        <v>357</v>
      </c>
      <c r="D76" t="s">
        <v>358</v>
      </c>
      <c r="E76" s="84">
        <v>3659.99</v>
      </c>
      <c r="F76" s="84">
        <v>1829.9949999999999</v>
      </c>
      <c r="G76" t="s">
        <v>40</v>
      </c>
      <c r="H76" t="s">
        <v>359</v>
      </c>
      <c r="I76" t="s">
        <v>360</v>
      </c>
      <c r="J76" t="s">
        <v>361</v>
      </c>
      <c r="K76" t="s">
        <v>49</v>
      </c>
      <c r="L76" t="s">
        <v>50</v>
      </c>
      <c r="M76">
        <v>260</v>
      </c>
      <c r="N76">
        <v>85</v>
      </c>
      <c r="O76">
        <v>85</v>
      </c>
      <c r="P76">
        <v>1.8785000000000001</v>
      </c>
      <c r="Q76" s="84" t="e">
        <v>#REF!</v>
      </c>
      <c r="R76" s="85"/>
      <c r="S76" s="85"/>
      <c r="T76" s="86">
        <v>0</v>
      </c>
      <c r="U76" s="84">
        <v>0</v>
      </c>
      <c r="V76" s="84">
        <v>2561.9929999999999</v>
      </c>
      <c r="W76" s="84">
        <v>1280.9965</v>
      </c>
      <c r="X76" s="82">
        <v>0.35</v>
      </c>
      <c r="Y76" s="82"/>
      <c r="Z76" s="84">
        <v>1280.9965</v>
      </c>
      <c r="AA76" s="84">
        <v>2561.9929999999999</v>
      </c>
      <c r="AB76" s="88" t="e">
        <v>#DIV/0!</v>
      </c>
      <c r="AC76" t="s">
        <v>362</v>
      </c>
    </row>
    <row r="77" spans="3:29">
      <c r="C77" t="s">
        <v>364</v>
      </c>
      <c r="D77" t="s">
        <v>358</v>
      </c>
      <c r="E77" s="84">
        <v>3879.99</v>
      </c>
      <c r="F77" s="84">
        <v>1939.9949999999999</v>
      </c>
      <c r="G77" t="s">
        <v>40</v>
      </c>
      <c r="H77" t="s">
        <v>365</v>
      </c>
      <c r="I77" t="s">
        <v>360</v>
      </c>
      <c r="J77" t="s">
        <v>366</v>
      </c>
      <c r="K77" t="s">
        <v>58</v>
      </c>
      <c r="L77" t="s">
        <v>50</v>
      </c>
      <c r="M77">
        <v>260</v>
      </c>
      <c r="N77">
        <v>85</v>
      </c>
      <c r="O77">
        <v>85</v>
      </c>
      <c r="P77">
        <v>1.8785000000000001</v>
      </c>
      <c r="Q77" s="84" t="e">
        <v>#REF!</v>
      </c>
      <c r="R77" s="85"/>
      <c r="S77" s="85"/>
      <c r="T77" s="86">
        <v>0</v>
      </c>
      <c r="U77" s="84">
        <v>0</v>
      </c>
      <c r="V77" s="84">
        <v>2715.9929999999999</v>
      </c>
      <c r="W77" s="84">
        <v>1357.9965</v>
      </c>
      <c r="X77" s="82">
        <v>0.35</v>
      </c>
      <c r="Y77" s="82"/>
      <c r="Z77" s="84">
        <v>1357.9965</v>
      </c>
      <c r="AA77" s="84">
        <v>2715.9929999999999</v>
      </c>
      <c r="AB77" s="88" t="e">
        <v>#DIV/0!</v>
      </c>
      <c r="AC77" t="s">
        <v>367</v>
      </c>
    </row>
    <row r="78" spans="3:29">
      <c r="C78" t="s">
        <v>369</v>
      </c>
      <c r="D78" t="s">
        <v>370</v>
      </c>
      <c r="E78" s="84">
        <v>2039.99</v>
      </c>
      <c r="F78" s="84">
        <v>1019.995</v>
      </c>
      <c r="G78" t="s">
        <v>40</v>
      </c>
      <c r="H78" t="s">
        <v>371</v>
      </c>
      <c r="I78" t="s">
        <v>82</v>
      </c>
      <c r="J78" t="s">
        <v>88</v>
      </c>
      <c r="K78" t="s">
        <v>49</v>
      </c>
      <c r="L78" t="s">
        <v>50</v>
      </c>
      <c r="N78">
        <v>130</v>
      </c>
      <c r="O78">
        <v>75</v>
      </c>
      <c r="P78">
        <v>1.2675000000000001</v>
      </c>
      <c r="Q78" s="84" t="e">
        <v>#REF!</v>
      </c>
      <c r="R78" s="85">
        <v>4061371.5540411798</v>
      </c>
      <c r="S78" s="85">
        <v>0</v>
      </c>
      <c r="T78" s="86">
        <v>4061371.5540411798</v>
      </c>
      <c r="U78" s="84">
        <v>270.75810360274602</v>
      </c>
      <c r="V78" s="84">
        <v>1427.9929999999999</v>
      </c>
      <c r="W78" s="84">
        <v>713.99649999999997</v>
      </c>
      <c r="X78" s="82">
        <v>0.35</v>
      </c>
      <c r="Y78" s="82"/>
      <c r="Z78" s="84">
        <v>713.99649999999997</v>
      </c>
      <c r="AA78" s="84">
        <v>1427.9929999999999</v>
      </c>
      <c r="AB78" s="88">
        <v>2.6370272597549702</v>
      </c>
      <c r="AC78" t="s">
        <v>372</v>
      </c>
    </row>
    <row r="79" spans="3:29">
      <c r="C79" t="s">
        <v>374</v>
      </c>
      <c r="D79" t="s">
        <v>370</v>
      </c>
      <c r="E79" s="84">
        <v>2869.99</v>
      </c>
      <c r="F79" s="84">
        <v>1434.9949999999999</v>
      </c>
      <c r="G79" t="s">
        <v>40</v>
      </c>
      <c r="H79" t="s">
        <v>375</v>
      </c>
      <c r="I79" t="s">
        <v>82</v>
      </c>
      <c r="J79" t="s">
        <v>88</v>
      </c>
      <c r="K79" t="s">
        <v>58</v>
      </c>
      <c r="L79" t="s">
        <v>50</v>
      </c>
      <c r="N79">
        <v>130</v>
      </c>
      <c r="O79">
        <v>75</v>
      </c>
      <c r="P79">
        <v>1.2675000000000001</v>
      </c>
      <c r="Q79" s="84" t="e">
        <v>#REF!</v>
      </c>
      <c r="R79" s="85">
        <v>3851450.2415411798</v>
      </c>
      <c r="S79" s="85">
        <v>0</v>
      </c>
      <c r="T79" s="86">
        <v>3851450.2415411798</v>
      </c>
      <c r="U79" s="84">
        <v>256.76334943607901</v>
      </c>
      <c r="V79" s="84">
        <v>2008.9929999999999</v>
      </c>
      <c r="W79" s="84">
        <v>1004.4965</v>
      </c>
      <c r="X79" s="82">
        <v>0.35</v>
      </c>
      <c r="Y79" s="82"/>
      <c r="Z79" s="84">
        <v>1004.4965</v>
      </c>
      <c r="AA79" s="84">
        <v>2008.9929999999999</v>
      </c>
      <c r="AB79" s="88">
        <v>3.9121490750379402</v>
      </c>
      <c r="AC79" t="s">
        <v>376</v>
      </c>
    </row>
    <row r="80" spans="3:29">
      <c r="C80" t="s">
        <v>378</v>
      </c>
      <c r="D80" t="s">
        <v>370</v>
      </c>
      <c r="E80" s="84">
        <v>2139.9899999999998</v>
      </c>
      <c r="F80" s="84">
        <v>1069.9949999999999</v>
      </c>
      <c r="G80" t="s">
        <v>40</v>
      </c>
      <c r="H80" t="s">
        <v>379</v>
      </c>
      <c r="I80" t="s">
        <v>82</v>
      </c>
      <c r="J80" t="s">
        <v>202</v>
      </c>
      <c r="K80" t="s">
        <v>49</v>
      </c>
      <c r="L80" t="s">
        <v>50</v>
      </c>
      <c r="N80">
        <v>160</v>
      </c>
      <c r="O80">
        <v>75</v>
      </c>
      <c r="P80">
        <v>1.92</v>
      </c>
      <c r="Q80" s="84" t="e">
        <v>#REF!</v>
      </c>
      <c r="R80" s="85">
        <v>5321340.9925039597</v>
      </c>
      <c r="S80" s="85">
        <v>0</v>
      </c>
      <c r="T80" s="86">
        <v>5321340.9925039597</v>
      </c>
      <c r="U80" s="84">
        <v>354.75606616693</v>
      </c>
      <c r="V80" s="84">
        <v>1497.9929999999999</v>
      </c>
      <c r="W80" s="84">
        <v>748.99649999999997</v>
      </c>
      <c r="X80" s="82">
        <v>0.35</v>
      </c>
      <c r="Y80" s="82"/>
      <c r="Z80" s="84">
        <v>748.99649999999997</v>
      </c>
      <c r="AA80" s="84">
        <v>1497.9929999999999</v>
      </c>
      <c r="AB80" s="88">
        <v>2.1113000493346301</v>
      </c>
      <c r="AC80" t="s">
        <v>380</v>
      </c>
    </row>
    <row r="81" spans="3:29">
      <c r="C81" t="s">
        <v>382</v>
      </c>
      <c r="D81" t="s">
        <v>370</v>
      </c>
      <c r="E81" s="84">
        <v>3089.99</v>
      </c>
      <c r="F81" s="84">
        <v>1544.9949999999999</v>
      </c>
      <c r="G81" t="s">
        <v>40</v>
      </c>
      <c r="H81" t="s">
        <v>383</v>
      </c>
      <c r="I81" t="s">
        <v>82</v>
      </c>
      <c r="J81" t="s">
        <v>202</v>
      </c>
      <c r="K81" t="s">
        <v>58</v>
      </c>
      <c r="L81" t="s">
        <v>50</v>
      </c>
      <c r="N81">
        <v>160</v>
      </c>
      <c r="O81">
        <v>75</v>
      </c>
      <c r="P81">
        <v>1.92</v>
      </c>
      <c r="Q81" s="84" t="e">
        <v>#REF!</v>
      </c>
      <c r="R81" s="85">
        <v>5070729.2382909898</v>
      </c>
      <c r="S81" s="85">
        <v>0</v>
      </c>
      <c r="T81" s="86">
        <v>5070729.2382909898</v>
      </c>
      <c r="U81" s="84">
        <v>338.04861588606599</v>
      </c>
      <c r="V81" s="84">
        <v>2162.9929999999999</v>
      </c>
      <c r="W81" s="84">
        <v>1081.4965</v>
      </c>
      <c r="X81" s="82">
        <v>0.35</v>
      </c>
      <c r="Y81" s="82"/>
      <c r="Z81" s="84">
        <v>1081.4965</v>
      </c>
      <c r="AA81" s="84">
        <v>2162.9929999999999</v>
      </c>
      <c r="AB81" s="88">
        <v>3.1992336284687002</v>
      </c>
      <c r="AC81" t="s">
        <v>384</v>
      </c>
    </row>
    <row r="82" spans="3:29">
      <c r="C82" t="s">
        <v>386</v>
      </c>
      <c r="D82" t="s">
        <v>387</v>
      </c>
      <c r="E82" s="84">
        <v>2679.99</v>
      </c>
      <c r="F82" s="84">
        <v>1339.9949999999999</v>
      </c>
      <c r="G82" t="s">
        <v>40</v>
      </c>
      <c r="H82" t="s">
        <v>388</v>
      </c>
      <c r="I82" t="s">
        <v>389</v>
      </c>
      <c r="J82" t="s">
        <v>88</v>
      </c>
      <c r="K82" t="s">
        <v>49</v>
      </c>
      <c r="L82" t="s">
        <v>50</v>
      </c>
      <c r="N82">
        <v>130</v>
      </c>
      <c r="O82">
        <v>75</v>
      </c>
      <c r="P82">
        <v>1.2675000000000001</v>
      </c>
      <c r="Q82" s="84" t="e">
        <v>#REF!</v>
      </c>
      <c r="R82" s="85">
        <v>3266086.1925034402</v>
      </c>
      <c r="S82" s="85">
        <v>0</v>
      </c>
      <c r="T82" s="86">
        <v>3266086.1925034402</v>
      </c>
      <c r="U82" s="84">
        <v>217.739079500229</v>
      </c>
      <c r="V82" s="84">
        <v>1875.9929999999999</v>
      </c>
      <c r="W82" s="84">
        <v>937.99649999999997</v>
      </c>
      <c r="X82" s="82">
        <v>0.35</v>
      </c>
      <c r="Y82" s="82"/>
      <c r="Z82" s="84">
        <v>937.99649999999997</v>
      </c>
      <c r="AA82" s="84">
        <v>1875.9929999999999</v>
      </c>
      <c r="AB82" s="88">
        <v>4.3078922816839302</v>
      </c>
      <c r="AC82" t="s">
        <v>390</v>
      </c>
    </row>
    <row r="83" spans="3:29">
      <c r="C83" t="s">
        <v>392</v>
      </c>
      <c r="D83" t="s">
        <v>387</v>
      </c>
      <c r="E83" s="84">
        <v>2789.99</v>
      </c>
      <c r="F83" s="84">
        <v>1394.9949999999999</v>
      </c>
      <c r="G83" t="s">
        <v>40</v>
      </c>
      <c r="H83" t="s">
        <v>393</v>
      </c>
      <c r="I83" t="s">
        <v>389</v>
      </c>
      <c r="J83" t="s">
        <v>88</v>
      </c>
      <c r="K83" t="s">
        <v>58</v>
      </c>
      <c r="L83" t="s">
        <v>50</v>
      </c>
      <c r="N83">
        <v>130</v>
      </c>
      <c r="O83">
        <v>75</v>
      </c>
      <c r="P83">
        <v>1.2675000000000001</v>
      </c>
      <c r="Q83" s="84" t="e">
        <v>#REF!</v>
      </c>
      <c r="R83" s="85">
        <v>3204857.6103275102</v>
      </c>
      <c r="S83" s="85">
        <v>0</v>
      </c>
      <c r="T83" s="86">
        <v>3204857.6103275102</v>
      </c>
      <c r="U83" s="84">
        <v>213.65717402183401</v>
      </c>
      <c r="V83" s="84">
        <v>1952.9929999999999</v>
      </c>
      <c r="W83" s="84">
        <v>976.49649999999997</v>
      </c>
      <c r="X83" s="82">
        <v>0.35</v>
      </c>
      <c r="Y83" s="82"/>
      <c r="Z83" s="84">
        <v>976.49649999999997</v>
      </c>
      <c r="AA83" s="84">
        <v>1952.9929999999999</v>
      </c>
      <c r="AB83" s="88">
        <v>4.57038947777251</v>
      </c>
      <c r="AC83" t="s">
        <v>390</v>
      </c>
    </row>
    <row r="84" spans="3:29">
      <c r="C84" t="s">
        <v>395</v>
      </c>
      <c r="D84" t="s">
        <v>387</v>
      </c>
      <c r="E84" s="84">
        <v>3499.99</v>
      </c>
      <c r="F84" s="84">
        <v>1749.9949999999999</v>
      </c>
      <c r="G84" t="s">
        <v>40</v>
      </c>
      <c r="H84" t="s">
        <v>396</v>
      </c>
      <c r="I84" t="s">
        <v>389</v>
      </c>
      <c r="J84" t="s">
        <v>202</v>
      </c>
      <c r="K84" t="s">
        <v>49</v>
      </c>
      <c r="L84" t="s">
        <v>50</v>
      </c>
      <c r="N84">
        <v>160</v>
      </c>
      <c r="O84">
        <v>75</v>
      </c>
      <c r="P84">
        <v>1.92</v>
      </c>
      <c r="Q84" s="84" t="e">
        <v>#REF!</v>
      </c>
      <c r="R84" s="85">
        <v>4899689.1685103402</v>
      </c>
      <c r="S84" s="85">
        <v>0</v>
      </c>
      <c r="T84" s="86">
        <v>4899689.1685103402</v>
      </c>
      <c r="U84" s="84">
        <v>326.64594456735603</v>
      </c>
      <c r="V84" s="84">
        <v>2449.9929999999999</v>
      </c>
      <c r="W84" s="84">
        <v>1224.9965</v>
      </c>
      <c r="X84" s="82">
        <v>0.35</v>
      </c>
      <c r="Y84" s="82"/>
      <c r="Z84" s="84">
        <v>1224.9965</v>
      </c>
      <c r="AA84" s="84">
        <v>2449.9929999999999</v>
      </c>
      <c r="AB84" s="88">
        <v>3.7502271813676198</v>
      </c>
      <c r="AC84" t="s">
        <v>397</v>
      </c>
    </row>
    <row r="85" spans="3:29">
      <c r="C85" t="s">
        <v>399</v>
      </c>
      <c r="D85" t="s">
        <v>387</v>
      </c>
      <c r="E85" s="84">
        <v>3739.99</v>
      </c>
      <c r="F85" s="84">
        <v>1869.9949999999999</v>
      </c>
      <c r="G85" t="s">
        <v>40</v>
      </c>
      <c r="H85" t="s">
        <v>400</v>
      </c>
      <c r="I85" t="s">
        <v>389</v>
      </c>
      <c r="J85" t="s">
        <v>202</v>
      </c>
      <c r="K85" t="s">
        <v>58</v>
      </c>
      <c r="L85" t="s">
        <v>50</v>
      </c>
      <c r="N85">
        <v>160</v>
      </c>
      <c r="O85">
        <v>75</v>
      </c>
      <c r="P85">
        <v>1.92</v>
      </c>
      <c r="Q85" s="84" t="e">
        <v>#REF!</v>
      </c>
      <c r="R85" s="85">
        <v>4624386.7680473803</v>
      </c>
      <c r="S85" s="85">
        <v>0</v>
      </c>
      <c r="T85" s="86">
        <v>4624386.7680473803</v>
      </c>
      <c r="U85" s="84">
        <v>308.29245120315898</v>
      </c>
      <c r="V85" s="84">
        <v>2617.9929999999999</v>
      </c>
      <c r="W85" s="84">
        <v>1308.9965</v>
      </c>
      <c r="X85" s="82">
        <v>0.35</v>
      </c>
      <c r="Y85" s="82"/>
      <c r="Z85" s="84">
        <v>1308.9965</v>
      </c>
      <c r="AA85" s="84">
        <v>2617.9929999999999</v>
      </c>
      <c r="AB85" s="88">
        <v>4.2459570284366004</v>
      </c>
      <c r="AC85" t="s">
        <v>401</v>
      </c>
    </row>
    <row r="86" spans="3:29">
      <c r="C86" t="s">
        <v>403</v>
      </c>
      <c r="D86" t="s">
        <v>404</v>
      </c>
      <c r="E86" s="84">
        <v>3779.99</v>
      </c>
      <c r="F86" s="84">
        <v>1889.9949999999999</v>
      </c>
      <c r="G86" t="s">
        <v>40</v>
      </c>
      <c r="H86" t="s">
        <v>405</v>
      </c>
      <c r="I86" t="s">
        <v>406</v>
      </c>
      <c r="J86" t="s">
        <v>407</v>
      </c>
      <c r="K86" t="s">
        <v>49</v>
      </c>
      <c r="L86" t="s">
        <v>50</v>
      </c>
      <c r="M86">
        <v>290</v>
      </c>
      <c r="N86">
        <v>90</v>
      </c>
      <c r="O86">
        <v>78</v>
      </c>
      <c r="P86">
        <v>2.0358000000000001</v>
      </c>
      <c r="Q86" s="84" t="e">
        <v>#REF!</v>
      </c>
      <c r="R86" s="85">
        <v>7744942.3820749205</v>
      </c>
      <c r="S86" s="85">
        <v>0</v>
      </c>
      <c r="T86" s="86">
        <v>7744942.3820749205</v>
      </c>
      <c r="U86" s="84">
        <v>516.32949213832796</v>
      </c>
      <c r="V86" s="84">
        <v>2645.9929999999999</v>
      </c>
      <c r="W86" s="84">
        <v>1322.9965</v>
      </c>
      <c r="X86" s="82">
        <v>0.35</v>
      </c>
      <c r="Y86" s="82"/>
      <c r="Z86" s="84">
        <v>1322.9965</v>
      </c>
      <c r="AA86" s="84">
        <v>2645.9929999999999</v>
      </c>
      <c r="AB86" s="88">
        <v>2.56231054035077</v>
      </c>
      <c r="AC86" t="s">
        <v>408</v>
      </c>
    </row>
    <row r="87" spans="3:29">
      <c r="C87" t="s">
        <v>410</v>
      </c>
      <c r="D87" t="s">
        <v>404</v>
      </c>
      <c r="E87" s="84">
        <v>3999.99</v>
      </c>
      <c r="F87" s="84">
        <v>1999.9949999999999</v>
      </c>
      <c r="G87" t="s">
        <v>40</v>
      </c>
      <c r="H87" t="s">
        <v>411</v>
      </c>
      <c r="I87" t="s">
        <v>406</v>
      </c>
      <c r="J87" t="s">
        <v>407</v>
      </c>
      <c r="K87" t="s">
        <v>58</v>
      </c>
      <c r="L87" t="s">
        <v>50</v>
      </c>
      <c r="M87">
        <v>290</v>
      </c>
      <c r="N87">
        <v>90</v>
      </c>
      <c r="O87">
        <v>78</v>
      </c>
      <c r="P87">
        <v>2.0358000000000001</v>
      </c>
      <c r="Q87" s="84" t="e">
        <v>#REF!</v>
      </c>
      <c r="R87" s="85">
        <v>7249595.1536490005</v>
      </c>
      <c r="S87" s="85">
        <v>0</v>
      </c>
      <c r="T87" s="86">
        <v>7249595.1536490005</v>
      </c>
      <c r="U87" s="84">
        <v>483.3063435766</v>
      </c>
      <c r="V87" s="84">
        <v>2799.9929999999999</v>
      </c>
      <c r="W87" s="84">
        <v>1399.9965</v>
      </c>
      <c r="X87" s="82">
        <v>0.35</v>
      </c>
      <c r="Y87" s="82"/>
      <c r="Z87" s="84">
        <v>1399.9965</v>
      </c>
      <c r="AA87" s="84">
        <v>2799.9929999999999</v>
      </c>
      <c r="AB87" s="88">
        <v>2.8967062373724302</v>
      </c>
      <c r="AC87" t="s">
        <v>412</v>
      </c>
    </row>
    <row r="88" spans="3:29">
      <c r="C88" t="s">
        <v>414</v>
      </c>
      <c r="D88" t="s">
        <v>404</v>
      </c>
      <c r="E88" s="84">
        <v>5209.99</v>
      </c>
      <c r="F88" s="84">
        <v>2604.9949999999999</v>
      </c>
      <c r="G88" t="s">
        <v>40</v>
      </c>
      <c r="H88" t="s">
        <v>415</v>
      </c>
      <c r="I88" t="s">
        <v>406</v>
      </c>
      <c r="J88" t="s">
        <v>416</v>
      </c>
      <c r="K88" t="s">
        <v>49</v>
      </c>
      <c r="L88" t="s">
        <v>50</v>
      </c>
      <c r="M88">
        <v>340</v>
      </c>
      <c r="N88">
        <v>90</v>
      </c>
      <c r="O88">
        <v>78</v>
      </c>
      <c r="P88">
        <v>2.3868</v>
      </c>
      <c r="Q88" s="84" t="e">
        <v>#REF!</v>
      </c>
      <c r="R88" s="85">
        <v>9048321.4942911007</v>
      </c>
      <c r="S88" s="85">
        <v>0</v>
      </c>
      <c r="T88" s="86">
        <v>9048321.4942911007</v>
      </c>
      <c r="U88" s="84">
        <v>603.22143295273997</v>
      </c>
      <c r="V88" s="84">
        <v>3646.9929999999999</v>
      </c>
      <c r="W88" s="84">
        <v>1823.4965</v>
      </c>
      <c r="X88" s="82">
        <v>0.35</v>
      </c>
      <c r="Y88" s="82"/>
      <c r="Z88" s="84">
        <v>1823.4965</v>
      </c>
      <c r="AA88" s="84">
        <v>3646.9929999999999</v>
      </c>
      <c r="AB88" s="88">
        <v>3.0229305531702901</v>
      </c>
      <c r="AC88" t="s">
        <v>417</v>
      </c>
    </row>
    <row r="89" spans="3:29">
      <c r="C89" t="s">
        <v>419</v>
      </c>
      <c r="D89" t="s">
        <v>404</v>
      </c>
      <c r="E89" s="84">
        <v>6659.99</v>
      </c>
      <c r="F89" s="84">
        <v>3329.9949999999999</v>
      </c>
      <c r="G89" t="s">
        <v>40</v>
      </c>
      <c r="H89" t="s">
        <v>420</v>
      </c>
      <c r="I89" t="s">
        <v>406</v>
      </c>
      <c r="J89" t="s">
        <v>416</v>
      </c>
      <c r="K89" t="s">
        <v>58</v>
      </c>
      <c r="L89" t="s">
        <v>50</v>
      </c>
      <c r="M89">
        <v>340</v>
      </c>
      <c r="N89">
        <v>90</v>
      </c>
      <c r="O89">
        <v>78</v>
      </c>
      <c r="P89">
        <v>2.3868</v>
      </c>
      <c r="Q89" s="84" t="e">
        <v>#REF!</v>
      </c>
      <c r="R89" s="85">
        <v>7898323.6098281397</v>
      </c>
      <c r="S89" s="85">
        <v>0</v>
      </c>
      <c r="T89" s="86">
        <v>7898323.6098281397</v>
      </c>
      <c r="U89" s="84">
        <v>526.55490732187604</v>
      </c>
      <c r="V89" s="84">
        <v>4661.9930000000004</v>
      </c>
      <c r="W89" s="84">
        <v>2330.9965000000002</v>
      </c>
      <c r="X89" s="82">
        <v>0.35</v>
      </c>
      <c r="Y89" s="82"/>
      <c r="Z89" s="84">
        <v>2330.9965000000002</v>
      </c>
      <c r="AA89" s="84">
        <v>4661.9930000000004</v>
      </c>
      <c r="AB89" s="88">
        <v>4.4268821116030201</v>
      </c>
      <c r="AC89" t="s">
        <v>417</v>
      </c>
    </row>
    <row r="90" spans="3:29">
      <c r="C90" t="s">
        <v>422</v>
      </c>
      <c r="D90" t="s">
        <v>404</v>
      </c>
      <c r="E90" s="84">
        <v>18789.990000000002</v>
      </c>
      <c r="F90" s="84">
        <v>9394.9950000000008</v>
      </c>
      <c r="G90" t="s">
        <v>40</v>
      </c>
      <c r="H90" t="s">
        <v>423</v>
      </c>
      <c r="I90" t="s">
        <v>406</v>
      </c>
      <c r="J90" t="s">
        <v>424</v>
      </c>
      <c r="K90" t="s">
        <v>49</v>
      </c>
      <c r="L90" t="s">
        <v>50</v>
      </c>
      <c r="M90">
        <v>560</v>
      </c>
      <c r="N90">
        <v>90</v>
      </c>
      <c r="O90">
        <v>78</v>
      </c>
      <c r="P90">
        <v>3.9312</v>
      </c>
      <c r="Q90" s="84" t="e">
        <v>#REF!</v>
      </c>
      <c r="R90" s="85"/>
      <c r="S90" s="85"/>
      <c r="T90" s="86">
        <v>0</v>
      </c>
      <c r="U90" s="84">
        <v>0</v>
      </c>
      <c r="V90" s="84">
        <v>13152.993</v>
      </c>
      <c r="W90" s="84">
        <v>6576.4965000000002</v>
      </c>
      <c r="X90" s="82">
        <v>0.35</v>
      </c>
      <c r="Y90" s="82"/>
      <c r="Z90" s="84">
        <v>6576.4965000000002</v>
      </c>
      <c r="AA90" s="84">
        <v>13152.993</v>
      </c>
      <c r="AB90" s="88" t="e">
        <v>#DIV/0!</v>
      </c>
      <c r="AC90" t="s">
        <v>412</v>
      </c>
    </row>
    <row r="91" spans="3:29">
      <c r="C91" t="s">
        <v>426</v>
      </c>
      <c r="D91" t="s">
        <v>404</v>
      </c>
      <c r="E91" s="84">
        <v>19509.990000000002</v>
      </c>
      <c r="F91" s="84">
        <v>9754.9950000000008</v>
      </c>
      <c r="G91" t="s">
        <v>40</v>
      </c>
      <c r="H91" t="s">
        <v>427</v>
      </c>
      <c r="I91" t="s">
        <v>406</v>
      </c>
      <c r="J91" t="s">
        <v>424</v>
      </c>
      <c r="K91" t="s">
        <v>58</v>
      </c>
      <c r="L91" t="s">
        <v>50</v>
      </c>
      <c r="M91">
        <v>560</v>
      </c>
      <c r="N91">
        <v>90</v>
      </c>
      <c r="O91">
        <v>78</v>
      </c>
      <c r="P91">
        <v>3.9312</v>
      </c>
      <c r="Q91" s="84" t="e">
        <v>#REF!</v>
      </c>
      <c r="R91" s="85"/>
      <c r="S91" s="85"/>
      <c r="T91" s="86">
        <v>0</v>
      </c>
      <c r="U91" s="84">
        <v>0</v>
      </c>
      <c r="V91" s="84">
        <v>13656.993</v>
      </c>
      <c r="W91" s="84">
        <v>6828.4965000000002</v>
      </c>
      <c r="X91" s="82">
        <v>0.35</v>
      </c>
      <c r="Y91" s="82"/>
      <c r="Z91" s="84">
        <v>6828.4965000000002</v>
      </c>
      <c r="AA91" s="84">
        <v>13656.993</v>
      </c>
      <c r="AB91" s="88" t="e">
        <v>#DIV/0!</v>
      </c>
      <c r="AC91" t="s">
        <v>408</v>
      </c>
    </row>
    <row r="92" spans="3:29">
      <c r="C92" t="s">
        <v>429</v>
      </c>
      <c r="D92" t="s">
        <v>430</v>
      </c>
      <c r="E92" s="84">
        <v>3529.99</v>
      </c>
      <c r="F92" s="84">
        <v>1764.9949999999999</v>
      </c>
      <c r="G92" t="s">
        <v>40</v>
      </c>
      <c r="H92" t="s">
        <v>431</v>
      </c>
      <c r="I92" t="s">
        <v>151</v>
      </c>
      <c r="J92" t="s">
        <v>432</v>
      </c>
      <c r="K92" t="s">
        <v>49</v>
      </c>
      <c r="L92" t="s">
        <v>50</v>
      </c>
      <c r="M92">
        <v>290</v>
      </c>
      <c r="N92">
        <v>97</v>
      </c>
      <c r="O92">
        <v>75</v>
      </c>
      <c r="P92">
        <v>2.10975</v>
      </c>
      <c r="Q92" s="84" t="e">
        <v>#REF!</v>
      </c>
      <c r="R92" s="85"/>
      <c r="S92" s="85"/>
      <c r="T92" s="86">
        <v>0</v>
      </c>
      <c r="U92" s="84">
        <v>0</v>
      </c>
      <c r="V92" s="84">
        <v>2470.9929999999999</v>
      </c>
      <c r="W92" s="84">
        <v>1235.4965</v>
      </c>
      <c r="X92" s="82">
        <v>0.35</v>
      </c>
      <c r="Y92" s="82"/>
      <c r="Z92" s="84">
        <v>1235.4965</v>
      </c>
      <c r="AA92" s="84">
        <v>2470.9929999999999</v>
      </c>
      <c r="AB92" s="88" t="e">
        <v>#DIV/0!</v>
      </c>
      <c r="AC92" t="s">
        <v>433</v>
      </c>
    </row>
    <row r="93" spans="3:29">
      <c r="C93" t="s">
        <v>435</v>
      </c>
      <c r="D93" t="s">
        <v>430</v>
      </c>
      <c r="E93" s="84">
        <v>4069.99</v>
      </c>
      <c r="F93" s="84">
        <v>2034.9949999999999</v>
      </c>
      <c r="G93" t="s">
        <v>40</v>
      </c>
      <c r="H93" t="s">
        <v>436</v>
      </c>
      <c r="I93" t="s">
        <v>151</v>
      </c>
      <c r="J93" t="s">
        <v>432</v>
      </c>
      <c r="K93" t="s">
        <v>58</v>
      </c>
      <c r="L93" t="s">
        <v>50</v>
      </c>
      <c r="M93">
        <v>290</v>
      </c>
      <c r="N93">
        <v>97</v>
      </c>
      <c r="O93">
        <v>75</v>
      </c>
      <c r="P93">
        <v>2.10975</v>
      </c>
      <c r="Q93" s="84" t="e">
        <v>#REF!</v>
      </c>
      <c r="R93" s="85"/>
      <c r="S93" s="85"/>
      <c r="T93" s="86">
        <v>0</v>
      </c>
      <c r="U93" s="84">
        <v>0</v>
      </c>
      <c r="V93" s="84">
        <v>2848.9929999999999</v>
      </c>
      <c r="W93" s="84">
        <v>1424.4965</v>
      </c>
      <c r="X93" s="82">
        <v>0.35</v>
      </c>
      <c r="Y93" s="82"/>
      <c r="Z93" s="84">
        <v>1424.4965</v>
      </c>
      <c r="AA93" s="84">
        <v>2848.9929999999999</v>
      </c>
      <c r="AB93" s="88" t="e">
        <v>#DIV/0!</v>
      </c>
      <c r="AC93" t="s">
        <v>433</v>
      </c>
    </row>
    <row r="94" spans="3:29">
      <c r="C94" t="s">
        <v>438</v>
      </c>
      <c r="D94" t="s">
        <v>439</v>
      </c>
      <c r="E94" s="84">
        <v>3009.99</v>
      </c>
      <c r="F94" s="84">
        <v>1504.9949999999999</v>
      </c>
      <c r="G94" t="s">
        <v>40</v>
      </c>
      <c r="H94" t="s">
        <v>440</v>
      </c>
      <c r="I94" t="s">
        <v>158</v>
      </c>
      <c r="J94" t="s">
        <v>202</v>
      </c>
      <c r="K94" t="s">
        <v>49</v>
      </c>
      <c r="L94" t="s">
        <v>50</v>
      </c>
      <c r="N94">
        <v>160</v>
      </c>
      <c r="O94">
        <v>75</v>
      </c>
      <c r="P94">
        <v>1.92</v>
      </c>
      <c r="Q94" s="84" t="e">
        <v>#REF!</v>
      </c>
      <c r="R94" s="85"/>
      <c r="S94" s="85"/>
      <c r="T94" s="86">
        <v>0</v>
      </c>
      <c r="U94" s="84">
        <v>0</v>
      </c>
      <c r="V94" s="84">
        <v>2106.9929999999999</v>
      </c>
      <c r="W94" s="84">
        <v>1053.4965</v>
      </c>
      <c r="X94" s="82">
        <v>0.35</v>
      </c>
      <c r="Y94" s="82"/>
      <c r="Z94" s="84">
        <v>1053.4965</v>
      </c>
      <c r="AA94" s="84">
        <v>2106.9929999999999</v>
      </c>
      <c r="AB94" s="88" t="e">
        <v>#DIV/0!</v>
      </c>
      <c r="AC94" t="s">
        <v>441</v>
      </c>
    </row>
    <row r="95" spans="3:29">
      <c r="C95" t="s">
        <v>443</v>
      </c>
      <c r="D95" t="s">
        <v>439</v>
      </c>
      <c r="E95" s="84">
        <v>3189.99</v>
      </c>
      <c r="F95" s="84">
        <v>1594.9949999999999</v>
      </c>
      <c r="G95" t="s">
        <v>40</v>
      </c>
      <c r="H95" t="s">
        <v>444</v>
      </c>
      <c r="I95" t="s">
        <v>158</v>
      </c>
      <c r="J95" t="s">
        <v>202</v>
      </c>
      <c r="K95" t="s">
        <v>58</v>
      </c>
      <c r="L95" t="s">
        <v>50</v>
      </c>
      <c r="N95">
        <v>160</v>
      </c>
      <c r="O95">
        <v>75</v>
      </c>
      <c r="P95">
        <v>1.92</v>
      </c>
      <c r="Q95" s="84" t="e">
        <v>#REF!</v>
      </c>
      <c r="R95" s="85"/>
      <c r="S95" s="85"/>
      <c r="T95" s="86">
        <v>0</v>
      </c>
      <c r="U95" s="84">
        <v>0</v>
      </c>
      <c r="V95" s="84">
        <v>2232.9929999999999</v>
      </c>
      <c r="W95" s="84">
        <v>1116.4965</v>
      </c>
      <c r="X95" s="82">
        <v>0.35</v>
      </c>
      <c r="Y95" s="82"/>
      <c r="Z95" s="84">
        <v>1116.4965</v>
      </c>
      <c r="AA95" s="84">
        <v>2232.9929999999999</v>
      </c>
      <c r="AB95" s="88" t="e">
        <v>#DIV/0!</v>
      </c>
      <c r="AC95" t="s">
        <v>441</v>
      </c>
    </row>
    <row r="96" spans="3:29">
      <c r="C96" t="s">
        <v>446</v>
      </c>
      <c r="D96" t="s">
        <v>447</v>
      </c>
      <c r="E96" s="84">
        <v>2359.9899999999998</v>
      </c>
      <c r="F96" s="84">
        <v>1179.9949999999999</v>
      </c>
      <c r="G96" t="s">
        <v>40</v>
      </c>
      <c r="H96" t="s">
        <v>448</v>
      </c>
      <c r="I96" t="s">
        <v>449</v>
      </c>
      <c r="J96" t="s">
        <v>450</v>
      </c>
      <c r="K96" t="s">
        <v>49</v>
      </c>
      <c r="L96" t="s">
        <v>50</v>
      </c>
      <c r="M96">
        <v>220</v>
      </c>
      <c r="N96">
        <v>90</v>
      </c>
      <c r="O96">
        <v>75</v>
      </c>
      <c r="P96">
        <v>1.4850000000000001</v>
      </c>
      <c r="Q96" s="84" t="e">
        <v>#REF!</v>
      </c>
      <c r="R96" s="85">
        <v>284.72883797232902</v>
      </c>
      <c r="S96" s="85">
        <v>0</v>
      </c>
      <c r="T96" s="86">
        <v>284.72883797232902</v>
      </c>
      <c r="U96" s="84">
        <v>1.8981922531488601E-2</v>
      </c>
      <c r="V96" s="84">
        <v>1651.9929999999999</v>
      </c>
      <c r="W96" s="84">
        <v>825.99649999999997</v>
      </c>
      <c r="X96" s="82">
        <v>0.35</v>
      </c>
      <c r="Y96" s="82"/>
      <c r="Z96" s="84">
        <v>825.99649999999997</v>
      </c>
      <c r="AA96" s="84">
        <v>1651.9929999999999</v>
      </c>
      <c r="AB96" s="88">
        <v>43514.902066941599</v>
      </c>
      <c r="AC96" t="s">
        <v>451</v>
      </c>
    </row>
    <row r="97" spans="3:29">
      <c r="C97" t="s">
        <v>453</v>
      </c>
      <c r="D97" t="s">
        <v>447</v>
      </c>
      <c r="E97" s="84">
        <v>2579.9899999999998</v>
      </c>
      <c r="F97" s="84">
        <v>1289.9949999999999</v>
      </c>
      <c r="G97" t="s">
        <v>40</v>
      </c>
      <c r="H97" t="s">
        <v>454</v>
      </c>
      <c r="I97" t="s">
        <v>449</v>
      </c>
      <c r="J97" t="s">
        <v>450</v>
      </c>
      <c r="K97" t="s">
        <v>58</v>
      </c>
      <c r="L97" t="s">
        <v>50</v>
      </c>
      <c r="M97">
        <v>220</v>
      </c>
      <c r="N97">
        <v>90</v>
      </c>
      <c r="O97">
        <v>75</v>
      </c>
      <c r="P97">
        <v>1.4850000000000001</v>
      </c>
      <c r="Q97" s="84" t="e">
        <v>#REF!</v>
      </c>
      <c r="R97" s="85">
        <v>269.62315341060099</v>
      </c>
      <c r="S97" s="85">
        <v>0</v>
      </c>
      <c r="T97" s="86">
        <v>269.62315341060099</v>
      </c>
      <c r="U97" s="84">
        <v>1.79748768940401E-2</v>
      </c>
      <c r="V97" s="84">
        <v>1805.9929999999999</v>
      </c>
      <c r="W97" s="84">
        <v>902.99649999999997</v>
      </c>
      <c r="X97" s="82">
        <v>0.35</v>
      </c>
      <c r="Y97" s="82"/>
      <c r="Z97" s="84">
        <v>902.99649999999997</v>
      </c>
      <c r="AA97" s="84">
        <v>1805.9929999999999</v>
      </c>
      <c r="AB97" s="88">
        <v>50236.588841362602</v>
      </c>
      <c r="AC97" t="s">
        <v>455</v>
      </c>
    </row>
    <row r="98" spans="3:29">
      <c r="C98" t="s">
        <v>457</v>
      </c>
      <c r="D98" t="s">
        <v>447</v>
      </c>
      <c r="E98" s="84">
        <v>2939.99</v>
      </c>
      <c r="F98" s="84">
        <v>1469.9949999999999</v>
      </c>
      <c r="G98" t="s">
        <v>40</v>
      </c>
      <c r="H98" t="s">
        <v>458</v>
      </c>
      <c r="I98" t="s">
        <v>449</v>
      </c>
      <c r="J98" t="s">
        <v>459</v>
      </c>
      <c r="K98" t="s">
        <v>49</v>
      </c>
      <c r="L98" t="s">
        <v>50</v>
      </c>
      <c r="M98">
        <v>280</v>
      </c>
      <c r="N98">
        <v>90</v>
      </c>
      <c r="O98">
        <v>75</v>
      </c>
      <c r="P98">
        <v>1.89</v>
      </c>
      <c r="Q98" s="84" t="e">
        <v>#REF!</v>
      </c>
      <c r="R98" s="85"/>
      <c r="S98" s="85"/>
      <c r="T98" s="86">
        <v>0</v>
      </c>
      <c r="U98" s="84">
        <v>0</v>
      </c>
      <c r="V98" s="84">
        <v>2057.9929999999999</v>
      </c>
      <c r="W98" s="84">
        <v>1028.9965</v>
      </c>
      <c r="X98" s="82">
        <v>0.35</v>
      </c>
      <c r="Y98" s="82"/>
      <c r="Z98" s="84">
        <v>1028.9965</v>
      </c>
      <c r="AA98" s="84">
        <v>2057.9929999999999</v>
      </c>
      <c r="AB98" s="88" t="e">
        <v>#DIV/0!</v>
      </c>
      <c r="AC98" t="s">
        <v>460</v>
      </c>
    </row>
    <row r="99" spans="3:29">
      <c r="C99" t="s">
        <v>462</v>
      </c>
      <c r="D99" t="s">
        <v>447</v>
      </c>
      <c r="E99" s="84">
        <v>3139.99</v>
      </c>
      <c r="F99" s="84">
        <v>1569.9949999999999</v>
      </c>
      <c r="G99" t="s">
        <v>40</v>
      </c>
      <c r="H99" t="s">
        <v>463</v>
      </c>
      <c r="I99" t="s">
        <v>449</v>
      </c>
      <c r="J99" t="s">
        <v>459</v>
      </c>
      <c r="K99" t="s">
        <v>58</v>
      </c>
      <c r="L99" t="s">
        <v>50</v>
      </c>
      <c r="M99">
        <v>280</v>
      </c>
      <c r="N99">
        <v>90</v>
      </c>
      <c r="O99">
        <v>75</v>
      </c>
      <c r="P99">
        <v>1.89</v>
      </c>
      <c r="Q99" s="84" t="e">
        <v>#REF!</v>
      </c>
      <c r="R99" s="85"/>
      <c r="S99" s="85"/>
      <c r="T99" s="86">
        <v>0</v>
      </c>
      <c r="U99" s="84">
        <v>0</v>
      </c>
      <c r="V99" s="84">
        <v>2197.9929999999999</v>
      </c>
      <c r="W99" s="84">
        <v>1098.9965</v>
      </c>
      <c r="X99" s="82">
        <v>0.35</v>
      </c>
      <c r="Y99" s="82"/>
      <c r="Z99" s="84">
        <v>1098.9965</v>
      </c>
      <c r="AA99" s="84">
        <v>2197.9929999999999</v>
      </c>
      <c r="AB99" s="88" t="e">
        <v>#DIV/0!</v>
      </c>
      <c r="AC99" t="s">
        <v>464</v>
      </c>
    </row>
    <row r="100" spans="3:29">
      <c r="C100" t="s">
        <v>466</v>
      </c>
      <c r="D100" t="s">
        <v>447</v>
      </c>
      <c r="E100" s="84">
        <v>4809.99</v>
      </c>
      <c r="F100" s="84">
        <v>2404.9949999999999</v>
      </c>
      <c r="G100" t="s">
        <v>40</v>
      </c>
      <c r="H100" t="s">
        <v>467</v>
      </c>
      <c r="I100" t="s">
        <v>449</v>
      </c>
      <c r="J100" t="s">
        <v>468</v>
      </c>
      <c r="K100" t="s">
        <v>49</v>
      </c>
      <c r="L100" t="s">
        <v>50</v>
      </c>
      <c r="M100">
        <v>320</v>
      </c>
      <c r="N100">
        <v>100</v>
      </c>
      <c r="O100">
        <v>75</v>
      </c>
      <c r="P100">
        <v>2.4</v>
      </c>
      <c r="Q100" s="84" t="e">
        <v>#REF!</v>
      </c>
      <c r="R100" s="85"/>
      <c r="S100" s="85"/>
      <c r="T100" s="86">
        <v>0</v>
      </c>
      <c r="U100" s="84">
        <v>0</v>
      </c>
      <c r="V100" s="84">
        <v>3366.9929999999999</v>
      </c>
      <c r="W100" s="84">
        <v>1683.4965</v>
      </c>
      <c r="X100" s="82">
        <v>0.35</v>
      </c>
      <c r="Y100" s="82"/>
      <c r="Z100" s="84">
        <v>1683.4965</v>
      </c>
      <c r="AA100" s="84">
        <v>3366.9929999999999</v>
      </c>
      <c r="AB100" s="88" t="e">
        <v>#DIV/0!</v>
      </c>
      <c r="AC100" t="s">
        <v>464</v>
      </c>
    </row>
    <row r="101" spans="3:29">
      <c r="C101" t="s">
        <v>470</v>
      </c>
      <c r="D101" t="s">
        <v>447</v>
      </c>
      <c r="E101" s="84">
        <v>4979.99</v>
      </c>
      <c r="F101" s="84">
        <v>2489.9949999999999</v>
      </c>
      <c r="G101" t="s">
        <v>40</v>
      </c>
      <c r="H101" t="s">
        <v>471</v>
      </c>
      <c r="I101" t="s">
        <v>449</v>
      </c>
      <c r="J101" t="s">
        <v>468</v>
      </c>
      <c r="K101" t="s">
        <v>58</v>
      </c>
      <c r="L101" t="s">
        <v>50</v>
      </c>
      <c r="M101">
        <v>320</v>
      </c>
      <c r="N101">
        <v>100</v>
      </c>
      <c r="O101">
        <v>75</v>
      </c>
      <c r="P101">
        <v>2.4</v>
      </c>
      <c r="Q101" s="84" t="e">
        <v>#REF!</v>
      </c>
      <c r="R101" s="85"/>
      <c r="S101" s="85"/>
      <c r="T101" s="86">
        <v>0</v>
      </c>
      <c r="U101" s="84">
        <v>0</v>
      </c>
      <c r="V101" s="84">
        <v>3485.9929999999999</v>
      </c>
      <c r="W101" s="84">
        <v>1742.9965</v>
      </c>
      <c r="X101" s="82">
        <v>0.35</v>
      </c>
      <c r="Y101" s="82"/>
      <c r="Z101" s="84">
        <v>1742.9965</v>
      </c>
      <c r="AA101" s="84">
        <v>3485.9929999999999</v>
      </c>
      <c r="AB101" s="88" t="e">
        <v>#DIV/0!</v>
      </c>
      <c r="AC101" t="s">
        <v>464</v>
      </c>
    </row>
    <row r="102" spans="3:29">
      <c r="C102" t="s">
        <v>473</v>
      </c>
      <c r="D102" t="s">
        <v>474</v>
      </c>
      <c r="E102" s="84">
        <v>12619.99</v>
      </c>
      <c r="F102" s="84">
        <v>6309.9949999999999</v>
      </c>
      <c r="G102" t="s">
        <v>40</v>
      </c>
      <c r="H102" t="s">
        <v>475</v>
      </c>
      <c r="I102" t="s">
        <v>100</v>
      </c>
      <c r="J102" t="s">
        <v>476</v>
      </c>
      <c r="K102" t="s">
        <v>49</v>
      </c>
      <c r="L102" t="s">
        <v>50</v>
      </c>
      <c r="M102">
        <v>500</v>
      </c>
      <c r="N102">
        <v>75</v>
      </c>
      <c r="O102">
        <v>78</v>
      </c>
      <c r="P102">
        <v>2.9249999999999998</v>
      </c>
      <c r="Q102" s="84" t="e">
        <v>#REF!</v>
      </c>
      <c r="R102" s="85">
        <v>10353399.161772201</v>
      </c>
      <c r="S102" s="85">
        <v>0</v>
      </c>
      <c r="T102" s="86">
        <v>10353399.161772201</v>
      </c>
      <c r="U102" s="84">
        <v>690.22661078481099</v>
      </c>
      <c r="V102" s="84">
        <v>8833.9930000000004</v>
      </c>
      <c r="W102" s="84">
        <v>4416.9965000000002</v>
      </c>
      <c r="X102" s="82">
        <v>0.35</v>
      </c>
      <c r="Y102" s="82"/>
      <c r="Z102" s="84">
        <v>4416.9965000000002</v>
      </c>
      <c r="AA102" s="84">
        <v>8833.9930000000004</v>
      </c>
      <c r="AB102" s="88">
        <v>6.3993425216940398</v>
      </c>
      <c r="AC102" t="s">
        <v>477</v>
      </c>
    </row>
    <row r="103" spans="3:29">
      <c r="C103" t="s">
        <v>479</v>
      </c>
      <c r="D103" t="s">
        <v>474</v>
      </c>
      <c r="E103" s="84">
        <v>13339.99</v>
      </c>
      <c r="F103" s="84">
        <v>6669.9949999999999</v>
      </c>
      <c r="G103" t="s">
        <v>40</v>
      </c>
      <c r="H103" t="s">
        <v>480</v>
      </c>
      <c r="I103" t="s">
        <v>100</v>
      </c>
      <c r="J103" t="s">
        <v>476</v>
      </c>
      <c r="K103" t="s">
        <v>58</v>
      </c>
      <c r="L103" t="s">
        <v>50</v>
      </c>
      <c r="M103">
        <v>500</v>
      </c>
      <c r="N103">
        <v>75</v>
      </c>
      <c r="O103">
        <v>78</v>
      </c>
      <c r="P103">
        <v>2.9249999999999998</v>
      </c>
      <c r="Q103" s="84" t="e">
        <v>#REF!</v>
      </c>
      <c r="R103" s="85">
        <v>9683892.9036703091</v>
      </c>
      <c r="S103" s="85">
        <v>0</v>
      </c>
      <c r="T103" s="86">
        <v>9683892.9036703091</v>
      </c>
      <c r="U103" s="84">
        <v>645.59286024468702</v>
      </c>
      <c r="V103" s="84">
        <v>9337.9930000000004</v>
      </c>
      <c r="W103" s="84">
        <v>4668.9965000000002</v>
      </c>
      <c r="X103" s="82">
        <v>0.35</v>
      </c>
      <c r="Y103" s="82"/>
      <c r="Z103" s="84">
        <v>4668.9965000000002</v>
      </c>
      <c r="AA103" s="84">
        <v>9337.9930000000004</v>
      </c>
      <c r="AB103" s="88">
        <v>7.2321067773741996</v>
      </c>
      <c r="AC103" t="s">
        <v>481</v>
      </c>
    </row>
    <row r="104" spans="3:29">
      <c r="C104" t="s">
        <v>483</v>
      </c>
      <c r="D104" t="s">
        <v>484</v>
      </c>
      <c r="E104" s="84">
        <v>5439.99</v>
      </c>
      <c r="F104" s="84">
        <v>2719.9949999999999</v>
      </c>
      <c r="G104" t="s">
        <v>40</v>
      </c>
      <c r="H104" t="s">
        <v>485</v>
      </c>
      <c r="I104" t="s">
        <v>230</v>
      </c>
      <c r="J104" t="s">
        <v>486</v>
      </c>
      <c r="K104" t="s">
        <v>49</v>
      </c>
      <c r="L104" t="s">
        <v>50</v>
      </c>
      <c r="M104">
        <v>300</v>
      </c>
      <c r="N104">
        <v>110</v>
      </c>
      <c r="O104">
        <v>78</v>
      </c>
      <c r="P104">
        <v>2.5739999999999998</v>
      </c>
      <c r="Q104" s="84" t="e">
        <v>#REF!</v>
      </c>
      <c r="R104" s="85">
        <v>9526489.4883172996</v>
      </c>
      <c r="S104" s="85">
        <v>0</v>
      </c>
      <c r="T104" s="86">
        <v>9526489.4883172996</v>
      </c>
      <c r="U104" s="84">
        <v>635.09929922115305</v>
      </c>
      <c r="V104" s="84">
        <v>3807.9929999999999</v>
      </c>
      <c r="W104" s="84">
        <v>1903.9965</v>
      </c>
      <c r="X104" s="82">
        <v>0.35</v>
      </c>
      <c r="Y104" s="82"/>
      <c r="Z104" s="84">
        <v>1903.9965</v>
      </c>
      <c r="AA104" s="84">
        <v>3807.9929999999999</v>
      </c>
      <c r="AB104" s="88">
        <v>2.9979508752961102</v>
      </c>
      <c r="AC104" t="s">
        <v>487</v>
      </c>
    </row>
    <row r="105" spans="3:29">
      <c r="C105" t="s">
        <v>489</v>
      </c>
      <c r="D105" t="s">
        <v>484</v>
      </c>
      <c r="E105" s="84">
        <v>5949.99</v>
      </c>
      <c r="F105" s="84">
        <v>2974.9949999999999</v>
      </c>
      <c r="G105" t="s">
        <v>40</v>
      </c>
      <c r="H105" t="s">
        <v>490</v>
      </c>
      <c r="I105" t="s">
        <v>230</v>
      </c>
      <c r="J105" t="s">
        <v>486</v>
      </c>
      <c r="K105" t="s">
        <v>58</v>
      </c>
      <c r="L105" t="s">
        <v>50</v>
      </c>
      <c r="M105">
        <v>300</v>
      </c>
      <c r="N105">
        <v>110</v>
      </c>
      <c r="O105">
        <v>78</v>
      </c>
      <c r="P105">
        <v>2.5739999999999998</v>
      </c>
      <c r="Q105" s="84" t="e">
        <v>#REF!</v>
      </c>
      <c r="R105" s="85">
        <v>8941801.0873913709</v>
      </c>
      <c r="S105" s="85">
        <v>0</v>
      </c>
      <c r="T105" s="86">
        <v>8941801.0873913709</v>
      </c>
      <c r="U105" s="84">
        <v>596.12007249275803</v>
      </c>
      <c r="V105" s="84">
        <v>4164.9930000000004</v>
      </c>
      <c r="W105" s="84">
        <v>2082.4965000000002</v>
      </c>
      <c r="X105" s="82">
        <v>0.35</v>
      </c>
      <c r="Y105" s="82"/>
      <c r="Z105" s="84">
        <v>2082.4965000000002</v>
      </c>
      <c r="AA105" s="84">
        <v>4164.9930000000004</v>
      </c>
      <c r="AB105" s="88">
        <v>3.4934178466625898</v>
      </c>
      <c r="AC105" t="s">
        <v>487</v>
      </c>
    </row>
    <row r="106" spans="3:29">
      <c r="C106" t="s">
        <v>492</v>
      </c>
      <c r="D106" t="s">
        <v>484</v>
      </c>
      <c r="E106" s="84">
        <v>17749.990000000002</v>
      </c>
      <c r="F106" s="84">
        <v>8874.9950000000008</v>
      </c>
      <c r="G106" t="s">
        <v>40</v>
      </c>
      <c r="H106" t="s">
        <v>493</v>
      </c>
      <c r="I106" t="s">
        <v>230</v>
      </c>
      <c r="J106" t="s">
        <v>494</v>
      </c>
      <c r="K106" t="s">
        <v>49</v>
      </c>
      <c r="L106" t="s">
        <v>50</v>
      </c>
      <c r="M106">
        <v>450</v>
      </c>
      <c r="N106">
        <v>110</v>
      </c>
      <c r="O106">
        <v>78</v>
      </c>
      <c r="P106">
        <v>3.8610000000000002</v>
      </c>
      <c r="Q106" s="84" t="e">
        <v>#REF!</v>
      </c>
      <c r="R106" s="85">
        <v>14093610.751794601</v>
      </c>
      <c r="S106" s="85">
        <v>0</v>
      </c>
      <c r="T106" s="86">
        <v>14093610.751794601</v>
      </c>
      <c r="U106" s="84">
        <v>939.57405011963897</v>
      </c>
      <c r="V106" s="84">
        <v>12424.993</v>
      </c>
      <c r="W106" s="84">
        <v>6212.4965000000002</v>
      </c>
      <c r="X106" s="82">
        <v>0.35</v>
      </c>
      <c r="Y106" s="82"/>
      <c r="Z106" s="84">
        <v>6212.4965000000002</v>
      </c>
      <c r="AA106" s="84">
        <v>12424.993</v>
      </c>
      <c r="AB106" s="88">
        <v>6.6120349952288899</v>
      </c>
      <c r="AC106" t="s">
        <v>495</v>
      </c>
    </row>
    <row r="107" spans="3:29">
      <c r="C107" t="s">
        <v>497</v>
      </c>
      <c r="D107" t="s">
        <v>484</v>
      </c>
      <c r="E107" s="84">
        <v>18229.990000000002</v>
      </c>
      <c r="F107" s="84">
        <v>9114.9950000000008</v>
      </c>
      <c r="G107" t="s">
        <v>40</v>
      </c>
      <c r="H107" t="s">
        <v>498</v>
      </c>
      <c r="I107" t="s">
        <v>230</v>
      </c>
      <c r="J107" t="s">
        <v>494</v>
      </c>
      <c r="K107" t="s">
        <v>58</v>
      </c>
      <c r="L107" t="s">
        <v>50</v>
      </c>
      <c r="M107">
        <v>450</v>
      </c>
      <c r="N107">
        <v>110</v>
      </c>
      <c r="O107">
        <v>78</v>
      </c>
      <c r="P107">
        <v>3.8610000000000002</v>
      </c>
      <c r="Q107" s="84" t="e">
        <v>#REF!</v>
      </c>
      <c r="R107" s="85">
        <v>13249294.1633687</v>
      </c>
      <c r="S107" s="85">
        <v>0</v>
      </c>
      <c r="T107" s="86">
        <v>13249294.1633687</v>
      </c>
      <c r="U107" s="84">
        <v>883.28627755791103</v>
      </c>
      <c r="V107" s="84">
        <v>12760.993</v>
      </c>
      <c r="W107" s="84">
        <v>6380.4965000000002</v>
      </c>
      <c r="X107" s="82">
        <v>0.35</v>
      </c>
      <c r="Y107" s="82"/>
      <c r="Z107" s="84">
        <v>6380.4965000000002</v>
      </c>
      <c r="AA107" s="84">
        <v>12760.993</v>
      </c>
      <c r="AB107" s="88">
        <v>7.2235883904374099</v>
      </c>
      <c r="AC107" t="s">
        <v>495</v>
      </c>
    </row>
    <row r="108" spans="3:29">
      <c r="C108" t="s">
        <v>500</v>
      </c>
      <c r="D108" t="s">
        <v>501</v>
      </c>
      <c r="E108" s="84">
        <v>6819.99</v>
      </c>
      <c r="F108" s="84">
        <v>3409.9949999999999</v>
      </c>
      <c r="G108" t="s">
        <v>40</v>
      </c>
      <c r="H108" t="s">
        <v>502</v>
      </c>
      <c r="I108" t="s">
        <v>226</v>
      </c>
      <c r="J108" t="s">
        <v>503</v>
      </c>
      <c r="K108" t="s">
        <v>49</v>
      </c>
      <c r="L108" t="s">
        <v>50</v>
      </c>
      <c r="M108">
        <v>330</v>
      </c>
      <c r="N108">
        <v>110</v>
      </c>
      <c r="O108">
        <v>78</v>
      </c>
      <c r="P108">
        <v>2.8313999999999999</v>
      </c>
      <c r="Q108" s="84" t="e">
        <v>#REF!</v>
      </c>
      <c r="R108" s="85">
        <v>11531223.5933311</v>
      </c>
      <c r="S108" s="85">
        <v>0</v>
      </c>
      <c r="T108" s="86">
        <v>11531223.5933311</v>
      </c>
      <c r="U108" s="84">
        <v>768.74823955540899</v>
      </c>
      <c r="V108" s="84">
        <v>4773.9930000000004</v>
      </c>
      <c r="W108" s="84">
        <v>2386.9965000000002</v>
      </c>
      <c r="X108" s="82">
        <v>0.35</v>
      </c>
      <c r="Y108" s="82"/>
      <c r="Z108" s="84">
        <v>2386.9965000000002</v>
      </c>
      <c r="AA108" s="84">
        <v>4773.9930000000004</v>
      </c>
      <c r="AB108" s="88">
        <v>3.1050432081385599</v>
      </c>
      <c r="AC108" t="s">
        <v>504</v>
      </c>
    </row>
    <row r="109" spans="3:29">
      <c r="C109" t="s">
        <v>505</v>
      </c>
      <c r="D109" t="s">
        <v>501</v>
      </c>
      <c r="E109" s="84">
        <v>7269.99</v>
      </c>
      <c r="F109" s="84">
        <v>3634.9949999999999</v>
      </c>
      <c r="G109" t="s">
        <v>40</v>
      </c>
      <c r="H109" t="s">
        <v>506</v>
      </c>
      <c r="I109" t="s">
        <v>226</v>
      </c>
      <c r="J109" t="s">
        <v>503</v>
      </c>
      <c r="K109" t="s">
        <v>58</v>
      </c>
      <c r="L109" t="s">
        <v>50</v>
      </c>
      <c r="M109">
        <v>330</v>
      </c>
      <c r="N109">
        <v>110</v>
      </c>
      <c r="O109">
        <v>78</v>
      </c>
      <c r="P109">
        <v>2.8313999999999999</v>
      </c>
      <c r="Q109" s="84" t="e">
        <v>#REF!</v>
      </c>
      <c r="R109" s="85">
        <v>10899977.699118201</v>
      </c>
      <c r="S109" s="85">
        <v>0</v>
      </c>
      <c r="T109" s="86">
        <v>10899977.699118201</v>
      </c>
      <c r="U109" s="84">
        <v>726.66517994121102</v>
      </c>
      <c r="V109" s="84">
        <v>5088.9930000000004</v>
      </c>
      <c r="W109" s="84">
        <v>2544.4965000000002</v>
      </c>
      <c r="X109" s="82">
        <v>0.35</v>
      </c>
      <c r="Y109" s="82"/>
      <c r="Z109" s="84">
        <v>2544.4965000000002</v>
      </c>
      <c r="AA109" s="84">
        <v>5088.9930000000004</v>
      </c>
      <c r="AB109" s="88">
        <v>3.5016078521965999</v>
      </c>
      <c r="AC109" t="s">
        <v>507</v>
      </c>
    </row>
    <row r="110" spans="3:29">
      <c r="C110" t="s">
        <v>508</v>
      </c>
      <c r="E110" s="84"/>
      <c r="F110" s="82"/>
      <c r="R110" s="85"/>
      <c r="S110" s="85"/>
      <c r="T110" s="86"/>
      <c r="V110" s="84">
        <v>0</v>
      </c>
      <c r="W110" s="84">
        <v>0</v>
      </c>
      <c r="X110" s="82" t="e">
        <v>#DIV/0!</v>
      </c>
      <c r="Y110" s="82"/>
      <c r="Z110" s="82"/>
      <c r="AA110" s="82"/>
      <c r="AB110" s="88" t="e">
        <v>#DIV/0!</v>
      </c>
    </row>
    <row r="111" spans="3:29">
      <c r="C111" t="s">
        <v>509</v>
      </c>
      <c r="D111" t="s">
        <v>510</v>
      </c>
      <c r="E111" s="84">
        <v>3809.99</v>
      </c>
      <c r="F111" s="84">
        <v>1904.9949999999999</v>
      </c>
      <c r="G111" t="s">
        <v>508</v>
      </c>
      <c r="H111" t="s">
        <v>511</v>
      </c>
      <c r="I111" t="s">
        <v>512</v>
      </c>
      <c r="J111" t="s">
        <v>513</v>
      </c>
      <c r="K111" t="s">
        <v>49</v>
      </c>
      <c r="L111" t="s">
        <v>50</v>
      </c>
      <c r="M111">
        <v>250</v>
      </c>
      <c r="N111">
        <v>100</v>
      </c>
      <c r="O111">
        <v>110</v>
      </c>
      <c r="P111">
        <v>2.75</v>
      </c>
      <c r="Q111" s="84" t="e">
        <v>#REF!</v>
      </c>
      <c r="R111" s="85"/>
      <c r="S111" s="85"/>
      <c r="T111" s="86">
        <v>0</v>
      </c>
      <c r="U111" s="84">
        <v>0</v>
      </c>
      <c r="V111" s="84">
        <v>2666.9929999999999</v>
      </c>
      <c r="W111" s="84">
        <v>1333.4965</v>
      </c>
      <c r="X111" s="82">
        <v>0.35</v>
      </c>
      <c r="Y111" s="82"/>
      <c r="Z111" s="84">
        <v>1333.4965</v>
      </c>
      <c r="AA111" s="84">
        <v>2666.9929999999999</v>
      </c>
      <c r="AB111" s="88" t="e">
        <v>#DIV/0!</v>
      </c>
      <c r="AC111" t="s">
        <v>514</v>
      </c>
    </row>
    <row r="112" spans="3:29">
      <c r="C112" t="s">
        <v>516</v>
      </c>
      <c r="D112" t="s">
        <v>510</v>
      </c>
      <c r="E112" s="84">
        <v>4039.99</v>
      </c>
      <c r="F112" s="84">
        <v>2019.9949999999999</v>
      </c>
      <c r="G112" t="s">
        <v>508</v>
      </c>
      <c r="H112" t="s">
        <v>517</v>
      </c>
      <c r="I112" t="s">
        <v>512</v>
      </c>
      <c r="J112" t="s">
        <v>513</v>
      </c>
      <c r="K112" t="s">
        <v>58</v>
      </c>
      <c r="L112" t="s">
        <v>50</v>
      </c>
      <c r="M112">
        <v>250</v>
      </c>
      <c r="N112">
        <v>100</v>
      </c>
      <c r="O112">
        <v>110</v>
      </c>
      <c r="P112">
        <v>2.75</v>
      </c>
      <c r="Q112" s="84" t="e">
        <v>#REF!</v>
      </c>
      <c r="R112" s="85"/>
      <c r="S112" s="85"/>
      <c r="T112" s="86">
        <v>0</v>
      </c>
      <c r="U112" s="84">
        <v>0</v>
      </c>
      <c r="V112" s="84">
        <v>2827.9929999999999</v>
      </c>
      <c r="W112" s="84">
        <v>1413.9965</v>
      </c>
      <c r="X112" s="82">
        <v>0.35</v>
      </c>
      <c r="Y112" s="82"/>
      <c r="Z112" s="84">
        <v>1413.9965</v>
      </c>
      <c r="AA112" s="84">
        <v>2827.9929999999999</v>
      </c>
      <c r="AB112" s="88" t="e">
        <v>#DIV/0!</v>
      </c>
      <c r="AC112" t="s">
        <v>518</v>
      </c>
    </row>
    <row r="113" spans="3:29">
      <c r="C113" t="s">
        <v>520</v>
      </c>
      <c r="D113" t="s">
        <v>521</v>
      </c>
      <c r="E113" s="84">
        <v>4289.99</v>
      </c>
      <c r="F113" s="84">
        <v>2144.9949999999999</v>
      </c>
      <c r="G113" t="s">
        <v>508</v>
      </c>
      <c r="H113" t="s">
        <v>522</v>
      </c>
      <c r="I113" t="s">
        <v>523</v>
      </c>
      <c r="J113" t="s">
        <v>524</v>
      </c>
      <c r="K113" t="s">
        <v>49</v>
      </c>
      <c r="L113" t="s">
        <v>50</v>
      </c>
      <c r="M113">
        <v>285</v>
      </c>
      <c r="N113">
        <v>85</v>
      </c>
      <c r="O113">
        <v>110</v>
      </c>
      <c r="P113">
        <v>2.6647500000000002</v>
      </c>
      <c r="Q113" s="84" t="e">
        <v>#REF!</v>
      </c>
      <c r="R113" s="85"/>
      <c r="S113" s="85"/>
      <c r="T113" s="86">
        <v>0</v>
      </c>
      <c r="U113" s="84">
        <v>0</v>
      </c>
      <c r="V113" s="84">
        <v>3002.9929999999999</v>
      </c>
      <c r="W113" s="84">
        <v>1501.4965</v>
      </c>
      <c r="X113" s="82">
        <v>0.35</v>
      </c>
      <c r="Y113" s="82"/>
      <c r="Z113" s="84">
        <v>1501.4965</v>
      </c>
      <c r="AA113" s="84">
        <v>3002.9929999999999</v>
      </c>
      <c r="AB113" s="88" t="e">
        <v>#DIV/0!</v>
      </c>
      <c r="AC113" t="s">
        <v>525</v>
      </c>
    </row>
    <row r="114" spans="3:29">
      <c r="C114" t="s">
        <v>527</v>
      </c>
      <c r="D114" t="s">
        <v>521</v>
      </c>
      <c r="E114" s="84">
        <v>4559.99</v>
      </c>
      <c r="F114" s="84">
        <v>2279.9949999999999</v>
      </c>
      <c r="G114" t="s">
        <v>508</v>
      </c>
      <c r="H114" t="s">
        <v>528</v>
      </c>
      <c r="I114" t="s">
        <v>523</v>
      </c>
      <c r="J114" t="s">
        <v>524</v>
      </c>
      <c r="K114" t="s">
        <v>58</v>
      </c>
      <c r="L114" t="s">
        <v>50</v>
      </c>
      <c r="M114">
        <v>285</v>
      </c>
      <c r="N114">
        <v>85</v>
      </c>
      <c r="O114">
        <v>110</v>
      </c>
      <c r="P114">
        <v>2.6647500000000002</v>
      </c>
      <c r="Q114" s="84" t="e">
        <v>#REF!</v>
      </c>
      <c r="R114" s="85"/>
      <c r="S114" s="85"/>
      <c r="T114" s="86">
        <v>0</v>
      </c>
      <c r="U114" s="84">
        <v>0</v>
      </c>
      <c r="V114" s="84">
        <v>3191.9929999999999</v>
      </c>
      <c r="W114" s="84">
        <v>1595.9965</v>
      </c>
      <c r="X114" s="82">
        <v>0.35</v>
      </c>
      <c r="Y114" s="82"/>
      <c r="Z114" s="84">
        <v>1595.9965</v>
      </c>
      <c r="AA114" s="84">
        <v>3191.9929999999999</v>
      </c>
      <c r="AB114" s="88" t="e">
        <v>#DIV/0!</v>
      </c>
      <c r="AC114" t="s">
        <v>525</v>
      </c>
    </row>
    <row r="115" spans="3:29">
      <c r="C115" t="s">
        <v>530</v>
      </c>
      <c r="D115" t="s">
        <v>531</v>
      </c>
      <c r="E115" s="84">
        <v>2579.9899999999998</v>
      </c>
      <c r="F115" s="84">
        <v>1289.9949999999999</v>
      </c>
      <c r="G115" t="s">
        <v>508</v>
      </c>
      <c r="H115" t="s">
        <v>532</v>
      </c>
      <c r="I115" t="s">
        <v>533</v>
      </c>
      <c r="J115" t="s">
        <v>534</v>
      </c>
      <c r="K115" t="s">
        <v>49</v>
      </c>
      <c r="L115" t="s">
        <v>50</v>
      </c>
      <c r="N115">
        <v>120</v>
      </c>
      <c r="O115">
        <v>110</v>
      </c>
      <c r="P115">
        <v>1.5840000000000001</v>
      </c>
      <c r="Q115" s="84" t="e">
        <v>#REF!</v>
      </c>
      <c r="R115" s="85"/>
      <c r="S115" s="85"/>
      <c r="T115" s="86">
        <v>0</v>
      </c>
      <c r="U115" s="84">
        <v>0</v>
      </c>
      <c r="V115" s="84">
        <v>1805.9929999999999</v>
      </c>
      <c r="W115" s="84">
        <v>902.99649999999997</v>
      </c>
      <c r="X115" s="82">
        <v>0.35</v>
      </c>
      <c r="Y115" s="82"/>
      <c r="Z115" s="84">
        <v>902.99649999999997</v>
      </c>
      <c r="AA115" s="84">
        <v>1805.9929999999999</v>
      </c>
      <c r="AB115" s="88" t="e">
        <v>#DIV/0!</v>
      </c>
      <c r="AC115" t="s">
        <v>535</v>
      </c>
    </row>
    <row r="116" spans="3:29">
      <c r="C116" t="s">
        <v>537</v>
      </c>
      <c r="D116" t="s">
        <v>531</v>
      </c>
      <c r="E116" s="84">
        <v>2739.99</v>
      </c>
      <c r="F116" s="84">
        <v>1369.9949999999999</v>
      </c>
      <c r="G116" t="s">
        <v>508</v>
      </c>
      <c r="H116" t="s">
        <v>538</v>
      </c>
      <c r="I116" t="s">
        <v>533</v>
      </c>
      <c r="J116" t="s">
        <v>534</v>
      </c>
      <c r="K116" t="s">
        <v>58</v>
      </c>
      <c r="L116" t="s">
        <v>50</v>
      </c>
      <c r="N116">
        <v>120</v>
      </c>
      <c r="O116">
        <v>110</v>
      </c>
      <c r="P116">
        <v>1.5840000000000001</v>
      </c>
      <c r="Q116" s="84" t="e">
        <v>#REF!</v>
      </c>
      <c r="R116" s="85"/>
      <c r="S116" s="85"/>
      <c r="T116" s="86">
        <v>0</v>
      </c>
      <c r="U116" s="84">
        <v>0</v>
      </c>
      <c r="V116" s="84">
        <v>1917.9929999999999</v>
      </c>
      <c r="W116" s="84">
        <v>958.99649999999997</v>
      </c>
      <c r="X116" s="82">
        <v>0.35</v>
      </c>
      <c r="Y116" s="82"/>
      <c r="Z116" s="84">
        <v>958.99649999999997</v>
      </c>
      <c r="AA116" s="84">
        <v>1917.9929999999999</v>
      </c>
      <c r="AB116" s="88" t="e">
        <v>#DIV/0!</v>
      </c>
      <c r="AC116" t="s">
        <v>535</v>
      </c>
    </row>
    <row r="117" spans="3:29">
      <c r="C117" t="s">
        <v>540</v>
      </c>
      <c r="D117" t="s">
        <v>541</v>
      </c>
      <c r="E117" s="84">
        <v>2849.99</v>
      </c>
      <c r="F117" s="84">
        <v>1424.9949999999999</v>
      </c>
      <c r="G117" t="s">
        <v>508</v>
      </c>
      <c r="H117" t="s">
        <v>542</v>
      </c>
      <c r="I117" t="s">
        <v>543</v>
      </c>
      <c r="J117" t="s">
        <v>544</v>
      </c>
      <c r="K117" t="s">
        <v>49</v>
      </c>
      <c r="L117" t="s">
        <v>50</v>
      </c>
      <c r="M117">
        <v>200</v>
      </c>
      <c r="N117">
        <v>70</v>
      </c>
      <c r="O117">
        <v>110</v>
      </c>
      <c r="P117">
        <v>1.54</v>
      </c>
      <c r="Q117" s="84" t="e">
        <v>#REF!</v>
      </c>
      <c r="R117" s="85"/>
      <c r="S117" s="85"/>
      <c r="T117" s="86">
        <v>0</v>
      </c>
      <c r="U117" s="84">
        <v>0</v>
      </c>
      <c r="V117" s="84">
        <v>1994.9929999999999</v>
      </c>
      <c r="W117" s="84">
        <v>997.49649999999997</v>
      </c>
      <c r="X117" s="82">
        <v>0.35</v>
      </c>
      <c r="Y117" s="82"/>
      <c r="Z117" s="84">
        <v>997.49649999999997</v>
      </c>
      <c r="AA117" s="84">
        <v>1994.9929999999999</v>
      </c>
      <c r="AB117" s="88" t="e">
        <v>#DIV/0!</v>
      </c>
      <c r="AC117" t="s">
        <v>545</v>
      </c>
    </row>
    <row r="118" spans="3:29">
      <c r="C118" t="s">
        <v>547</v>
      </c>
      <c r="D118" t="s">
        <v>541</v>
      </c>
      <c r="E118" s="84">
        <v>3029.99</v>
      </c>
      <c r="F118" s="84">
        <v>1514.9949999999999</v>
      </c>
      <c r="G118" t="s">
        <v>508</v>
      </c>
      <c r="H118" t="s">
        <v>548</v>
      </c>
      <c r="I118" t="s">
        <v>543</v>
      </c>
      <c r="J118" t="s">
        <v>544</v>
      </c>
      <c r="K118" t="s">
        <v>58</v>
      </c>
      <c r="L118" t="s">
        <v>50</v>
      </c>
      <c r="M118">
        <v>200</v>
      </c>
      <c r="N118">
        <v>70</v>
      </c>
      <c r="O118">
        <v>110</v>
      </c>
      <c r="P118">
        <v>1.54</v>
      </c>
      <c r="Q118" s="84" t="e">
        <v>#REF!</v>
      </c>
      <c r="R118" s="85"/>
      <c r="S118" s="85"/>
      <c r="T118" s="86">
        <v>0</v>
      </c>
      <c r="U118" s="84">
        <v>0</v>
      </c>
      <c r="V118" s="84">
        <v>2120.9929999999999</v>
      </c>
      <c r="W118" s="84">
        <v>1060.4965</v>
      </c>
      <c r="X118" s="82">
        <v>0.35</v>
      </c>
      <c r="Y118" s="82"/>
      <c r="Z118" s="84">
        <v>1060.4965</v>
      </c>
      <c r="AA118" s="84">
        <v>2120.9929999999999</v>
      </c>
      <c r="AB118" s="88" t="e">
        <v>#DIV/0!</v>
      </c>
      <c r="AC118" t="s">
        <v>549</v>
      </c>
    </row>
    <row r="119" spans="3:29">
      <c r="C119" t="s">
        <v>551</v>
      </c>
      <c r="D119" t="s">
        <v>552</v>
      </c>
      <c r="E119" s="84">
        <v>2069.9899999999998</v>
      </c>
      <c r="F119" s="84">
        <v>1034.9949999999999</v>
      </c>
      <c r="G119" t="s">
        <v>508</v>
      </c>
      <c r="H119" t="s">
        <v>553</v>
      </c>
      <c r="I119" t="s">
        <v>554</v>
      </c>
      <c r="J119" t="s">
        <v>555</v>
      </c>
      <c r="K119" t="s">
        <v>49</v>
      </c>
      <c r="L119" t="s">
        <v>50</v>
      </c>
      <c r="M119">
        <v>180</v>
      </c>
      <c r="N119">
        <v>70</v>
      </c>
      <c r="O119">
        <v>110</v>
      </c>
      <c r="P119">
        <v>1.3859999999999999</v>
      </c>
      <c r="Q119" s="84" t="e">
        <v>#REF!</v>
      </c>
      <c r="R119" s="85">
        <v>3066575.3309229799</v>
      </c>
      <c r="S119" s="85">
        <v>0</v>
      </c>
      <c r="T119" s="86">
        <v>3066575.3309229799</v>
      </c>
      <c r="U119" s="84">
        <v>204.43835539486599</v>
      </c>
      <c r="V119" s="84">
        <v>1448.9929999999999</v>
      </c>
      <c r="W119" s="84">
        <v>724.49649999999997</v>
      </c>
      <c r="X119" s="82">
        <v>0.35</v>
      </c>
      <c r="Y119" s="82"/>
      <c r="Z119" s="84">
        <v>724.49649999999997</v>
      </c>
      <c r="AA119" s="84">
        <v>1448.9929999999999</v>
      </c>
      <c r="AB119" s="88">
        <v>3.5438384279733599</v>
      </c>
      <c r="AC119" t="s">
        <v>556</v>
      </c>
    </row>
    <row r="120" spans="3:29">
      <c r="C120" t="s">
        <v>558</v>
      </c>
      <c r="D120" t="s">
        <v>552</v>
      </c>
      <c r="E120" s="84">
        <v>2199.9899999999998</v>
      </c>
      <c r="F120" s="84">
        <v>1099.9949999999999</v>
      </c>
      <c r="G120" t="s">
        <v>508</v>
      </c>
      <c r="H120" t="s">
        <v>559</v>
      </c>
      <c r="I120" t="s">
        <v>554</v>
      </c>
      <c r="J120" t="s">
        <v>555</v>
      </c>
      <c r="K120" t="s">
        <v>58</v>
      </c>
      <c r="L120" t="s">
        <v>50</v>
      </c>
      <c r="M120">
        <v>180</v>
      </c>
      <c r="N120">
        <v>70</v>
      </c>
      <c r="O120">
        <v>110</v>
      </c>
      <c r="P120">
        <v>1.3859999999999999</v>
      </c>
      <c r="Q120" s="84" t="e">
        <v>#REF!</v>
      </c>
      <c r="R120" s="85">
        <v>3008601.7265711301</v>
      </c>
      <c r="S120" s="85">
        <v>0</v>
      </c>
      <c r="T120" s="86">
        <v>3008601.7265711301</v>
      </c>
      <c r="U120" s="84">
        <v>200.57344843807499</v>
      </c>
      <c r="V120" s="84">
        <v>1539.9929999999999</v>
      </c>
      <c r="W120" s="84">
        <v>769.99649999999997</v>
      </c>
      <c r="X120" s="82">
        <v>0.35</v>
      </c>
      <c r="Y120" s="82"/>
      <c r="Z120" s="84">
        <v>769.99649999999997</v>
      </c>
      <c r="AA120" s="84">
        <v>1539.9929999999999</v>
      </c>
      <c r="AB120" s="88">
        <v>3.8389752282577301</v>
      </c>
      <c r="AC120" t="s">
        <v>560</v>
      </c>
    </row>
    <row r="121" spans="3:29">
      <c r="C121" t="s">
        <v>562</v>
      </c>
      <c r="D121" t="s">
        <v>563</v>
      </c>
      <c r="E121" s="84">
        <v>1679.99</v>
      </c>
      <c r="F121" s="84">
        <v>839.995</v>
      </c>
      <c r="G121" t="s">
        <v>508</v>
      </c>
      <c r="H121" t="s">
        <v>564</v>
      </c>
      <c r="I121" t="s">
        <v>565</v>
      </c>
      <c r="J121" t="s">
        <v>566</v>
      </c>
      <c r="K121" t="s">
        <v>49</v>
      </c>
      <c r="L121" t="s">
        <v>50</v>
      </c>
      <c r="M121">
        <v>85</v>
      </c>
      <c r="N121">
        <v>85</v>
      </c>
      <c r="O121">
        <v>110</v>
      </c>
      <c r="P121">
        <v>0.79474999999999996</v>
      </c>
      <c r="Q121" s="84" t="e">
        <v>#REF!</v>
      </c>
      <c r="R121" s="85"/>
      <c r="S121" s="85"/>
      <c r="T121" s="86">
        <v>0</v>
      </c>
      <c r="U121" s="84">
        <v>0</v>
      </c>
      <c r="V121" s="84">
        <v>1175.9929999999999</v>
      </c>
      <c r="W121" s="84">
        <v>587.99649999999997</v>
      </c>
      <c r="X121" s="82">
        <v>0.35</v>
      </c>
      <c r="Y121" s="82"/>
      <c r="Z121" s="84">
        <v>587.99649999999997</v>
      </c>
      <c r="AA121" s="84">
        <v>1175.9929999999999</v>
      </c>
      <c r="AB121" s="88" t="e">
        <v>#DIV/0!</v>
      </c>
      <c r="AC121" t="s">
        <v>567</v>
      </c>
    </row>
    <row r="122" spans="3:29">
      <c r="C122" t="s">
        <v>568</v>
      </c>
      <c r="D122" t="s">
        <v>563</v>
      </c>
      <c r="E122" s="84">
        <v>1719.99</v>
      </c>
      <c r="F122" s="84">
        <v>859.995</v>
      </c>
      <c r="G122" t="s">
        <v>508</v>
      </c>
      <c r="H122" t="s">
        <v>569</v>
      </c>
      <c r="I122" t="s">
        <v>565</v>
      </c>
      <c r="J122" t="s">
        <v>566</v>
      </c>
      <c r="K122" t="s">
        <v>58</v>
      </c>
      <c r="L122" t="s">
        <v>50</v>
      </c>
      <c r="M122">
        <v>85</v>
      </c>
      <c r="N122">
        <v>85</v>
      </c>
      <c r="O122">
        <v>110</v>
      </c>
      <c r="P122">
        <v>0.79474999999999996</v>
      </c>
      <c r="Q122" s="84" t="e">
        <v>#REF!</v>
      </c>
      <c r="R122" s="85"/>
      <c r="S122" s="85"/>
      <c r="T122" s="86">
        <v>0</v>
      </c>
      <c r="U122" s="84">
        <v>0</v>
      </c>
      <c r="V122" s="84">
        <v>1203.9929999999999</v>
      </c>
      <c r="W122" s="84">
        <v>601.99649999999997</v>
      </c>
      <c r="X122" s="82">
        <v>0.35</v>
      </c>
      <c r="Y122" s="82"/>
      <c r="Z122" s="84">
        <v>601.99649999999997</v>
      </c>
      <c r="AA122" s="84">
        <v>1203.9929999999999</v>
      </c>
      <c r="AB122" s="88" t="e">
        <v>#DIV/0!</v>
      </c>
      <c r="AC122" t="s">
        <v>570</v>
      </c>
    </row>
    <row r="123" spans="3:29">
      <c r="C123" t="s">
        <v>571</v>
      </c>
      <c r="D123" t="s">
        <v>572</v>
      </c>
      <c r="E123" s="84">
        <v>3799.99</v>
      </c>
      <c r="F123" s="84">
        <v>1899.9949999999999</v>
      </c>
      <c r="G123" t="s">
        <v>508</v>
      </c>
      <c r="H123" t="s">
        <v>573</v>
      </c>
      <c r="I123" t="s">
        <v>574</v>
      </c>
      <c r="J123" t="s">
        <v>575</v>
      </c>
      <c r="K123" t="s">
        <v>49</v>
      </c>
      <c r="L123" t="s">
        <v>50</v>
      </c>
      <c r="M123">
        <v>300</v>
      </c>
      <c r="N123">
        <v>85</v>
      </c>
      <c r="O123">
        <v>110</v>
      </c>
      <c r="P123">
        <v>2.8050000000000002</v>
      </c>
      <c r="Q123" s="84" t="e">
        <v>#REF!</v>
      </c>
      <c r="R123" s="85"/>
      <c r="S123" s="85"/>
      <c r="T123" s="86">
        <v>0</v>
      </c>
      <c r="U123" s="84">
        <v>0</v>
      </c>
      <c r="V123" s="84">
        <v>2659.9929999999999</v>
      </c>
      <c r="W123" s="84">
        <v>1329.9965</v>
      </c>
      <c r="X123" s="82">
        <v>0.35</v>
      </c>
      <c r="Y123" s="82"/>
      <c r="Z123" s="84">
        <v>1329.9965</v>
      </c>
      <c r="AA123" s="84">
        <v>2659.9929999999999</v>
      </c>
      <c r="AB123" s="88" t="e">
        <v>#DIV/0!</v>
      </c>
      <c r="AC123" t="s">
        <v>576</v>
      </c>
    </row>
    <row r="124" spans="3:29">
      <c r="C124" t="s">
        <v>578</v>
      </c>
      <c r="D124" t="s">
        <v>572</v>
      </c>
      <c r="E124" s="84">
        <v>4029.99</v>
      </c>
      <c r="F124" s="84">
        <v>2014.9949999999999</v>
      </c>
      <c r="G124" t="s">
        <v>508</v>
      </c>
      <c r="H124" t="s">
        <v>579</v>
      </c>
      <c r="I124" t="s">
        <v>574</v>
      </c>
      <c r="J124" t="s">
        <v>575</v>
      </c>
      <c r="K124" t="s">
        <v>58</v>
      </c>
      <c r="L124" t="s">
        <v>50</v>
      </c>
      <c r="M124">
        <v>300</v>
      </c>
      <c r="N124">
        <v>85</v>
      </c>
      <c r="O124">
        <v>110</v>
      </c>
      <c r="P124">
        <v>2.8050000000000002</v>
      </c>
      <c r="Q124" s="84" t="e">
        <v>#REF!</v>
      </c>
      <c r="R124" s="85"/>
      <c r="S124" s="85"/>
      <c r="T124" s="86">
        <v>0</v>
      </c>
      <c r="U124" s="84">
        <v>0</v>
      </c>
      <c r="V124" s="84">
        <v>2820.9929999999999</v>
      </c>
      <c r="W124" s="84">
        <v>1410.4965</v>
      </c>
      <c r="X124" s="82">
        <v>0.35</v>
      </c>
      <c r="Y124" s="82"/>
      <c r="Z124" s="84">
        <v>1410.4965</v>
      </c>
      <c r="AA124" s="84">
        <v>2820.9929999999999</v>
      </c>
      <c r="AB124" s="88" t="e">
        <v>#DIV/0!</v>
      </c>
      <c r="AC124" t="s">
        <v>580</v>
      </c>
    </row>
    <row r="125" spans="3:29">
      <c r="C125" t="s">
        <v>582</v>
      </c>
      <c r="D125" t="s">
        <v>583</v>
      </c>
      <c r="E125" s="84">
        <v>3489.99</v>
      </c>
      <c r="F125" s="84">
        <v>1744.9949999999999</v>
      </c>
      <c r="G125" t="s">
        <v>508</v>
      </c>
      <c r="H125" t="s">
        <v>584</v>
      </c>
      <c r="I125" t="s">
        <v>585</v>
      </c>
      <c r="J125" t="s">
        <v>586</v>
      </c>
      <c r="K125" t="s">
        <v>49</v>
      </c>
      <c r="L125" t="s">
        <v>50</v>
      </c>
      <c r="M125">
        <v>240</v>
      </c>
      <c r="N125">
        <v>80</v>
      </c>
      <c r="O125">
        <v>110</v>
      </c>
      <c r="P125">
        <v>2.1120000000000001</v>
      </c>
      <c r="Q125" s="84" t="e">
        <v>#REF!</v>
      </c>
      <c r="R125" s="85"/>
      <c r="S125" s="85"/>
      <c r="T125" s="86">
        <v>0</v>
      </c>
      <c r="U125" s="84">
        <v>0</v>
      </c>
      <c r="V125" s="84">
        <v>2442.9929999999999</v>
      </c>
      <c r="W125" s="84">
        <v>1221.4965</v>
      </c>
      <c r="X125" s="82">
        <v>0.35</v>
      </c>
      <c r="Y125" s="82"/>
      <c r="Z125" s="84">
        <v>1221.4965</v>
      </c>
      <c r="AA125" s="84">
        <v>2442.9929999999999</v>
      </c>
      <c r="AB125" s="88" t="e">
        <v>#DIV/0!</v>
      </c>
      <c r="AC125" t="s">
        <v>587</v>
      </c>
    </row>
    <row r="126" spans="3:29">
      <c r="C126" t="s">
        <v>589</v>
      </c>
      <c r="D126" t="s">
        <v>583</v>
      </c>
      <c r="E126" s="84">
        <v>3699.99</v>
      </c>
      <c r="F126" s="84">
        <v>1849.9949999999999</v>
      </c>
      <c r="G126" t="s">
        <v>508</v>
      </c>
      <c r="H126" t="s">
        <v>590</v>
      </c>
      <c r="I126" t="s">
        <v>585</v>
      </c>
      <c r="J126" t="s">
        <v>586</v>
      </c>
      <c r="K126" t="s">
        <v>58</v>
      </c>
      <c r="L126" t="s">
        <v>50</v>
      </c>
      <c r="M126">
        <v>240</v>
      </c>
      <c r="N126">
        <v>80</v>
      </c>
      <c r="O126">
        <v>110</v>
      </c>
      <c r="P126">
        <v>2.1120000000000001</v>
      </c>
      <c r="Q126" s="84" t="e">
        <v>#REF!</v>
      </c>
      <c r="R126" s="85"/>
      <c r="S126" s="85"/>
      <c r="T126" s="86">
        <v>0</v>
      </c>
      <c r="U126" s="84">
        <v>0</v>
      </c>
      <c r="V126" s="84">
        <v>2589.9929999999999</v>
      </c>
      <c r="W126" s="84">
        <v>1294.9965</v>
      </c>
      <c r="X126" s="82">
        <v>0.35</v>
      </c>
      <c r="Y126" s="82"/>
      <c r="Z126" s="84">
        <v>1294.9965</v>
      </c>
      <c r="AA126" s="84">
        <v>2589.9929999999999</v>
      </c>
      <c r="AB126" s="88" t="e">
        <v>#DIV/0!</v>
      </c>
      <c r="AC126" t="s">
        <v>591</v>
      </c>
    </row>
    <row r="127" spans="3:29">
      <c r="C127" t="s">
        <v>593</v>
      </c>
      <c r="D127" t="s">
        <v>594</v>
      </c>
      <c r="E127" s="84">
        <v>2099.9899999999998</v>
      </c>
      <c r="F127" s="84">
        <v>1049.9949999999999</v>
      </c>
      <c r="G127" t="s">
        <v>508</v>
      </c>
      <c r="H127" t="s">
        <v>595</v>
      </c>
      <c r="I127" t="s">
        <v>596</v>
      </c>
      <c r="J127" t="s">
        <v>534</v>
      </c>
      <c r="K127" t="s">
        <v>49</v>
      </c>
      <c r="L127" t="s">
        <v>50</v>
      </c>
      <c r="N127">
        <v>120</v>
      </c>
      <c r="O127">
        <v>110</v>
      </c>
      <c r="P127">
        <v>1.5840000000000001</v>
      </c>
      <c r="Q127" s="84" t="e">
        <v>#REF!</v>
      </c>
      <c r="R127" s="85"/>
      <c r="S127" s="85"/>
      <c r="T127" s="86">
        <v>0</v>
      </c>
      <c r="U127" s="84">
        <v>0</v>
      </c>
      <c r="V127" s="84">
        <v>1469.9929999999999</v>
      </c>
      <c r="W127" s="84">
        <v>734.99649999999997</v>
      </c>
      <c r="X127" s="82">
        <v>0.35</v>
      </c>
      <c r="Y127" s="82"/>
      <c r="Z127" s="84">
        <v>734.99649999999997</v>
      </c>
      <c r="AA127" s="84">
        <v>1469.9929999999999</v>
      </c>
      <c r="AB127" s="88" t="e">
        <v>#DIV/0!</v>
      </c>
      <c r="AC127" t="s">
        <v>597</v>
      </c>
    </row>
    <row r="128" spans="3:29">
      <c r="C128" t="s">
        <v>599</v>
      </c>
      <c r="D128" t="s">
        <v>594</v>
      </c>
      <c r="E128" s="84">
        <v>2219.9899999999998</v>
      </c>
      <c r="F128" s="84">
        <v>1109.9949999999999</v>
      </c>
      <c r="G128" t="s">
        <v>508</v>
      </c>
      <c r="H128" t="s">
        <v>600</v>
      </c>
      <c r="I128" t="s">
        <v>596</v>
      </c>
      <c r="J128" t="s">
        <v>534</v>
      </c>
      <c r="K128" t="s">
        <v>58</v>
      </c>
      <c r="L128" t="s">
        <v>50</v>
      </c>
      <c r="N128">
        <v>120</v>
      </c>
      <c r="O128">
        <v>110</v>
      </c>
      <c r="P128">
        <v>1.5840000000000001</v>
      </c>
      <c r="Q128" s="84" t="e">
        <v>#REF!</v>
      </c>
      <c r="R128" s="85"/>
      <c r="S128" s="85"/>
      <c r="T128" s="86">
        <v>0</v>
      </c>
      <c r="U128" s="84">
        <v>0</v>
      </c>
      <c r="V128" s="84">
        <v>1553.9929999999999</v>
      </c>
      <c r="W128" s="84">
        <v>776.99649999999997</v>
      </c>
      <c r="X128" s="82">
        <v>0.35</v>
      </c>
      <c r="Y128" s="82"/>
      <c r="Z128" s="84">
        <v>776.99649999999997</v>
      </c>
      <c r="AA128" s="84">
        <v>1553.9929999999999</v>
      </c>
      <c r="AB128" s="88" t="e">
        <v>#DIV/0!</v>
      </c>
      <c r="AC128" t="s">
        <v>601</v>
      </c>
    </row>
    <row r="129" spans="3:29">
      <c r="C129" t="s">
        <v>603</v>
      </c>
      <c r="D129" t="s">
        <v>604</v>
      </c>
      <c r="E129" s="84">
        <v>2269.9899999999998</v>
      </c>
      <c r="F129" s="84">
        <v>1134.9949999999999</v>
      </c>
      <c r="G129" t="s">
        <v>508</v>
      </c>
      <c r="H129" t="s">
        <v>605</v>
      </c>
      <c r="I129" t="s">
        <v>606</v>
      </c>
      <c r="J129" t="s">
        <v>534</v>
      </c>
      <c r="K129" t="s">
        <v>49</v>
      </c>
      <c r="L129" t="s">
        <v>50</v>
      </c>
      <c r="N129">
        <v>120</v>
      </c>
      <c r="O129">
        <v>110</v>
      </c>
      <c r="P129">
        <v>1.5840000000000001</v>
      </c>
      <c r="Q129" s="84" t="e">
        <v>#REF!</v>
      </c>
      <c r="R129" s="85"/>
      <c r="S129" s="85"/>
      <c r="T129" s="86">
        <v>0</v>
      </c>
      <c r="U129" s="84">
        <v>0</v>
      </c>
      <c r="V129" s="84">
        <v>1588.9929999999999</v>
      </c>
      <c r="W129" s="84">
        <v>794.49649999999997</v>
      </c>
      <c r="X129" s="82">
        <v>0.35</v>
      </c>
      <c r="Y129" s="82"/>
      <c r="Z129" s="84">
        <v>794.49649999999997</v>
      </c>
      <c r="AA129" s="84">
        <v>1588.9929999999999</v>
      </c>
      <c r="AB129" s="88" t="e">
        <v>#DIV/0!</v>
      </c>
      <c r="AC129" t="s">
        <v>607</v>
      </c>
    </row>
    <row r="130" spans="3:29">
      <c r="C130" t="s">
        <v>609</v>
      </c>
      <c r="D130" t="s">
        <v>604</v>
      </c>
      <c r="E130" s="84">
        <v>2409.9899999999998</v>
      </c>
      <c r="F130" s="84">
        <v>1204.9949999999999</v>
      </c>
      <c r="G130" t="s">
        <v>508</v>
      </c>
      <c r="H130" t="s">
        <v>610</v>
      </c>
      <c r="I130" t="s">
        <v>606</v>
      </c>
      <c r="J130" t="s">
        <v>534</v>
      </c>
      <c r="K130" t="s">
        <v>58</v>
      </c>
      <c r="L130" t="s">
        <v>50</v>
      </c>
      <c r="N130">
        <v>120</v>
      </c>
      <c r="O130">
        <v>110</v>
      </c>
      <c r="P130">
        <v>1.5840000000000001</v>
      </c>
      <c r="Q130" s="84" t="e">
        <v>#REF!</v>
      </c>
      <c r="R130" s="85"/>
      <c r="S130" s="85"/>
      <c r="T130" s="86">
        <v>0</v>
      </c>
      <c r="U130" s="84">
        <v>0</v>
      </c>
      <c r="V130" s="84">
        <v>1686.9929999999999</v>
      </c>
      <c r="W130" s="84">
        <v>843.49649999999997</v>
      </c>
      <c r="X130" s="82">
        <v>0.35</v>
      </c>
      <c r="Y130" s="82"/>
      <c r="Z130" s="84">
        <v>843.49649999999997</v>
      </c>
      <c r="AA130" s="84">
        <v>1686.9929999999999</v>
      </c>
      <c r="AB130" s="88" t="e">
        <v>#DIV/0!</v>
      </c>
      <c r="AC130" t="s">
        <v>607</v>
      </c>
    </row>
    <row r="131" spans="3:29">
      <c r="C131" t="s">
        <v>612</v>
      </c>
      <c r="D131" t="s">
        <v>613</v>
      </c>
      <c r="E131" s="84">
        <v>4419.99</v>
      </c>
      <c r="F131" s="84">
        <v>2209.9949999999999</v>
      </c>
      <c r="G131" t="s">
        <v>508</v>
      </c>
      <c r="H131" t="s">
        <v>614</v>
      </c>
      <c r="I131" t="s">
        <v>615</v>
      </c>
      <c r="J131" t="s">
        <v>616</v>
      </c>
      <c r="K131" t="s">
        <v>49</v>
      </c>
      <c r="L131" t="s">
        <v>50</v>
      </c>
      <c r="M131">
        <v>280</v>
      </c>
      <c r="N131">
        <v>100</v>
      </c>
      <c r="O131">
        <v>110</v>
      </c>
      <c r="P131">
        <v>3.08</v>
      </c>
      <c r="Q131" s="84" t="e">
        <v>#REF!</v>
      </c>
      <c r="R131" s="85"/>
      <c r="S131" s="85"/>
      <c r="T131" s="86">
        <v>0</v>
      </c>
      <c r="U131" s="84">
        <v>0</v>
      </c>
      <c r="V131" s="84">
        <v>3093.9929999999999</v>
      </c>
      <c r="W131" s="84">
        <v>1546.9965</v>
      </c>
      <c r="X131" s="82">
        <v>0.35</v>
      </c>
      <c r="Y131" s="82"/>
      <c r="Z131" s="84">
        <v>1546.9965</v>
      </c>
      <c r="AA131" s="84">
        <v>3093.9929999999999</v>
      </c>
      <c r="AB131" s="88" t="e">
        <v>#DIV/0!</v>
      </c>
      <c r="AC131" t="s">
        <v>617</v>
      </c>
    </row>
    <row r="132" spans="3:29">
      <c r="C132" t="s">
        <v>619</v>
      </c>
      <c r="D132" t="s">
        <v>613</v>
      </c>
      <c r="E132" s="84">
        <v>4689.99</v>
      </c>
      <c r="F132" s="84">
        <v>2344.9949999999999</v>
      </c>
      <c r="G132" t="s">
        <v>508</v>
      </c>
      <c r="H132" t="s">
        <v>620</v>
      </c>
      <c r="I132" t="s">
        <v>615</v>
      </c>
      <c r="J132" t="s">
        <v>616</v>
      </c>
      <c r="K132" t="s">
        <v>58</v>
      </c>
      <c r="L132" t="s">
        <v>50</v>
      </c>
      <c r="M132">
        <v>280</v>
      </c>
      <c r="N132">
        <v>100</v>
      </c>
      <c r="O132">
        <v>110</v>
      </c>
      <c r="P132">
        <v>3.08</v>
      </c>
      <c r="Q132" s="84" t="e">
        <v>#REF!</v>
      </c>
      <c r="R132" s="85"/>
      <c r="S132" s="85"/>
      <c r="T132" s="86">
        <v>0</v>
      </c>
      <c r="U132" s="84">
        <v>0</v>
      </c>
      <c r="V132" s="84">
        <v>3282.9929999999999</v>
      </c>
      <c r="W132" s="84">
        <v>1641.4965</v>
      </c>
      <c r="X132" s="82">
        <v>0.35</v>
      </c>
      <c r="Y132" s="82"/>
      <c r="Z132" s="84">
        <v>1641.4965</v>
      </c>
      <c r="AA132" s="84">
        <v>3282.9929999999999</v>
      </c>
      <c r="AB132" s="88" t="e">
        <v>#DIV/0!</v>
      </c>
      <c r="AC132" t="s">
        <v>621</v>
      </c>
    </row>
    <row r="133" spans="3:29">
      <c r="C133" t="s">
        <v>622</v>
      </c>
      <c r="D133" t="s">
        <v>623</v>
      </c>
      <c r="E133" s="84">
        <v>1039.99</v>
      </c>
      <c r="F133" s="84">
        <v>519.995</v>
      </c>
      <c r="G133" t="s">
        <v>508</v>
      </c>
      <c r="H133" t="s">
        <v>624</v>
      </c>
      <c r="I133" t="s">
        <v>625</v>
      </c>
      <c r="J133" t="s">
        <v>626</v>
      </c>
      <c r="K133" t="s">
        <v>49</v>
      </c>
      <c r="L133" t="s">
        <v>50</v>
      </c>
      <c r="N133">
        <v>70</v>
      </c>
      <c r="O133">
        <v>90</v>
      </c>
      <c r="P133">
        <v>0.441</v>
      </c>
      <c r="Q133" s="84" t="e">
        <v>#REF!</v>
      </c>
      <c r="R133" s="85"/>
      <c r="S133" s="85"/>
      <c r="T133" s="86">
        <v>0</v>
      </c>
      <c r="U133" s="84">
        <v>0</v>
      </c>
      <c r="V133" s="84">
        <v>727.99300000000005</v>
      </c>
      <c r="W133" s="84">
        <v>363.99650000000003</v>
      </c>
      <c r="X133" s="82">
        <v>0.35</v>
      </c>
      <c r="Y133" s="82"/>
      <c r="Z133" s="84">
        <v>363.99650000000003</v>
      </c>
      <c r="AA133" s="84">
        <v>727.99300000000005</v>
      </c>
      <c r="AB133" s="88" t="e">
        <v>#DIV/0!</v>
      </c>
      <c r="AC133" t="s">
        <v>627</v>
      </c>
    </row>
    <row r="134" spans="3:29">
      <c r="C134" t="s">
        <v>629</v>
      </c>
      <c r="D134" t="s">
        <v>623</v>
      </c>
      <c r="E134" s="84">
        <v>1099.99</v>
      </c>
      <c r="F134" s="84">
        <v>549.995</v>
      </c>
      <c r="G134" t="s">
        <v>508</v>
      </c>
      <c r="H134" t="s">
        <v>630</v>
      </c>
      <c r="I134" t="s">
        <v>625</v>
      </c>
      <c r="J134" t="s">
        <v>626</v>
      </c>
      <c r="K134" t="s">
        <v>58</v>
      </c>
      <c r="L134" t="s">
        <v>50</v>
      </c>
      <c r="N134">
        <v>70</v>
      </c>
      <c r="O134">
        <v>90</v>
      </c>
      <c r="P134">
        <v>0.441</v>
      </c>
      <c r="Q134" s="84" t="e">
        <v>#REF!</v>
      </c>
      <c r="R134" s="85"/>
      <c r="S134" s="85"/>
      <c r="T134" s="86">
        <v>0</v>
      </c>
      <c r="U134" s="84">
        <v>0</v>
      </c>
      <c r="V134" s="84">
        <v>769.99300000000005</v>
      </c>
      <c r="W134" s="84">
        <v>384.99650000000003</v>
      </c>
      <c r="X134" s="82">
        <v>0.35</v>
      </c>
      <c r="Y134" s="82"/>
      <c r="Z134" s="84">
        <v>384.99650000000003</v>
      </c>
      <c r="AA134" s="84">
        <v>769.99300000000005</v>
      </c>
      <c r="AB134" s="88" t="e">
        <v>#DIV/0!</v>
      </c>
      <c r="AC134" t="s">
        <v>631</v>
      </c>
    </row>
    <row r="135" spans="3:29">
      <c r="C135" t="s">
        <v>632</v>
      </c>
      <c r="D135" t="s">
        <v>623</v>
      </c>
      <c r="E135" s="84">
        <v>1079.99</v>
      </c>
      <c r="F135" s="84">
        <v>539.995</v>
      </c>
      <c r="G135" t="s">
        <v>508</v>
      </c>
      <c r="H135" t="s">
        <v>633</v>
      </c>
      <c r="I135" t="s">
        <v>625</v>
      </c>
      <c r="J135" t="s">
        <v>634</v>
      </c>
      <c r="K135" t="s">
        <v>49</v>
      </c>
      <c r="L135" t="s">
        <v>50</v>
      </c>
      <c r="N135">
        <v>70</v>
      </c>
      <c r="O135">
        <v>110</v>
      </c>
      <c r="P135">
        <v>0.53900000000000003</v>
      </c>
      <c r="Q135" s="84" t="e">
        <v>#REF!</v>
      </c>
      <c r="R135" s="85"/>
      <c r="S135" s="85"/>
      <c r="T135" s="86">
        <v>0</v>
      </c>
      <c r="U135" s="84">
        <v>0</v>
      </c>
      <c r="V135" s="84">
        <v>755.99300000000005</v>
      </c>
      <c r="W135" s="84">
        <v>377.99650000000003</v>
      </c>
      <c r="X135" s="82">
        <v>0.35</v>
      </c>
      <c r="Y135" s="82"/>
      <c r="Z135" s="84">
        <v>377.99650000000003</v>
      </c>
      <c r="AA135" s="84">
        <v>755.99300000000005</v>
      </c>
      <c r="AB135" s="88" t="e">
        <v>#DIV/0!</v>
      </c>
      <c r="AC135" t="s">
        <v>635</v>
      </c>
    </row>
    <row r="136" spans="3:29">
      <c r="C136" t="s">
        <v>637</v>
      </c>
      <c r="D136" t="s">
        <v>623</v>
      </c>
      <c r="E136" s="84">
        <v>1139.99</v>
      </c>
      <c r="F136" s="84">
        <v>569.995</v>
      </c>
      <c r="G136" t="s">
        <v>508</v>
      </c>
      <c r="H136" t="s">
        <v>638</v>
      </c>
      <c r="I136" t="s">
        <v>625</v>
      </c>
      <c r="J136" t="s">
        <v>634</v>
      </c>
      <c r="K136" t="s">
        <v>58</v>
      </c>
      <c r="L136" t="s">
        <v>50</v>
      </c>
      <c r="N136">
        <v>70</v>
      </c>
      <c r="O136">
        <v>110</v>
      </c>
      <c r="P136">
        <v>0.53900000000000003</v>
      </c>
      <c r="Q136" s="84" t="e">
        <v>#REF!</v>
      </c>
      <c r="R136" s="85"/>
      <c r="S136" s="85"/>
      <c r="T136" s="86">
        <v>0</v>
      </c>
      <c r="U136" s="84">
        <v>0</v>
      </c>
      <c r="V136" s="84">
        <v>797.99300000000005</v>
      </c>
      <c r="W136" s="84">
        <v>398.99650000000003</v>
      </c>
      <c r="X136" s="82">
        <v>0.35</v>
      </c>
      <c r="Y136" s="82"/>
      <c r="Z136" s="84">
        <v>398.99650000000003</v>
      </c>
      <c r="AA136" s="84">
        <v>797.99300000000005</v>
      </c>
      <c r="AB136" s="88" t="e">
        <v>#DIV/0!</v>
      </c>
      <c r="AC136" t="s">
        <v>635</v>
      </c>
    </row>
    <row r="137" spans="3:29">
      <c r="C137" t="s">
        <v>640</v>
      </c>
      <c r="D137" t="s">
        <v>641</v>
      </c>
      <c r="E137" s="84">
        <v>807.99</v>
      </c>
      <c r="F137" s="84">
        <v>403.995</v>
      </c>
      <c r="G137" t="s">
        <v>508</v>
      </c>
      <c r="H137" t="s">
        <v>642</v>
      </c>
      <c r="I137" t="s">
        <v>643</v>
      </c>
      <c r="J137" t="s">
        <v>644</v>
      </c>
      <c r="K137" t="s">
        <v>645</v>
      </c>
      <c r="L137" t="s">
        <v>646</v>
      </c>
      <c r="N137">
        <v>90</v>
      </c>
      <c r="O137">
        <v>100</v>
      </c>
      <c r="P137">
        <v>0.81</v>
      </c>
      <c r="Q137" s="84" t="e">
        <v>#REF!</v>
      </c>
      <c r="R137" s="85"/>
      <c r="S137" s="85"/>
      <c r="T137" s="86">
        <v>0</v>
      </c>
      <c r="U137" s="84">
        <v>0</v>
      </c>
      <c r="V137" s="84">
        <v>565.59299999999996</v>
      </c>
      <c r="W137" s="84">
        <v>282.79649999999998</v>
      </c>
      <c r="X137" s="82">
        <v>0.35</v>
      </c>
      <c r="Y137" s="82"/>
      <c r="Z137" s="84">
        <v>282.79649999999998</v>
      </c>
      <c r="AA137" s="84">
        <v>565.59299999999996</v>
      </c>
      <c r="AB137" s="88" t="e">
        <v>#DIV/0!</v>
      </c>
      <c r="AC137" t="s">
        <v>647</v>
      </c>
    </row>
    <row r="138" spans="3:29">
      <c r="C138" t="s">
        <v>650</v>
      </c>
      <c r="D138" t="s">
        <v>651</v>
      </c>
      <c r="E138" s="84">
        <v>619.99</v>
      </c>
      <c r="F138" s="84">
        <v>309.995</v>
      </c>
      <c r="G138" t="s">
        <v>508</v>
      </c>
      <c r="H138" t="s">
        <v>652</v>
      </c>
      <c r="I138" t="s">
        <v>653</v>
      </c>
      <c r="J138" t="s">
        <v>654</v>
      </c>
      <c r="K138" t="s">
        <v>645</v>
      </c>
      <c r="L138" t="s">
        <v>646</v>
      </c>
      <c r="M138">
        <v>120</v>
      </c>
      <c r="N138">
        <v>120</v>
      </c>
      <c r="O138">
        <v>110</v>
      </c>
      <c r="P138">
        <v>1.5840000000000001</v>
      </c>
      <c r="Q138" s="84" t="e">
        <v>#REF!</v>
      </c>
      <c r="R138" s="85"/>
      <c r="S138" s="85"/>
      <c r="T138" s="86">
        <v>0</v>
      </c>
      <c r="U138" s="84">
        <v>0</v>
      </c>
      <c r="V138" s="84">
        <v>433.99299999999999</v>
      </c>
      <c r="W138" s="84">
        <v>216.9965</v>
      </c>
      <c r="X138" s="82">
        <v>0.35</v>
      </c>
      <c r="Y138" s="82"/>
      <c r="Z138" s="84">
        <v>216.9965</v>
      </c>
      <c r="AA138" s="84">
        <v>433.99299999999999</v>
      </c>
      <c r="AB138" s="88" t="e">
        <v>#DIV/0!</v>
      </c>
      <c r="AC138" t="s">
        <v>655</v>
      </c>
    </row>
    <row r="139" spans="3:29">
      <c r="C139" t="s">
        <v>657</v>
      </c>
      <c r="D139" t="s">
        <v>658</v>
      </c>
      <c r="E139" s="84">
        <v>529.99</v>
      </c>
      <c r="F139" s="84">
        <v>264.995</v>
      </c>
      <c r="G139" t="s">
        <v>508</v>
      </c>
      <c r="H139" t="s">
        <v>659</v>
      </c>
      <c r="I139" t="s">
        <v>660</v>
      </c>
      <c r="J139" t="s">
        <v>661</v>
      </c>
      <c r="K139" t="s">
        <v>662</v>
      </c>
      <c r="L139" t="s">
        <v>646</v>
      </c>
      <c r="N139">
        <v>70</v>
      </c>
      <c r="O139">
        <v>105</v>
      </c>
      <c r="P139">
        <v>0.51449999999999996</v>
      </c>
      <c r="Q139" s="84" t="e">
        <v>#REF!</v>
      </c>
      <c r="R139" s="85"/>
      <c r="S139" s="85"/>
      <c r="T139" s="86">
        <v>0</v>
      </c>
      <c r="U139" s="84">
        <v>0</v>
      </c>
      <c r="V139" s="84">
        <v>370.99299999999999</v>
      </c>
      <c r="W139" s="84">
        <v>185.4965</v>
      </c>
      <c r="X139" s="82">
        <v>0.35</v>
      </c>
      <c r="Y139" s="82"/>
      <c r="Z139" s="84">
        <v>185.4965</v>
      </c>
      <c r="AA139" s="84">
        <v>370.99299999999999</v>
      </c>
      <c r="AB139" s="88" t="e">
        <v>#DIV/0!</v>
      </c>
      <c r="AC139" t="s">
        <v>663</v>
      </c>
    </row>
    <row r="140" spans="3:29">
      <c r="C140" t="s">
        <v>666</v>
      </c>
      <c r="D140" t="s">
        <v>667</v>
      </c>
      <c r="E140" s="84">
        <v>404.99</v>
      </c>
      <c r="F140" s="84">
        <v>202.495</v>
      </c>
      <c r="G140" t="s">
        <v>508</v>
      </c>
      <c r="H140" t="s">
        <v>668</v>
      </c>
      <c r="I140" t="s">
        <v>669</v>
      </c>
      <c r="L140" t="s">
        <v>670</v>
      </c>
      <c r="P140">
        <v>0</v>
      </c>
      <c r="Q140" s="84" t="e">
        <v>#REF!</v>
      </c>
      <c r="R140" s="85"/>
      <c r="S140" s="85"/>
      <c r="T140" s="86">
        <v>0</v>
      </c>
      <c r="U140" s="84">
        <v>0</v>
      </c>
      <c r="V140" s="84">
        <v>283.49299999999999</v>
      </c>
      <c r="W140" s="84">
        <v>141.7465</v>
      </c>
      <c r="X140" s="82">
        <v>0.35</v>
      </c>
      <c r="Y140" s="82"/>
      <c r="Z140" s="84">
        <v>141.7465</v>
      </c>
      <c r="AA140" s="84">
        <v>283.49299999999999</v>
      </c>
      <c r="AB140" s="88" t="e">
        <v>#DIV/0!</v>
      </c>
      <c r="AC140" t="s">
        <v>671</v>
      </c>
    </row>
    <row r="141" spans="3:29">
      <c r="C141" t="s">
        <v>666</v>
      </c>
      <c r="D141" t="s">
        <v>673</v>
      </c>
      <c r="E141" s="84">
        <v>404.99</v>
      </c>
      <c r="F141" s="84">
        <v>202.495</v>
      </c>
      <c r="G141" t="s">
        <v>508</v>
      </c>
      <c r="H141" t="s">
        <v>674</v>
      </c>
      <c r="I141" t="s">
        <v>669</v>
      </c>
      <c r="L141" t="s">
        <v>670</v>
      </c>
      <c r="P141">
        <v>0</v>
      </c>
      <c r="Q141" s="84" t="e">
        <v>#REF!</v>
      </c>
      <c r="R141" s="85"/>
      <c r="S141" s="85"/>
      <c r="T141" s="86">
        <v>0</v>
      </c>
      <c r="U141" s="84">
        <v>0</v>
      </c>
      <c r="V141" s="84">
        <v>283.49299999999999</v>
      </c>
      <c r="W141" s="84">
        <v>141.7465</v>
      </c>
      <c r="X141" s="82">
        <v>0.35</v>
      </c>
      <c r="Y141" s="82"/>
      <c r="Z141" s="84">
        <v>141.7465</v>
      </c>
      <c r="AA141" s="84">
        <v>283.49299999999999</v>
      </c>
      <c r="AB141" s="88" t="e">
        <v>#DIV/0!</v>
      </c>
      <c r="AC141" t="s">
        <v>675</v>
      </c>
    </row>
    <row r="142" spans="3:29">
      <c r="C142">
        <v>21950</v>
      </c>
      <c r="D142" t="s">
        <v>676</v>
      </c>
      <c r="E142" s="84">
        <v>267.99</v>
      </c>
      <c r="F142" s="84">
        <v>133.995</v>
      </c>
      <c r="G142" t="s">
        <v>508</v>
      </c>
      <c r="H142" t="s">
        <v>677</v>
      </c>
      <c r="I142" t="s">
        <v>678</v>
      </c>
      <c r="J142" t="s">
        <v>679</v>
      </c>
      <c r="L142" t="s">
        <v>670</v>
      </c>
      <c r="N142">
        <v>120</v>
      </c>
      <c r="P142">
        <v>0</v>
      </c>
      <c r="Q142" s="84" t="e">
        <v>#REF!</v>
      </c>
      <c r="R142" s="85"/>
      <c r="S142" s="85"/>
      <c r="T142" s="86">
        <v>0</v>
      </c>
      <c r="U142" s="84">
        <v>0</v>
      </c>
      <c r="V142" s="84">
        <v>187.59299999999999</v>
      </c>
      <c r="W142" s="84">
        <v>93.796499999999995</v>
      </c>
      <c r="X142" s="82">
        <v>0.35</v>
      </c>
      <c r="Y142" s="82"/>
      <c r="Z142" s="84">
        <v>93.796499999999995</v>
      </c>
      <c r="AA142" s="84">
        <v>187.59299999999999</v>
      </c>
      <c r="AB142" s="88" t="e">
        <v>#DIV/0!</v>
      </c>
      <c r="AC142" t="s">
        <v>680</v>
      </c>
    </row>
    <row r="143" spans="3:29">
      <c r="C143" t="s">
        <v>681</v>
      </c>
      <c r="D143" t="s">
        <v>682</v>
      </c>
      <c r="E143" s="84">
        <v>449.99</v>
      </c>
      <c r="F143" s="84">
        <v>224.995</v>
      </c>
      <c r="G143" t="s">
        <v>508</v>
      </c>
      <c r="H143" t="s">
        <v>683</v>
      </c>
      <c r="I143" t="s">
        <v>684</v>
      </c>
      <c r="L143" t="s">
        <v>670</v>
      </c>
      <c r="P143">
        <v>0</v>
      </c>
      <c r="Q143" s="84" t="e">
        <v>#REF!</v>
      </c>
      <c r="R143" s="85"/>
      <c r="S143" s="85"/>
      <c r="T143" s="86">
        <v>0</v>
      </c>
      <c r="U143" s="84">
        <v>0</v>
      </c>
      <c r="V143" s="84">
        <v>314.99299999999999</v>
      </c>
      <c r="W143" s="84">
        <v>157.4965</v>
      </c>
      <c r="X143" s="82">
        <v>0.35</v>
      </c>
      <c r="Y143" s="82"/>
      <c r="Z143" s="84">
        <v>157.4965</v>
      </c>
      <c r="AA143" s="84">
        <v>314.99299999999999</v>
      </c>
      <c r="AB143" s="88" t="e">
        <v>#DIV/0!</v>
      </c>
      <c r="AC143" t="s">
        <v>685</v>
      </c>
    </row>
    <row r="144" spans="3:29">
      <c r="C144" t="s">
        <v>687</v>
      </c>
      <c r="D144" t="s">
        <v>688</v>
      </c>
      <c r="E144" s="84">
        <v>189.99</v>
      </c>
      <c r="F144" s="84">
        <v>94.995000000000005</v>
      </c>
      <c r="G144" t="s">
        <v>508</v>
      </c>
      <c r="H144" t="s">
        <v>689</v>
      </c>
      <c r="I144" t="s">
        <v>690</v>
      </c>
      <c r="L144" t="s">
        <v>646</v>
      </c>
      <c r="P144">
        <v>0</v>
      </c>
      <c r="Q144" s="84" t="e">
        <v>#REF!</v>
      </c>
      <c r="R144" s="85"/>
      <c r="S144" s="85"/>
      <c r="T144" s="86">
        <v>0</v>
      </c>
      <c r="U144" s="84">
        <v>0</v>
      </c>
      <c r="V144" s="84">
        <v>132.99299999999999</v>
      </c>
      <c r="W144" s="84">
        <v>66.496499999999997</v>
      </c>
      <c r="X144" s="82">
        <v>0.35</v>
      </c>
      <c r="Y144" s="82"/>
      <c r="Z144" s="84">
        <v>66.496499999999997</v>
      </c>
      <c r="AA144" s="84">
        <v>132.99299999999999</v>
      </c>
      <c r="AB144" s="88" t="e">
        <v>#DIV/0!</v>
      </c>
      <c r="AC144" t="s">
        <v>691</v>
      </c>
    </row>
    <row r="145" spans="3:29">
      <c r="C145" t="s">
        <v>693</v>
      </c>
      <c r="D145" t="s">
        <v>694</v>
      </c>
      <c r="E145" s="84">
        <v>419.99</v>
      </c>
      <c r="F145" s="84">
        <v>209.995</v>
      </c>
      <c r="G145" t="s">
        <v>508</v>
      </c>
      <c r="H145" t="s">
        <v>695</v>
      </c>
      <c r="I145" t="s">
        <v>696</v>
      </c>
      <c r="J145" t="s">
        <v>697</v>
      </c>
      <c r="K145" t="s">
        <v>698</v>
      </c>
      <c r="L145" t="s">
        <v>646</v>
      </c>
      <c r="N145">
        <v>70</v>
      </c>
      <c r="O145">
        <v>110</v>
      </c>
      <c r="P145">
        <v>0.53900000000000003</v>
      </c>
      <c r="Q145" s="84" t="e">
        <v>#REF!</v>
      </c>
      <c r="R145" s="85"/>
      <c r="S145" s="85"/>
      <c r="T145" s="86">
        <v>0</v>
      </c>
      <c r="U145" s="84">
        <v>0</v>
      </c>
      <c r="V145" s="84">
        <v>293.99299999999999</v>
      </c>
      <c r="W145" s="84">
        <v>146.9965</v>
      </c>
      <c r="X145" s="82">
        <v>0.35</v>
      </c>
      <c r="Y145" s="82"/>
      <c r="Z145" s="84">
        <v>146.9965</v>
      </c>
      <c r="AA145" s="84">
        <v>293.99299999999999</v>
      </c>
      <c r="AB145" s="88" t="e">
        <v>#DIV/0!</v>
      </c>
      <c r="AC145" t="s">
        <v>699</v>
      </c>
    </row>
    <row r="146" spans="3:29">
      <c r="C146" t="s">
        <v>701</v>
      </c>
      <c r="D146" t="s">
        <v>694</v>
      </c>
      <c r="E146" s="84">
        <v>399.99</v>
      </c>
      <c r="F146" s="84">
        <v>199.995</v>
      </c>
      <c r="G146" t="s">
        <v>508</v>
      </c>
      <c r="H146" t="s">
        <v>702</v>
      </c>
      <c r="I146" t="s">
        <v>696</v>
      </c>
      <c r="J146" t="s">
        <v>703</v>
      </c>
      <c r="K146" t="s">
        <v>698</v>
      </c>
      <c r="L146" t="s">
        <v>646</v>
      </c>
      <c r="N146">
        <v>70</v>
      </c>
      <c r="O146">
        <v>90</v>
      </c>
      <c r="P146">
        <v>0.441</v>
      </c>
      <c r="Q146" s="84" t="e">
        <v>#REF!</v>
      </c>
      <c r="R146" s="85"/>
      <c r="S146" s="85"/>
      <c r="T146" s="86">
        <v>0</v>
      </c>
      <c r="U146" s="84">
        <v>0</v>
      </c>
      <c r="V146" s="84">
        <v>279.99299999999999</v>
      </c>
      <c r="W146" s="84">
        <v>139.9965</v>
      </c>
      <c r="X146" s="82">
        <v>0.35</v>
      </c>
      <c r="Y146" s="82"/>
      <c r="Z146" s="84">
        <v>139.9965</v>
      </c>
      <c r="AA146" s="84">
        <v>279.99299999999999</v>
      </c>
      <c r="AB146" s="88" t="e">
        <v>#DIV/0!</v>
      </c>
      <c r="AC146" t="s">
        <v>704</v>
      </c>
    </row>
    <row r="147" spans="3:29">
      <c r="C147" t="s">
        <v>705</v>
      </c>
      <c r="E147" s="84"/>
      <c r="F147" s="82"/>
      <c r="R147" s="85"/>
      <c r="S147" s="85"/>
      <c r="T147" s="86"/>
      <c r="V147" s="84">
        <v>0</v>
      </c>
      <c r="W147" s="84">
        <v>0</v>
      </c>
      <c r="X147" s="82" t="e">
        <v>#DIV/0!</v>
      </c>
      <c r="Y147" s="82"/>
      <c r="Z147" s="82"/>
      <c r="AA147" s="82"/>
      <c r="AB147" s="88" t="e">
        <v>#DIV/0!</v>
      </c>
    </row>
    <row r="148" spans="3:29">
      <c r="C148" t="s">
        <v>706</v>
      </c>
      <c r="D148" t="s">
        <v>707</v>
      </c>
      <c r="E148" s="84">
        <v>1319.99</v>
      </c>
      <c r="F148" s="84">
        <v>659.995</v>
      </c>
      <c r="G148" t="s">
        <v>705</v>
      </c>
      <c r="H148" t="s">
        <v>708</v>
      </c>
      <c r="I148" t="s">
        <v>709</v>
      </c>
      <c r="J148" t="s">
        <v>710</v>
      </c>
      <c r="K148" t="s">
        <v>711</v>
      </c>
      <c r="L148" t="s">
        <v>50</v>
      </c>
      <c r="M148">
        <v>90</v>
      </c>
      <c r="N148">
        <v>90</v>
      </c>
      <c r="O148">
        <v>35</v>
      </c>
      <c r="P148">
        <v>0.28349999999999997</v>
      </c>
      <c r="Q148" s="84" t="e">
        <v>#REF!</v>
      </c>
      <c r="R148" s="85">
        <v>1797740.03257928</v>
      </c>
      <c r="S148" s="85">
        <v>0</v>
      </c>
      <c r="T148" s="86">
        <v>1797740.03257928</v>
      </c>
      <c r="U148" s="84">
        <v>119.849335505285</v>
      </c>
      <c r="V148" s="84">
        <v>923.99300000000005</v>
      </c>
      <c r="W148" s="84">
        <v>461.99650000000003</v>
      </c>
      <c r="X148" s="82">
        <v>0.35</v>
      </c>
      <c r="Y148" s="82"/>
      <c r="Z148" s="84">
        <v>461.99650000000003</v>
      </c>
      <c r="AA148" s="84">
        <v>923.99300000000005</v>
      </c>
      <c r="AB148" s="88">
        <v>3.85481069254344</v>
      </c>
      <c r="AC148" t="s">
        <v>712</v>
      </c>
    </row>
    <row r="149" spans="3:29">
      <c r="C149" t="s">
        <v>716</v>
      </c>
      <c r="D149" t="s">
        <v>707</v>
      </c>
      <c r="E149" s="84">
        <v>889.99</v>
      </c>
      <c r="F149" s="84">
        <v>444.995</v>
      </c>
      <c r="G149" t="s">
        <v>705</v>
      </c>
      <c r="H149" t="s">
        <v>717</v>
      </c>
      <c r="I149" t="s">
        <v>718</v>
      </c>
      <c r="J149" t="s">
        <v>719</v>
      </c>
      <c r="K149" t="s">
        <v>711</v>
      </c>
      <c r="L149" t="s">
        <v>50</v>
      </c>
      <c r="M149">
        <v>120</v>
      </c>
      <c r="N149">
        <v>40</v>
      </c>
      <c r="O149">
        <v>35</v>
      </c>
      <c r="P149">
        <v>0.16800000000000001</v>
      </c>
      <c r="Q149" s="84" t="e">
        <v>#REF!</v>
      </c>
      <c r="R149" s="85">
        <v>1230847.13385469</v>
      </c>
      <c r="S149" s="85">
        <v>0</v>
      </c>
      <c r="T149" s="86">
        <v>1230847.13385469</v>
      </c>
      <c r="U149" s="84">
        <v>82.056475590312303</v>
      </c>
      <c r="V149" s="84">
        <v>622.99300000000005</v>
      </c>
      <c r="W149" s="84">
        <v>311.49650000000003</v>
      </c>
      <c r="X149" s="82">
        <v>0.35</v>
      </c>
      <c r="Y149" s="82"/>
      <c r="Z149" s="84">
        <v>311.49650000000003</v>
      </c>
      <c r="AA149" s="84">
        <v>622.99300000000005</v>
      </c>
      <c r="AB149" s="88">
        <v>3.79612331335341</v>
      </c>
      <c r="AC149" t="s">
        <v>720</v>
      </c>
    </row>
    <row r="150" spans="3:29">
      <c r="C150" t="s">
        <v>722</v>
      </c>
      <c r="D150" t="s">
        <v>707</v>
      </c>
      <c r="E150" s="84">
        <v>2219.9899999999998</v>
      </c>
      <c r="F150" s="84">
        <v>1109.9949999999999</v>
      </c>
      <c r="G150" t="s">
        <v>705</v>
      </c>
      <c r="H150" t="s">
        <v>723</v>
      </c>
      <c r="I150" t="s">
        <v>724</v>
      </c>
      <c r="J150" t="s">
        <v>725</v>
      </c>
      <c r="K150" t="s">
        <v>726</v>
      </c>
      <c r="L150" t="s">
        <v>50</v>
      </c>
      <c r="M150">
        <v>200</v>
      </c>
      <c r="N150">
        <v>100</v>
      </c>
      <c r="O150">
        <v>35</v>
      </c>
      <c r="P150">
        <v>0.7</v>
      </c>
      <c r="Q150" s="84" t="e">
        <v>#REF!</v>
      </c>
      <c r="R150" s="85"/>
      <c r="S150" s="85"/>
      <c r="T150" s="86">
        <v>0</v>
      </c>
      <c r="U150" s="84">
        <v>0</v>
      </c>
      <c r="V150" s="84">
        <v>1553.9929999999999</v>
      </c>
      <c r="W150" s="84">
        <v>776.99649999999997</v>
      </c>
      <c r="X150" s="82">
        <v>0.35</v>
      </c>
      <c r="Y150" s="82"/>
      <c r="Z150" s="84">
        <v>776.99649999999997</v>
      </c>
      <c r="AA150" s="84">
        <v>1553.9929999999999</v>
      </c>
      <c r="AB150" s="88" t="e">
        <v>#DIV/0!</v>
      </c>
      <c r="AC150" t="s">
        <v>727</v>
      </c>
    </row>
    <row r="151" spans="3:29">
      <c r="C151" t="s">
        <v>730</v>
      </c>
      <c r="D151" t="s">
        <v>731</v>
      </c>
      <c r="E151" s="84">
        <v>1269.99</v>
      </c>
      <c r="F151" s="84">
        <v>634.995</v>
      </c>
      <c r="G151" t="s">
        <v>705</v>
      </c>
      <c r="H151" t="s">
        <v>732</v>
      </c>
      <c r="I151" t="s">
        <v>733</v>
      </c>
      <c r="J151" t="s">
        <v>734</v>
      </c>
      <c r="K151" t="s">
        <v>726</v>
      </c>
      <c r="L151" t="s">
        <v>50</v>
      </c>
      <c r="M151">
        <v>80</v>
      </c>
      <c r="N151">
        <v>80</v>
      </c>
      <c r="O151">
        <v>35</v>
      </c>
      <c r="P151">
        <v>0.224</v>
      </c>
      <c r="Q151" s="84" t="e">
        <v>#REF!</v>
      </c>
      <c r="R151" s="85"/>
      <c r="S151" s="85"/>
      <c r="T151" s="86">
        <v>0</v>
      </c>
      <c r="U151" s="84">
        <v>0</v>
      </c>
      <c r="V151" s="84">
        <v>888.99300000000005</v>
      </c>
      <c r="W151" s="84">
        <v>444.49650000000003</v>
      </c>
      <c r="X151" s="82">
        <v>0.35</v>
      </c>
      <c r="Y151" s="82"/>
      <c r="Z151" s="84">
        <v>444.49650000000003</v>
      </c>
      <c r="AA151" s="84">
        <v>888.99300000000005</v>
      </c>
      <c r="AB151" s="88" t="e">
        <v>#DIV/0!</v>
      </c>
      <c r="AC151" t="s">
        <v>735</v>
      </c>
    </row>
    <row r="152" spans="3:29">
      <c r="C152" t="s">
        <v>737</v>
      </c>
      <c r="D152" t="s">
        <v>731</v>
      </c>
      <c r="E152" s="84">
        <v>1169.99</v>
      </c>
      <c r="F152" s="84">
        <v>584.995</v>
      </c>
      <c r="G152" t="s">
        <v>705</v>
      </c>
      <c r="H152" t="s">
        <v>738</v>
      </c>
      <c r="I152" t="s">
        <v>739</v>
      </c>
      <c r="J152" t="s">
        <v>740</v>
      </c>
      <c r="K152" t="s">
        <v>726</v>
      </c>
      <c r="L152" t="s">
        <v>50</v>
      </c>
      <c r="M152">
        <v>100</v>
      </c>
      <c r="N152">
        <v>40</v>
      </c>
      <c r="O152">
        <v>35</v>
      </c>
      <c r="P152">
        <v>0.14000000000000001</v>
      </c>
      <c r="Q152" s="84" t="e">
        <v>#REF!</v>
      </c>
      <c r="R152" s="85"/>
      <c r="S152" s="85"/>
      <c r="T152" s="86">
        <v>0</v>
      </c>
      <c r="U152" s="84">
        <v>0</v>
      </c>
      <c r="V152" s="84">
        <v>818.99300000000005</v>
      </c>
      <c r="W152" s="84">
        <v>409.49650000000003</v>
      </c>
      <c r="X152" s="82">
        <v>0.35</v>
      </c>
      <c r="Y152" s="82"/>
      <c r="Z152" s="84">
        <v>409.49650000000003</v>
      </c>
      <c r="AA152" s="84">
        <v>818.99300000000005</v>
      </c>
      <c r="AB152" s="88" t="e">
        <v>#DIV/0!</v>
      </c>
      <c r="AC152" t="s">
        <v>741</v>
      </c>
    </row>
    <row r="153" spans="3:29">
      <c r="C153" t="s">
        <v>743</v>
      </c>
      <c r="D153" t="s">
        <v>731</v>
      </c>
      <c r="E153" s="84">
        <v>2229.9899999999998</v>
      </c>
      <c r="F153" s="84">
        <v>1114.9949999999999</v>
      </c>
      <c r="G153" t="s">
        <v>705</v>
      </c>
      <c r="H153" t="s">
        <v>744</v>
      </c>
      <c r="I153" t="s">
        <v>745</v>
      </c>
      <c r="J153" t="s">
        <v>746</v>
      </c>
      <c r="K153" t="s">
        <v>726</v>
      </c>
      <c r="L153" t="s">
        <v>50</v>
      </c>
      <c r="M153">
        <v>220</v>
      </c>
      <c r="N153">
        <v>100</v>
      </c>
      <c r="O153">
        <v>35</v>
      </c>
      <c r="P153">
        <v>0.77</v>
      </c>
      <c r="Q153" s="84" t="e">
        <v>#REF!</v>
      </c>
      <c r="R153" s="85">
        <v>3446702.75152524</v>
      </c>
      <c r="S153" s="85">
        <v>0</v>
      </c>
      <c r="T153" s="86">
        <v>3446702.75152524</v>
      </c>
      <c r="U153" s="84">
        <v>229.780183435016</v>
      </c>
      <c r="V153" s="84">
        <v>1560.9929999999999</v>
      </c>
      <c r="W153" s="84">
        <v>780.49649999999997</v>
      </c>
      <c r="X153" s="82">
        <v>0.35</v>
      </c>
      <c r="Y153" s="82"/>
      <c r="Z153" s="84">
        <v>780.49649999999997</v>
      </c>
      <c r="AA153" s="84">
        <v>1560.9929999999999</v>
      </c>
      <c r="AB153" s="88">
        <v>3.3967093607997398</v>
      </c>
      <c r="AC153" t="s">
        <v>747</v>
      </c>
    </row>
    <row r="154" spans="3:29">
      <c r="C154" t="s">
        <v>749</v>
      </c>
      <c r="D154" t="s">
        <v>750</v>
      </c>
      <c r="E154" s="84">
        <v>1539.99</v>
      </c>
      <c r="F154" s="84">
        <v>769.995</v>
      </c>
      <c r="G154" t="s">
        <v>705</v>
      </c>
      <c r="H154" t="s">
        <v>751</v>
      </c>
      <c r="I154" t="s">
        <v>752</v>
      </c>
      <c r="J154" t="s">
        <v>753</v>
      </c>
      <c r="K154" t="s">
        <v>754</v>
      </c>
      <c r="L154" t="s">
        <v>50</v>
      </c>
      <c r="M154">
        <v>120</v>
      </c>
      <c r="N154">
        <v>120</v>
      </c>
      <c r="O154">
        <v>35</v>
      </c>
      <c r="P154">
        <v>0.504</v>
      </c>
      <c r="Q154" s="84" t="e">
        <v>#REF!</v>
      </c>
      <c r="R154" s="85"/>
      <c r="S154" s="85"/>
      <c r="T154" s="86">
        <v>0</v>
      </c>
      <c r="U154" s="84">
        <v>0</v>
      </c>
      <c r="V154" s="84">
        <v>1077.9929999999999</v>
      </c>
      <c r="W154" s="84">
        <v>538.99649999999997</v>
      </c>
      <c r="X154" s="82">
        <v>0.35</v>
      </c>
      <c r="Y154" s="82"/>
      <c r="Z154" s="84">
        <v>538.99649999999997</v>
      </c>
      <c r="AA154" s="84">
        <v>1077.9929999999999</v>
      </c>
      <c r="AB154" s="88" t="e">
        <v>#DIV/0!</v>
      </c>
      <c r="AC154" t="s">
        <v>755</v>
      </c>
    </row>
    <row r="155" spans="3:29">
      <c r="C155" t="s">
        <v>758</v>
      </c>
      <c r="D155" t="s">
        <v>750</v>
      </c>
      <c r="E155" s="84">
        <v>899.99</v>
      </c>
      <c r="F155" s="84">
        <v>449.995</v>
      </c>
      <c r="G155" t="s">
        <v>705</v>
      </c>
      <c r="H155" t="s">
        <v>759</v>
      </c>
      <c r="I155" t="s">
        <v>760</v>
      </c>
      <c r="J155" t="s">
        <v>761</v>
      </c>
      <c r="K155" t="s">
        <v>754</v>
      </c>
      <c r="L155" t="s">
        <v>50</v>
      </c>
      <c r="M155">
        <v>120</v>
      </c>
      <c r="N155">
        <v>35</v>
      </c>
      <c r="O155">
        <v>35</v>
      </c>
      <c r="P155">
        <v>0.14699999999999999</v>
      </c>
      <c r="Q155" s="84" t="e">
        <v>#REF!</v>
      </c>
      <c r="R155" s="85"/>
      <c r="S155" s="85"/>
      <c r="T155" s="86">
        <v>0</v>
      </c>
      <c r="U155" s="84">
        <v>0</v>
      </c>
      <c r="V155" s="84">
        <v>629.99300000000005</v>
      </c>
      <c r="W155" s="84">
        <v>314.99650000000003</v>
      </c>
      <c r="X155" s="82">
        <v>0.35</v>
      </c>
      <c r="Y155" s="82"/>
      <c r="Z155" s="84">
        <v>314.99650000000003</v>
      </c>
      <c r="AA155" s="84">
        <v>629.99300000000005</v>
      </c>
      <c r="AB155" s="88" t="e">
        <v>#DIV/0!</v>
      </c>
      <c r="AC155" t="s">
        <v>762</v>
      </c>
    </row>
    <row r="156" spans="3:29">
      <c r="C156" t="s">
        <v>764</v>
      </c>
      <c r="D156" t="s">
        <v>750</v>
      </c>
      <c r="E156" s="84">
        <v>1919.99</v>
      </c>
      <c r="F156" s="84">
        <v>959.995</v>
      </c>
      <c r="G156" t="s">
        <v>705</v>
      </c>
      <c r="H156" t="s">
        <v>765</v>
      </c>
      <c r="I156" t="s">
        <v>766</v>
      </c>
      <c r="J156" t="s">
        <v>767</v>
      </c>
      <c r="K156" t="s">
        <v>754</v>
      </c>
      <c r="L156" t="s">
        <v>50</v>
      </c>
      <c r="M156">
        <v>180</v>
      </c>
      <c r="N156">
        <v>85</v>
      </c>
      <c r="O156">
        <v>35</v>
      </c>
      <c r="P156">
        <v>0.53549999999999998</v>
      </c>
      <c r="Q156" s="84" t="e">
        <v>#REF!</v>
      </c>
      <c r="R156" s="85">
        <v>4317625.9671567203</v>
      </c>
      <c r="S156" s="85">
        <v>0</v>
      </c>
      <c r="T156" s="86">
        <v>4317625.9671567203</v>
      </c>
      <c r="U156" s="84">
        <v>287.84173114378098</v>
      </c>
      <c r="V156" s="84">
        <v>1343.9929999999999</v>
      </c>
      <c r="W156" s="84">
        <v>671.99649999999997</v>
      </c>
      <c r="X156" s="82">
        <v>0.35</v>
      </c>
      <c r="Y156" s="82"/>
      <c r="Z156" s="84">
        <v>671.99649999999997</v>
      </c>
      <c r="AA156" s="84">
        <v>1343.9929999999999</v>
      </c>
      <c r="AB156" s="88">
        <v>2.3346041497517498</v>
      </c>
      <c r="AC156" t="s">
        <v>768</v>
      </c>
    </row>
    <row r="157" spans="3:29">
      <c r="C157" t="s">
        <v>770</v>
      </c>
      <c r="D157" t="s">
        <v>750</v>
      </c>
      <c r="E157" s="84">
        <v>1849.99</v>
      </c>
      <c r="F157" s="84">
        <v>924.995</v>
      </c>
      <c r="G157" t="s">
        <v>705</v>
      </c>
      <c r="H157" t="s">
        <v>771</v>
      </c>
      <c r="I157" t="s">
        <v>772</v>
      </c>
      <c r="J157" t="s">
        <v>773</v>
      </c>
      <c r="K157" t="s">
        <v>754</v>
      </c>
      <c r="L157" t="s">
        <v>50</v>
      </c>
      <c r="M157">
        <v>200</v>
      </c>
      <c r="N157">
        <v>90</v>
      </c>
      <c r="O157">
        <v>35</v>
      </c>
      <c r="P157">
        <v>0.63</v>
      </c>
      <c r="Q157" s="84" t="e">
        <v>#REF!</v>
      </c>
      <c r="R157" s="85"/>
      <c r="S157" s="85"/>
      <c r="T157" s="86">
        <v>0</v>
      </c>
      <c r="U157" s="84">
        <v>0</v>
      </c>
      <c r="V157" s="84">
        <v>1294.9929999999999</v>
      </c>
      <c r="W157" s="84">
        <v>647.49649999999997</v>
      </c>
      <c r="X157" s="82">
        <v>0.35</v>
      </c>
      <c r="Y157" s="82"/>
      <c r="Z157" s="84">
        <v>647.49649999999997</v>
      </c>
      <c r="AA157" s="84">
        <v>1294.9929999999999</v>
      </c>
      <c r="AB157" s="88" t="e">
        <v>#DIV/0!</v>
      </c>
      <c r="AC157" t="s">
        <v>774</v>
      </c>
    </row>
    <row r="158" spans="3:29">
      <c r="C158" t="s">
        <v>775</v>
      </c>
      <c r="D158" t="s">
        <v>750</v>
      </c>
      <c r="E158" s="84">
        <v>2609.9899999999998</v>
      </c>
      <c r="F158" s="84">
        <v>1304.9949999999999</v>
      </c>
      <c r="G158" t="s">
        <v>705</v>
      </c>
      <c r="H158" t="s">
        <v>776</v>
      </c>
      <c r="I158" t="s">
        <v>777</v>
      </c>
      <c r="J158" t="s">
        <v>778</v>
      </c>
      <c r="K158" t="s">
        <v>754</v>
      </c>
      <c r="L158" t="s">
        <v>50</v>
      </c>
      <c r="M158">
        <v>260</v>
      </c>
      <c r="N158">
        <v>80</v>
      </c>
      <c r="O158">
        <v>35</v>
      </c>
      <c r="P158">
        <v>0.72799999999999998</v>
      </c>
      <c r="Q158" s="84" t="e">
        <v>#REF!</v>
      </c>
      <c r="R158" s="85"/>
      <c r="S158" s="85"/>
      <c r="T158" s="86">
        <v>0</v>
      </c>
      <c r="U158" s="84">
        <v>0</v>
      </c>
      <c r="V158" s="84">
        <v>1826.9929999999999</v>
      </c>
      <c r="W158" s="84">
        <v>913.49649999999997</v>
      </c>
      <c r="X158" s="82">
        <v>0.35</v>
      </c>
      <c r="Y158" s="82"/>
      <c r="Z158" s="84">
        <v>913.49649999999997</v>
      </c>
      <c r="AA158" s="84">
        <v>1826.9929999999999</v>
      </c>
      <c r="AB158" s="88" t="e">
        <v>#DIV/0!</v>
      </c>
      <c r="AC158" t="s">
        <v>779</v>
      </c>
    </row>
    <row r="159" spans="3:29">
      <c r="C159">
        <v>22009</v>
      </c>
      <c r="D159" t="s">
        <v>780</v>
      </c>
      <c r="E159" s="84">
        <v>74.989999999999995</v>
      </c>
      <c r="F159" s="84">
        <v>37.494999999999997</v>
      </c>
      <c r="G159" t="s">
        <v>705</v>
      </c>
      <c r="H159" t="s">
        <v>781</v>
      </c>
      <c r="I159" t="s">
        <v>782</v>
      </c>
      <c r="J159" t="s">
        <v>783</v>
      </c>
      <c r="K159" t="s">
        <v>784</v>
      </c>
      <c r="L159" t="s">
        <v>646</v>
      </c>
      <c r="N159">
        <v>38</v>
      </c>
      <c r="O159">
        <v>38</v>
      </c>
      <c r="P159">
        <v>5.4871999999999997E-2</v>
      </c>
      <c r="Q159" s="84" t="e">
        <v>#REF!</v>
      </c>
      <c r="R159" s="85"/>
      <c r="S159" s="85"/>
      <c r="T159" s="86">
        <v>0</v>
      </c>
      <c r="U159" s="84">
        <v>0</v>
      </c>
      <c r="V159" s="84">
        <v>52.493000000000002</v>
      </c>
      <c r="W159" s="84">
        <v>26.246500000000001</v>
      </c>
      <c r="X159" s="82">
        <v>0.35</v>
      </c>
      <c r="Y159" s="82"/>
      <c r="Z159" s="84">
        <v>26.246500000000001</v>
      </c>
      <c r="AA159" s="84">
        <v>52.493000000000002</v>
      </c>
      <c r="AB159" s="88" t="e">
        <v>#DIV/0!</v>
      </c>
      <c r="AC159" t="s">
        <v>785</v>
      </c>
    </row>
    <row r="160" spans="3:29">
      <c r="C160" t="s">
        <v>786</v>
      </c>
      <c r="D160" t="s">
        <v>787</v>
      </c>
      <c r="E160" s="84">
        <v>58.99</v>
      </c>
      <c r="F160" s="84">
        <v>29.495000000000001</v>
      </c>
      <c r="G160" t="s">
        <v>705</v>
      </c>
      <c r="J160" t="s">
        <v>788</v>
      </c>
      <c r="K160" t="s">
        <v>784</v>
      </c>
      <c r="L160" t="s">
        <v>646</v>
      </c>
      <c r="N160">
        <v>38</v>
      </c>
      <c r="O160">
        <v>39</v>
      </c>
      <c r="P160">
        <v>5.6315999999999998E-2</v>
      </c>
      <c r="Q160" s="84" t="e">
        <v>#REF!</v>
      </c>
      <c r="R160" s="85"/>
      <c r="S160" s="85"/>
      <c r="T160" s="86">
        <v>0</v>
      </c>
      <c r="U160" s="84">
        <v>0</v>
      </c>
      <c r="V160" s="84">
        <v>41.292999999999999</v>
      </c>
      <c r="W160" s="84">
        <v>20.6465</v>
      </c>
      <c r="X160" s="82">
        <v>0.35</v>
      </c>
      <c r="Y160" s="82"/>
      <c r="Z160" s="84">
        <v>20.6465</v>
      </c>
      <c r="AA160" s="84">
        <v>41.292999999999999</v>
      </c>
      <c r="AB160" s="88" t="e">
        <v>#DIV/0!</v>
      </c>
    </row>
    <row r="161" spans="3:29">
      <c r="C161">
        <v>22010</v>
      </c>
      <c r="D161" t="s">
        <v>790</v>
      </c>
      <c r="E161" s="84">
        <v>138.99</v>
      </c>
      <c r="F161" s="84">
        <v>69.495000000000005</v>
      </c>
      <c r="G161" t="s">
        <v>705</v>
      </c>
      <c r="J161" t="s">
        <v>791</v>
      </c>
      <c r="K161" t="s">
        <v>784</v>
      </c>
      <c r="L161" t="s">
        <v>646</v>
      </c>
      <c r="N161">
        <v>76</v>
      </c>
      <c r="O161">
        <v>37</v>
      </c>
      <c r="P161">
        <v>0.21371200000000001</v>
      </c>
      <c r="Q161" s="84" t="e">
        <v>#REF!</v>
      </c>
      <c r="R161" s="85"/>
      <c r="S161" s="85"/>
      <c r="T161" s="86">
        <v>0</v>
      </c>
      <c r="U161" s="84">
        <v>0</v>
      </c>
      <c r="V161" s="84">
        <v>97.293000000000006</v>
      </c>
      <c r="W161" s="84">
        <v>48.646500000000003</v>
      </c>
      <c r="X161" s="82">
        <v>0.35</v>
      </c>
      <c r="Y161" s="82"/>
      <c r="Z161" s="84">
        <v>48.646500000000003</v>
      </c>
      <c r="AA161" s="84">
        <v>97.293000000000006</v>
      </c>
      <c r="AB161" s="88" t="e">
        <v>#DIV/0!</v>
      </c>
    </row>
    <row r="162" spans="3:29">
      <c r="C162" t="s">
        <v>793</v>
      </c>
      <c r="D162" t="s">
        <v>794</v>
      </c>
      <c r="E162" s="84">
        <v>408.99</v>
      </c>
      <c r="F162" s="84">
        <v>204.495</v>
      </c>
      <c r="G162" t="s">
        <v>705</v>
      </c>
      <c r="H162" t="s">
        <v>795</v>
      </c>
      <c r="I162" t="s">
        <v>796</v>
      </c>
      <c r="J162" t="s">
        <v>797</v>
      </c>
      <c r="K162" t="s">
        <v>784</v>
      </c>
      <c r="L162" t="s">
        <v>646</v>
      </c>
      <c r="N162">
        <v>76</v>
      </c>
      <c r="O162">
        <v>38</v>
      </c>
      <c r="P162">
        <v>0.21948799999999999</v>
      </c>
      <c r="Q162" s="84" t="e">
        <v>#REF!</v>
      </c>
      <c r="R162" s="85">
        <v>119639.433830708</v>
      </c>
      <c r="S162" s="85">
        <v>700000</v>
      </c>
      <c r="T162" s="86">
        <v>819639.43383070803</v>
      </c>
      <c r="U162" s="84">
        <v>54.642628922047201</v>
      </c>
      <c r="V162" s="84">
        <v>286.29300000000001</v>
      </c>
      <c r="W162" s="84">
        <v>143.1465</v>
      </c>
      <c r="X162" s="82">
        <v>0.35</v>
      </c>
      <c r="Y162" s="82"/>
      <c r="Z162" s="84">
        <v>143.1465</v>
      </c>
      <c r="AA162" s="84">
        <v>286.29300000000001</v>
      </c>
      <c r="AB162" s="88">
        <v>2.6196854511559402</v>
      </c>
      <c r="AC162" t="s">
        <v>798</v>
      </c>
    </row>
    <row r="163" spans="3:29">
      <c r="C163" t="s">
        <v>800</v>
      </c>
      <c r="E163" s="84"/>
      <c r="F163" s="82"/>
      <c r="R163" s="85"/>
      <c r="S163" s="85"/>
      <c r="T163" s="86"/>
      <c r="V163" s="84">
        <v>0</v>
      </c>
      <c r="W163" s="84">
        <v>0</v>
      </c>
      <c r="X163" s="82" t="e">
        <v>#DIV/0!</v>
      </c>
      <c r="Y163" s="82"/>
      <c r="Z163" s="82"/>
      <c r="AA163" s="82"/>
      <c r="AB163" s="88" t="e">
        <v>#DIV/0!</v>
      </c>
    </row>
    <row r="164" spans="3:29">
      <c r="C164" t="s">
        <v>802</v>
      </c>
      <c r="D164" t="s">
        <v>803</v>
      </c>
      <c r="E164" s="84">
        <v>499.99</v>
      </c>
      <c r="F164" s="84">
        <v>249.995</v>
      </c>
      <c r="G164" t="s">
        <v>800</v>
      </c>
      <c r="H164" t="s">
        <v>804</v>
      </c>
      <c r="I164" t="s">
        <v>805</v>
      </c>
      <c r="J164" t="s">
        <v>806</v>
      </c>
      <c r="K164" t="s">
        <v>807</v>
      </c>
      <c r="L164" t="s">
        <v>646</v>
      </c>
      <c r="N164">
        <v>35</v>
      </c>
      <c r="O164">
        <v>45</v>
      </c>
      <c r="P164">
        <v>5.5125E-2</v>
      </c>
      <c r="Q164" s="84" t="e">
        <v>#REF!</v>
      </c>
      <c r="R164" s="85">
        <v>77959.658376777006</v>
      </c>
      <c r="S164" s="85">
        <v>900000</v>
      </c>
      <c r="T164" s="86">
        <v>977959.65837677696</v>
      </c>
      <c r="U164" s="84">
        <v>65.197310558451804</v>
      </c>
      <c r="V164" s="84">
        <v>349.99299999999999</v>
      </c>
      <c r="W164" s="84">
        <v>174.9965</v>
      </c>
      <c r="X164" s="82">
        <v>0.35</v>
      </c>
      <c r="Y164" s="82"/>
      <c r="Z164" s="84">
        <v>174.9965</v>
      </c>
      <c r="AA164" s="84">
        <v>349.99299999999999</v>
      </c>
      <c r="AB164" s="88">
        <v>2.6841061157439801</v>
      </c>
      <c r="AC164" t="s">
        <v>808</v>
      </c>
    </row>
    <row r="165" spans="3:29">
      <c r="C165" t="s">
        <v>811</v>
      </c>
      <c r="D165" t="s">
        <v>812</v>
      </c>
      <c r="E165" s="84">
        <v>569.99</v>
      </c>
      <c r="F165" s="84">
        <v>284.995</v>
      </c>
      <c r="G165" t="s">
        <v>800</v>
      </c>
      <c r="H165" t="s">
        <v>813</v>
      </c>
      <c r="I165" t="s">
        <v>692</v>
      </c>
      <c r="J165" t="s">
        <v>814</v>
      </c>
      <c r="K165" t="s">
        <v>815</v>
      </c>
      <c r="L165" t="s">
        <v>670</v>
      </c>
      <c r="M165">
        <v>45</v>
      </c>
      <c r="N165">
        <v>45</v>
      </c>
      <c r="O165">
        <v>38</v>
      </c>
      <c r="P165">
        <v>7.6950000000000005E-2</v>
      </c>
      <c r="Q165" s="84" t="e">
        <v>#REF!</v>
      </c>
      <c r="R165" s="85"/>
      <c r="S165" s="85"/>
      <c r="T165" s="86">
        <v>0</v>
      </c>
      <c r="U165" s="84">
        <v>0</v>
      </c>
      <c r="V165" s="84">
        <v>398.99299999999999</v>
      </c>
      <c r="W165" s="84">
        <v>199.4965</v>
      </c>
      <c r="X165" s="82">
        <v>0.35</v>
      </c>
      <c r="Y165" s="82"/>
      <c r="Z165" s="84">
        <v>199.4965</v>
      </c>
      <c r="AA165" s="84">
        <v>398.99299999999999</v>
      </c>
      <c r="AB165" s="88" t="e">
        <v>#DIV/0!</v>
      </c>
      <c r="AC165" t="s">
        <v>816</v>
      </c>
    </row>
    <row r="166" spans="3:29">
      <c r="C166" t="s">
        <v>819</v>
      </c>
      <c r="D166" t="s">
        <v>820</v>
      </c>
      <c r="E166" s="84">
        <v>131.99</v>
      </c>
      <c r="F166" s="84">
        <v>65.995000000000005</v>
      </c>
      <c r="G166" t="s">
        <v>800</v>
      </c>
      <c r="J166" t="s">
        <v>821</v>
      </c>
      <c r="K166" t="s">
        <v>822</v>
      </c>
      <c r="L166" t="s">
        <v>670</v>
      </c>
      <c r="M166">
        <v>45</v>
      </c>
      <c r="N166">
        <v>45</v>
      </c>
      <c r="O166">
        <v>5</v>
      </c>
      <c r="P166">
        <v>1.0125E-2</v>
      </c>
      <c r="Q166" s="84" t="e">
        <v>#REF!</v>
      </c>
      <c r="R166" s="85"/>
      <c r="S166" s="85"/>
      <c r="T166" s="86">
        <v>0</v>
      </c>
      <c r="U166" s="84">
        <v>0</v>
      </c>
      <c r="V166" s="84">
        <v>92.393000000000001</v>
      </c>
      <c r="W166" s="84">
        <v>46.1965</v>
      </c>
      <c r="X166" s="82">
        <v>0.35</v>
      </c>
      <c r="Y166" s="82"/>
      <c r="Z166" s="84">
        <v>46.1965</v>
      </c>
      <c r="AA166" s="84">
        <v>92.393000000000001</v>
      </c>
      <c r="AB166" s="88" t="e">
        <v>#DIV/0!</v>
      </c>
    </row>
    <row r="167" spans="3:29">
      <c r="C167" t="s">
        <v>825</v>
      </c>
      <c r="D167" t="s">
        <v>826</v>
      </c>
      <c r="E167" s="84">
        <v>739.99</v>
      </c>
      <c r="F167" s="84">
        <v>369.995</v>
      </c>
      <c r="G167" t="s">
        <v>800</v>
      </c>
      <c r="H167" t="s">
        <v>827</v>
      </c>
      <c r="I167" t="s">
        <v>692</v>
      </c>
      <c r="J167" t="s">
        <v>828</v>
      </c>
      <c r="K167" t="s">
        <v>815</v>
      </c>
      <c r="L167" t="s">
        <v>50</v>
      </c>
      <c r="M167">
        <v>60</v>
      </c>
      <c r="N167">
        <v>60</v>
      </c>
      <c r="O167">
        <v>43</v>
      </c>
      <c r="P167">
        <v>0.15479999999999999</v>
      </c>
      <c r="Q167" s="84" t="e">
        <v>#REF!</v>
      </c>
      <c r="R167" s="85"/>
      <c r="S167" s="85"/>
      <c r="T167" s="86">
        <v>0</v>
      </c>
      <c r="U167" s="84">
        <v>0</v>
      </c>
      <c r="V167" s="84">
        <v>517.99300000000005</v>
      </c>
      <c r="W167" s="84">
        <v>258.99650000000003</v>
      </c>
      <c r="X167" s="82">
        <v>0.35</v>
      </c>
      <c r="Y167" s="82"/>
      <c r="Z167" s="84">
        <v>258.99650000000003</v>
      </c>
      <c r="AA167" s="84">
        <v>517.99300000000005</v>
      </c>
      <c r="AB167" s="88" t="e">
        <v>#DIV/0!</v>
      </c>
      <c r="AC167" t="s">
        <v>829</v>
      </c>
    </row>
    <row r="168" spans="3:29">
      <c r="C168" t="s">
        <v>831</v>
      </c>
      <c r="D168" t="s">
        <v>832</v>
      </c>
      <c r="E168" s="84">
        <v>190.99</v>
      </c>
      <c r="F168" s="84">
        <v>95.495000000000005</v>
      </c>
      <c r="G168" t="s">
        <v>800</v>
      </c>
      <c r="J168" t="s">
        <v>833</v>
      </c>
      <c r="K168" t="s">
        <v>822</v>
      </c>
      <c r="L168" t="s">
        <v>670</v>
      </c>
      <c r="M168">
        <v>60</v>
      </c>
      <c r="N168">
        <v>60</v>
      </c>
      <c r="O168">
        <v>5</v>
      </c>
      <c r="P168">
        <v>1.7999999999999999E-2</v>
      </c>
      <c r="Q168" s="84" t="e">
        <v>#REF!</v>
      </c>
      <c r="R168" s="85"/>
      <c r="S168" s="85"/>
      <c r="T168" s="86">
        <v>0</v>
      </c>
      <c r="U168" s="84">
        <v>0</v>
      </c>
      <c r="V168" s="84">
        <v>133.69300000000001</v>
      </c>
      <c r="W168" s="84">
        <v>66.846500000000006</v>
      </c>
      <c r="X168" s="82">
        <v>0.35</v>
      </c>
      <c r="Y168" s="82"/>
      <c r="Z168" s="84">
        <v>66.846500000000006</v>
      </c>
      <c r="AA168" s="84">
        <v>133.69300000000001</v>
      </c>
      <c r="AB168" s="88" t="e">
        <v>#DIV/0!</v>
      </c>
    </row>
    <row r="169" spans="3:29">
      <c r="C169" t="s">
        <v>835</v>
      </c>
      <c r="D169" t="s">
        <v>836</v>
      </c>
      <c r="E169" s="84"/>
      <c r="F169" s="84">
        <v>0</v>
      </c>
      <c r="G169" t="s">
        <v>800</v>
      </c>
      <c r="H169" t="s">
        <v>837</v>
      </c>
      <c r="I169" t="s">
        <v>692</v>
      </c>
      <c r="J169" t="s">
        <v>838</v>
      </c>
      <c r="K169" t="s">
        <v>839</v>
      </c>
      <c r="L169" t="s">
        <v>646</v>
      </c>
      <c r="M169">
        <v>68</v>
      </c>
      <c r="N169">
        <v>68</v>
      </c>
      <c r="O169">
        <v>43</v>
      </c>
      <c r="P169">
        <v>0.19883200000000001</v>
      </c>
      <c r="Q169" s="84" t="e">
        <v>#REF!</v>
      </c>
      <c r="R169" s="85"/>
      <c r="S169" s="85"/>
      <c r="T169" s="86">
        <v>0</v>
      </c>
      <c r="U169" s="84">
        <v>0</v>
      </c>
      <c r="V169" s="84">
        <v>0</v>
      </c>
      <c r="W169" s="84">
        <v>0</v>
      </c>
      <c r="X169" s="82" t="e">
        <v>#DIV/0!</v>
      </c>
      <c r="Y169" s="82"/>
      <c r="Z169" s="84">
        <v>0</v>
      </c>
      <c r="AA169" s="84">
        <v>0</v>
      </c>
      <c r="AB169" s="88" t="e">
        <v>#DIV/0!</v>
      </c>
      <c r="AC169" t="s">
        <v>840</v>
      </c>
    </row>
    <row r="170" spans="3:29">
      <c r="C170" t="s">
        <v>842</v>
      </c>
      <c r="D170" t="s">
        <v>843</v>
      </c>
      <c r="E170" s="84">
        <v>499.99</v>
      </c>
      <c r="F170" s="84">
        <v>249.995</v>
      </c>
      <c r="G170" t="s">
        <v>800</v>
      </c>
      <c r="H170" t="s">
        <v>844</v>
      </c>
      <c r="I170" t="s">
        <v>598</v>
      </c>
      <c r="J170" t="s">
        <v>845</v>
      </c>
      <c r="K170" t="s">
        <v>846</v>
      </c>
      <c r="L170" t="s">
        <v>847</v>
      </c>
      <c r="N170">
        <v>50</v>
      </c>
      <c r="O170">
        <v>60</v>
      </c>
      <c r="P170">
        <v>0.15</v>
      </c>
      <c r="Q170" s="84" t="e">
        <v>#REF!</v>
      </c>
      <c r="R170" s="85">
        <v>902038.95298507495</v>
      </c>
      <c r="S170" s="85">
        <v>0</v>
      </c>
      <c r="T170" s="86">
        <v>902038.95298507495</v>
      </c>
      <c r="U170" s="84">
        <v>60.135930199005003</v>
      </c>
      <c r="V170" s="84">
        <v>349.99299999999999</v>
      </c>
      <c r="W170" s="84">
        <v>174.9965</v>
      </c>
      <c r="X170" s="82">
        <v>0.35</v>
      </c>
      <c r="Y170" s="82"/>
      <c r="Z170" s="84">
        <v>174.9965</v>
      </c>
      <c r="AA170" s="84">
        <v>349.99299999999999</v>
      </c>
      <c r="AB170" s="88">
        <v>2.9100156831513599</v>
      </c>
      <c r="AC170" t="s">
        <v>848</v>
      </c>
    </row>
    <row r="171" spans="3:29">
      <c r="C171" t="s">
        <v>850</v>
      </c>
      <c r="D171" t="s">
        <v>843</v>
      </c>
      <c r="E171" s="84">
        <v>969.99</v>
      </c>
      <c r="F171" s="84">
        <v>484.995</v>
      </c>
      <c r="G171" t="s">
        <v>800</v>
      </c>
      <c r="H171" t="s">
        <v>851</v>
      </c>
      <c r="I171" t="s">
        <v>598</v>
      </c>
      <c r="J171" t="s">
        <v>852</v>
      </c>
      <c r="K171" t="s">
        <v>846</v>
      </c>
      <c r="L171" t="s">
        <v>853</v>
      </c>
      <c r="N171">
        <v>90</v>
      </c>
      <c r="O171">
        <v>75</v>
      </c>
      <c r="P171">
        <v>0.60750000000000004</v>
      </c>
      <c r="Q171" s="84" t="e">
        <v>#REF!</v>
      </c>
      <c r="R171" s="85">
        <v>2009159.8845895501</v>
      </c>
      <c r="S171" s="85">
        <v>0</v>
      </c>
      <c r="T171" s="86">
        <v>2009159.8845895501</v>
      </c>
      <c r="U171" s="84">
        <v>133.94399230597</v>
      </c>
      <c r="V171" s="84">
        <v>678.99300000000005</v>
      </c>
      <c r="W171" s="84">
        <v>339.49650000000003</v>
      </c>
      <c r="X171" s="82">
        <v>0.35</v>
      </c>
      <c r="Y171" s="82"/>
      <c r="Z171" s="84">
        <v>339.49650000000003</v>
      </c>
      <c r="AA171" s="84">
        <v>678.99300000000005</v>
      </c>
      <c r="AB171" s="88">
        <v>2.53461535792127</v>
      </c>
      <c r="AC171" t="s">
        <v>854</v>
      </c>
    </row>
    <row r="172" spans="3:29">
      <c r="C172" t="s">
        <v>856</v>
      </c>
      <c r="D172" t="s">
        <v>857</v>
      </c>
      <c r="E172" s="84">
        <v>116.99</v>
      </c>
      <c r="F172" s="84">
        <v>58.494999999999997</v>
      </c>
      <c r="G172" t="s">
        <v>800</v>
      </c>
      <c r="H172" t="s">
        <v>858</v>
      </c>
      <c r="I172" t="s">
        <v>636</v>
      </c>
      <c r="J172" t="s">
        <v>859</v>
      </c>
      <c r="K172" t="s">
        <v>645</v>
      </c>
      <c r="L172" t="s">
        <v>646</v>
      </c>
      <c r="N172">
        <v>50</v>
      </c>
      <c r="O172">
        <v>23</v>
      </c>
      <c r="P172">
        <v>5.7500000000000002E-2</v>
      </c>
      <c r="Q172" s="84" t="e">
        <v>#REF!</v>
      </c>
      <c r="R172" s="85">
        <v>78304.515310945004</v>
      </c>
      <c r="S172" s="85">
        <v>270000</v>
      </c>
      <c r="T172" s="86">
        <v>348304.51531094499</v>
      </c>
      <c r="U172" s="84">
        <v>23.2203010207297</v>
      </c>
      <c r="V172" s="84">
        <v>81.893000000000001</v>
      </c>
      <c r="W172" s="84">
        <v>40.9465</v>
      </c>
      <c r="X172" s="82">
        <v>0.35</v>
      </c>
      <c r="Y172" s="87">
        <v>46.4406020414593</v>
      </c>
      <c r="Z172" s="84">
        <v>46.4406020414593</v>
      </c>
      <c r="AA172" s="84">
        <v>92.8812040829187</v>
      </c>
      <c r="AB172" s="88">
        <v>2</v>
      </c>
      <c r="AC172" t="s">
        <v>860</v>
      </c>
    </row>
    <row r="173" spans="3:29">
      <c r="C173" t="s">
        <v>862</v>
      </c>
      <c r="D173" t="s">
        <v>857</v>
      </c>
      <c r="E173" s="84">
        <v>142.99</v>
      </c>
      <c r="F173" s="84">
        <v>71.495000000000005</v>
      </c>
      <c r="G173" t="s">
        <v>800</v>
      </c>
      <c r="H173" t="s">
        <v>863</v>
      </c>
      <c r="I173" t="s">
        <v>636</v>
      </c>
      <c r="J173" t="s">
        <v>864</v>
      </c>
      <c r="K173" t="s">
        <v>645</v>
      </c>
      <c r="L173" t="s">
        <v>646</v>
      </c>
      <c r="N173">
        <v>60</v>
      </c>
      <c r="O173">
        <v>23</v>
      </c>
      <c r="P173">
        <v>8.2799999999999999E-2</v>
      </c>
      <c r="Q173" s="84" t="e">
        <v>#REF!</v>
      </c>
      <c r="R173" s="85">
        <v>50480.544455064002</v>
      </c>
      <c r="S173" s="85">
        <v>305000</v>
      </c>
      <c r="T173" s="86">
        <v>355480.54445506399</v>
      </c>
      <c r="U173" s="84">
        <v>23.6987029636709</v>
      </c>
      <c r="V173" s="84">
        <v>100.093</v>
      </c>
      <c r="W173" s="84">
        <v>50.046500000000002</v>
      </c>
      <c r="X173" s="82">
        <v>0.35</v>
      </c>
      <c r="Y173" s="82"/>
      <c r="Z173" s="84">
        <v>50.046500000000002</v>
      </c>
      <c r="AA173" s="84">
        <v>100.093</v>
      </c>
      <c r="AB173" s="88">
        <v>2.1117822387461098</v>
      </c>
      <c r="AC173" t="s">
        <v>865</v>
      </c>
    </row>
    <row r="174" spans="3:29">
      <c r="C174" t="s">
        <v>867</v>
      </c>
      <c r="D174" t="s">
        <v>868</v>
      </c>
      <c r="E174" s="84">
        <v>214.99</v>
      </c>
      <c r="F174" s="84">
        <v>107.495</v>
      </c>
      <c r="G174" t="s">
        <v>800</v>
      </c>
      <c r="H174" t="s">
        <v>869</v>
      </c>
      <c r="I174" t="s">
        <v>870</v>
      </c>
      <c r="J174" t="s">
        <v>871</v>
      </c>
      <c r="K174" t="s">
        <v>645</v>
      </c>
      <c r="L174" t="s">
        <v>646</v>
      </c>
      <c r="N174">
        <v>35</v>
      </c>
      <c r="O174">
        <v>39</v>
      </c>
      <c r="P174">
        <v>4.7774999999999998E-2</v>
      </c>
      <c r="Q174" s="84" t="e">
        <v>#REF!</v>
      </c>
      <c r="R174" s="85">
        <v>86941.591809199002</v>
      </c>
      <c r="S174" s="85">
        <v>550000</v>
      </c>
      <c r="T174" s="86">
        <v>636941.59180919896</v>
      </c>
      <c r="U174" s="84">
        <v>42.462772787279903</v>
      </c>
      <c r="V174" s="84">
        <v>150.49299999999999</v>
      </c>
      <c r="W174" s="84">
        <v>75.246499999999997</v>
      </c>
      <c r="X174" s="82">
        <v>0.35</v>
      </c>
      <c r="Y174" s="87">
        <v>84.925545574559905</v>
      </c>
      <c r="Z174" s="84">
        <v>84.925545574559905</v>
      </c>
      <c r="AA174" s="84">
        <v>169.85109114912001</v>
      </c>
      <c r="AB174" s="88">
        <v>2</v>
      </c>
      <c r="AC174" t="s">
        <v>872</v>
      </c>
    </row>
    <row r="175" spans="3:29">
      <c r="C175" t="s">
        <v>874</v>
      </c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  <c r="AA175" s="82"/>
      <c r="AB175" s="82"/>
      <c r="AC175" s="82"/>
    </row>
    <row r="176" spans="3:29">
      <c r="C176" t="s">
        <v>876</v>
      </c>
      <c r="D176" t="s">
        <v>877</v>
      </c>
      <c r="E176" s="84">
        <v>1699.99</v>
      </c>
      <c r="F176" s="84">
        <v>849.995</v>
      </c>
      <c r="G176" t="s">
        <v>874</v>
      </c>
      <c r="H176" t="s">
        <v>878</v>
      </c>
      <c r="I176" t="s">
        <v>452</v>
      </c>
      <c r="J176" t="s">
        <v>879</v>
      </c>
      <c r="K176" t="s">
        <v>49</v>
      </c>
      <c r="L176" t="s">
        <v>50</v>
      </c>
      <c r="M176">
        <v>200</v>
      </c>
      <c r="N176">
        <v>50</v>
      </c>
      <c r="O176">
        <v>90</v>
      </c>
      <c r="P176">
        <v>0.9</v>
      </c>
      <c r="Q176" s="84" t="e">
        <v>#REF!</v>
      </c>
      <c r="R176" s="85"/>
      <c r="S176" s="85"/>
      <c r="T176" s="86">
        <v>0</v>
      </c>
      <c r="U176" s="84">
        <v>0</v>
      </c>
      <c r="V176" s="84">
        <v>1189.9929999999999</v>
      </c>
      <c r="W176" s="84">
        <v>594.99649999999997</v>
      </c>
      <c r="X176" s="82">
        <v>0.35</v>
      </c>
      <c r="Y176" s="82"/>
      <c r="Z176" s="84">
        <v>594.99649999999997</v>
      </c>
      <c r="AA176" s="84">
        <v>1189.9929999999999</v>
      </c>
      <c r="AB176" s="88" t="e">
        <v>#DIV/0!</v>
      </c>
      <c r="AC176" t="s">
        <v>880</v>
      </c>
    </row>
    <row r="177" spans="3:29">
      <c r="C177" t="s">
        <v>882</v>
      </c>
      <c r="D177" t="s">
        <v>877</v>
      </c>
      <c r="E177" s="84">
        <v>1909.99</v>
      </c>
      <c r="F177" s="84">
        <v>954.995</v>
      </c>
      <c r="G177" t="s">
        <v>874</v>
      </c>
      <c r="H177" t="s">
        <v>883</v>
      </c>
      <c r="I177" t="s">
        <v>452</v>
      </c>
      <c r="J177" t="s">
        <v>879</v>
      </c>
      <c r="K177" t="s">
        <v>884</v>
      </c>
      <c r="L177" t="s">
        <v>50</v>
      </c>
      <c r="M177">
        <v>200</v>
      </c>
      <c r="N177">
        <v>50</v>
      </c>
      <c r="O177">
        <v>90</v>
      </c>
      <c r="P177">
        <v>0.9</v>
      </c>
      <c r="Q177" s="84" t="e">
        <v>#REF!</v>
      </c>
      <c r="R177" s="85"/>
      <c r="S177" s="85"/>
      <c r="T177" s="86">
        <v>0</v>
      </c>
      <c r="U177" s="84">
        <v>0</v>
      </c>
      <c r="V177" s="84">
        <v>1336.9929999999999</v>
      </c>
      <c r="W177" s="84">
        <v>668.49649999999997</v>
      </c>
      <c r="X177" s="82">
        <v>0.35</v>
      </c>
      <c r="Y177" s="82"/>
      <c r="Z177" s="84">
        <v>668.49649999999997</v>
      </c>
      <c r="AA177" s="84">
        <v>1336.9929999999999</v>
      </c>
      <c r="AB177" s="88" t="e">
        <v>#DIV/0!</v>
      </c>
      <c r="AC177" t="s">
        <v>885</v>
      </c>
    </row>
    <row r="178" spans="3:29">
      <c r="C178" t="s">
        <v>887</v>
      </c>
      <c r="D178" t="s">
        <v>888</v>
      </c>
      <c r="E178" s="84">
        <v>1899.99</v>
      </c>
      <c r="F178" s="84">
        <v>949.995</v>
      </c>
      <c r="G178" t="s">
        <v>874</v>
      </c>
      <c r="H178" t="s">
        <v>889</v>
      </c>
      <c r="I178" t="s">
        <v>482</v>
      </c>
      <c r="J178" t="s">
        <v>890</v>
      </c>
      <c r="K178" t="s">
        <v>891</v>
      </c>
      <c r="L178" t="s">
        <v>50</v>
      </c>
      <c r="M178">
        <v>250</v>
      </c>
      <c r="N178">
        <v>60</v>
      </c>
      <c r="O178">
        <v>75</v>
      </c>
      <c r="P178">
        <v>1.125</v>
      </c>
      <c r="Q178" s="84" t="e">
        <v>#REF!</v>
      </c>
      <c r="R178" s="85"/>
      <c r="S178" s="85"/>
      <c r="T178" s="86">
        <v>0</v>
      </c>
      <c r="U178" s="84">
        <v>0</v>
      </c>
      <c r="V178" s="84">
        <v>1329.9929999999999</v>
      </c>
      <c r="W178" s="84">
        <v>664.99649999999997</v>
      </c>
      <c r="X178" s="82">
        <v>0.35</v>
      </c>
      <c r="Y178" s="82"/>
      <c r="Z178" s="84">
        <v>664.99649999999997</v>
      </c>
      <c r="AA178" s="84">
        <v>1329.9929999999999</v>
      </c>
      <c r="AB178" s="88" t="e">
        <v>#DIV/0!</v>
      </c>
      <c r="AC178" t="s">
        <v>892</v>
      </c>
    </row>
    <row r="179" spans="3:29">
      <c r="D179" t="s">
        <v>888</v>
      </c>
      <c r="E179" s="84"/>
      <c r="F179" s="84">
        <v>0</v>
      </c>
      <c r="G179" t="s">
        <v>874</v>
      </c>
      <c r="H179" t="s">
        <v>889</v>
      </c>
      <c r="I179" t="s">
        <v>482</v>
      </c>
      <c r="J179" t="s">
        <v>890</v>
      </c>
      <c r="K179" t="s">
        <v>893</v>
      </c>
      <c r="L179" t="s">
        <v>50</v>
      </c>
      <c r="M179">
        <v>250</v>
      </c>
      <c r="N179">
        <v>60</v>
      </c>
      <c r="O179">
        <v>75</v>
      </c>
      <c r="P179">
        <v>1.125</v>
      </c>
      <c r="Q179" s="84" t="e">
        <v>#REF!</v>
      </c>
      <c r="R179" s="85"/>
      <c r="S179" s="85"/>
      <c r="T179" s="86">
        <v>0</v>
      </c>
      <c r="U179" s="84">
        <v>0</v>
      </c>
      <c r="V179" s="84">
        <v>0</v>
      </c>
      <c r="W179" s="84">
        <v>0</v>
      </c>
      <c r="X179" s="82" t="e">
        <v>#DIV/0!</v>
      </c>
      <c r="Y179" s="82"/>
      <c r="Z179" s="84">
        <v>0</v>
      </c>
      <c r="AA179" s="84">
        <v>0</v>
      </c>
      <c r="AB179" s="88" t="e">
        <v>#DIV/0!</v>
      </c>
      <c r="AC179" t="s">
        <v>894</v>
      </c>
    </row>
    <row r="180" spans="3:29">
      <c r="C180" t="s">
        <v>895</v>
      </c>
      <c r="D180" t="s">
        <v>896</v>
      </c>
      <c r="E180" s="84">
        <v>2289.9899999999998</v>
      </c>
      <c r="F180" s="84">
        <v>1144.9949999999999</v>
      </c>
      <c r="G180" t="s">
        <v>874</v>
      </c>
      <c r="H180" t="s">
        <v>897</v>
      </c>
      <c r="I180" t="s">
        <v>320</v>
      </c>
      <c r="J180" t="s">
        <v>898</v>
      </c>
      <c r="K180" t="s">
        <v>49</v>
      </c>
      <c r="L180" t="s">
        <v>50</v>
      </c>
      <c r="M180">
        <v>200</v>
      </c>
      <c r="N180">
        <v>70</v>
      </c>
      <c r="O180">
        <v>90</v>
      </c>
      <c r="P180">
        <v>1.26</v>
      </c>
      <c r="Q180" s="84" t="e">
        <v>#REF!</v>
      </c>
      <c r="R180" s="85">
        <v>3804010.00042341</v>
      </c>
      <c r="S180" s="85">
        <v>0</v>
      </c>
      <c r="T180" s="86">
        <v>3804010.00042341</v>
      </c>
      <c r="U180" s="84">
        <v>253.60066669489399</v>
      </c>
      <c r="V180" s="84">
        <v>1602.9929999999999</v>
      </c>
      <c r="W180" s="84">
        <v>801.49649999999997</v>
      </c>
      <c r="X180" s="82">
        <v>0.35</v>
      </c>
      <c r="Y180" s="82"/>
      <c r="Z180" s="84">
        <v>801.49649999999997</v>
      </c>
      <c r="AA180" s="84">
        <v>1602.9929999999999</v>
      </c>
      <c r="AB180" s="88">
        <v>3.1604668491044499</v>
      </c>
      <c r="AC180" t="s">
        <v>899</v>
      </c>
    </row>
    <row r="181" spans="3:29">
      <c r="C181" t="s">
        <v>901</v>
      </c>
      <c r="D181" t="s">
        <v>896</v>
      </c>
      <c r="E181" s="84">
        <v>2529.9899999999998</v>
      </c>
      <c r="F181" s="84">
        <v>1264.9949999999999</v>
      </c>
      <c r="G181" t="s">
        <v>874</v>
      </c>
      <c r="H181" t="s">
        <v>902</v>
      </c>
      <c r="I181" t="s">
        <v>320</v>
      </c>
      <c r="J181" t="s">
        <v>898</v>
      </c>
      <c r="K181" t="s">
        <v>884</v>
      </c>
      <c r="L181" t="s">
        <v>50</v>
      </c>
      <c r="M181">
        <v>200</v>
      </c>
      <c r="N181">
        <v>70</v>
      </c>
      <c r="O181">
        <v>90</v>
      </c>
      <c r="P181">
        <v>1.26</v>
      </c>
      <c r="Q181" s="84" t="e">
        <v>#REF!</v>
      </c>
      <c r="R181" s="85">
        <v>3681777.49996045</v>
      </c>
      <c r="S181" s="85">
        <v>0</v>
      </c>
      <c r="T181" s="86">
        <v>3681777.49996045</v>
      </c>
      <c r="U181" s="84">
        <v>245.45183333069701</v>
      </c>
      <c r="V181" s="84">
        <v>1770.9929999999999</v>
      </c>
      <c r="W181" s="84">
        <v>885.49649999999997</v>
      </c>
      <c r="X181" s="82">
        <v>0.35</v>
      </c>
      <c r="Y181" s="82"/>
      <c r="Z181" s="84">
        <v>885.49649999999997</v>
      </c>
      <c r="AA181" s="84">
        <v>1770.9929999999999</v>
      </c>
      <c r="AB181" s="88">
        <v>3.6076181953262201</v>
      </c>
      <c r="AC181" t="s">
        <v>903</v>
      </c>
    </row>
    <row r="182" spans="3:29">
      <c r="C182" t="s">
        <v>905</v>
      </c>
      <c r="D182" t="s">
        <v>906</v>
      </c>
      <c r="E182" s="84">
        <v>1129.99</v>
      </c>
      <c r="F182" s="84">
        <v>564.995</v>
      </c>
      <c r="G182" t="s">
        <v>874</v>
      </c>
      <c r="H182" t="s">
        <v>907</v>
      </c>
      <c r="I182" t="s">
        <v>908</v>
      </c>
      <c r="J182" t="s">
        <v>909</v>
      </c>
      <c r="K182" t="s">
        <v>49</v>
      </c>
      <c r="L182" t="s">
        <v>50</v>
      </c>
      <c r="M182">
        <v>75</v>
      </c>
      <c r="N182">
        <v>75</v>
      </c>
      <c r="O182">
        <v>78</v>
      </c>
      <c r="P182">
        <v>0.43874999999999997</v>
      </c>
      <c r="Q182" s="84" t="e">
        <v>#REF!</v>
      </c>
      <c r="R182" s="85"/>
      <c r="S182" s="85"/>
      <c r="T182" s="86">
        <v>0</v>
      </c>
      <c r="U182" s="84">
        <v>0</v>
      </c>
      <c r="V182" s="84">
        <v>790.99300000000005</v>
      </c>
      <c r="W182" s="84">
        <v>395.49650000000003</v>
      </c>
      <c r="X182" s="82">
        <v>0.35</v>
      </c>
      <c r="Y182" s="82"/>
      <c r="Z182" s="84">
        <v>395.49650000000003</v>
      </c>
      <c r="AA182" s="84">
        <v>790.99300000000005</v>
      </c>
      <c r="AB182" s="88" t="e">
        <v>#DIV/0!</v>
      </c>
      <c r="AC182" t="s">
        <v>910</v>
      </c>
    </row>
    <row r="183" spans="3:29">
      <c r="C183" t="s">
        <v>911</v>
      </c>
      <c r="D183" t="s">
        <v>906</v>
      </c>
      <c r="E183" s="84">
        <v>1379.99</v>
      </c>
      <c r="F183" s="84">
        <v>689.995</v>
      </c>
      <c r="G183" t="s">
        <v>874</v>
      </c>
      <c r="H183" t="s">
        <v>912</v>
      </c>
      <c r="I183" t="s">
        <v>908</v>
      </c>
      <c r="J183" t="s">
        <v>909</v>
      </c>
      <c r="K183" t="s">
        <v>884</v>
      </c>
      <c r="L183" t="s">
        <v>50</v>
      </c>
      <c r="M183">
        <v>75</v>
      </c>
      <c r="N183">
        <v>75</v>
      </c>
      <c r="O183">
        <v>78</v>
      </c>
      <c r="P183">
        <v>0.43874999999999997</v>
      </c>
      <c r="Q183" s="84" t="e">
        <v>#REF!</v>
      </c>
      <c r="R183" s="85"/>
      <c r="S183" s="85"/>
      <c r="T183" s="86">
        <v>0</v>
      </c>
      <c r="U183" s="84">
        <v>0</v>
      </c>
      <c r="V183" s="84">
        <v>965.99300000000005</v>
      </c>
      <c r="W183" s="84">
        <v>482.99650000000003</v>
      </c>
      <c r="X183" s="82">
        <v>0.35</v>
      </c>
      <c r="Y183" s="82"/>
      <c r="Z183" s="84">
        <v>482.99650000000003</v>
      </c>
      <c r="AA183" s="84">
        <v>965.99300000000005</v>
      </c>
      <c r="AB183" s="88" t="e">
        <v>#DIV/0!</v>
      </c>
      <c r="AC183" t="s">
        <v>913</v>
      </c>
    </row>
    <row r="184" spans="3:29">
      <c r="C184" t="s">
        <v>915</v>
      </c>
      <c r="D184" t="s">
        <v>916</v>
      </c>
      <c r="E184" s="84">
        <v>689.99</v>
      </c>
      <c r="F184" s="84">
        <v>344.995</v>
      </c>
      <c r="G184" t="s">
        <v>874</v>
      </c>
      <c r="H184" t="s">
        <v>917</v>
      </c>
      <c r="I184" t="s">
        <v>904</v>
      </c>
      <c r="J184" t="s">
        <v>918</v>
      </c>
      <c r="K184" t="s">
        <v>49</v>
      </c>
      <c r="L184" t="s">
        <v>50</v>
      </c>
      <c r="M184">
        <v>75</v>
      </c>
      <c r="N184">
        <v>40</v>
      </c>
      <c r="O184">
        <v>78</v>
      </c>
      <c r="P184">
        <v>0.23400000000000001</v>
      </c>
      <c r="Q184" s="84" t="e">
        <v>#REF!</v>
      </c>
      <c r="R184" s="85"/>
      <c r="S184" s="85"/>
      <c r="T184" s="86">
        <v>0</v>
      </c>
      <c r="U184" s="84">
        <v>0</v>
      </c>
      <c r="V184" s="84">
        <v>482.99299999999999</v>
      </c>
      <c r="W184" s="84">
        <v>241.4965</v>
      </c>
      <c r="X184" s="82">
        <v>0.35</v>
      </c>
      <c r="Y184" s="82"/>
      <c r="Z184" s="84">
        <v>241.4965</v>
      </c>
      <c r="AA184" s="84">
        <v>482.99299999999999</v>
      </c>
      <c r="AB184" s="88" t="e">
        <v>#DIV/0!</v>
      </c>
      <c r="AC184" t="s">
        <v>919</v>
      </c>
    </row>
    <row r="185" spans="3:29">
      <c r="C185" t="s">
        <v>921</v>
      </c>
      <c r="D185" t="s">
        <v>916</v>
      </c>
      <c r="E185" s="84">
        <v>829.99</v>
      </c>
      <c r="F185" s="84">
        <v>414.995</v>
      </c>
      <c r="G185" t="s">
        <v>874</v>
      </c>
      <c r="H185" t="s">
        <v>922</v>
      </c>
      <c r="I185" t="s">
        <v>904</v>
      </c>
      <c r="J185" t="s">
        <v>918</v>
      </c>
      <c r="K185" t="s">
        <v>884</v>
      </c>
      <c r="L185" t="s">
        <v>50</v>
      </c>
      <c r="M185">
        <v>75</v>
      </c>
      <c r="N185">
        <v>40</v>
      </c>
      <c r="O185">
        <v>78</v>
      </c>
      <c r="P185">
        <v>0.23400000000000001</v>
      </c>
      <c r="Q185" s="84" t="e">
        <v>#REF!</v>
      </c>
      <c r="R185" s="85"/>
      <c r="S185" s="85"/>
      <c r="T185" s="86">
        <v>0</v>
      </c>
      <c r="U185" s="84">
        <v>0</v>
      </c>
      <c r="V185" s="84">
        <v>580.99300000000005</v>
      </c>
      <c r="W185" s="84">
        <v>290.49650000000003</v>
      </c>
      <c r="X185" s="82">
        <v>0.35</v>
      </c>
      <c r="Y185" s="82"/>
      <c r="Z185" s="84">
        <v>290.49650000000003</v>
      </c>
      <c r="AA185" s="84">
        <v>580.99300000000005</v>
      </c>
      <c r="AB185" s="88" t="e">
        <v>#DIV/0!</v>
      </c>
      <c r="AC185" t="s">
        <v>919</v>
      </c>
    </row>
    <row r="186" spans="3:29">
      <c r="C186" t="s">
        <v>924</v>
      </c>
      <c r="D186" t="s">
        <v>925</v>
      </c>
      <c r="E186" s="84">
        <v>1389.99</v>
      </c>
      <c r="F186" s="84">
        <v>694.995</v>
      </c>
      <c r="G186" t="s">
        <v>874</v>
      </c>
      <c r="H186" t="s">
        <v>926</v>
      </c>
      <c r="I186" t="s">
        <v>90</v>
      </c>
      <c r="J186" t="s">
        <v>879</v>
      </c>
      <c r="K186" t="s">
        <v>49</v>
      </c>
      <c r="L186" t="s">
        <v>50</v>
      </c>
      <c r="M186">
        <v>200</v>
      </c>
      <c r="N186">
        <v>50</v>
      </c>
      <c r="O186">
        <v>90</v>
      </c>
      <c r="P186">
        <v>0.9</v>
      </c>
      <c r="Q186" s="84" t="e">
        <v>#REF!</v>
      </c>
      <c r="R186" s="85"/>
      <c r="S186" s="85"/>
      <c r="T186" s="86">
        <v>0</v>
      </c>
      <c r="U186" s="84">
        <v>0</v>
      </c>
      <c r="V186" s="84">
        <v>972.99300000000005</v>
      </c>
      <c r="W186" s="84">
        <v>486.49650000000003</v>
      </c>
      <c r="X186" s="82">
        <v>0.35</v>
      </c>
      <c r="Y186" s="82"/>
      <c r="Z186" s="84">
        <v>486.49650000000003</v>
      </c>
      <c r="AA186" s="84">
        <v>972.99300000000005</v>
      </c>
      <c r="AB186" s="88" t="e">
        <v>#DIV/0!</v>
      </c>
      <c r="AC186" t="s">
        <v>927</v>
      </c>
    </row>
    <row r="187" spans="3:29">
      <c r="C187" t="s">
        <v>929</v>
      </c>
      <c r="D187" t="s">
        <v>925</v>
      </c>
      <c r="E187" s="84">
        <v>1589.99</v>
      </c>
      <c r="F187" s="84">
        <v>794.995</v>
      </c>
      <c r="G187" t="s">
        <v>874</v>
      </c>
      <c r="H187" t="s">
        <v>930</v>
      </c>
      <c r="I187" t="s">
        <v>90</v>
      </c>
      <c r="J187" t="s">
        <v>879</v>
      </c>
      <c r="K187" t="s">
        <v>884</v>
      </c>
      <c r="L187" t="s">
        <v>50</v>
      </c>
      <c r="M187">
        <v>200</v>
      </c>
      <c r="N187">
        <v>50</v>
      </c>
      <c r="O187">
        <v>90</v>
      </c>
      <c r="P187">
        <v>0.9</v>
      </c>
      <c r="Q187" s="84" t="e">
        <v>#REF!</v>
      </c>
      <c r="R187" s="85"/>
      <c r="S187" s="85"/>
      <c r="T187" s="86">
        <v>0</v>
      </c>
      <c r="U187" s="84">
        <v>0</v>
      </c>
      <c r="V187" s="84">
        <v>1112.9929999999999</v>
      </c>
      <c r="W187" s="84">
        <v>556.49649999999997</v>
      </c>
      <c r="X187" s="82">
        <v>0.35</v>
      </c>
      <c r="Y187" s="82"/>
      <c r="Z187" s="84">
        <v>556.49649999999997</v>
      </c>
      <c r="AA187" s="84">
        <v>1112.9929999999999</v>
      </c>
      <c r="AB187" s="88" t="e">
        <v>#DIV/0!</v>
      </c>
      <c r="AC187" t="s">
        <v>931</v>
      </c>
    </row>
    <row r="188" spans="3:29">
      <c r="C188" t="s">
        <v>933</v>
      </c>
      <c r="D188" t="s">
        <v>934</v>
      </c>
      <c r="E188" s="84">
        <v>1709.99</v>
      </c>
      <c r="F188" s="84">
        <v>854.995</v>
      </c>
      <c r="G188" t="s">
        <v>874</v>
      </c>
      <c r="H188" t="s">
        <v>935</v>
      </c>
      <c r="I188" t="s">
        <v>168</v>
      </c>
      <c r="J188" t="s">
        <v>936</v>
      </c>
      <c r="K188" t="s">
        <v>49</v>
      </c>
      <c r="L188" t="s">
        <v>50</v>
      </c>
      <c r="M188">
        <v>200</v>
      </c>
      <c r="N188">
        <v>50</v>
      </c>
      <c r="O188">
        <v>90</v>
      </c>
      <c r="P188">
        <v>0.9</v>
      </c>
      <c r="Q188" s="84" t="e">
        <v>#REF!</v>
      </c>
      <c r="R188" s="85"/>
      <c r="S188" s="85"/>
      <c r="T188" s="86">
        <v>0</v>
      </c>
      <c r="U188" s="84">
        <v>0</v>
      </c>
      <c r="V188" s="84">
        <v>1196.9929999999999</v>
      </c>
      <c r="W188" s="84">
        <v>598.49649999999997</v>
      </c>
      <c r="X188" s="82">
        <v>0.35</v>
      </c>
      <c r="Y188" s="82"/>
      <c r="Z188" s="84">
        <v>598.49649999999997</v>
      </c>
      <c r="AA188" s="84">
        <v>1196.9929999999999</v>
      </c>
      <c r="AB188" s="88" t="e">
        <v>#DIV/0!</v>
      </c>
      <c r="AC188" t="s">
        <v>937</v>
      </c>
    </row>
    <row r="189" spans="3:29">
      <c r="C189" t="s">
        <v>939</v>
      </c>
      <c r="D189" t="s">
        <v>934</v>
      </c>
      <c r="E189" s="84">
        <v>1949.99</v>
      </c>
      <c r="F189" s="84">
        <v>974.995</v>
      </c>
      <c r="G189" t="s">
        <v>874</v>
      </c>
      <c r="H189" t="s">
        <v>940</v>
      </c>
      <c r="I189" t="s">
        <v>168</v>
      </c>
      <c r="J189" t="s">
        <v>936</v>
      </c>
      <c r="K189" t="s">
        <v>884</v>
      </c>
      <c r="L189" t="s">
        <v>50</v>
      </c>
      <c r="M189">
        <v>200</v>
      </c>
      <c r="N189">
        <v>50</v>
      </c>
      <c r="O189">
        <v>90</v>
      </c>
      <c r="P189">
        <v>0.9</v>
      </c>
      <c r="Q189" s="84" t="e">
        <v>#REF!</v>
      </c>
      <c r="R189" s="85"/>
      <c r="S189" s="85"/>
      <c r="T189" s="86">
        <v>0</v>
      </c>
      <c r="U189" s="84">
        <v>0</v>
      </c>
      <c r="V189" s="84">
        <v>1364.9929999999999</v>
      </c>
      <c r="W189" s="84">
        <v>682.49649999999997</v>
      </c>
      <c r="X189" s="82">
        <v>0.35</v>
      </c>
      <c r="Y189" s="82"/>
      <c r="Z189" s="84">
        <v>682.49649999999997</v>
      </c>
      <c r="AA189" s="84">
        <v>1364.9929999999999</v>
      </c>
      <c r="AB189" s="88" t="e">
        <v>#DIV/0!</v>
      </c>
      <c r="AC189" t="s">
        <v>937</v>
      </c>
    </row>
    <row r="190" spans="3:29">
      <c r="C190" t="s">
        <v>942</v>
      </c>
      <c r="D190" t="s">
        <v>943</v>
      </c>
      <c r="E190" s="84">
        <v>2459.9899999999998</v>
      </c>
      <c r="F190" s="84">
        <v>1229.9949999999999</v>
      </c>
      <c r="G190" t="s">
        <v>874</v>
      </c>
      <c r="H190" t="s">
        <v>944</v>
      </c>
      <c r="I190" t="s">
        <v>608</v>
      </c>
      <c r="J190" t="s">
        <v>945</v>
      </c>
      <c r="K190" t="s">
        <v>49</v>
      </c>
      <c r="L190" t="s">
        <v>50</v>
      </c>
      <c r="M190">
        <v>200</v>
      </c>
      <c r="N190">
        <v>50</v>
      </c>
      <c r="O190">
        <v>90</v>
      </c>
      <c r="P190">
        <v>0.9</v>
      </c>
      <c r="Q190" s="84" t="e">
        <v>#REF!</v>
      </c>
      <c r="R190" s="85"/>
      <c r="S190" s="85"/>
      <c r="T190" s="86">
        <v>0</v>
      </c>
      <c r="U190" s="84">
        <v>0</v>
      </c>
      <c r="V190" s="84">
        <v>1721.9929999999999</v>
      </c>
      <c r="W190" s="84">
        <v>860.99649999999997</v>
      </c>
      <c r="X190" s="82">
        <v>0.35</v>
      </c>
      <c r="Y190" s="82"/>
      <c r="Z190" s="84">
        <v>860.99649999999997</v>
      </c>
      <c r="AA190" s="84">
        <v>1721.9929999999999</v>
      </c>
      <c r="AB190" s="88" t="e">
        <v>#DIV/0!</v>
      </c>
      <c r="AC190" t="s">
        <v>946</v>
      </c>
    </row>
    <row r="191" spans="3:29">
      <c r="C191" t="s">
        <v>948</v>
      </c>
      <c r="D191" t="s">
        <v>943</v>
      </c>
      <c r="E191" s="84">
        <v>2609.9899999999998</v>
      </c>
      <c r="F191" s="84">
        <v>1304.9949999999999</v>
      </c>
      <c r="G191" t="s">
        <v>874</v>
      </c>
      <c r="H191" t="s">
        <v>949</v>
      </c>
      <c r="I191" t="s">
        <v>608</v>
      </c>
      <c r="J191" t="s">
        <v>945</v>
      </c>
      <c r="K191" t="s">
        <v>884</v>
      </c>
      <c r="L191" t="s">
        <v>50</v>
      </c>
      <c r="M191">
        <v>200</v>
      </c>
      <c r="N191">
        <v>50</v>
      </c>
      <c r="O191">
        <v>90</v>
      </c>
      <c r="P191">
        <v>0.9</v>
      </c>
      <c r="Q191" s="84" t="e">
        <v>#REF!</v>
      </c>
      <c r="R191" s="85"/>
      <c r="S191" s="85"/>
      <c r="T191" s="86">
        <v>0</v>
      </c>
      <c r="U191" s="84">
        <v>0</v>
      </c>
      <c r="V191" s="84">
        <v>1826.9929999999999</v>
      </c>
      <c r="W191" s="84">
        <v>913.49649999999997</v>
      </c>
      <c r="X191" s="82">
        <v>0.35</v>
      </c>
      <c r="Y191" s="82"/>
      <c r="Z191" s="84">
        <v>913.49649999999997</v>
      </c>
      <c r="AA191" s="84">
        <v>1826.9929999999999</v>
      </c>
      <c r="AB191" s="88" t="e">
        <v>#DIV/0!</v>
      </c>
      <c r="AC191" t="s">
        <v>946</v>
      </c>
    </row>
    <row r="192" spans="3:29">
      <c r="C192" t="s">
        <v>951</v>
      </c>
      <c r="D192" t="s">
        <v>952</v>
      </c>
      <c r="E192" s="84">
        <v>2699.99</v>
      </c>
      <c r="F192" s="84">
        <v>1349.9949999999999</v>
      </c>
      <c r="G192" t="s">
        <v>874</v>
      </c>
      <c r="H192" t="s">
        <v>953</v>
      </c>
      <c r="I192" t="s">
        <v>418</v>
      </c>
      <c r="J192" t="s">
        <v>954</v>
      </c>
      <c r="K192" t="s">
        <v>49</v>
      </c>
      <c r="L192" t="s">
        <v>50</v>
      </c>
      <c r="M192">
        <v>220</v>
      </c>
      <c r="N192">
        <v>40</v>
      </c>
      <c r="O192">
        <v>75</v>
      </c>
      <c r="P192">
        <v>0.66</v>
      </c>
      <c r="Q192" s="84" t="e">
        <v>#REF!</v>
      </c>
      <c r="R192" s="85">
        <v>5611428.8467014404</v>
      </c>
      <c r="S192" s="85">
        <v>0</v>
      </c>
      <c r="T192" s="86">
        <v>5611428.8467014404</v>
      </c>
      <c r="U192" s="84">
        <v>374.09525644676302</v>
      </c>
      <c r="V192" s="84">
        <v>1889.9929999999999</v>
      </c>
      <c r="W192" s="84">
        <v>944.99649999999997</v>
      </c>
      <c r="X192" s="82">
        <v>0.35</v>
      </c>
      <c r="Y192" s="82"/>
      <c r="Z192" s="84">
        <v>944.99649999999997</v>
      </c>
      <c r="AA192" s="84">
        <v>1889.9929999999999</v>
      </c>
      <c r="AB192" s="88">
        <v>2.52608522485898</v>
      </c>
      <c r="AC192" t="s">
        <v>955</v>
      </c>
    </row>
    <row r="193" spans="3:29">
      <c r="D193" t="s">
        <v>952</v>
      </c>
      <c r="E193" s="84"/>
      <c r="F193" s="84">
        <v>0</v>
      </c>
      <c r="G193" t="s">
        <v>874</v>
      </c>
      <c r="H193" t="s">
        <v>957</v>
      </c>
      <c r="I193" t="s">
        <v>418</v>
      </c>
      <c r="J193" t="s">
        <v>954</v>
      </c>
      <c r="K193" t="s">
        <v>884</v>
      </c>
      <c r="L193" t="s">
        <v>50</v>
      </c>
      <c r="M193">
        <v>220</v>
      </c>
      <c r="N193">
        <v>40</v>
      </c>
      <c r="O193">
        <v>75</v>
      </c>
      <c r="P193">
        <v>0.66</v>
      </c>
      <c r="Q193" s="84" t="e">
        <v>#REF!</v>
      </c>
      <c r="R193" s="85">
        <v>5624667.4462384796</v>
      </c>
      <c r="S193" s="85">
        <v>0</v>
      </c>
      <c r="T193" s="86">
        <v>5624667.4462384796</v>
      </c>
      <c r="U193" s="84">
        <v>374.977829749232</v>
      </c>
      <c r="V193" s="84">
        <v>0</v>
      </c>
      <c r="W193" s="84">
        <v>0</v>
      </c>
      <c r="X193" s="82" t="e">
        <v>#DIV/0!</v>
      </c>
      <c r="Y193" s="87">
        <v>1124.9334892477</v>
      </c>
      <c r="Z193" s="84">
        <v>1124.9334892477</v>
      </c>
      <c r="AA193" s="84">
        <v>2249.86697849539</v>
      </c>
      <c r="AB193" s="88">
        <v>3</v>
      </c>
      <c r="AC193" t="s">
        <v>958</v>
      </c>
    </row>
    <row r="194" spans="3:29">
      <c r="C194" t="s">
        <v>960</v>
      </c>
      <c r="D194" t="s">
        <v>961</v>
      </c>
      <c r="E194" s="84">
        <v>2249.9899999999998</v>
      </c>
      <c r="F194" s="84">
        <v>1124.9949999999999</v>
      </c>
      <c r="G194" t="s">
        <v>874</v>
      </c>
      <c r="H194" t="s">
        <v>962</v>
      </c>
      <c r="I194" t="s">
        <v>963</v>
      </c>
      <c r="J194" t="s">
        <v>964</v>
      </c>
      <c r="K194" t="s">
        <v>965</v>
      </c>
      <c r="L194" t="s">
        <v>50</v>
      </c>
      <c r="M194">
        <v>80</v>
      </c>
      <c r="N194">
        <v>80</v>
      </c>
      <c r="O194">
        <v>60</v>
      </c>
      <c r="P194">
        <v>0.38400000000000001</v>
      </c>
      <c r="Q194" s="84" t="e">
        <v>#REF!</v>
      </c>
      <c r="R194" s="85"/>
      <c r="S194" s="85"/>
      <c r="T194" s="86">
        <v>0</v>
      </c>
      <c r="U194" s="84">
        <v>0</v>
      </c>
      <c r="V194" s="84">
        <v>1574.9929999999999</v>
      </c>
      <c r="W194" s="84">
        <v>787.49649999999997</v>
      </c>
      <c r="X194" s="82">
        <v>0.35</v>
      </c>
      <c r="Y194" s="82"/>
      <c r="Z194" s="84">
        <v>787.49649999999997</v>
      </c>
      <c r="AA194" s="84">
        <v>1574.9929999999999</v>
      </c>
      <c r="AB194" s="88" t="e">
        <v>#DIV/0!</v>
      </c>
      <c r="AC194" t="s">
        <v>966</v>
      </c>
    </row>
    <row r="195" spans="3:29">
      <c r="C195" t="s">
        <v>969</v>
      </c>
      <c r="D195" t="s">
        <v>970</v>
      </c>
      <c r="E195" s="84">
        <v>328.99</v>
      </c>
      <c r="F195" s="84">
        <v>164.495</v>
      </c>
      <c r="G195" t="s">
        <v>874</v>
      </c>
      <c r="H195" t="s">
        <v>971</v>
      </c>
      <c r="I195" t="s">
        <v>672</v>
      </c>
      <c r="J195" t="s">
        <v>972</v>
      </c>
      <c r="K195" t="s">
        <v>973</v>
      </c>
      <c r="L195" t="s">
        <v>670</v>
      </c>
      <c r="M195">
        <v>45</v>
      </c>
      <c r="N195">
        <v>36</v>
      </c>
      <c r="O195">
        <v>15</v>
      </c>
      <c r="P195">
        <v>2.4299999999999999E-2</v>
      </c>
      <c r="Q195" s="84" t="e">
        <v>#REF!</v>
      </c>
      <c r="R195" s="85">
        <v>1105866.25538358</v>
      </c>
      <c r="S195" s="85"/>
      <c r="T195" s="86">
        <v>1105866.25538358</v>
      </c>
      <c r="U195" s="84">
        <v>73.724417025572095</v>
      </c>
      <c r="V195" s="84">
        <v>230.29300000000001</v>
      </c>
      <c r="W195" s="84">
        <v>115.1465</v>
      </c>
      <c r="X195" s="82">
        <v>0.35</v>
      </c>
      <c r="Y195" s="87">
        <v>147.44883405114399</v>
      </c>
      <c r="Z195" s="84">
        <v>147.44883405114399</v>
      </c>
      <c r="AA195" s="84">
        <v>294.897668102289</v>
      </c>
      <c r="AB195" s="88">
        <v>2</v>
      </c>
      <c r="AC195" t="s">
        <v>974</v>
      </c>
    </row>
    <row r="196" spans="3:29">
      <c r="C196" t="s">
        <v>977</v>
      </c>
      <c r="D196" t="s">
        <v>978</v>
      </c>
      <c r="E196" s="84">
        <v>424.99</v>
      </c>
      <c r="F196" s="84">
        <v>212.495</v>
      </c>
      <c r="G196" t="s">
        <v>874</v>
      </c>
      <c r="H196" t="s">
        <v>979</v>
      </c>
      <c r="I196" t="s">
        <v>672</v>
      </c>
      <c r="J196" t="s">
        <v>980</v>
      </c>
      <c r="K196" t="s">
        <v>973</v>
      </c>
      <c r="L196" t="s">
        <v>670</v>
      </c>
      <c r="M196">
        <v>71</v>
      </c>
      <c r="N196">
        <v>51</v>
      </c>
      <c r="O196">
        <v>25</v>
      </c>
      <c r="P196">
        <v>9.0524999999999994E-2</v>
      </c>
      <c r="Q196" s="84" t="e">
        <v>#REF!</v>
      </c>
      <c r="R196" s="85"/>
      <c r="S196" s="85"/>
      <c r="T196" s="86">
        <v>0</v>
      </c>
      <c r="U196" s="84">
        <v>0</v>
      </c>
      <c r="V196" s="84">
        <v>297.49299999999999</v>
      </c>
      <c r="W196" s="84">
        <v>148.7465</v>
      </c>
      <c r="X196" s="82">
        <v>0.35</v>
      </c>
      <c r="Y196" s="82"/>
      <c r="Z196" s="84">
        <v>148.7465</v>
      </c>
      <c r="AA196" s="84">
        <v>297.49299999999999</v>
      </c>
      <c r="AB196" s="88" t="e">
        <v>#DIV/0!</v>
      </c>
      <c r="AC196" t="s">
        <v>981</v>
      </c>
    </row>
    <row r="197" spans="3:29">
      <c r="C197" t="s">
        <v>983</v>
      </c>
      <c r="D197" t="s">
        <v>984</v>
      </c>
      <c r="E197" s="84">
        <v>1279.99</v>
      </c>
      <c r="F197" s="84">
        <v>639.995</v>
      </c>
      <c r="G197" t="s">
        <v>874</v>
      </c>
      <c r="H197" t="s">
        <v>985</v>
      </c>
      <c r="I197" t="s">
        <v>986</v>
      </c>
      <c r="J197" t="s">
        <v>987</v>
      </c>
      <c r="K197" t="s">
        <v>988</v>
      </c>
      <c r="L197" t="s">
        <v>50</v>
      </c>
      <c r="M197">
        <v>30</v>
      </c>
      <c r="N197">
        <v>70</v>
      </c>
      <c r="O197">
        <v>90</v>
      </c>
      <c r="P197">
        <v>0.189</v>
      </c>
      <c r="Q197" s="84" t="e">
        <v>#REF!</v>
      </c>
      <c r="R197" s="85"/>
      <c r="S197" s="85"/>
      <c r="T197" s="86">
        <v>0</v>
      </c>
      <c r="U197" s="84">
        <v>0</v>
      </c>
      <c r="V197" s="84">
        <v>895.99300000000005</v>
      </c>
      <c r="W197" s="84">
        <v>447.99650000000003</v>
      </c>
      <c r="X197" s="82">
        <v>0.35</v>
      </c>
      <c r="Y197" s="82"/>
      <c r="Z197" s="84">
        <v>447.99650000000003</v>
      </c>
      <c r="AA197" s="84">
        <v>895.99300000000005</v>
      </c>
      <c r="AB197" s="88" t="e">
        <v>#DIV/0!</v>
      </c>
      <c r="AC197" t="s">
        <v>989</v>
      </c>
    </row>
    <row r="198" spans="3:29">
      <c r="C198" t="s">
        <v>992</v>
      </c>
      <c r="D198" t="s">
        <v>993</v>
      </c>
      <c r="E198" s="84">
        <v>79.989999999999995</v>
      </c>
      <c r="F198" s="84">
        <v>39.994999999999997</v>
      </c>
      <c r="G198" t="s">
        <v>874</v>
      </c>
      <c r="H198" t="s">
        <v>994</v>
      </c>
      <c r="I198" t="s">
        <v>995</v>
      </c>
      <c r="J198" t="s">
        <v>996</v>
      </c>
      <c r="K198" t="s">
        <v>973</v>
      </c>
      <c r="L198" t="s">
        <v>670</v>
      </c>
      <c r="M198">
        <v>30</v>
      </c>
      <c r="N198">
        <v>70</v>
      </c>
      <c r="O198">
        <v>2</v>
      </c>
      <c r="P198">
        <v>4.1999999999999997E-3</v>
      </c>
      <c r="Q198" s="84" t="e">
        <v>#REF!</v>
      </c>
      <c r="R198" s="85"/>
      <c r="S198" s="85"/>
      <c r="T198" s="86">
        <v>0</v>
      </c>
      <c r="U198" s="84">
        <v>0</v>
      </c>
      <c r="V198" s="84">
        <v>55.993000000000002</v>
      </c>
      <c r="W198" s="84">
        <v>27.996500000000001</v>
      </c>
      <c r="X198" s="82">
        <v>0.35</v>
      </c>
      <c r="Y198" s="82"/>
      <c r="Z198" s="84">
        <v>27.996500000000001</v>
      </c>
      <c r="AA198" s="84">
        <v>55.993000000000002</v>
      </c>
      <c r="AB198" s="88" t="e">
        <v>#DIV/0!</v>
      </c>
      <c r="AC198" t="s">
        <v>997</v>
      </c>
    </row>
    <row r="199" spans="3:29">
      <c r="C199" t="s">
        <v>999</v>
      </c>
      <c r="D199" t="s">
        <v>1000</v>
      </c>
      <c r="E199" s="84">
        <v>624.99</v>
      </c>
      <c r="F199" s="84">
        <v>312.495</v>
      </c>
      <c r="G199" t="s">
        <v>874</v>
      </c>
      <c r="H199" t="s">
        <v>1001</v>
      </c>
      <c r="I199" t="s">
        <v>499</v>
      </c>
      <c r="J199" t="s">
        <v>1002</v>
      </c>
      <c r="K199" t="s">
        <v>988</v>
      </c>
      <c r="L199" t="s">
        <v>50</v>
      </c>
      <c r="M199">
        <v>40</v>
      </c>
      <c r="N199">
        <v>40</v>
      </c>
      <c r="O199">
        <v>50</v>
      </c>
      <c r="P199">
        <v>0.08</v>
      </c>
      <c r="Q199" s="84" t="e">
        <v>#REF!</v>
      </c>
      <c r="R199" s="85"/>
      <c r="S199" s="85"/>
      <c r="T199" s="86">
        <v>0</v>
      </c>
      <c r="U199" s="84">
        <v>0</v>
      </c>
      <c r="V199" s="84">
        <v>437.49299999999999</v>
      </c>
      <c r="W199" s="84">
        <v>218.7465</v>
      </c>
      <c r="X199" s="82">
        <v>0.35</v>
      </c>
      <c r="Y199" s="82"/>
      <c r="Z199" s="84">
        <v>218.7465</v>
      </c>
      <c r="AA199" s="84">
        <v>437.49299999999999</v>
      </c>
      <c r="AB199" s="88" t="e">
        <v>#DIV/0!</v>
      </c>
      <c r="AC199" t="s">
        <v>1003</v>
      </c>
    </row>
    <row r="200" spans="3:29">
      <c r="C200" t="s">
        <v>1005</v>
      </c>
      <c r="D200" t="s">
        <v>1000</v>
      </c>
      <c r="E200" s="84">
        <v>1024.99</v>
      </c>
      <c r="F200" s="84">
        <v>512.495</v>
      </c>
      <c r="G200" t="s">
        <v>874</v>
      </c>
      <c r="H200" t="s">
        <v>1006</v>
      </c>
      <c r="I200" t="s">
        <v>499</v>
      </c>
      <c r="J200" t="s">
        <v>1007</v>
      </c>
      <c r="K200" t="s">
        <v>988</v>
      </c>
      <c r="L200" t="s">
        <v>50</v>
      </c>
      <c r="M200">
        <v>40</v>
      </c>
      <c r="N200">
        <v>40</v>
      </c>
      <c r="O200">
        <v>90</v>
      </c>
      <c r="P200">
        <v>0.14399999999999999</v>
      </c>
      <c r="Q200" s="84" t="e">
        <v>#REF!</v>
      </c>
      <c r="R200" s="85"/>
      <c r="S200" s="85"/>
      <c r="T200" s="86">
        <v>0</v>
      </c>
      <c r="U200" s="84">
        <v>0</v>
      </c>
      <c r="V200" s="84">
        <v>717.49300000000005</v>
      </c>
      <c r="W200" s="84">
        <v>358.74650000000003</v>
      </c>
      <c r="X200" s="82">
        <v>0.35</v>
      </c>
      <c r="Y200" s="82"/>
      <c r="Z200" s="84">
        <v>358.74650000000003</v>
      </c>
      <c r="AA200" s="84">
        <v>717.49300000000005</v>
      </c>
      <c r="AB200" s="88" t="e">
        <v>#DIV/0!</v>
      </c>
      <c r="AC200" t="s">
        <v>1008</v>
      </c>
    </row>
    <row r="201" spans="3:29">
      <c r="C201" t="s">
        <v>1010</v>
      </c>
      <c r="D201" t="s">
        <v>1011</v>
      </c>
      <c r="E201" s="84">
        <v>589.99</v>
      </c>
      <c r="F201" s="84">
        <v>294.995</v>
      </c>
      <c r="G201" t="s">
        <v>874</v>
      </c>
      <c r="H201" t="s">
        <v>1012</v>
      </c>
      <c r="I201" t="s">
        <v>1013</v>
      </c>
      <c r="J201" t="s">
        <v>1014</v>
      </c>
      <c r="K201" t="s">
        <v>1015</v>
      </c>
      <c r="L201" t="s">
        <v>50</v>
      </c>
      <c r="M201">
        <v>65</v>
      </c>
      <c r="N201">
        <v>65</v>
      </c>
      <c r="O201">
        <v>110</v>
      </c>
      <c r="P201">
        <v>0.46475</v>
      </c>
      <c r="Q201" s="84" t="e">
        <v>#REF!</v>
      </c>
      <c r="R201" s="85"/>
      <c r="S201" s="85"/>
      <c r="T201" s="86">
        <v>0</v>
      </c>
      <c r="U201" s="84">
        <v>0</v>
      </c>
      <c r="V201" s="84">
        <v>412.99299999999999</v>
      </c>
      <c r="W201" s="84">
        <v>206.4965</v>
      </c>
      <c r="X201" s="82">
        <v>0.35</v>
      </c>
      <c r="Y201" s="82"/>
      <c r="Z201" s="84">
        <v>206.4965</v>
      </c>
      <c r="AA201" s="84">
        <v>412.99299999999999</v>
      </c>
      <c r="AB201" s="88" t="e">
        <v>#DIV/0!</v>
      </c>
      <c r="AC201" t="s">
        <v>1016</v>
      </c>
    </row>
    <row r="202" spans="3:29">
      <c r="C202" t="s">
        <v>1018</v>
      </c>
      <c r="E202" s="84"/>
      <c r="F202" s="82"/>
      <c r="R202" s="85"/>
      <c r="S202" s="85"/>
      <c r="T202" s="86"/>
      <c r="V202" s="84"/>
      <c r="W202" s="84"/>
      <c r="X202" s="82"/>
      <c r="Y202" s="82"/>
      <c r="Z202" s="82"/>
      <c r="AA202" s="82"/>
      <c r="AB202" s="88"/>
    </row>
    <row r="203" spans="3:29">
      <c r="C203" t="s">
        <v>1020</v>
      </c>
      <c r="D203" t="s">
        <v>1021</v>
      </c>
      <c r="E203" s="84">
        <v>2759.99</v>
      </c>
      <c r="F203" s="84">
        <v>1379.9949999999999</v>
      </c>
      <c r="G203" t="s">
        <v>1018</v>
      </c>
      <c r="H203" t="s">
        <v>1022</v>
      </c>
      <c r="I203" t="s">
        <v>1023</v>
      </c>
      <c r="J203" t="s">
        <v>1024</v>
      </c>
      <c r="K203" t="s">
        <v>1025</v>
      </c>
      <c r="L203" t="s">
        <v>50</v>
      </c>
      <c r="M203">
        <v>80</v>
      </c>
      <c r="N203">
        <v>50</v>
      </c>
      <c r="O203">
        <v>210</v>
      </c>
      <c r="P203">
        <v>0.84</v>
      </c>
      <c r="Q203" s="84" t="e">
        <v>#REF!</v>
      </c>
      <c r="R203" s="85"/>
      <c r="S203" s="85"/>
      <c r="T203" s="86">
        <v>0</v>
      </c>
      <c r="U203" s="84">
        <v>0</v>
      </c>
      <c r="V203" s="84">
        <v>1931.9929999999999</v>
      </c>
      <c r="W203" s="84">
        <v>965.99649999999997</v>
      </c>
      <c r="X203" s="82">
        <v>0.35</v>
      </c>
      <c r="Y203" s="82"/>
      <c r="Z203" s="84">
        <v>965.99649999999997</v>
      </c>
      <c r="AA203" s="84">
        <v>1931.9929999999999</v>
      </c>
      <c r="AB203" s="88" t="e">
        <v>#DIV/0!</v>
      </c>
      <c r="AC203" t="s">
        <v>1026</v>
      </c>
    </row>
    <row r="204" spans="3:29">
      <c r="C204" t="s">
        <v>1028</v>
      </c>
      <c r="D204" t="s">
        <v>1029</v>
      </c>
      <c r="E204" s="84">
        <v>2799.99</v>
      </c>
      <c r="F204" s="84">
        <v>1399.9949999999999</v>
      </c>
      <c r="G204" t="s">
        <v>1018</v>
      </c>
      <c r="H204" t="s">
        <v>1022</v>
      </c>
      <c r="I204" t="s">
        <v>1030</v>
      </c>
      <c r="J204" t="s">
        <v>1024</v>
      </c>
      <c r="K204" t="s">
        <v>1031</v>
      </c>
      <c r="L204" t="s">
        <v>50</v>
      </c>
      <c r="M204">
        <v>80</v>
      </c>
      <c r="N204">
        <v>50</v>
      </c>
      <c r="O204">
        <v>210</v>
      </c>
      <c r="P204">
        <v>0.84</v>
      </c>
      <c r="Q204" s="84" t="e">
        <v>#REF!</v>
      </c>
      <c r="R204" s="85"/>
      <c r="S204" s="85"/>
      <c r="T204" s="86">
        <v>0</v>
      </c>
      <c r="U204" s="84">
        <v>0</v>
      </c>
      <c r="V204" s="84">
        <v>1959.9929999999999</v>
      </c>
      <c r="W204" s="84">
        <v>979.99649999999997</v>
      </c>
      <c r="X204" s="82">
        <v>0.35</v>
      </c>
      <c r="Y204" s="82"/>
      <c r="Z204" s="84">
        <v>979.99649999999997</v>
      </c>
      <c r="AA204" s="84">
        <v>1959.9929999999999</v>
      </c>
      <c r="AB204" s="88" t="e">
        <v>#DIV/0!</v>
      </c>
      <c r="AC204" t="s">
        <v>1032</v>
      </c>
    </row>
    <row r="205" spans="3:29">
      <c r="C205" t="s">
        <v>1035</v>
      </c>
      <c r="D205" t="s">
        <v>1036</v>
      </c>
      <c r="E205" s="84">
        <v>2839.99</v>
      </c>
      <c r="F205" s="84">
        <v>1419.9949999999999</v>
      </c>
      <c r="G205" t="s">
        <v>1018</v>
      </c>
      <c r="H205" t="s">
        <v>1037</v>
      </c>
      <c r="I205" t="s">
        <v>1038</v>
      </c>
      <c r="J205" t="s">
        <v>1024</v>
      </c>
      <c r="K205" t="s">
        <v>846</v>
      </c>
      <c r="L205" t="s">
        <v>50</v>
      </c>
      <c r="M205">
        <v>80</v>
      </c>
      <c r="N205">
        <v>50</v>
      </c>
      <c r="O205">
        <v>210</v>
      </c>
      <c r="P205">
        <v>0.84</v>
      </c>
      <c r="Q205" s="84" t="e">
        <v>#REF!</v>
      </c>
      <c r="R205" s="85"/>
      <c r="S205" s="85"/>
      <c r="T205" s="86">
        <v>0</v>
      </c>
      <c r="U205" s="84">
        <v>0</v>
      </c>
      <c r="V205" s="84">
        <v>1987.9929999999999</v>
      </c>
      <c r="W205" s="84">
        <v>993.99649999999997</v>
      </c>
      <c r="X205" s="82">
        <v>0.35</v>
      </c>
      <c r="Y205" s="82"/>
      <c r="Z205" s="84">
        <v>993.99649999999997</v>
      </c>
      <c r="AA205" s="84">
        <v>1987.9929999999999</v>
      </c>
      <c r="AB205" s="88" t="e">
        <v>#DIV/0!</v>
      </c>
      <c r="AC205" t="s">
        <v>1039</v>
      </c>
    </row>
    <row r="206" spans="3:29" ht="60.75">
      <c r="C206" t="s">
        <v>1041</v>
      </c>
      <c r="D206" t="s">
        <v>1042</v>
      </c>
      <c r="E206" s="84"/>
      <c r="F206" s="84">
        <v>0</v>
      </c>
      <c r="G206" t="s">
        <v>1018</v>
      </c>
      <c r="H206" t="s">
        <v>1043</v>
      </c>
      <c r="I206" t="s">
        <v>1044</v>
      </c>
      <c r="J206" t="s">
        <v>1045</v>
      </c>
      <c r="K206" s="83" t="s">
        <v>5245</v>
      </c>
      <c r="L206" t="s">
        <v>50</v>
      </c>
      <c r="M206">
        <v>90</v>
      </c>
      <c r="N206">
        <v>50</v>
      </c>
      <c r="O206">
        <v>210</v>
      </c>
      <c r="P206">
        <v>0.94499999999999995</v>
      </c>
      <c r="Q206" s="84" t="e">
        <v>#REF!</v>
      </c>
      <c r="R206" s="85"/>
      <c r="S206" s="85"/>
      <c r="T206" s="86">
        <v>0</v>
      </c>
      <c r="U206" s="84">
        <v>0</v>
      </c>
      <c r="V206" s="84">
        <v>0</v>
      </c>
      <c r="W206" s="84">
        <v>0</v>
      </c>
      <c r="X206" s="82" t="e">
        <v>#DIV/0!</v>
      </c>
      <c r="Y206" s="82"/>
      <c r="Z206" s="84">
        <v>0</v>
      </c>
      <c r="AA206" s="84">
        <v>0</v>
      </c>
      <c r="AB206" s="88" t="e">
        <v>#DIV/0!</v>
      </c>
      <c r="AC206" t="s">
        <v>1047</v>
      </c>
    </row>
    <row r="207" spans="3:29" ht="60.75">
      <c r="C207" t="s">
        <v>1050</v>
      </c>
      <c r="D207" t="s">
        <v>1042</v>
      </c>
      <c r="E207" s="84"/>
      <c r="F207" s="84">
        <v>0</v>
      </c>
      <c r="G207" t="s">
        <v>1018</v>
      </c>
      <c r="H207" t="s">
        <v>1051</v>
      </c>
      <c r="I207" t="s">
        <v>1052</v>
      </c>
      <c r="J207" t="s">
        <v>1053</v>
      </c>
      <c r="K207" s="83" t="s">
        <v>5245</v>
      </c>
      <c r="L207" t="s">
        <v>50</v>
      </c>
      <c r="M207">
        <v>100</v>
      </c>
      <c r="N207">
        <v>40</v>
      </c>
      <c r="O207">
        <v>210</v>
      </c>
      <c r="P207">
        <v>0.84</v>
      </c>
      <c r="Q207" s="84" t="e">
        <v>#REF!</v>
      </c>
      <c r="R207" s="85"/>
      <c r="S207" s="85"/>
      <c r="T207" s="86">
        <v>0</v>
      </c>
      <c r="U207" s="84">
        <v>0</v>
      </c>
      <c r="V207" s="84">
        <v>0</v>
      </c>
      <c r="W207" s="84">
        <v>0</v>
      </c>
      <c r="X207" s="82" t="e">
        <v>#DIV/0!</v>
      </c>
      <c r="Y207" s="82"/>
      <c r="Z207" s="84">
        <v>0</v>
      </c>
      <c r="AA207" s="84">
        <v>0</v>
      </c>
      <c r="AB207" s="88" t="e">
        <v>#DIV/0!</v>
      </c>
      <c r="AC207" t="s">
        <v>1054</v>
      </c>
    </row>
    <row r="208" spans="3:29" ht="60.75">
      <c r="C208" t="s">
        <v>1055</v>
      </c>
      <c r="D208" t="s">
        <v>1042</v>
      </c>
      <c r="E208" s="84"/>
      <c r="F208" s="84">
        <v>0</v>
      </c>
      <c r="G208" t="s">
        <v>1018</v>
      </c>
      <c r="H208" t="s">
        <v>1056</v>
      </c>
      <c r="I208" t="s">
        <v>1057</v>
      </c>
      <c r="J208" t="s">
        <v>1058</v>
      </c>
      <c r="K208" s="83" t="s">
        <v>5245</v>
      </c>
      <c r="L208" t="s">
        <v>50</v>
      </c>
      <c r="M208">
        <v>210</v>
      </c>
      <c r="N208">
        <v>40</v>
      </c>
      <c r="O208">
        <v>93</v>
      </c>
      <c r="P208">
        <v>0.78120000000000001</v>
      </c>
      <c r="Q208" s="84" t="e">
        <v>#REF!</v>
      </c>
      <c r="R208" s="85"/>
      <c r="S208" s="85"/>
      <c r="T208" s="86">
        <v>0</v>
      </c>
      <c r="U208" s="84">
        <v>0</v>
      </c>
      <c r="V208" s="84">
        <v>0</v>
      </c>
      <c r="W208" s="84">
        <v>0</v>
      </c>
      <c r="X208" s="82" t="e">
        <v>#DIV/0!</v>
      </c>
      <c r="Y208" s="82"/>
      <c r="Z208" s="84">
        <v>0</v>
      </c>
      <c r="AA208" s="84">
        <v>0</v>
      </c>
      <c r="AB208" s="88" t="e">
        <v>#DIV/0!</v>
      </c>
      <c r="AC208" t="s">
        <v>1059</v>
      </c>
    </row>
    <row r="209" spans="3:29" ht="30.75">
      <c r="C209" t="s">
        <v>1060</v>
      </c>
      <c r="D209" t="s">
        <v>1061</v>
      </c>
      <c r="E209" s="84"/>
      <c r="F209" s="84">
        <v>0</v>
      </c>
      <c r="G209" t="s">
        <v>1018</v>
      </c>
      <c r="H209" t="s">
        <v>1062</v>
      </c>
      <c r="I209" t="s">
        <v>1063</v>
      </c>
      <c r="J209" t="s">
        <v>1064</v>
      </c>
      <c r="K209" s="83" t="s">
        <v>5246</v>
      </c>
      <c r="L209" t="s">
        <v>50</v>
      </c>
      <c r="M209">
        <v>186</v>
      </c>
      <c r="N209">
        <v>60</v>
      </c>
      <c r="O209">
        <v>100</v>
      </c>
      <c r="P209">
        <v>1.1160000000000001</v>
      </c>
      <c r="Q209" s="84" t="e">
        <v>#REF!</v>
      </c>
      <c r="R209" s="85"/>
      <c r="S209" s="85"/>
      <c r="T209" s="86">
        <v>0</v>
      </c>
      <c r="U209" s="84">
        <v>0</v>
      </c>
      <c r="V209" s="84">
        <v>0</v>
      </c>
      <c r="W209" s="84">
        <v>0</v>
      </c>
      <c r="X209" s="82" t="e">
        <v>#DIV/0!</v>
      </c>
      <c r="Y209" s="82"/>
      <c r="Z209" s="84">
        <v>0</v>
      </c>
      <c r="AA209" s="84">
        <v>0</v>
      </c>
      <c r="AB209" s="88" t="e">
        <v>#DIV/0!</v>
      </c>
      <c r="AC209" t="s">
        <v>1066</v>
      </c>
    </row>
    <row r="210" spans="3:29" ht="45.75">
      <c r="C210" t="s">
        <v>1067</v>
      </c>
      <c r="D210" t="s">
        <v>1068</v>
      </c>
      <c r="E210" s="84"/>
      <c r="F210" s="84">
        <v>0</v>
      </c>
      <c r="G210" t="s">
        <v>1018</v>
      </c>
      <c r="H210" t="s">
        <v>1062</v>
      </c>
      <c r="I210" t="s">
        <v>1069</v>
      </c>
      <c r="J210" t="s">
        <v>1064</v>
      </c>
      <c r="K210" s="83" t="s">
        <v>5247</v>
      </c>
      <c r="L210" t="s">
        <v>50</v>
      </c>
      <c r="M210">
        <v>186</v>
      </c>
      <c r="N210">
        <v>60</v>
      </c>
      <c r="O210">
        <v>100</v>
      </c>
      <c r="P210">
        <v>1.1160000000000001</v>
      </c>
      <c r="Q210" s="84" t="e">
        <v>#REF!</v>
      </c>
      <c r="R210" s="85"/>
      <c r="S210" s="85"/>
      <c r="T210" s="86">
        <v>0</v>
      </c>
      <c r="U210" s="84">
        <v>0</v>
      </c>
      <c r="V210" s="84">
        <v>0</v>
      </c>
      <c r="W210" s="84">
        <v>0</v>
      </c>
      <c r="X210" s="82" t="e">
        <v>#DIV/0!</v>
      </c>
      <c r="Y210" s="82"/>
      <c r="Z210" s="84">
        <v>0</v>
      </c>
      <c r="AA210" s="84">
        <v>0</v>
      </c>
      <c r="AB210" s="88" t="e">
        <v>#DIV/0!</v>
      </c>
      <c r="AC210" t="s">
        <v>1071</v>
      </c>
    </row>
    <row r="211" spans="3:29">
      <c r="C211" t="s">
        <v>1072</v>
      </c>
      <c r="D211" t="s">
        <v>1073</v>
      </c>
      <c r="E211" s="84"/>
      <c r="F211" s="84">
        <v>0</v>
      </c>
      <c r="G211" t="s">
        <v>1018</v>
      </c>
      <c r="H211" t="s">
        <v>1074</v>
      </c>
      <c r="I211" t="s">
        <v>1075</v>
      </c>
      <c r="J211" t="s">
        <v>1076</v>
      </c>
      <c r="K211" t="s">
        <v>1077</v>
      </c>
      <c r="L211" t="s">
        <v>50</v>
      </c>
      <c r="M211">
        <v>90</v>
      </c>
      <c r="N211">
        <v>60</v>
      </c>
      <c r="O211">
        <v>210</v>
      </c>
      <c r="P211">
        <v>1.1339999999999999</v>
      </c>
      <c r="Q211" s="84" t="e">
        <v>#REF!</v>
      </c>
      <c r="R211" s="85">
        <v>8541969.4378902297</v>
      </c>
      <c r="S211" s="85">
        <v>0</v>
      </c>
      <c r="T211" s="86">
        <v>8541969.4378902297</v>
      </c>
      <c r="U211" s="84">
        <v>569.46462919268197</v>
      </c>
      <c r="V211" s="84">
        <v>0</v>
      </c>
      <c r="W211" s="84">
        <v>0</v>
      </c>
      <c r="X211" s="82" t="e">
        <v>#DIV/0!</v>
      </c>
      <c r="Y211" s="87">
        <v>1708.39388757805</v>
      </c>
      <c r="Z211" s="84">
        <v>1708.39388757805</v>
      </c>
      <c r="AA211" s="84">
        <v>3416.78777515609</v>
      </c>
      <c r="AB211" s="88">
        <v>3</v>
      </c>
      <c r="AC211" t="s">
        <v>1078</v>
      </c>
    </row>
    <row r="212" spans="3:29">
      <c r="C212" t="s">
        <v>1079</v>
      </c>
      <c r="D212" t="s">
        <v>1080</v>
      </c>
      <c r="E212" s="84">
        <v>3199.99</v>
      </c>
      <c r="F212" s="84">
        <v>1599.9949999999999</v>
      </c>
      <c r="G212" t="s">
        <v>1018</v>
      </c>
      <c r="H212" t="s">
        <v>1074</v>
      </c>
      <c r="I212" t="s">
        <v>1081</v>
      </c>
      <c r="J212" t="s">
        <v>1082</v>
      </c>
      <c r="K212" t="s">
        <v>1083</v>
      </c>
      <c r="L212" t="s">
        <v>50</v>
      </c>
      <c r="M212">
        <v>100</v>
      </c>
      <c r="N212">
        <v>50</v>
      </c>
      <c r="O212">
        <v>210</v>
      </c>
      <c r="P212">
        <v>1.05</v>
      </c>
      <c r="Q212" s="84" t="e">
        <v>#REF!</v>
      </c>
      <c r="R212" s="85"/>
      <c r="S212" s="85"/>
      <c r="T212" s="86">
        <v>0</v>
      </c>
      <c r="U212" s="84">
        <v>0</v>
      </c>
      <c r="V212" s="84">
        <v>2239.9929999999999</v>
      </c>
      <c r="W212" s="84">
        <v>1119.9965</v>
      </c>
      <c r="X212" s="82">
        <v>0.35</v>
      </c>
      <c r="Y212" s="82"/>
      <c r="Z212" s="84">
        <v>1119.9965</v>
      </c>
      <c r="AA212" s="84">
        <v>2239.9929999999999</v>
      </c>
      <c r="AB212" s="88" t="e">
        <v>#DIV/0!</v>
      </c>
      <c r="AC212" t="s">
        <v>1084</v>
      </c>
    </row>
    <row r="213" spans="3:29" ht="45.75">
      <c r="C213" t="s">
        <v>1085</v>
      </c>
      <c r="D213" t="s">
        <v>1086</v>
      </c>
      <c r="E213" s="84"/>
      <c r="F213" s="84">
        <v>0</v>
      </c>
      <c r="G213" t="s">
        <v>1018</v>
      </c>
      <c r="H213" t="s">
        <v>1087</v>
      </c>
      <c r="I213" t="s">
        <v>1088</v>
      </c>
      <c r="J213" t="s">
        <v>1058</v>
      </c>
      <c r="K213" s="83" t="s">
        <v>5248</v>
      </c>
      <c r="L213" t="s">
        <v>50</v>
      </c>
      <c r="M213">
        <v>210</v>
      </c>
      <c r="N213">
        <v>40</v>
      </c>
      <c r="O213">
        <v>93</v>
      </c>
      <c r="P213">
        <v>0.78120000000000001</v>
      </c>
      <c r="Q213" s="84" t="e">
        <v>#REF!</v>
      </c>
      <c r="R213" s="85"/>
      <c r="S213" s="85"/>
      <c r="T213" s="86">
        <v>0</v>
      </c>
      <c r="U213" s="84">
        <v>0</v>
      </c>
      <c r="V213" s="84">
        <v>0</v>
      </c>
      <c r="W213" s="84">
        <v>0</v>
      </c>
      <c r="X213" s="82" t="e">
        <v>#DIV/0!</v>
      </c>
      <c r="Y213" s="82"/>
      <c r="Z213" s="84">
        <v>0</v>
      </c>
      <c r="AA213" s="84">
        <v>0</v>
      </c>
      <c r="AB213" s="88" t="e">
        <v>#DIV/0!</v>
      </c>
      <c r="AC213" t="s">
        <v>1090</v>
      </c>
    </row>
    <row r="214" spans="3:29" ht="45.75">
      <c r="C214" t="s">
        <v>1091</v>
      </c>
      <c r="D214" t="s">
        <v>1092</v>
      </c>
      <c r="E214" s="84"/>
      <c r="F214" s="84">
        <v>0</v>
      </c>
      <c r="G214" t="s">
        <v>1018</v>
      </c>
      <c r="H214" t="s">
        <v>1093</v>
      </c>
      <c r="I214" t="s">
        <v>1094</v>
      </c>
      <c r="J214" t="s">
        <v>1095</v>
      </c>
      <c r="K214" s="83" t="s">
        <v>5248</v>
      </c>
      <c r="L214" t="s">
        <v>50</v>
      </c>
      <c r="M214">
        <v>210</v>
      </c>
      <c r="N214">
        <v>40</v>
      </c>
      <c r="O214">
        <v>210</v>
      </c>
      <c r="P214">
        <v>1.764</v>
      </c>
      <c r="Q214" s="84" t="e">
        <v>#REF!</v>
      </c>
      <c r="R214" s="85"/>
      <c r="S214" s="85"/>
      <c r="T214" s="86">
        <v>0</v>
      </c>
      <c r="U214" s="84">
        <v>0</v>
      </c>
      <c r="V214" s="84">
        <v>0</v>
      </c>
      <c r="W214" s="84">
        <v>0</v>
      </c>
      <c r="X214" s="82" t="e">
        <v>#DIV/0!</v>
      </c>
      <c r="Y214" s="82"/>
      <c r="Z214" s="84">
        <v>0</v>
      </c>
      <c r="AA214" s="84">
        <v>0</v>
      </c>
      <c r="AB214" s="88" t="e">
        <v>#DIV/0!</v>
      </c>
      <c r="AC214" t="s">
        <v>1096</v>
      </c>
    </row>
    <row r="215" spans="3:29">
      <c r="C215" t="s">
        <v>1097</v>
      </c>
      <c r="D215" t="s">
        <v>1098</v>
      </c>
      <c r="E215" s="84">
        <v>2099.9899999999998</v>
      </c>
      <c r="F215" s="84">
        <v>1049.9949999999999</v>
      </c>
      <c r="G215" t="s">
        <v>1018</v>
      </c>
      <c r="H215" t="s">
        <v>1099</v>
      </c>
      <c r="I215" t="s">
        <v>434</v>
      </c>
      <c r="J215" t="s">
        <v>1100</v>
      </c>
      <c r="K215" t="s">
        <v>1101</v>
      </c>
      <c r="L215" t="s">
        <v>50</v>
      </c>
      <c r="M215">
        <v>60</v>
      </c>
      <c r="N215">
        <v>50</v>
      </c>
      <c r="O215">
        <v>220</v>
      </c>
      <c r="P215">
        <v>0.66</v>
      </c>
      <c r="Q215" s="84" t="e">
        <v>#REF!</v>
      </c>
      <c r="R215" s="85"/>
      <c r="S215" s="85"/>
      <c r="T215" s="86">
        <v>0</v>
      </c>
      <c r="U215" s="84">
        <v>0</v>
      </c>
      <c r="V215" s="84">
        <v>1469.9929999999999</v>
      </c>
      <c r="W215" s="84">
        <v>734.99649999999997</v>
      </c>
      <c r="X215" s="82">
        <v>0.35</v>
      </c>
      <c r="Y215" s="82"/>
      <c r="Z215" s="84">
        <v>734.99649999999997</v>
      </c>
      <c r="AA215" s="84">
        <v>1469.9929999999999</v>
      </c>
      <c r="AB215" s="88" t="e">
        <v>#DIV/0!</v>
      </c>
      <c r="AC215" t="s">
        <v>1102</v>
      </c>
    </row>
    <row r="216" spans="3:29">
      <c r="C216" t="s">
        <v>1103</v>
      </c>
      <c r="D216" t="s">
        <v>1098</v>
      </c>
      <c r="E216" s="84">
        <v>3479.99</v>
      </c>
      <c r="F216" s="84">
        <v>1739.9949999999999</v>
      </c>
      <c r="G216" t="s">
        <v>1018</v>
      </c>
      <c r="H216" t="s">
        <v>1104</v>
      </c>
      <c r="I216" t="s">
        <v>434</v>
      </c>
      <c r="J216" t="s">
        <v>1105</v>
      </c>
      <c r="K216" t="s">
        <v>1101</v>
      </c>
      <c r="L216" t="s">
        <v>50</v>
      </c>
      <c r="M216">
        <v>240</v>
      </c>
      <c r="N216">
        <v>50</v>
      </c>
      <c r="O216">
        <v>160</v>
      </c>
      <c r="P216">
        <v>1.92</v>
      </c>
      <c r="Q216" s="84" t="e">
        <v>#REF!</v>
      </c>
      <c r="R216" s="85"/>
      <c r="S216" s="85"/>
      <c r="T216" s="86">
        <v>0</v>
      </c>
      <c r="U216" s="84">
        <v>0</v>
      </c>
      <c r="V216" s="84">
        <v>2435.9929999999999</v>
      </c>
      <c r="W216" s="84">
        <v>1217.9965</v>
      </c>
      <c r="X216" s="82">
        <v>0.35</v>
      </c>
      <c r="Y216" s="82"/>
      <c r="Z216" s="84">
        <v>1217.9965</v>
      </c>
      <c r="AA216" s="84">
        <v>2435.9929999999999</v>
      </c>
      <c r="AB216" s="88" t="e">
        <v>#DIV/0!</v>
      </c>
      <c r="AC216" t="s">
        <v>1106</v>
      </c>
    </row>
    <row r="217" spans="3:29">
      <c r="C217" t="s">
        <v>1107</v>
      </c>
      <c r="D217" t="s">
        <v>1108</v>
      </c>
      <c r="E217" s="84">
        <v>2519.9899999999998</v>
      </c>
      <c r="F217" s="84">
        <v>1259.9949999999999</v>
      </c>
      <c r="G217" t="s">
        <v>1018</v>
      </c>
      <c r="H217" t="s">
        <v>1109</v>
      </c>
      <c r="I217" t="s">
        <v>928</v>
      </c>
      <c r="J217" t="s">
        <v>1100</v>
      </c>
      <c r="K217" t="s">
        <v>1101</v>
      </c>
      <c r="L217" t="s">
        <v>50</v>
      </c>
      <c r="M217">
        <v>60</v>
      </c>
      <c r="N217">
        <v>50</v>
      </c>
      <c r="O217">
        <v>220</v>
      </c>
      <c r="P217">
        <v>0.66</v>
      </c>
      <c r="Q217" s="84" t="e">
        <v>#REF!</v>
      </c>
      <c r="R217" s="85"/>
      <c r="S217" s="85"/>
      <c r="T217" s="86">
        <v>0</v>
      </c>
      <c r="U217" s="84">
        <v>0</v>
      </c>
      <c r="V217" s="84">
        <v>1763.9929999999999</v>
      </c>
      <c r="W217" s="84">
        <v>881.99649999999997</v>
      </c>
      <c r="X217" s="82">
        <v>0.35</v>
      </c>
      <c r="Y217" s="82"/>
      <c r="Z217" s="84">
        <v>881.99649999999997</v>
      </c>
      <c r="AA217" s="84">
        <v>1763.9929999999999</v>
      </c>
      <c r="AB217" s="88" t="e">
        <v>#DIV/0!</v>
      </c>
      <c r="AC217" t="s">
        <v>1110</v>
      </c>
    </row>
    <row r="218" spans="3:29">
      <c r="C218" t="s">
        <v>1111</v>
      </c>
      <c r="D218" t="s">
        <v>1108</v>
      </c>
      <c r="E218" s="84">
        <v>3479.99</v>
      </c>
      <c r="F218" s="84">
        <v>1739.9949999999999</v>
      </c>
      <c r="G218" t="s">
        <v>1018</v>
      </c>
      <c r="H218" t="s">
        <v>1112</v>
      </c>
      <c r="I218" t="s">
        <v>928</v>
      </c>
      <c r="J218" t="s">
        <v>1113</v>
      </c>
      <c r="K218" t="s">
        <v>1101</v>
      </c>
      <c r="L218" t="s">
        <v>50</v>
      </c>
      <c r="M218">
        <v>240</v>
      </c>
      <c r="N218">
        <v>50</v>
      </c>
      <c r="O218">
        <v>160</v>
      </c>
      <c r="P218">
        <v>1.92</v>
      </c>
      <c r="Q218" s="84" t="e">
        <v>#REF!</v>
      </c>
      <c r="R218" s="85"/>
      <c r="S218" s="85"/>
      <c r="T218" s="86">
        <v>0</v>
      </c>
      <c r="U218" s="84">
        <v>0</v>
      </c>
      <c r="V218" s="84">
        <v>2435.9929999999999</v>
      </c>
      <c r="W218" s="84">
        <v>1217.9965</v>
      </c>
      <c r="X218" s="82">
        <v>0.35</v>
      </c>
      <c r="Y218" s="82"/>
      <c r="Z218" s="84">
        <v>1217.9965</v>
      </c>
      <c r="AA218" s="84">
        <v>2435.9929999999999</v>
      </c>
      <c r="AB218" s="88" t="e">
        <v>#DIV/0!</v>
      </c>
      <c r="AC218" t="s">
        <v>1114</v>
      </c>
    </row>
    <row r="219" spans="3:29">
      <c r="C219" t="s">
        <v>1115</v>
      </c>
      <c r="D219" t="s">
        <v>1116</v>
      </c>
      <c r="E219" s="84">
        <v>1824.99</v>
      </c>
      <c r="F219" s="84">
        <v>912.495</v>
      </c>
      <c r="G219" t="s">
        <v>1018</v>
      </c>
      <c r="H219" t="s">
        <v>1117</v>
      </c>
      <c r="I219" t="s">
        <v>649</v>
      </c>
      <c r="J219" t="s">
        <v>1118</v>
      </c>
      <c r="K219" t="s">
        <v>1119</v>
      </c>
      <c r="L219" t="s">
        <v>50</v>
      </c>
      <c r="M219">
        <v>140</v>
      </c>
      <c r="N219">
        <v>35</v>
      </c>
      <c r="O219">
        <v>190</v>
      </c>
      <c r="P219">
        <v>0.93100000000000005</v>
      </c>
      <c r="Q219" s="84" t="e">
        <v>#REF!</v>
      </c>
      <c r="R219" s="85"/>
      <c r="S219" s="85"/>
      <c r="T219" s="86">
        <v>0</v>
      </c>
      <c r="U219" s="84">
        <v>0</v>
      </c>
      <c r="V219" s="84">
        <v>1277.4929999999999</v>
      </c>
      <c r="W219" s="84">
        <v>638.74649999999997</v>
      </c>
      <c r="X219" s="82">
        <v>0.35</v>
      </c>
      <c r="Y219" s="82"/>
      <c r="Z219" s="84">
        <v>638.74649999999997</v>
      </c>
      <c r="AA219" s="84">
        <v>1277.4929999999999</v>
      </c>
      <c r="AB219" s="88" t="e">
        <v>#DIV/0!</v>
      </c>
      <c r="AC219" t="s">
        <v>1120</v>
      </c>
    </row>
    <row r="220" spans="3:29">
      <c r="C220" t="s">
        <v>1121</v>
      </c>
      <c r="D220" t="s">
        <v>1122</v>
      </c>
      <c r="E220" s="84"/>
      <c r="F220" s="84">
        <v>0</v>
      </c>
      <c r="G220" t="s">
        <v>1018</v>
      </c>
      <c r="H220" t="s">
        <v>1123</v>
      </c>
      <c r="I220" t="s">
        <v>649</v>
      </c>
      <c r="J220" t="s">
        <v>1124</v>
      </c>
      <c r="K220" t="s">
        <v>1125</v>
      </c>
      <c r="L220" t="s">
        <v>50</v>
      </c>
      <c r="M220">
        <v>70</v>
      </c>
      <c r="N220">
        <v>25</v>
      </c>
      <c r="O220">
        <v>150</v>
      </c>
      <c r="P220">
        <v>0.26250000000000001</v>
      </c>
      <c r="Q220" s="84" t="e">
        <v>#REF!</v>
      </c>
      <c r="R220" s="85"/>
      <c r="S220" s="85"/>
      <c r="T220" s="86">
        <v>0</v>
      </c>
      <c r="U220" s="84">
        <v>0</v>
      </c>
      <c r="V220" s="84">
        <v>0</v>
      </c>
      <c r="W220" s="84">
        <v>0</v>
      </c>
      <c r="X220" s="82" t="e">
        <v>#DIV/0!</v>
      </c>
      <c r="Y220" s="82"/>
      <c r="Z220" s="84">
        <v>0</v>
      </c>
      <c r="AA220" s="84">
        <v>0</v>
      </c>
      <c r="AB220" s="88" t="e">
        <v>#DIV/0!</v>
      </c>
      <c r="AC220" t="s">
        <v>1120</v>
      </c>
    </row>
    <row r="221" spans="3:29">
      <c r="C221" t="s">
        <v>1127</v>
      </c>
      <c r="D221" t="s">
        <v>1122</v>
      </c>
      <c r="E221" s="84">
        <v>1315.99</v>
      </c>
      <c r="F221" s="84">
        <v>657.995</v>
      </c>
      <c r="G221" t="s">
        <v>1018</v>
      </c>
      <c r="H221" t="s">
        <v>1128</v>
      </c>
      <c r="I221" t="s">
        <v>649</v>
      </c>
      <c r="J221" t="s">
        <v>1129</v>
      </c>
      <c r="K221" t="s">
        <v>1125</v>
      </c>
      <c r="L221" t="s">
        <v>50</v>
      </c>
      <c r="M221">
        <v>130</v>
      </c>
      <c r="N221">
        <v>3</v>
      </c>
      <c r="O221">
        <v>240</v>
      </c>
      <c r="P221">
        <v>9.3600000000000003E-2</v>
      </c>
      <c r="Q221" s="84" t="e">
        <v>#REF!</v>
      </c>
      <c r="R221" s="85">
        <v>5874567.6659996398</v>
      </c>
      <c r="S221" s="85">
        <v>0</v>
      </c>
      <c r="T221" s="86">
        <v>5874567.6659996398</v>
      </c>
      <c r="U221" s="84">
        <v>391.63784439997602</v>
      </c>
      <c r="V221" s="84">
        <v>921.19299999999998</v>
      </c>
      <c r="W221" s="84">
        <v>460.59649999999999</v>
      </c>
      <c r="X221" s="82">
        <v>0.35</v>
      </c>
      <c r="Y221" s="87">
        <v>692.75</v>
      </c>
      <c r="Z221" s="84">
        <v>692.75</v>
      </c>
      <c r="AA221" s="84">
        <v>1385.5</v>
      </c>
      <c r="AB221" s="88">
        <v>2.5</v>
      </c>
      <c r="AC221" t="s">
        <v>1130</v>
      </c>
    </row>
    <row r="222" spans="3:29">
      <c r="C222" t="s">
        <v>1131</v>
      </c>
      <c r="D222" t="s">
        <v>1132</v>
      </c>
      <c r="E222" s="84">
        <v>4359.99</v>
      </c>
      <c r="F222" s="84">
        <v>2179.9949999999999</v>
      </c>
      <c r="G222" t="s">
        <v>1018</v>
      </c>
      <c r="H222" t="s">
        <v>1133</v>
      </c>
      <c r="I222" t="s">
        <v>421</v>
      </c>
      <c r="J222" t="s">
        <v>1134</v>
      </c>
      <c r="K222" t="s">
        <v>1101</v>
      </c>
      <c r="L222" t="s">
        <v>50</v>
      </c>
      <c r="M222">
        <v>200</v>
      </c>
      <c r="N222">
        <v>50</v>
      </c>
      <c r="O222">
        <v>193</v>
      </c>
      <c r="P222">
        <v>1.93</v>
      </c>
      <c r="Q222" s="84" t="e">
        <v>#REF!</v>
      </c>
      <c r="R222" s="85">
        <v>12097924.043765999</v>
      </c>
      <c r="S222" s="85">
        <v>0</v>
      </c>
      <c r="T222" s="86">
        <v>12097924.043765999</v>
      </c>
      <c r="U222" s="84">
        <v>806.52826958439903</v>
      </c>
      <c r="V222" s="84">
        <v>3051.9929999999999</v>
      </c>
      <c r="W222" s="84">
        <v>1525.9965</v>
      </c>
      <c r="X222" s="82">
        <v>0.35</v>
      </c>
      <c r="Y222" s="87">
        <v>2016.320673961</v>
      </c>
      <c r="Z222" s="84">
        <v>2016.320673961</v>
      </c>
      <c r="AA222" s="84">
        <v>4032.641347922</v>
      </c>
      <c r="AB222" s="88">
        <v>2.5</v>
      </c>
      <c r="AC222" t="s">
        <v>1135</v>
      </c>
    </row>
    <row r="223" spans="3:29">
      <c r="C223" t="s">
        <v>1136</v>
      </c>
      <c r="D223" t="s">
        <v>1132</v>
      </c>
      <c r="E223" s="84"/>
      <c r="F223" s="84">
        <v>0</v>
      </c>
      <c r="G223" t="s">
        <v>1018</v>
      </c>
      <c r="H223" t="s">
        <v>1137</v>
      </c>
      <c r="I223" t="s">
        <v>421</v>
      </c>
      <c r="J223" t="s">
        <v>1138</v>
      </c>
      <c r="K223" t="s">
        <v>1101</v>
      </c>
      <c r="L223" t="s">
        <v>50</v>
      </c>
      <c r="M223">
        <v>200</v>
      </c>
      <c r="N223">
        <v>50</v>
      </c>
      <c r="O223">
        <v>248</v>
      </c>
      <c r="P223">
        <v>2.48</v>
      </c>
      <c r="Q223" s="84" t="e">
        <v>#REF!</v>
      </c>
      <c r="R223" s="85"/>
      <c r="S223" s="85"/>
      <c r="T223" s="86">
        <v>0</v>
      </c>
      <c r="U223" s="84">
        <v>0</v>
      </c>
      <c r="V223" s="84">
        <v>0</v>
      </c>
      <c r="W223" s="84">
        <v>0</v>
      </c>
      <c r="X223" s="82" t="e">
        <v>#DIV/0!</v>
      </c>
      <c r="Y223" s="82"/>
      <c r="Z223" s="84">
        <v>0</v>
      </c>
      <c r="AA223" s="84">
        <v>0</v>
      </c>
      <c r="AB223" s="88" t="e">
        <v>#DIV/0!</v>
      </c>
      <c r="AC223" t="s">
        <v>1139</v>
      </c>
    </row>
    <row r="224" spans="3:29">
      <c r="C224" t="s">
        <v>1140</v>
      </c>
      <c r="D224" t="s">
        <v>1141</v>
      </c>
      <c r="E224" s="84">
        <v>579.99</v>
      </c>
      <c r="F224" s="84">
        <v>289.995</v>
      </c>
      <c r="G224" t="s">
        <v>1018</v>
      </c>
      <c r="H224" t="s">
        <v>1142</v>
      </c>
      <c r="I224" t="s">
        <v>421</v>
      </c>
      <c r="K224" t="s">
        <v>1101</v>
      </c>
      <c r="L224" t="s">
        <v>50</v>
      </c>
      <c r="P224">
        <v>0</v>
      </c>
      <c r="Q224" s="84" t="e">
        <v>#REF!</v>
      </c>
      <c r="R224" s="85"/>
      <c r="S224" s="85"/>
      <c r="T224" s="86">
        <v>0</v>
      </c>
      <c r="U224" s="84">
        <v>0</v>
      </c>
      <c r="V224" s="84">
        <v>405.99299999999999</v>
      </c>
      <c r="W224" s="84">
        <v>202.9965</v>
      </c>
      <c r="X224" s="82">
        <v>0.35</v>
      </c>
      <c r="Y224" s="82"/>
      <c r="Z224" s="84">
        <v>202.9965</v>
      </c>
      <c r="AA224" s="84">
        <v>405.99299999999999</v>
      </c>
      <c r="AB224" s="88" t="e">
        <v>#DIV/0!</v>
      </c>
      <c r="AC224" t="s">
        <v>1143</v>
      </c>
    </row>
    <row r="225" spans="3:29">
      <c r="C225" t="s">
        <v>1144</v>
      </c>
      <c r="D225" t="s">
        <v>1145</v>
      </c>
      <c r="E225" s="84"/>
      <c r="F225" s="84">
        <v>0</v>
      </c>
      <c r="G225" t="s">
        <v>1018</v>
      </c>
      <c r="H225" t="s">
        <v>1146</v>
      </c>
      <c r="I225" t="s">
        <v>1147</v>
      </c>
      <c r="J225" t="s">
        <v>1148</v>
      </c>
      <c r="K225" t="s">
        <v>1101</v>
      </c>
      <c r="L225" t="s">
        <v>50</v>
      </c>
      <c r="M225">
        <v>185</v>
      </c>
      <c r="N225">
        <v>57</v>
      </c>
      <c r="O225">
        <v>200</v>
      </c>
      <c r="P225">
        <v>2.109</v>
      </c>
      <c r="Q225" s="84" t="e">
        <v>#REF!</v>
      </c>
      <c r="R225" s="85"/>
      <c r="S225" s="85"/>
      <c r="T225" s="86">
        <v>0</v>
      </c>
      <c r="U225" s="84">
        <v>0</v>
      </c>
      <c r="V225" s="84">
        <v>0</v>
      </c>
      <c r="W225" s="84">
        <v>0</v>
      </c>
      <c r="X225" s="82" t="e">
        <v>#DIV/0!</v>
      </c>
      <c r="Y225" s="82"/>
      <c r="Z225" s="84">
        <v>0</v>
      </c>
      <c r="AA225" s="84">
        <v>0</v>
      </c>
      <c r="AB225" s="88" t="e">
        <v>#DIV/0!</v>
      </c>
      <c r="AC225" t="s">
        <v>1149</v>
      </c>
    </row>
    <row r="226" spans="3:29">
      <c r="C226" t="s">
        <v>1150</v>
      </c>
      <c r="D226" t="s">
        <v>1151</v>
      </c>
      <c r="E226" s="84">
        <v>5519.99</v>
      </c>
      <c r="F226" s="84">
        <v>2759.9949999999999</v>
      </c>
      <c r="G226" t="s">
        <v>1018</v>
      </c>
      <c r="H226" t="s">
        <v>1152</v>
      </c>
      <c r="I226" t="s">
        <v>1153</v>
      </c>
      <c r="J226" t="s">
        <v>1154</v>
      </c>
      <c r="K226" t="s">
        <v>846</v>
      </c>
      <c r="L226" t="s">
        <v>50</v>
      </c>
      <c r="M226">
        <v>190</v>
      </c>
      <c r="N226">
        <v>50</v>
      </c>
      <c r="O226">
        <v>260</v>
      </c>
      <c r="P226">
        <v>2.4700000000000002</v>
      </c>
      <c r="Q226" s="84" t="e">
        <v>#REF!</v>
      </c>
      <c r="R226" s="85"/>
      <c r="S226" s="85"/>
      <c r="T226" s="86">
        <v>0</v>
      </c>
      <c r="U226" s="84">
        <v>0</v>
      </c>
      <c r="V226" s="84">
        <v>3863.9929999999999</v>
      </c>
      <c r="W226" s="84">
        <v>1931.9965</v>
      </c>
      <c r="X226" s="82">
        <v>0.35</v>
      </c>
      <c r="Y226" s="82"/>
      <c r="Z226" s="84">
        <v>1931.9965</v>
      </c>
      <c r="AA226" s="84">
        <v>3863.9929999999999</v>
      </c>
      <c r="AB226" s="88" t="e">
        <v>#DIV/0!</v>
      </c>
      <c r="AC226" t="s">
        <v>1155</v>
      </c>
    </row>
    <row r="227" spans="3:29">
      <c r="C227" t="s">
        <v>1156</v>
      </c>
      <c r="D227" t="s">
        <v>1157</v>
      </c>
      <c r="E227" s="84">
        <v>3269.99</v>
      </c>
      <c r="F227" s="84">
        <v>1634.9949999999999</v>
      </c>
      <c r="G227" t="s">
        <v>1018</v>
      </c>
      <c r="H227" t="s">
        <v>1158</v>
      </c>
      <c r="I227" t="s">
        <v>1159</v>
      </c>
      <c r="J227" t="s">
        <v>1160</v>
      </c>
      <c r="K227" t="s">
        <v>846</v>
      </c>
      <c r="L227" t="s">
        <v>50</v>
      </c>
      <c r="M227">
        <v>110</v>
      </c>
      <c r="N227">
        <v>45</v>
      </c>
      <c r="O227">
        <v>200</v>
      </c>
      <c r="P227">
        <v>0.99</v>
      </c>
      <c r="Q227" s="84" t="e">
        <v>#REF!</v>
      </c>
      <c r="R227" s="85"/>
      <c r="S227" s="85"/>
      <c r="T227" s="86">
        <v>0</v>
      </c>
      <c r="U227" s="84">
        <v>0</v>
      </c>
      <c r="V227" s="84">
        <v>2288.9929999999999</v>
      </c>
      <c r="W227" s="84">
        <v>1144.4965</v>
      </c>
      <c r="X227" s="82">
        <v>0.35</v>
      </c>
      <c r="Y227" s="82"/>
      <c r="Z227" s="84">
        <v>1144.4965</v>
      </c>
      <c r="AA227" s="84">
        <v>2288.9929999999999</v>
      </c>
      <c r="AB227" s="88" t="e">
        <v>#DIV/0!</v>
      </c>
      <c r="AC227" t="s">
        <v>1161</v>
      </c>
    </row>
    <row r="228" spans="3:29">
      <c r="C228" t="s">
        <v>1162</v>
      </c>
      <c r="D228" t="s">
        <v>1163</v>
      </c>
      <c r="E228" s="84"/>
      <c r="F228" s="84">
        <v>0</v>
      </c>
      <c r="G228" t="s">
        <v>1018</v>
      </c>
      <c r="H228" t="s">
        <v>1164</v>
      </c>
      <c r="I228" t="s">
        <v>1165</v>
      </c>
      <c r="J228" t="s">
        <v>1166</v>
      </c>
      <c r="K228" t="s">
        <v>1167</v>
      </c>
      <c r="L228" t="s">
        <v>50</v>
      </c>
      <c r="M228">
        <v>260</v>
      </c>
      <c r="N228">
        <v>45</v>
      </c>
      <c r="O228">
        <v>100</v>
      </c>
      <c r="P228">
        <v>1.17</v>
      </c>
      <c r="Q228" s="84" t="e">
        <v>#REF!</v>
      </c>
      <c r="R228" s="85"/>
      <c r="S228" s="85"/>
      <c r="T228" s="86">
        <v>0</v>
      </c>
      <c r="U228" s="84">
        <v>0</v>
      </c>
      <c r="V228" s="84">
        <v>0</v>
      </c>
      <c r="W228" s="84">
        <v>0</v>
      </c>
      <c r="X228" s="82" t="e">
        <v>#DIV/0!</v>
      </c>
      <c r="Y228" s="82"/>
      <c r="Z228" s="84">
        <v>0</v>
      </c>
      <c r="AA228" s="84">
        <v>0</v>
      </c>
      <c r="AB228" s="88" t="e">
        <v>#DIV/0!</v>
      </c>
      <c r="AC228" t="s">
        <v>1168</v>
      </c>
    </row>
    <row r="229" spans="3:29">
      <c r="C229" t="s">
        <v>1170</v>
      </c>
      <c r="E229" s="84"/>
      <c r="F229" s="82"/>
      <c r="R229" s="85"/>
      <c r="S229" s="85"/>
      <c r="T229" s="86"/>
      <c r="V229" s="84"/>
      <c r="W229" s="84"/>
      <c r="X229" s="82"/>
      <c r="Y229" s="82"/>
      <c r="Z229" s="82"/>
      <c r="AA229" s="82"/>
      <c r="AB229" s="88"/>
    </row>
    <row r="230" spans="3:29">
      <c r="C230" t="s">
        <v>1171</v>
      </c>
      <c r="D230" t="s">
        <v>1172</v>
      </c>
      <c r="E230" s="84">
        <v>1021.98</v>
      </c>
      <c r="F230" s="84">
        <v>510.99</v>
      </c>
      <c r="G230" t="s">
        <v>1170</v>
      </c>
      <c r="H230" t="s">
        <v>1173</v>
      </c>
      <c r="I230" t="s">
        <v>1174</v>
      </c>
      <c r="J230" t="s">
        <v>1175</v>
      </c>
      <c r="K230" t="s">
        <v>49</v>
      </c>
      <c r="L230" t="s">
        <v>1176</v>
      </c>
      <c r="M230">
        <v>40</v>
      </c>
      <c r="N230">
        <v>57</v>
      </c>
      <c r="O230">
        <v>83</v>
      </c>
      <c r="P230">
        <v>0.18923999999999999</v>
      </c>
      <c r="Q230" s="84" t="e">
        <v>#REF!</v>
      </c>
      <c r="R230" s="85">
        <v>869684.36908596999</v>
      </c>
      <c r="S230" s="85">
        <v>1020000</v>
      </c>
      <c r="T230" s="86">
        <v>1889684.3690859701</v>
      </c>
      <c r="U230" s="84">
        <v>125.978957939065</v>
      </c>
      <c r="V230" s="84">
        <v>715.38599999999997</v>
      </c>
      <c r="W230" s="84">
        <v>357.69299999999998</v>
      </c>
      <c r="X230" s="82">
        <v>0.35</v>
      </c>
      <c r="Y230" s="82"/>
      <c r="Z230" s="84">
        <v>357.69299999999998</v>
      </c>
      <c r="AA230" s="84">
        <v>715.38599999999997</v>
      </c>
      <c r="AB230" s="88">
        <v>2.8393074990587999</v>
      </c>
      <c r="AC230" t="s">
        <v>1177</v>
      </c>
    </row>
    <row r="231" spans="3:29">
      <c r="C231">
        <v>21912</v>
      </c>
      <c r="D231" t="s">
        <v>1179</v>
      </c>
      <c r="E231" s="84">
        <v>219.99</v>
      </c>
      <c r="F231" s="84">
        <v>109.995</v>
      </c>
      <c r="G231" t="s">
        <v>1170</v>
      </c>
      <c r="H231" t="s">
        <v>1180</v>
      </c>
      <c r="I231" t="s">
        <v>1181</v>
      </c>
      <c r="J231" t="s">
        <v>1182</v>
      </c>
      <c r="K231" t="s">
        <v>1183</v>
      </c>
      <c r="L231" t="s">
        <v>1176</v>
      </c>
      <c r="M231">
        <v>40</v>
      </c>
      <c r="N231">
        <v>54</v>
      </c>
      <c r="O231">
        <v>84</v>
      </c>
      <c r="P231">
        <v>0.18143999999999999</v>
      </c>
      <c r="Q231" s="84" t="e">
        <v>#REF!</v>
      </c>
      <c r="R231" s="85"/>
      <c r="S231" s="85"/>
      <c r="T231" s="86">
        <v>0</v>
      </c>
      <c r="U231" s="84">
        <v>0</v>
      </c>
      <c r="V231" s="84">
        <v>153.99299999999999</v>
      </c>
      <c r="W231" s="84">
        <v>76.996499999999997</v>
      </c>
      <c r="X231" s="82">
        <v>0.35</v>
      </c>
      <c r="Y231" s="82"/>
      <c r="Z231" s="84">
        <v>76.996499999999997</v>
      </c>
      <c r="AA231" s="84">
        <v>153.99299999999999</v>
      </c>
      <c r="AB231" s="88" t="e">
        <v>#DIV/0!</v>
      </c>
      <c r="AC231" t="s">
        <v>1184</v>
      </c>
    </row>
    <row r="232" spans="3:29">
      <c r="C232">
        <v>21910</v>
      </c>
      <c r="D232" t="s">
        <v>1186</v>
      </c>
      <c r="E232" s="84">
        <v>283.99</v>
      </c>
      <c r="F232" s="84">
        <v>141.995</v>
      </c>
      <c r="G232" t="s">
        <v>1170</v>
      </c>
      <c r="H232" t="s">
        <v>1187</v>
      </c>
      <c r="I232" t="s">
        <v>1188</v>
      </c>
      <c r="J232" t="s">
        <v>1189</v>
      </c>
      <c r="K232" t="s">
        <v>1183</v>
      </c>
      <c r="L232" t="s">
        <v>1176</v>
      </c>
      <c r="M232">
        <v>55</v>
      </c>
      <c r="N232">
        <v>55</v>
      </c>
      <c r="O232">
        <v>80</v>
      </c>
      <c r="P232">
        <v>0.24199999999999999</v>
      </c>
      <c r="Q232" s="84" t="e">
        <v>#REF!</v>
      </c>
      <c r="R232" s="85"/>
      <c r="S232" s="85"/>
      <c r="T232" s="86">
        <v>0</v>
      </c>
      <c r="U232" s="84">
        <v>0</v>
      </c>
      <c r="V232" s="84">
        <v>198.79300000000001</v>
      </c>
      <c r="W232" s="84">
        <v>99.396500000000003</v>
      </c>
      <c r="X232" s="82">
        <v>0.35</v>
      </c>
      <c r="Y232" s="82"/>
      <c r="Z232" s="84">
        <v>99.396500000000003</v>
      </c>
      <c r="AA232" s="84">
        <v>198.79300000000001</v>
      </c>
      <c r="AB232" s="88" t="e">
        <v>#DIV/0!</v>
      </c>
      <c r="AC232" t="s">
        <v>1190</v>
      </c>
    </row>
    <row r="233" spans="3:29">
      <c r="C233" t="s">
        <v>1191</v>
      </c>
      <c r="D233" t="s">
        <v>1192</v>
      </c>
      <c r="E233" s="84">
        <v>110.99</v>
      </c>
      <c r="F233" s="84">
        <v>55.494999999999997</v>
      </c>
      <c r="G233" t="s">
        <v>1170</v>
      </c>
      <c r="H233" t="s">
        <v>1193</v>
      </c>
      <c r="I233" t="s">
        <v>1194</v>
      </c>
      <c r="J233" t="s">
        <v>1195</v>
      </c>
      <c r="K233" t="s">
        <v>1196</v>
      </c>
      <c r="L233" t="s">
        <v>1176</v>
      </c>
      <c r="M233">
        <v>46</v>
      </c>
      <c r="N233">
        <v>53</v>
      </c>
      <c r="O233">
        <v>78</v>
      </c>
      <c r="P233">
        <v>0.190164</v>
      </c>
      <c r="Q233" s="84" t="e">
        <v>#REF!</v>
      </c>
      <c r="R233" s="85"/>
      <c r="S233" s="85"/>
      <c r="T233" s="86">
        <v>0</v>
      </c>
      <c r="U233" s="84">
        <v>0</v>
      </c>
      <c r="V233" s="84">
        <v>77.692999999999998</v>
      </c>
      <c r="W233" s="84">
        <v>38.846499999999999</v>
      </c>
      <c r="X233" s="82">
        <v>0.35</v>
      </c>
      <c r="Y233" s="82"/>
      <c r="Z233" s="84">
        <v>38.846499999999999</v>
      </c>
      <c r="AA233" s="84">
        <v>77.692999999999998</v>
      </c>
      <c r="AB233" s="88" t="e">
        <v>#DIV/0!</v>
      </c>
      <c r="AC233" t="s">
        <v>1197</v>
      </c>
    </row>
    <row r="234" spans="3:29">
      <c r="C234" t="s">
        <v>1199</v>
      </c>
      <c r="D234" t="s">
        <v>1200</v>
      </c>
      <c r="E234" s="84">
        <v>124.99</v>
      </c>
      <c r="F234" s="84">
        <v>62.494999999999997</v>
      </c>
      <c r="G234" t="s">
        <v>1170</v>
      </c>
      <c r="H234" t="s">
        <v>1201</v>
      </c>
      <c r="I234" t="s">
        <v>1202</v>
      </c>
      <c r="J234" t="s">
        <v>1203</v>
      </c>
      <c r="K234" t="s">
        <v>1196</v>
      </c>
      <c r="L234" t="s">
        <v>1176</v>
      </c>
      <c r="M234">
        <v>48</v>
      </c>
      <c r="N234">
        <v>53</v>
      </c>
      <c r="O234">
        <v>97</v>
      </c>
      <c r="P234">
        <v>0.24676799999999999</v>
      </c>
      <c r="Q234" s="84" t="e">
        <v>#REF!</v>
      </c>
      <c r="R234" s="85"/>
      <c r="S234" s="85"/>
      <c r="T234" s="86">
        <v>0</v>
      </c>
      <c r="U234" s="84">
        <v>0</v>
      </c>
      <c r="V234" s="84">
        <v>87.492999999999995</v>
      </c>
      <c r="W234" s="84">
        <v>43.746499999999997</v>
      </c>
      <c r="X234" s="82">
        <v>0.35</v>
      </c>
      <c r="Y234" s="82"/>
      <c r="Z234" s="84">
        <v>43.746499999999997</v>
      </c>
      <c r="AA234" s="84">
        <v>87.492999999999995</v>
      </c>
      <c r="AB234" s="88" t="e">
        <v>#DIV/0!</v>
      </c>
      <c r="AC234" t="s">
        <v>1204</v>
      </c>
    </row>
    <row r="235" spans="3:29">
      <c r="C235" t="s">
        <v>1205</v>
      </c>
      <c r="D235" t="s">
        <v>1206</v>
      </c>
      <c r="E235" s="84">
        <v>249.99</v>
      </c>
      <c r="F235" s="84">
        <v>124.995</v>
      </c>
      <c r="G235" t="s">
        <v>1170</v>
      </c>
      <c r="H235" t="s">
        <v>1207</v>
      </c>
      <c r="I235" t="s">
        <v>1208</v>
      </c>
      <c r="J235" t="s">
        <v>1209</v>
      </c>
      <c r="K235" t="s">
        <v>1196</v>
      </c>
      <c r="L235" t="s">
        <v>1176</v>
      </c>
      <c r="M235">
        <v>55</v>
      </c>
      <c r="N235">
        <v>61</v>
      </c>
      <c r="O235">
        <v>83</v>
      </c>
      <c r="P235">
        <v>0.27846500000000002</v>
      </c>
      <c r="Q235" s="84" t="e">
        <v>#REF!</v>
      </c>
      <c r="R235" s="85"/>
      <c r="S235" s="85"/>
      <c r="T235" s="86">
        <v>0</v>
      </c>
      <c r="U235" s="84">
        <v>0</v>
      </c>
      <c r="V235" s="84">
        <v>174.99299999999999</v>
      </c>
      <c r="W235" s="84">
        <v>87.496499999999997</v>
      </c>
      <c r="X235" s="82">
        <v>0.35</v>
      </c>
      <c r="Y235" s="82"/>
      <c r="Z235" s="84">
        <v>87.496499999999997</v>
      </c>
      <c r="AA235" s="84">
        <v>174.99299999999999</v>
      </c>
      <c r="AB235" s="88" t="e">
        <v>#DIV/0!</v>
      </c>
      <c r="AC235" t="s">
        <v>1210</v>
      </c>
    </row>
    <row r="236" spans="3:29">
      <c r="C236" t="s">
        <v>1211</v>
      </c>
      <c r="D236" t="s">
        <v>1212</v>
      </c>
      <c r="E236" s="84">
        <v>322.99</v>
      </c>
      <c r="F236" s="84">
        <v>161.495</v>
      </c>
      <c r="G236" t="s">
        <v>1170</v>
      </c>
      <c r="H236" t="s">
        <v>1213</v>
      </c>
      <c r="I236" t="s">
        <v>1214</v>
      </c>
      <c r="J236" t="s">
        <v>1215</v>
      </c>
      <c r="K236" t="s">
        <v>1216</v>
      </c>
      <c r="L236" t="s">
        <v>1176</v>
      </c>
      <c r="M236">
        <v>53</v>
      </c>
      <c r="N236">
        <v>65</v>
      </c>
      <c r="O236">
        <v>81</v>
      </c>
      <c r="P236">
        <v>0.27904499999999999</v>
      </c>
      <c r="Q236" s="84" t="e">
        <v>#REF!</v>
      </c>
      <c r="R236" s="85"/>
      <c r="S236" s="85"/>
      <c r="T236" s="86">
        <v>0</v>
      </c>
      <c r="U236" s="84">
        <v>0</v>
      </c>
      <c r="V236" s="84">
        <v>226.09299999999999</v>
      </c>
      <c r="W236" s="84">
        <v>113.04649999999999</v>
      </c>
      <c r="X236" s="82">
        <v>0.35</v>
      </c>
      <c r="Y236" s="82"/>
      <c r="Z236" s="84">
        <v>113.04649999999999</v>
      </c>
      <c r="AA236" s="84">
        <v>226.09299999999999</v>
      </c>
      <c r="AB236" s="88" t="e">
        <v>#DIV/0!</v>
      </c>
      <c r="AC236" t="s">
        <v>1217</v>
      </c>
    </row>
    <row r="237" spans="3:29">
      <c r="C237">
        <v>21997</v>
      </c>
      <c r="D237" t="s">
        <v>1219</v>
      </c>
      <c r="E237" s="84"/>
      <c r="F237" s="84">
        <v>0</v>
      </c>
      <c r="G237" t="s">
        <v>1170</v>
      </c>
      <c r="H237" t="s">
        <v>1220</v>
      </c>
      <c r="I237" t="s">
        <v>1221</v>
      </c>
      <c r="J237" t="s">
        <v>1222</v>
      </c>
      <c r="K237" t="s">
        <v>1223</v>
      </c>
      <c r="L237" t="s">
        <v>1176</v>
      </c>
      <c r="M237">
        <v>55</v>
      </c>
      <c r="N237">
        <v>63</v>
      </c>
      <c r="O237">
        <v>78</v>
      </c>
      <c r="P237">
        <v>0.27027000000000001</v>
      </c>
      <c r="Q237" s="84" t="e">
        <v>#REF!</v>
      </c>
      <c r="R237" s="85"/>
      <c r="S237" s="85"/>
      <c r="T237" s="86">
        <v>0</v>
      </c>
      <c r="U237" s="84">
        <v>0</v>
      </c>
      <c r="V237" s="84">
        <v>0</v>
      </c>
      <c r="W237" s="84">
        <v>0</v>
      </c>
      <c r="X237" s="82" t="e">
        <v>#DIV/0!</v>
      </c>
      <c r="Y237" s="82"/>
      <c r="Z237" s="84">
        <v>0</v>
      </c>
      <c r="AA237" s="84">
        <v>0</v>
      </c>
      <c r="AB237" s="88" t="e">
        <v>#DIV/0!</v>
      </c>
      <c r="AC237" t="s">
        <v>1224</v>
      </c>
    </row>
    <row r="238" spans="3:29">
      <c r="C238">
        <v>22003</v>
      </c>
      <c r="D238" t="s">
        <v>1226</v>
      </c>
      <c r="E238" s="84">
        <v>193.99</v>
      </c>
      <c r="F238" s="84">
        <v>96.995000000000005</v>
      </c>
      <c r="G238" t="s">
        <v>1170</v>
      </c>
      <c r="H238" t="s">
        <v>1227</v>
      </c>
      <c r="I238" t="s">
        <v>1228</v>
      </c>
      <c r="J238" t="s">
        <v>1229</v>
      </c>
      <c r="K238" t="s">
        <v>1230</v>
      </c>
      <c r="L238" t="s">
        <v>1176</v>
      </c>
      <c r="M238">
        <v>53</v>
      </c>
      <c r="N238">
        <v>53</v>
      </c>
      <c r="O238">
        <v>76</v>
      </c>
      <c r="P238">
        <v>0.21348400000000001</v>
      </c>
      <c r="Q238" s="84" t="e">
        <v>#REF!</v>
      </c>
      <c r="R238" s="85">
        <v>55000</v>
      </c>
      <c r="S238" s="85">
        <v>550000</v>
      </c>
      <c r="T238" s="86">
        <v>605000</v>
      </c>
      <c r="U238" s="84">
        <v>40.3333333333333</v>
      </c>
      <c r="V238" s="84">
        <v>135.79300000000001</v>
      </c>
      <c r="W238" s="84">
        <v>67.896500000000003</v>
      </c>
      <c r="X238" s="82">
        <v>0.35</v>
      </c>
      <c r="Y238" s="87">
        <v>80.6666666666667</v>
      </c>
      <c r="Z238" s="84">
        <v>80.6666666666667</v>
      </c>
      <c r="AA238" s="84">
        <v>161.333333333333</v>
      </c>
      <c r="AB238" s="88">
        <v>2</v>
      </c>
      <c r="AC238" t="s">
        <v>1231</v>
      </c>
    </row>
    <row r="239" spans="3:29">
      <c r="C239" t="s">
        <v>1233</v>
      </c>
      <c r="D239" t="s">
        <v>1234</v>
      </c>
      <c r="E239" s="84">
        <v>165.99</v>
      </c>
      <c r="F239" s="84">
        <v>82.995000000000005</v>
      </c>
      <c r="G239" t="s">
        <v>1170</v>
      </c>
      <c r="H239" t="s">
        <v>1235</v>
      </c>
      <c r="I239" t="s">
        <v>1236</v>
      </c>
      <c r="J239" t="s">
        <v>1237</v>
      </c>
      <c r="K239" t="s">
        <v>645</v>
      </c>
      <c r="L239" t="s">
        <v>646</v>
      </c>
      <c r="M239">
        <v>42</v>
      </c>
      <c r="N239">
        <v>42</v>
      </c>
      <c r="O239">
        <v>91</v>
      </c>
      <c r="P239">
        <v>0.160524</v>
      </c>
      <c r="Q239" s="84" t="e">
        <v>#REF!</v>
      </c>
      <c r="R239" s="85">
        <v>91096.423526507002</v>
      </c>
      <c r="S239" s="85">
        <v>220000</v>
      </c>
      <c r="T239" s="86">
        <v>311096.42352650699</v>
      </c>
      <c r="U239" s="84">
        <v>20.739761568433799</v>
      </c>
      <c r="V239" s="84">
        <v>116.193</v>
      </c>
      <c r="W239" s="84">
        <v>58.096499999999999</v>
      </c>
      <c r="X239" s="82">
        <v>0.35</v>
      </c>
      <c r="Y239" s="82"/>
      <c r="Z239" s="84">
        <v>58.096499999999999</v>
      </c>
      <c r="AA239" s="84">
        <v>116.193</v>
      </c>
      <c r="AB239" s="88">
        <v>2.8012134955506802</v>
      </c>
      <c r="AC239" t="s">
        <v>1238</v>
      </c>
    </row>
    <row r="240" spans="3:29">
      <c r="C240" t="s">
        <v>1239</v>
      </c>
      <c r="D240" t="s">
        <v>1240</v>
      </c>
      <c r="E240" s="84">
        <v>449.99</v>
      </c>
      <c r="F240" s="84">
        <v>224.995</v>
      </c>
      <c r="G240" t="s">
        <v>1170</v>
      </c>
      <c r="H240" t="s">
        <v>1241</v>
      </c>
      <c r="I240" t="s">
        <v>1242</v>
      </c>
      <c r="J240" t="s">
        <v>1243</v>
      </c>
      <c r="K240" t="s">
        <v>1244</v>
      </c>
      <c r="L240" t="s">
        <v>646</v>
      </c>
      <c r="M240">
        <v>47</v>
      </c>
      <c r="N240">
        <v>54</v>
      </c>
      <c r="O240">
        <v>78</v>
      </c>
      <c r="P240">
        <v>0.197964</v>
      </c>
      <c r="Q240" s="84" t="e">
        <v>#REF!</v>
      </c>
      <c r="R240" s="85">
        <v>174000</v>
      </c>
      <c r="S240" s="85">
        <v>1740000</v>
      </c>
      <c r="T240" s="86">
        <v>1914000</v>
      </c>
      <c r="U240" s="84">
        <v>127.6</v>
      </c>
      <c r="V240" s="84">
        <v>314.99299999999999</v>
      </c>
      <c r="W240" s="84">
        <v>157.4965</v>
      </c>
      <c r="X240" s="82">
        <v>0.35</v>
      </c>
      <c r="Y240" s="87">
        <v>216.92</v>
      </c>
      <c r="Z240" s="84">
        <v>216.92</v>
      </c>
      <c r="AA240" s="84">
        <v>433.84</v>
      </c>
      <c r="AB240" s="88">
        <v>2</v>
      </c>
      <c r="AC240" t="s">
        <v>1245</v>
      </c>
    </row>
    <row r="241" spans="3:29">
      <c r="C241" t="s">
        <v>1246</v>
      </c>
      <c r="D241" t="s">
        <v>1247</v>
      </c>
      <c r="E241" s="84">
        <v>539.99</v>
      </c>
      <c r="F241" s="84">
        <v>269.995</v>
      </c>
      <c r="G241" t="s">
        <v>1170</v>
      </c>
      <c r="H241" t="s">
        <v>1248</v>
      </c>
      <c r="I241" t="s">
        <v>1249</v>
      </c>
      <c r="J241" t="s">
        <v>1250</v>
      </c>
      <c r="K241" t="s">
        <v>1244</v>
      </c>
      <c r="L241" t="s">
        <v>646</v>
      </c>
      <c r="M241">
        <v>47</v>
      </c>
      <c r="N241">
        <v>54</v>
      </c>
      <c r="O241">
        <v>80</v>
      </c>
      <c r="P241">
        <v>0.20304</v>
      </c>
      <c r="Q241" s="84" t="e">
        <v>#REF!</v>
      </c>
      <c r="R241" s="85">
        <v>200000</v>
      </c>
      <c r="S241" s="85">
        <v>2000000</v>
      </c>
      <c r="T241" s="86">
        <v>2200000</v>
      </c>
      <c r="U241" s="84">
        <v>146.666666666667</v>
      </c>
      <c r="V241" s="84">
        <v>377.99299999999999</v>
      </c>
      <c r="W241" s="84">
        <v>188.9965</v>
      </c>
      <c r="X241" s="82">
        <v>0.35</v>
      </c>
      <c r="Y241" s="87">
        <v>249.333333333333</v>
      </c>
      <c r="Z241" s="84">
        <v>249.333333333333</v>
      </c>
      <c r="AA241" s="84">
        <v>498.66666666666703</v>
      </c>
      <c r="AB241" s="88">
        <v>1.7</v>
      </c>
      <c r="AC241" t="s">
        <v>1251</v>
      </c>
    </row>
    <row r="242" spans="3:29">
      <c r="C242" t="s">
        <v>1252</v>
      </c>
      <c r="D242" t="s">
        <v>1253</v>
      </c>
      <c r="E242" s="84">
        <v>469.99</v>
      </c>
      <c r="F242" s="84">
        <v>234.995</v>
      </c>
      <c r="G242" t="s">
        <v>1170</v>
      </c>
      <c r="H242" t="s">
        <v>1254</v>
      </c>
      <c r="I242" t="s">
        <v>1255</v>
      </c>
      <c r="J242" t="s">
        <v>1256</v>
      </c>
      <c r="K242" t="s">
        <v>1244</v>
      </c>
      <c r="L242" t="s">
        <v>50</v>
      </c>
      <c r="M242">
        <v>46</v>
      </c>
      <c r="N242">
        <v>55</v>
      </c>
      <c r="O242">
        <v>97</v>
      </c>
      <c r="P242">
        <v>0.24540999999999999</v>
      </c>
      <c r="Q242" s="84" t="e">
        <v>#REF!</v>
      </c>
      <c r="R242" s="85">
        <v>772158.00655311905</v>
      </c>
      <c r="S242" s="85"/>
      <c r="T242" s="86">
        <v>772158.00655311905</v>
      </c>
      <c r="U242" s="84">
        <v>51.477200436874597</v>
      </c>
      <c r="V242" s="84">
        <v>328.99299999999999</v>
      </c>
      <c r="W242" s="84">
        <v>164.4965</v>
      </c>
      <c r="X242" s="82">
        <v>0.35</v>
      </c>
      <c r="Y242" s="82"/>
      <c r="Z242" s="84">
        <v>164.4965</v>
      </c>
      <c r="AA242" s="84">
        <v>328.99299999999999</v>
      </c>
      <c r="AB242" s="88">
        <v>3.19552148531695</v>
      </c>
      <c r="AC242" t="s">
        <v>1257</v>
      </c>
    </row>
    <row r="243" spans="3:29">
      <c r="C243" t="s">
        <v>1258</v>
      </c>
      <c r="D243" t="s">
        <v>1259</v>
      </c>
      <c r="E243" s="84">
        <v>459.99</v>
      </c>
      <c r="F243" s="84">
        <v>229.995</v>
      </c>
      <c r="G243" t="s">
        <v>1170</v>
      </c>
      <c r="H243" t="s">
        <v>1260</v>
      </c>
      <c r="I243" t="s">
        <v>1261</v>
      </c>
      <c r="J243" t="s">
        <v>1262</v>
      </c>
      <c r="K243" t="s">
        <v>807</v>
      </c>
      <c r="L243" t="s">
        <v>50</v>
      </c>
      <c r="M243">
        <v>47</v>
      </c>
      <c r="N243">
        <v>50</v>
      </c>
      <c r="O243">
        <v>75</v>
      </c>
      <c r="P243">
        <v>0.17624999999999999</v>
      </c>
      <c r="Q243" s="84" t="e">
        <v>#REF!</v>
      </c>
      <c r="R243" s="85"/>
      <c r="S243" s="85"/>
      <c r="T243" s="86">
        <v>0</v>
      </c>
      <c r="U243" s="84">
        <v>0</v>
      </c>
      <c r="V243" s="84">
        <v>321.99299999999999</v>
      </c>
      <c r="W243" s="84">
        <v>160.9965</v>
      </c>
      <c r="X243" s="82">
        <v>0.35</v>
      </c>
      <c r="Y243" s="82"/>
      <c r="Z243" s="84">
        <v>160.9965</v>
      </c>
      <c r="AA243" s="84">
        <v>321.99299999999999</v>
      </c>
      <c r="AB243" s="88" t="e">
        <v>#DIV/0!</v>
      </c>
      <c r="AC243" t="s">
        <v>1263</v>
      </c>
    </row>
    <row r="244" spans="3:29">
      <c r="C244" t="s">
        <v>1264</v>
      </c>
      <c r="D244" t="s">
        <v>1265</v>
      </c>
      <c r="E244" s="84">
        <v>329.99</v>
      </c>
      <c r="F244" s="84">
        <v>164.995</v>
      </c>
      <c r="G244" t="s">
        <v>1170</v>
      </c>
      <c r="H244" t="s">
        <v>1266</v>
      </c>
      <c r="I244" t="s">
        <v>1267</v>
      </c>
      <c r="J244" t="s">
        <v>1268</v>
      </c>
      <c r="K244" t="s">
        <v>807</v>
      </c>
      <c r="L244" t="s">
        <v>50</v>
      </c>
      <c r="M244">
        <v>58</v>
      </c>
      <c r="N244">
        <v>56</v>
      </c>
      <c r="O244">
        <v>60</v>
      </c>
      <c r="P244">
        <v>0.19488</v>
      </c>
      <c r="Q244" s="84" t="e">
        <v>#REF!</v>
      </c>
      <c r="R244" s="85"/>
      <c r="S244" s="85"/>
      <c r="T244" s="86">
        <v>0</v>
      </c>
      <c r="U244" s="84">
        <v>0</v>
      </c>
      <c r="V244" s="84">
        <v>230.99299999999999</v>
      </c>
      <c r="W244" s="84">
        <v>115.4965</v>
      </c>
      <c r="X244" s="82">
        <v>0.35</v>
      </c>
      <c r="Y244" s="82"/>
      <c r="Z244" s="84">
        <v>115.4965</v>
      </c>
      <c r="AA244" s="84">
        <v>230.99299999999999</v>
      </c>
      <c r="AB244" s="88" t="e">
        <v>#DIV/0!</v>
      </c>
      <c r="AC244" t="s">
        <v>1269</v>
      </c>
    </row>
    <row r="245" spans="3:29">
      <c r="C245" t="s">
        <v>1270</v>
      </c>
      <c r="D245" t="s">
        <v>1271</v>
      </c>
      <c r="E245" s="84">
        <v>314.99</v>
      </c>
      <c r="F245" s="84">
        <v>157.495</v>
      </c>
      <c r="G245" t="s">
        <v>1170</v>
      </c>
      <c r="H245" t="s">
        <v>1272</v>
      </c>
      <c r="I245" t="s">
        <v>1273</v>
      </c>
      <c r="K245" t="s">
        <v>1223</v>
      </c>
      <c r="L245" t="s">
        <v>1176</v>
      </c>
      <c r="P245">
        <v>0</v>
      </c>
      <c r="Q245" s="84" t="e">
        <v>#REF!</v>
      </c>
      <c r="R245" s="85"/>
      <c r="S245" s="85"/>
      <c r="T245" s="86">
        <v>0</v>
      </c>
      <c r="U245" s="84">
        <v>0</v>
      </c>
      <c r="V245" s="84">
        <v>220.49299999999999</v>
      </c>
      <c r="W245" s="84">
        <v>110.2465</v>
      </c>
      <c r="X245" s="82">
        <v>0.35</v>
      </c>
      <c r="Y245" s="82"/>
      <c r="Z245" s="84">
        <v>110.2465</v>
      </c>
      <c r="AA245" s="84">
        <v>220.49299999999999</v>
      </c>
      <c r="AB245" s="88" t="e">
        <v>#DIV/0!</v>
      </c>
      <c r="AC245" t="s">
        <v>1274</v>
      </c>
    </row>
    <row r="246" spans="3:29">
      <c r="C246" t="s">
        <v>1275</v>
      </c>
      <c r="D246" t="s">
        <v>1276</v>
      </c>
      <c r="E246" s="84">
        <v>469.99</v>
      </c>
      <c r="F246" s="84">
        <v>234.995</v>
      </c>
      <c r="G246" t="s">
        <v>1170</v>
      </c>
      <c r="H246" t="s">
        <v>1277</v>
      </c>
      <c r="I246" t="s">
        <v>1278</v>
      </c>
      <c r="J246" t="s">
        <v>1279</v>
      </c>
      <c r="K246" t="s">
        <v>1244</v>
      </c>
      <c r="L246" t="s">
        <v>646</v>
      </c>
      <c r="M246">
        <v>50</v>
      </c>
      <c r="N246">
        <v>50</v>
      </c>
      <c r="O246">
        <v>78</v>
      </c>
      <c r="P246">
        <v>0.19500000000000001</v>
      </c>
      <c r="Q246" s="84" t="e">
        <v>#REF!</v>
      </c>
      <c r="R246" s="85">
        <v>452.64316230989101</v>
      </c>
      <c r="S246" s="85">
        <v>1533650</v>
      </c>
      <c r="T246" s="86">
        <v>1534102.6431623099</v>
      </c>
      <c r="U246" s="84">
        <v>102.273509544154</v>
      </c>
      <c r="V246" s="84">
        <v>328.99299999999999</v>
      </c>
      <c r="W246" s="84">
        <v>164.4965</v>
      </c>
      <c r="X246" s="82">
        <v>0.35</v>
      </c>
      <c r="Y246" s="87">
        <v>204.54701908830799</v>
      </c>
      <c r="Z246" s="84">
        <v>204.54701908830799</v>
      </c>
      <c r="AA246" s="84">
        <v>409.09403817661598</v>
      </c>
      <c r="AB246" s="88">
        <v>2</v>
      </c>
      <c r="AC246" t="s">
        <v>1280</v>
      </c>
    </row>
    <row r="247" spans="3:29">
      <c r="C247" t="s">
        <v>1281</v>
      </c>
      <c r="D247" t="s">
        <v>1282</v>
      </c>
      <c r="E247" s="84">
        <v>519.99</v>
      </c>
      <c r="F247" s="84">
        <v>259.995</v>
      </c>
      <c r="G247" t="s">
        <v>1170</v>
      </c>
      <c r="H247" t="s">
        <v>1283</v>
      </c>
      <c r="I247" t="s">
        <v>1284</v>
      </c>
      <c r="J247" t="s">
        <v>1285</v>
      </c>
      <c r="K247" t="s">
        <v>1244</v>
      </c>
      <c r="L247" t="s">
        <v>646</v>
      </c>
      <c r="M247">
        <v>56</v>
      </c>
      <c r="N247">
        <v>43</v>
      </c>
      <c r="O247">
        <v>80</v>
      </c>
      <c r="P247">
        <v>0.19264000000000001</v>
      </c>
      <c r="Q247" s="84" t="e">
        <v>#REF!</v>
      </c>
      <c r="R247" s="85"/>
      <c r="S247" s="85"/>
      <c r="T247" s="86">
        <v>0</v>
      </c>
      <c r="U247" s="84">
        <v>0</v>
      </c>
      <c r="V247" s="84">
        <v>363.99299999999999</v>
      </c>
      <c r="W247" s="84">
        <v>181.9965</v>
      </c>
      <c r="X247" s="82">
        <v>0.35</v>
      </c>
      <c r="Y247" s="82"/>
      <c r="Z247" s="84">
        <v>181.9965</v>
      </c>
      <c r="AA247" s="84">
        <v>363.99299999999999</v>
      </c>
      <c r="AB247" s="88" t="e">
        <v>#DIV/0!</v>
      </c>
      <c r="AC247" t="s">
        <v>1286</v>
      </c>
    </row>
    <row r="248" spans="3:29">
      <c r="C248" t="s">
        <v>1287</v>
      </c>
      <c r="D248" t="s">
        <v>1288</v>
      </c>
      <c r="E248" s="84"/>
      <c r="F248" s="84">
        <v>0</v>
      </c>
      <c r="G248" t="s">
        <v>1170</v>
      </c>
      <c r="H248" t="s">
        <v>1289</v>
      </c>
      <c r="I248" t="s">
        <v>1290</v>
      </c>
      <c r="J248" t="s">
        <v>1291</v>
      </c>
      <c r="K248" t="s">
        <v>1244</v>
      </c>
      <c r="L248" t="s">
        <v>646</v>
      </c>
      <c r="M248">
        <v>53</v>
      </c>
      <c r="N248">
        <v>66</v>
      </c>
      <c r="O248">
        <v>79</v>
      </c>
      <c r="P248">
        <v>0.27634199999999998</v>
      </c>
      <c r="Q248" s="84" t="e">
        <v>#REF!</v>
      </c>
      <c r="R248" s="85"/>
      <c r="S248" s="85"/>
      <c r="T248" s="86">
        <v>0</v>
      </c>
      <c r="U248" s="84">
        <v>0</v>
      </c>
      <c r="V248" s="84">
        <v>0</v>
      </c>
      <c r="W248" s="84">
        <v>0</v>
      </c>
      <c r="X248" s="82" t="e">
        <v>#DIV/0!</v>
      </c>
      <c r="Y248" s="82"/>
      <c r="Z248" s="84">
        <v>0</v>
      </c>
      <c r="AA248" s="84">
        <v>0</v>
      </c>
      <c r="AB248" s="88" t="e">
        <v>#DIV/0!</v>
      </c>
      <c r="AC248" t="s">
        <v>1292</v>
      </c>
    </row>
    <row r="249" spans="3:29">
      <c r="C249">
        <v>22002</v>
      </c>
      <c r="D249" t="s">
        <v>1293</v>
      </c>
      <c r="E249" s="84">
        <v>243.99</v>
      </c>
      <c r="F249" s="84">
        <v>121.995</v>
      </c>
      <c r="G249" t="s">
        <v>1170</v>
      </c>
      <c r="H249" t="s">
        <v>1294</v>
      </c>
      <c r="I249" t="s">
        <v>1295</v>
      </c>
      <c r="J249" t="s">
        <v>1296</v>
      </c>
      <c r="K249" t="s">
        <v>1297</v>
      </c>
      <c r="L249" t="s">
        <v>1176</v>
      </c>
      <c r="M249">
        <v>45</v>
      </c>
      <c r="N249">
        <v>45</v>
      </c>
      <c r="O249">
        <v>81</v>
      </c>
      <c r="P249">
        <v>0.164025</v>
      </c>
      <c r="Q249" s="84" t="e">
        <v>#REF!</v>
      </c>
      <c r="R249" s="85"/>
      <c r="S249" s="85"/>
      <c r="T249" s="86">
        <v>0</v>
      </c>
      <c r="U249" s="84">
        <v>0</v>
      </c>
      <c r="V249" s="84">
        <v>170.79300000000001</v>
      </c>
      <c r="W249" s="84">
        <v>85.396500000000003</v>
      </c>
      <c r="X249" s="82">
        <v>0.35</v>
      </c>
      <c r="Y249" s="82"/>
      <c r="Z249" s="84">
        <v>85.396500000000003</v>
      </c>
      <c r="AA249" s="84">
        <v>170.79300000000001</v>
      </c>
      <c r="AB249" s="88" t="e">
        <v>#DIV/0!</v>
      </c>
      <c r="AC249" t="s">
        <v>1298</v>
      </c>
    </row>
    <row r="250" spans="3:29">
      <c r="C250">
        <v>21066</v>
      </c>
      <c r="D250" t="s">
        <v>1299</v>
      </c>
      <c r="E250" s="84">
        <v>161.99</v>
      </c>
      <c r="F250" s="84">
        <v>80.995000000000005</v>
      </c>
      <c r="G250" t="s">
        <v>1170</v>
      </c>
      <c r="H250" t="s">
        <v>1300</v>
      </c>
      <c r="I250" t="s">
        <v>1301</v>
      </c>
      <c r="J250" t="s">
        <v>1302</v>
      </c>
      <c r="K250" t="s">
        <v>1196</v>
      </c>
      <c r="L250" t="s">
        <v>1176</v>
      </c>
      <c r="M250">
        <v>52</v>
      </c>
      <c r="N250">
        <v>62</v>
      </c>
      <c r="O250">
        <v>83</v>
      </c>
      <c r="P250">
        <v>0.267592</v>
      </c>
      <c r="Q250" s="84" t="e">
        <v>#REF!</v>
      </c>
      <c r="R250" s="85"/>
      <c r="S250" s="85"/>
      <c r="T250" s="86">
        <v>0</v>
      </c>
      <c r="U250" s="84">
        <v>0</v>
      </c>
      <c r="V250" s="84">
        <v>113.393</v>
      </c>
      <c r="W250" s="84">
        <v>56.6965</v>
      </c>
      <c r="X250" s="82">
        <v>0.35</v>
      </c>
      <c r="Y250" s="82"/>
      <c r="Z250" s="84">
        <v>56.6965</v>
      </c>
      <c r="AA250" s="84">
        <v>113.393</v>
      </c>
      <c r="AB250" s="88" t="e">
        <v>#DIV/0!</v>
      </c>
      <c r="AC250" t="s">
        <v>1303</v>
      </c>
    </row>
    <row r="251" spans="3:29">
      <c r="C251" t="s">
        <v>1304</v>
      </c>
      <c r="D251" t="s">
        <v>1305</v>
      </c>
      <c r="E251" s="84">
        <v>160.99</v>
      </c>
      <c r="F251" s="84">
        <v>80.495000000000005</v>
      </c>
      <c r="G251" t="s">
        <v>1170</v>
      </c>
      <c r="H251" t="s">
        <v>1306</v>
      </c>
      <c r="I251" t="s">
        <v>1307</v>
      </c>
      <c r="J251" t="s">
        <v>1308</v>
      </c>
      <c r="K251" t="s">
        <v>645</v>
      </c>
      <c r="L251" t="s">
        <v>646</v>
      </c>
      <c r="M251">
        <v>48</v>
      </c>
      <c r="N251">
        <v>63</v>
      </c>
      <c r="O251">
        <v>84.5</v>
      </c>
      <c r="P251">
        <v>0.25552799999999998</v>
      </c>
      <c r="Q251" s="84" t="e">
        <v>#REF!</v>
      </c>
      <c r="R251" s="85">
        <v>120000</v>
      </c>
      <c r="S251" s="85">
        <v>600000</v>
      </c>
      <c r="T251" s="86">
        <v>720000</v>
      </c>
      <c r="U251" s="84">
        <v>48</v>
      </c>
      <c r="V251" s="84">
        <v>112.693</v>
      </c>
      <c r="W251" s="84">
        <v>56.346499999999999</v>
      </c>
      <c r="X251" s="82">
        <v>0.35</v>
      </c>
      <c r="Y251" s="87">
        <v>79.2</v>
      </c>
      <c r="Z251" s="84">
        <v>79.2</v>
      </c>
      <c r="AA251" s="84">
        <v>158.4</v>
      </c>
      <c r="AB251" s="88">
        <v>2</v>
      </c>
      <c r="AC251" t="s">
        <v>1309</v>
      </c>
    </row>
    <row r="252" spans="3:29">
      <c r="C252" t="s">
        <v>1310</v>
      </c>
      <c r="D252" t="s">
        <v>1311</v>
      </c>
      <c r="E252" s="84">
        <v>155.99</v>
      </c>
      <c r="F252" s="84">
        <v>77.995000000000005</v>
      </c>
      <c r="G252" t="s">
        <v>1170</v>
      </c>
      <c r="H252" t="s">
        <v>1312</v>
      </c>
      <c r="I252" t="s">
        <v>1313</v>
      </c>
      <c r="J252" t="s">
        <v>1314</v>
      </c>
      <c r="K252" t="s">
        <v>1196</v>
      </c>
      <c r="L252" t="s">
        <v>1176</v>
      </c>
      <c r="M252">
        <v>50</v>
      </c>
      <c r="N252">
        <v>51</v>
      </c>
      <c r="O252">
        <v>82</v>
      </c>
      <c r="P252">
        <v>0.20910000000000001</v>
      </c>
      <c r="Q252" s="84" t="e">
        <v>#REF!</v>
      </c>
      <c r="R252" s="85"/>
      <c r="S252" s="85"/>
      <c r="T252" s="86">
        <v>0</v>
      </c>
      <c r="U252" s="84">
        <v>0</v>
      </c>
      <c r="V252" s="84">
        <v>109.193</v>
      </c>
      <c r="W252" s="84">
        <v>54.596499999999999</v>
      </c>
      <c r="X252" s="82">
        <v>0.35</v>
      </c>
      <c r="Y252" s="82"/>
      <c r="Z252" s="84">
        <v>54.596499999999999</v>
      </c>
      <c r="AA252" s="84">
        <v>109.193</v>
      </c>
      <c r="AB252" s="88" t="e">
        <v>#DIV/0!</v>
      </c>
      <c r="AC252" t="s">
        <v>1315</v>
      </c>
    </row>
    <row r="253" spans="3:29">
      <c r="C253" t="s">
        <v>1316</v>
      </c>
      <c r="D253" t="s">
        <v>1317</v>
      </c>
      <c r="E253" s="84">
        <v>211.99</v>
      </c>
      <c r="F253" s="84">
        <v>105.995</v>
      </c>
      <c r="G253" t="s">
        <v>1170</v>
      </c>
      <c r="H253" t="s">
        <v>1318</v>
      </c>
      <c r="I253" t="s">
        <v>1319</v>
      </c>
      <c r="J253" t="s">
        <v>1320</v>
      </c>
      <c r="K253" t="s">
        <v>1196</v>
      </c>
      <c r="L253" t="s">
        <v>1176</v>
      </c>
      <c r="M253">
        <v>63</v>
      </c>
      <c r="N253">
        <v>61</v>
      </c>
      <c r="O253">
        <v>81</v>
      </c>
      <c r="P253">
        <v>0.31128299999999998</v>
      </c>
      <c r="Q253" s="84" t="e">
        <v>#REF!</v>
      </c>
      <c r="R253" s="85"/>
      <c r="S253" s="85"/>
      <c r="T253" s="86">
        <v>0</v>
      </c>
      <c r="U253" s="84">
        <v>0</v>
      </c>
      <c r="V253" s="84">
        <v>148.393</v>
      </c>
      <c r="W253" s="84">
        <v>74.1965</v>
      </c>
      <c r="X253" s="82">
        <v>0.35</v>
      </c>
      <c r="Y253" s="82"/>
      <c r="Z253" s="84">
        <v>74.1965</v>
      </c>
      <c r="AA253" s="84">
        <v>148.393</v>
      </c>
      <c r="AB253" s="88" t="e">
        <v>#DIV/0!</v>
      </c>
      <c r="AC253" t="s">
        <v>1321</v>
      </c>
    </row>
    <row r="254" spans="3:29">
      <c r="C254">
        <v>21899</v>
      </c>
      <c r="D254" t="s">
        <v>1322</v>
      </c>
      <c r="E254" s="84">
        <v>314.99</v>
      </c>
      <c r="F254" s="84">
        <v>157.495</v>
      </c>
      <c r="G254" t="s">
        <v>1170</v>
      </c>
      <c r="H254" t="s">
        <v>1323</v>
      </c>
      <c r="I254" t="s">
        <v>1324</v>
      </c>
      <c r="J254" t="s">
        <v>1325</v>
      </c>
      <c r="K254" t="s">
        <v>1326</v>
      </c>
      <c r="L254" t="s">
        <v>1176</v>
      </c>
      <c r="M254">
        <v>58</v>
      </c>
      <c r="N254">
        <v>62</v>
      </c>
      <c r="O254">
        <v>84</v>
      </c>
      <c r="P254">
        <v>0.302064</v>
      </c>
      <c r="Q254" s="84" t="e">
        <v>#REF!</v>
      </c>
      <c r="R254" s="85">
        <v>112000</v>
      </c>
      <c r="S254" s="85">
        <v>760750</v>
      </c>
      <c r="T254" s="86">
        <v>872750</v>
      </c>
      <c r="U254" s="84">
        <v>58.183333333333302</v>
      </c>
      <c r="V254" s="84">
        <v>220.49299999999999</v>
      </c>
      <c r="W254" s="84">
        <v>110.2465</v>
      </c>
      <c r="X254" s="82">
        <v>0.35</v>
      </c>
      <c r="Y254" s="87">
        <v>116.366666666667</v>
      </c>
      <c r="Z254" s="84">
        <v>116.366666666667</v>
      </c>
      <c r="AA254" s="84">
        <v>232.73333333333301</v>
      </c>
      <c r="AB254" s="88">
        <v>2</v>
      </c>
      <c r="AC254" t="s">
        <v>1327</v>
      </c>
    </row>
    <row r="255" spans="3:29">
      <c r="C255" t="s">
        <v>1328</v>
      </c>
      <c r="D255" t="s">
        <v>1329</v>
      </c>
      <c r="E255" s="84">
        <v>280.99</v>
      </c>
      <c r="F255" s="84">
        <v>140.495</v>
      </c>
      <c r="G255" t="s">
        <v>1170</v>
      </c>
      <c r="H255" t="s">
        <v>1330</v>
      </c>
      <c r="I255" t="s">
        <v>1331</v>
      </c>
      <c r="J255" t="s">
        <v>1325</v>
      </c>
      <c r="K255" t="s">
        <v>1196</v>
      </c>
      <c r="L255" t="s">
        <v>1176</v>
      </c>
      <c r="M255">
        <v>58</v>
      </c>
      <c r="N255">
        <v>62</v>
      </c>
      <c r="O255">
        <v>84</v>
      </c>
      <c r="P255">
        <v>0.302064</v>
      </c>
      <c r="Q255" s="84" t="e">
        <v>#REF!</v>
      </c>
      <c r="R255" s="85">
        <v>113115.17556322399</v>
      </c>
      <c r="S255" s="85">
        <v>872950</v>
      </c>
      <c r="T255" s="86">
        <v>986065.17556322401</v>
      </c>
      <c r="U255" s="84">
        <v>65.737678370881596</v>
      </c>
      <c r="V255" s="84">
        <v>196.69300000000001</v>
      </c>
      <c r="W255" s="84">
        <v>98.346500000000006</v>
      </c>
      <c r="X255" s="82">
        <v>0.35</v>
      </c>
      <c r="Y255" s="87">
        <v>131.47535674176299</v>
      </c>
      <c r="Z255" s="84">
        <v>131.47535674176299</v>
      </c>
      <c r="AA255" s="84">
        <v>262.95071348352599</v>
      </c>
      <c r="AB255" s="88">
        <v>2</v>
      </c>
      <c r="AC255" t="s">
        <v>1332</v>
      </c>
    </row>
    <row r="256" spans="3:29">
      <c r="C256" t="s">
        <v>1333</v>
      </c>
      <c r="E256" s="84"/>
      <c r="F256" s="82"/>
      <c r="R256" s="85"/>
      <c r="S256" s="85"/>
      <c r="T256" s="86"/>
      <c r="V256" s="84"/>
      <c r="W256" s="84"/>
      <c r="X256" s="82"/>
      <c r="Y256" s="82"/>
      <c r="Z256" s="82"/>
      <c r="AA256" s="82"/>
      <c r="AB256" s="88"/>
    </row>
    <row r="257" spans="3:29">
      <c r="C257" t="s">
        <v>1334</v>
      </c>
      <c r="D257" t="s">
        <v>1335</v>
      </c>
      <c r="E257" s="84">
        <v>214.99</v>
      </c>
      <c r="F257" s="84">
        <v>107.495</v>
      </c>
      <c r="G257" t="s">
        <v>1333</v>
      </c>
      <c r="H257" t="s">
        <v>1336</v>
      </c>
      <c r="I257" t="s">
        <v>1337</v>
      </c>
      <c r="J257" t="s">
        <v>1338</v>
      </c>
      <c r="K257" t="s">
        <v>662</v>
      </c>
      <c r="L257" t="s">
        <v>646</v>
      </c>
      <c r="M257">
        <v>45</v>
      </c>
      <c r="N257">
        <v>45</v>
      </c>
      <c r="O257">
        <v>105</v>
      </c>
      <c r="P257">
        <v>0.21262500000000001</v>
      </c>
      <c r="Q257" s="84" t="e">
        <v>#REF!</v>
      </c>
      <c r="R257" s="85"/>
      <c r="S257" s="85"/>
      <c r="T257" s="86">
        <v>0</v>
      </c>
      <c r="U257" s="84">
        <v>0</v>
      </c>
      <c r="V257" s="84">
        <v>150.49299999999999</v>
      </c>
      <c r="W257" s="84">
        <v>75.246499999999997</v>
      </c>
      <c r="X257" s="82">
        <v>0.35</v>
      </c>
      <c r="Y257" s="82"/>
      <c r="Z257" s="84">
        <v>75.246499999999997</v>
      </c>
      <c r="AA257" s="84">
        <v>150.49299999999999</v>
      </c>
      <c r="AB257" s="88" t="e">
        <v>#DIV/0!</v>
      </c>
      <c r="AC257" t="s">
        <v>1339</v>
      </c>
    </row>
    <row r="258" spans="3:29">
      <c r="C258">
        <v>21913</v>
      </c>
      <c r="D258" t="s">
        <v>1341</v>
      </c>
      <c r="E258" s="84">
        <v>275.99</v>
      </c>
      <c r="F258" s="84">
        <v>137.995</v>
      </c>
      <c r="G258" t="s">
        <v>1333</v>
      </c>
      <c r="H258" t="s">
        <v>1342</v>
      </c>
      <c r="I258" t="s">
        <v>1343</v>
      </c>
      <c r="J258" t="s">
        <v>1344</v>
      </c>
      <c r="K258" t="s">
        <v>1183</v>
      </c>
      <c r="L258" t="s">
        <v>670</v>
      </c>
      <c r="M258">
        <v>41</v>
      </c>
      <c r="N258">
        <v>55</v>
      </c>
      <c r="O258">
        <v>110</v>
      </c>
      <c r="P258">
        <v>0.24804999999999999</v>
      </c>
      <c r="Q258" s="84" t="e">
        <v>#REF!</v>
      </c>
      <c r="R258" s="85"/>
      <c r="S258" s="85"/>
      <c r="T258" s="86">
        <v>0</v>
      </c>
      <c r="U258" s="84">
        <v>0</v>
      </c>
      <c r="V258" s="84">
        <v>193.19300000000001</v>
      </c>
      <c r="W258" s="84">
        <v>96.596500000000006</v>
      </c>
      <c r="X258" s="82">
        <v>0.35</v>
      </c>
      <c r="Y258" s="82"/>
      <c r="Z258" s="84">
        <v>96.596500000000006</v>
      </c>
      <c r="AA258" s="84">
        <v>193.19300000000001</v>
      </c>
      <c r="AB258" s="88" t="e">
        <v>#DIV/0!</v>
      </c>
      <c r="AC258" t="s">
        <v>1345</v>
      </c>
    </row>
    <row r="259" spans="3:29">
      <c r="C259">
        <v>21951</v>
      </c>
      <c r="D259" t="s">
        <v>1346</v>
      </c>
      <c r="E259" s="84">
        <v>374.99</v>
      </c>
      <c r="F259" s="84">
        <v>187.495</v>
      </c>
      <c r="G259" t="s">
        <v>1333</v>
      </c>
      <c r="H259" t="s">
        <v>1347</v>
      </c>
      <c r="I259" t="s">
        <v>1348</v>
      </c>
      <c r="J259" t="s">
        <v>1349</v>
      </c>
      <c r="K259" t="s">
        <v>1183</v>
      </c>
      <c r="L259" t="s">
        <v>670</v>
      </c>
      <c r="M259">
        <v>55</v>
      </c>
      <c r="N259">
        <v>55</v>
      </c>
      <c r="O259">
        <v>110</v>
      </c>
      <c r="P259">
        <v>0.33274999999999999</v>
      </c>
      <c r="Q259" s="84" t="e">
        <v>#REF!</v>
      </c>
      <c r="R259" s="85"/>
      <c r="S259" s="85"/>
      <c r="T259" s="86">
        <v>0</v>
      </c>
      <c r="U259" s="84">
        <v>0</v>
      </c>
      <c r="V259" s="84">
        <v>262.49299999999999</v>
      </c>
      <c r="W259" s="84">
        <v>131.2465</v>
      </c>
      <c r="X259" s="82">
        <v>0.35</v>
      </c>
      <c r="Y259" s="82"/>
      <c r="Z259" s="84">
        <v>131.2465</v>
      </c>
      <c r="AA259" s="84">
        <v>262.49299999999999</v>
      </c>
      <c r="AB259" s="88" t="e">
        <v>#DIV/0!</v>
      </c>
      <c r="AC259" t="s">
        <v>1350</v>
      </c>
    </row>
    <row r="260" spans="3:29">
      <c r="C260" t="s">
        <v>1351</v>
      </c>
      <c r="D260" t="s">
        <v>1352</v>
      </c>
      <c r="E260" s="84">
        <v>449.99</v>
      </c>
      <c r="F260" s="84">
        <v>224.995</v>
      </c>
      <c r="G260" t="s">
        <v>1333</v>
      </c>
      <c r="H260" t="s">
        <v>1353</v>
      </c>
      <c r="I260" t="s">
        <v>721</v>
      </c>
      <c r="J260" t="s">
        <v>1354</v>
      </c>
      <c r="K260" t="s">
        <v>807</v>
      </c>
      <c r="L260" t="s">
        <v>50</v>
      </c>
      <c r="M260">
        <v>45</v>
      </c>
      <c r="N260">
        <v>40</v>
      </c>
      <c r="O260">
        <v>65</v>
      </c>
      <c r="P260">
        <v>0.11700000000000001</v>
      </c>
      <c r="Q260" s="84" t="e">
        <v>#REF!</v>
      </c>
      <c r="R260" s="85"/>
      <c r="S260" s="85"/>
      <c r="T260" s="86">
        <v>0</v>
      </c>
      <c r="U260" s="84">
        <v>0</v>
      </c>
      <c r="V260" s="84">
        <v>314.99299999999999</v>
      </c>
      <c r="W260" s="84">
        <v>157.4965</v>
      </c>
      <c r="X260" s="82">
        <v>0.35</v>
      </c>
      <c r="Y260" s="82"/>
      <c r="Z260" s="84">
        <v>157.4965</v>
      </c>
      <c r="AA260" s="84">
        <v>314.99299999999999</v>
      </c>
      <c r="AB260" s="88" t="e">
        <v>#DIV/0!</v>
      </c>
      <c r="AC260" t="s">
        <v>1355</v>
      </c>
    </row>
    <row r="261" spans="3:29">
      <c r="C261" t="s">
        <v>1356</v>
      </c>
      <c r="D261" t="s">
        <v>1352</v>
      </c>
      <c r="E261" s="84">
        <v>469.99</v>
      </c>
      <c r="F261" s="84">
        <v>234.995</v>
      </c>
      <c r="G261" t="s">
        <v>1333</v>
      </c>
      <c r="H261" t="s">
        <v>1357</v>
      </c>
      <c r="I261" t="s">
        <v>721</v>
      </c>
      <c r="J261" t="s">
        <v>1358</v>
      </c>
      <c r="K261" t="s">
        <v>807</v>
      </c>
      <c r="L261" t="s">
        <v>50</v>
      </c>
      <c r="M261">
        <v>45</v>
      </c>
      <c r="N261">
        <v>40</v>
      </c>
      <c r="O261">
        <v>75</v>
      </c>
      <c r="P261">
        <v>0.13500000000000001</v>
      </c>
      <c r="Q261" s="84" t="e">
        <v>#REF!</v>
      </c>
      <c r="R261" s="85"/>
      <c r="S261" s="85"/>
      <c r="T261" s="86">
        <v>0</v>
      </c>
      <c r="U261" s="84">
        <v>0</v>
      </c>
      <c r="V261" s="84">
        <v>328.99299999999999</v>
      </c>
      <c r="W261" s="84">
        <v>164.4965</v>
      </c>
      <c r="X261" s="82">
        <v>0.35</v>
      </c>
      <c r="Y261" s="82"/>
      <c r="Z261" s="84">
        <v>164.4965</v>
      </c>
      <c r="AA261" s="84">
        <v>328.99299999999999</v>
      </c>
      <c r="AB261" s="88" t="e">
        <v>#DIV/0!</v>
      </c>
      <c r="AC261" t="s">
        <v>1355</v>
      </c>
    </row>
    <row r="262" spans="3:29">
      <c r="C262" t="s">
        <v>1359</v>
      </c>
      <c r="D262" t="s">
        <v>1360</v>
      </c>
      <c r="E262" s="84">
        <v>229.99</v>
      </c>
      <c r="F262" s="84">
        <v>114.995</v>
      </c>
      <c r="G262" t="s">
        <v>1333</v>
      </c>
      <c r="H262" t="s">
        <v>1361</v>
      </c>
      <c r="I262" t="s">
        <v>1362</v>
      </c>
      <c r="J262" t="s">
        <v>1363</v>
      </c>
      <c r="K262" t="s">
        <v>815</v>
      </c>
      <c r="L262" t="s">
        <v>50</v>
      </c>
      <c r="M262">
        <v>49</v>
      </c>
      <c r="N262">
        <v>25</v>
      </c>
      <c r="O262">
        <v>75</v>
      </c>
      <c r="P262">
        <v>9.1874999999999998E-2</v>
      </c>
      <c r="Q262" s="84" t="e">
        <v>#REF!</v>
      </c>
      <c r="R262" s="85"/>
      <c r="S262" s="85"/>
      <c r="T262" s="86">
        <v>0</v>
      </c>
      <c r="U262" s="84">
        <v>0</v>
      </c>
      <c r="V262" s="84">
        <v>160.99299999999999</v>
      </c>
      <c r="W262" s="84">
        <v>80.496499999999997</v>
      </c>
      <c r="X262" s="82">
        <v>0.35</v>
      </c>
      <c r="Y262" s="82"/>
      <c r="Z262" s="84">
        <v>80.496499999999997</v>
      </c>
      <c r="AA262" s="84">
        <v>160.99299999999999</v>
      </c>
      <c r="AB262" s="88" t="e">
        <v>#DIV/0!</v>
      </c>
      <c r="AC262" t="s">
        <v>1364</v>
      </c>
    </row>
    <row r="263" spans="3:29">
      <c r="C263" t="s">
        <v>1365</v>
      </c>
      <c r="D263" t="s">
        <v>1366</v>
      </c>
      <c r="E263" s="84">
        <v>339.99</v>
      </c>
      <c r="F263" s="84">
        <v>169.995</v>
      </c>
      <c r="G263" t="s">
        <v>1333</v>
      </c>
      <c r="H263" t="s">
        <v>1367</v>
      </c>
      <c r="I263" t="s">
        <v>212</v>
      </c>
      <c r="J263" t="s">
        <v>1368</v>
      </c>
      <c r="K263" t="s">
        <v>807</v>
      </c>
      <c r="L263" t="s">
        <v>50</v>
      </c>
      <c r="N263">
        <v>40</v>
      </c>
      <c r="O263">
        <v>65</v>
      </c>
      <c r="P263">
        <v>0.104</v>
      </c>
      <c r="Q263" s="84" t="e">
        <v>#REF!</v>
      </c>
      <c r="R263" s="85"/>
      <c r="S263" s="85"/>
      <c r="T263" s="86">
        <v>0</v>
      </c>
      <c r="U263" s="84">
        <v>0</v>
      </c>
      <c r="V263" s="84">
        <v>237.99299999999999</v>
      </c>
      <c r="W263" s="84">
        <v>118.9965</v>
      </c>
      <c r="X263" s="82">
        <v>0.35</v>
      </c>
      <c r="Y263" s="82"/>
      <c r="Z263" s="84">
        <v>118.9965</v>
      </c>
      <c r="AA263" s="84">
        <v>237.99299999999999</v>
      </c>
      <c r="AB263" s="88" t="e">
        <v>#DIV/0!</v>
      </c>
      <c r="AC263" t="s">
        <v>1369</v>
      </c>
    </row>
    <row r="264" spans="3:29">
      <c r="C264" t="s">
        <v>1370</v>
      </c>
      <c r="D264" t="s">
        <v>1366</v>
      </c>
      <c r="E264" s="84">
        <v>369.99</v>
      </c>
      <c r="F264" s="84">
        <v>184.995</v>
      </c>
      <c r="G264" t="s">
        <v>1333</v>
      </c>
      <c r="H264" t="s">
        <v>1371</v>
      </c>
      <c r="I264" t="s">
        <v>212</v>
      </c>
      <c r="J264" t="s">
        <v>1372</v>
      </c>
      <c r="K264" t="s">
        <v>807</v>
      </c>
      <c r="L264" t="s">
        <v>50</v>
      </c>
      <c r="N264">
        <v>40</v>
      </c>
      <c r="O264">
        <v>75</v>
      </c>
      <c r="P264">
        <v>0.12</v>
      </c>
      <c r="Q264" s="84" t="e">
        <v>#REF!</v>
      </c>
      <c r="R264" s="85">
        <v>701359.60932572302</v>
      </c>
      <c r="S264" s="85">
        <v>0</v>
      </c>
      <c r="T264" s="86">
        <v>701359.60932572302</v>
      </c>
      <c r="U264" s="84">
        <v>46.757307288381497</v>
      </c>
      <c r="V264" s="84">
        <v>258.99299999999999</v>
      </c>
      <c r="W264" s="84">
        <v>129.4965</v>
      </c>
      <c r="X264" s="82">
        <v>0.35</v>
      </c>
      <c r="Y264" s="82"/>
      <c r="Z264" s="84">
        <v>129.4965</v>
      </c>
      <c r="AA264" s="84">
        <v>258.99299999999999</v>
      </c>
      <c r="AB264" s="88">
        <v>2.7695457140274198</v>
      </c>
      <c r="AC264" t="s">
        <v>1373</v>
      </c>
    </row>
    <row r="265" spans="3:29">
      <c r="C265" t="s">
        <v>1374</v>
      </c>
      <c r="D265" t="s">
        <v>1375</v>
      </c>
      <c r="E265" s="84">
        <v>359.99</v>
      </c>
      <c r="F265" s="84">
        <v>179.995</v>
      </c>
      <c r="G265" t="s">
        <v>1333</v>
      </c>
      <c r="H265" t="s">
        <v>1376</v>
      </c>
      <c r="I265" t="s">
        <v>1377</v>
      </c>
      <c r="J265" t="s">
        <v>1378</v>
      </c>
      <c r="K265" t="s">
        <v>807</v>
      </c>
      <c r="L265" t="s">
        <v>50</v>
      </c>
      <c r="M265">
        <v>46</v>
      </c>
      <c r="N265">
        <v>45</v>
      </c>
      <c r="O265">
        <v>96</v>
      </c>
      <c r="P265">
        <v>0.19872000000000001</v>
      </c>
      <c r="Q265" s="84" t="e">
        <v>#REF!</v>
      </c>
      <c r="R265" s="85"/>
      <c r="S265" s="85"/>
      <c r="T265" s="86">
        <v>0</v>
      </c>
      <c r="U265" s="84">
        <v>0</v>
      </c>
      <c r="V265" s="84">
        <v>251.99299999999999</v>
      </c>
      <c r="W265" s="84">
        <v>125.9965</v>
      </c>
      <c r="X265" s="82">
        <v>0.35</v>
      </c>
      <c r="Y265" s="82"/>
      <c r="Z265" s="84">
        <v>125.9965</v>
      </c>
      <c r="AA265" s="84">
        <v>251.99299999999999</v>
      </c>
      <c r="AB265" s="88" t="e">
        <v>#DIV/0!</v>
      </c>
      <c r="AC265" t="s">
        <v>1379</v>
      </c>
    </row>
    <row r="266" spans="3:29">
      <c r="C266" t="s">
        <v>1380</v>
      </c>
      <c r="D266" t="s">
        <v>1381</v>
      </c>
      <c r="E266" s="84">
        <v>144.99</v>
      </c>
      <c r="F266" s="84">
        <v>72.495000000000005</v>
      </c>
      <c r="G266" t="s">
        <v>1333</v>
      </c>
      <c r="H266" t="s">
        <v>1382</v>
      </c>
      <c r="I266" t="s">
        <v>1383</v>
      </c>
      <c r="K266" t="s">
        <v>1223</v>
      </c>
      <c r="L266" t="s">
        <v>670</v>
      </c>
      <c r="P266">
        <v>0</v>
      </c>
      <c r="Q266" s="84" t="e">
        <v>#REF!</v>
      </c>
      <c r="R266" s="85"/>
      <c r="S266" s="85"/>
      <c r="T266" s="86">
        <v>0</v>
      </c>
      <c r="U266" s="84">
        <v>0</v>
      </c>
      <c r="V266" s="84">
        <v>101.49299999999999</v>
      </c>
      <c r="W266" s="84">
        <v>50.746499999999997</v>
      </c>
      <c r="X266" s="82">
        <v>0.35</v>
      </c>
      <c r="Y266" s="82"/>
      <c r="Z266" s="84">
        <v>50.746499999999997</v>
      </c>
      <c r="AA266" s="84">
        <v>101.49299999999999</v>
      </c>
      <c r="AB266" s="88" t="e">
        <v>#DIV/0!</v>
      </c>
      <c r="AC266" t="s">
        <v>1384</v>
      </c>
    </row>
    <row r="267" spans="3:29">
      <c r="C267" t="s">
        <v>1385</v>
      </c>
      <c r="D267" t="s">
        <v>1386</v>
      </c>
      <c r="E267" s="84">
        <v>164.99</v>
      </c>
      <c r="F267" s="84">
        <v>82.495000000000005</v>
      </c>
      <c r="G267" t="s">
        <v>1333</v>
      </c>
      <c r="H267" t="s">
        <v>1387</v>
      </c>
      <c r="I267" t="s">
        <v>1388</v>
      </c>
      <c r="K267" t="s">
        <v>1223</v>
      </c>
      <c r="L267" t="s">
        <v>670</v>
      </c>
      <c r="P267">
        <v>0</v>
      </c>
      <c r="Q267" s="84" t="e">
        <v>#REF!</v>
      </c>
      <c r="R267" s="85"/>
      <c r="S267" s="85"/>
      <c r="T267" s="86">
        <v>0</v>
      </c>
      <c r="U267" s="84">
        <v>0</v>
      </c>
      <c r="V267" s="84">
        <v>115.49299999999999</v>
      </c>
      <c r="W267" s="84">
        <v>57.746499999999997</v>
      </c>
      <c r="X267" s="82">
        <v>0.35</v>
      </c>
      <c r="Y267" s="82"/>
      <c r="Z267" s="84">
        <v>57.746499999999997</v>
      </c>
      <c r="AA267" s="84">
        <v>115.49299999999999</v>
      </c>
      <c r="AB267" s="88" t="e">
        <v>#DIV/0!</v>
      </c>
      <c r="AC267" t="s">
        <v>1389</v>
      </c>
    </row>
    <row r="268" spans="3:29">
      <c r="C268" t="s">
        <v>1390</v>
      </c>
      <c r="D268" t="s">
        <v>1391</v>
      </c>
      <c r="E268" s="84">
        <v>268.99</v>
      </c>
      <c r="F268" s="84">
        <v>134.495</v>
      </c>
      <c r="G268" t="s">
        <v>1333</v>
      </c>
      <c r="H268" t="s">
        <v>1392</v>
      </c>
      <c r="I268" t="s">
        <v>1393</v>
      </c>
      <c r="J268" t="s">
        <v>1394</v>
      </c>
      <c r="K268" t="s">
        <v>645</v>
      </c>
      <c r="L268" t="s">
        <v>646</v>
      </c>
      <c r="M268">
        <v>31</v>
      </c>
      <c r="N268">
        <v>31</v>
      </c>
      <c r="O268">
        <v>75</v>
      </c>
      <c r="P268">
        <v>7.2075E-2</v>
      </c>
      <c r="Q268" s="84" t="e">
        <v>#REF!</v>
      </c>
      <c r="R268" s="85">
        <v>66134.338600643998</v>
      </c>
      <c r="S268" s="85">
        <v>330000</v>
      </c>
      <c r="T268" s="86">
        <v>396134.33860064403</v>
      </c>
      <c r="U268" s="84">
        <v>26.4089559067096</v>
      </c>
      <c r="V268" s="84">
        <v>188.29300000000001</v>
      </c>
      <c r="W268" s="84">
        <v>94.146500000000003</v>
      </c>
      <c r="X268" s="82">
        <v>0.35</v>
      </c>
      <c r="Y268" s="82"/>
      <c r="Z268" s="84">
        <v>94.146500000000003</v>
      </c>
      <c r="AA268" s="84">
        <v>188.29300000000001</v>
      </c>
      <c r="AB268" s="88">
        <v>3.5649459347266599</v>
      </c>
      <c r="AC268" t="s">
        <v>1395</v>
      </c>
    </row>
    <row r="269" spans="3:29">
      <c r="C269" t="s">
        <v>1396</v>
      </c>
      <c r="D269" t="s">
        <v>1397</v>
      </c>
      <c r="E269" s="84">
        <v>479.99</v>
      </c>
      <c r="F269" s="84">
        <v>239.995</v>
      </c>
      <c r="G269" t="s">
        <v>1333</v>
      </c>
      <c r="H269" t="s">
        <v>1398</v>
      </c>
      <c r="I269" t="s">
        <v>1399</v>
      </c>
      <c r="J269" t="s">
        <v>1400</v>
      </c>
      <c r="K269" t="s">
        <v>1401</v>
      </c>
      <c r="L269" t="s">
        <v>646</v>
      </c>
      <c r="M269">
        <v>47</v>
      </c>
      <c r="N269">
        <v>52</v>
      </c>
      <c r="O269">
        <v>93</v>
      </c>
      <c r="P269">
        <v>0.22729199999999999</v>
      </c>
      <c r="Q269" s="84" t="e">
        <v>#REF!</v>
      </c>
      <c r="R269" s="85">
        <v>310023.87898669002</v>
      </c>
      <c r="S269" s="85">
        <v>1400737</v>
      </c>
      <c r="T269" s="86">
        <v>1710760.87898669</v>
      </c>
      <c r="U269" s="84">
        <v>114.05072526577899</v>
      </c>
      <c r="V269" s="84">
        <v>335.99299999999999</v>
      </c>
      <c r="W269" s="84">
        <v>167.9965</v>
      </c>
      <c r="X269" s="82">
        <v>0.35</v>
      </c>
      <c r="Y269" s="87">
        <v>228.10145053155901</v>
      </c>
      <c r="Z269" s="84">
        <v>228.10145053155901</v>
      </c>
      <c r="AA269" s="84">
        <v>456.202901063117</v>
      </c>
      <c r="AB269" s="88">
        <v>2</v>
      </c>
      <c r="AC269" t="s">
        <v>1402</v>
      </c>
    </row>
    <row r="270" spans="3:29">
      <c r="C270" t="s">
        <v>1403</v>
      </c>
      <c r="D270" t="s">
        <v>1404</v>
      </c>
      <c r="E270" s="84">
        <v>599.99</v>
      </c>
      <c r="F270" s="84">
        <v>299.995</v>
      </c>
      <c r="G270" t="s">
        <v>1333</v>
      </c>
      <c r="H270" t="s">
        <v>1398</v>
      </c>
      <c r="I270" t="s">
        <v>1405</v>
      </c>
      <c r="J270" t="s">
        <v>1400</v>
      </c>
      <c r="K270" t="s">
        <v>1401</v>
      </c>
      <c r="L270" t="s">
        <v>646</v>
      </c>
      <c r="M270">
        <v>47</v>
      </c>
      <c r="N270">
        <v>52</v>
      </c>
      <c r="O270">
        <v>93</v>
      </c>
      <c r="P270">
        <v>0.22729199999999999</v>
      </c>
      <c r="Q270" s="84" t="e">
        <v>#REF!</v>
      </c>
      <c r="R270" s="85"/>
      <c r="S270" s="85"/>
      <c r="T270" s="86">
        <v>0</v>
      </c>
      <c r="U270" s="84">
        <v>0</v>
      </c>
      <c r="V270" s="84">
        <v>419.99299999999999</v>
      </c>
      <c r="W270" s="84">
        <v>209.9965</v>
      </c>
      <c r="X270" s="82">
        <v>0.35</v>
      </c>
      <c r="Y270" s="82"/>
      <c r="Z270" s="84">
        <v>209.9965</v>
      </c>
      <c r="AA270" s="84">
        <v>419.99299999999999</v>
      </c>
      <c r="AB270" s="88" t="e">
        <v>#DIV/0!</v>
      </c>
      <c r="AC270" t="s">
        <v>1406</v>
      </c>
    </row>
    <row r="271" spans="3:29">
      <c r="C271" t="s">
        <v>1407</v>
      </c>
      <c r="D271" t="s">
        <v>1408</v>
      </c>
      <c r="E271" s="84">
        <v>739.99</v>
      </c>
      <c r="F271" s="84">
        <v>369.995</v>
      </c>
      <c r="G271" t="s">
        <v>1333</v>
      </c>
      <c r="H271" t="s">
        <v>1409</v>
      </c>
      <c r="I271" t="s">
        <v>1410</v>
      </c>
      <c r="J271" t="s">
        <v>1411</v>
      </c>
      <c r="K271" t="s">
        <v>1401</v>
      </c>
      <c r="L271" t="s">
        <v>50</v>
      </c>
      <c r="M271">
        <v>41</v>
      </c>
      <c r="N271">
        <v>45</v>
      </c>
      <c r="O271">
        <v>95</v>
      </c>
      <c r="P271">
        <v>0.17527499999999999</v>
      </c>
      <c r="Q271" s="84" t="e">
        <v>#REF!</v>
      </c>
      <c r="R271" s="85">
        <v>42758.483684780098</v>
      </c>
      <c r="S271" s="85">
        <v>2750000</v>
      </c>
      <c r="T271" s="86">
        <v>2792758.4836847801</v>
      </c>
      <c r="U271" s="84">
        <v>186.18389891231899</v>
      </c>
      <c r="V271" s="84">
        <v>517.99300000000005</v>
      </c>
      <c r="W271" s="84">
        <v>258.99650000000003</v>
      </c>
      <c r="X271" s="82">
        <v>0.35</v>
      </c>
      <c r="Y271" s="87">
        <v>316.51262815094202</v>
      </c>
      <c r="Z271" s="84">
        <v>316.51262815094202</v>
      </c>
      <c r="AA271" s="84">
        <v>633.02525630188302</v>
      </c>
      <c r="AB271" s="88">
        <v>1.7</v>
      </c>
      <c r="AC271" t="s">
        <v>1412</v>
      </c>
    </row>
    <row r="272" spans="3:29">
      <c r="C272" t="s">
        <v>1413</v>
      </c>
      <c r="D272" t="s">
        <v>1414</v>
      </c>
      <c r="E272" s="84">
        <v>549.99</v>
      </c>
      <c r="F272" s="84">
        <v>274.995</v>
      </c>
      <c r="G272" t="s">
        <v>1333</v>
      </c>
      <c r="H272" t="s">
        <v>1415</v>
      </c>
      <c r="I272" t="s">
        <v>1416</v>
      </c>
      <c r="J272" t="s">
        <v>1417</v>
      </c>
      <c r="K272" t="s">
        <v>1401</v>
      </c>
      <c r="L272" t="s">
        <v>646</v>
      </c>
      <c r="M272">
        <v>44</v>
      </c>
      <c r="N272">
        <v>47</v>
      </c>
      <c r="O272">
        <v>120</v>
      </c>
      <c r="P272">
        <v>0.24815999999999999</v>
      </c>
      <c r="Q272" s="84" t="e">
        <v>#REF!</v>
      </c>
      <c r="R272" s="85"/>
      <c r="S272" s="85"/>
      <c r="T272" s="86">
        <v>0</v>
      </c>
      <c r="U272" s="84">
        <v>0</v>
      </c>
      <c r="V272" s="84">
        <v>384.99299999999999</v>
      </c>
      <c r="W272" s="84">
        <v>192.4965</v>
      </c>
      <c r="X272" s="82">
        <v>0.35</v>
      </c>
      <c r="Y272" s="82"/>
      <c r="Z272" s="84">
        <v>192.4965</v>
      </c>
      <c r="AA272" s="84">
        <v>384.99299999999999</v>
      </c>
      <c r="AB272" s="88" t="e">
        <v>#DIV/0!</v>
      </c>
      <c r="AC272" t="s">
        <v>1418</v>
      </c>
    </row>
    <row r="273" spans="3:29">
      <c r="C273" t="s">
        <v>1419</v>
      </c>
      <c r="D273" t="s">
        <v>1420</v>
      </c>
      <c r="E273" s="84">
        <v>679.99</v>
      </c>
      <c r="F273" s="84">
        <v>339.995</v>
      </c>
      <c r="G273" t="s">
        <v>1333</v>
      </c>
      <c r="H273" t="s">
        <v>1415</v>
      </c>
      <c r="I273" t="s">
        <v>1421</v>
      </c>
      <c r="J273" t="s">
        <v>1422</v>
      </c>
      <c r="K273" t="s">
        <v>1401</v>
      </c>
      <c r="L273" t="s">
        <v>646</v>
      </c>
      <c r="M273">
        <v>44</v>
      </c>
      <c r="N273">
        <v>47</v>
      </c>
      <c r="O273">
        <v>120</v>
      </c>
      <c r="P273">
        <v>0.24815999999999999</v>
      </c>
      <c r="Q273" s="84" t="e">
        <v>#REF!</v>
      </c>
      <c r="R273" s="85"/>
      <c r="S273" s="85"/>
      <c r="T273" s="86">
        <v>0</v>
      </c>
      <c r="U273" s="84">
        <v>0</v>
      </c>
      <c r="V273" s="84">
        <v>475.99299999999999</v>
      </c>
      <c r="W273" s="84">
        <v>237.9965</v>
      </c>
      <c r="X273" s="82">
        <v>0.35</v>
      </c>
      <c r="Y273" s="82"/>
      <c r="Z273" s="84">
        <v>237.9965</v>
      </c>
      <c r="AA273" s="84">
        <v>475.99299999999999</v>
      </c>
      <c r="AB273" s="88" t="e">
        <v>#DIV/0!</v>
      </c>
      <c r="AC273" t="s">
        <v>1423</v>
      </c>
    </row>
    <row r="274" spans="3:29">
      <c r="C274" t="s">
        <v>1424</v>
      </c>
      <c r="D274" t="s">
        <v>1425</v>
      </c>
      <c r="E274" s="84">
        <v>439.99</v>
      </c>
      <c r="F274" s="84">
        <v>219.995</v>
      </c>
      <c r="G274" t="s">
        <v>1333</v>
      </c>
      <c r="H274" t="s">
        <v>1426</v>
      </c>
      <c r="I274" t="s">
        <v>736</v>
      </c>
      <c r="J274" t="s">
        <v>1427</v>
      </c>
      <c r="K274" t="s">
        <v>807</v>
      </c>
      <c r="L274" t="s">
        <v>50</v>
      </c>
      <c r="M274">
        <v>45</v>
      </c>
      <c r="N274">
        <v>40</v>
      </c>
      <c r="O274">
        <v>65</v>
      </c>
      <c r="P274">
        <v>0.11700000000000001</v>
      </c>
      <c r="Q274" s="84" t="e">
        <v>#REF!</v>
      </c>
      <c r="R274" s="85"/>
      <c r="S274" s="85"/>
      <c r="T274" s="86">
        <v>0</v>
      </c>
      <c r="U274" s="84">
        <v>0</v>
      </c>
      <c r="V274" s="84">
        <v>307.99299999999999</v>
      </c>
      <c r="W274" s="84">
        <v>153.9965</v>
      </c>
      <c r="X274" s="82">
        <v>0.35</v>
      </c>
      <c r="Y274" s="82"/>
      <c r="Z274" s="84">
        <v>153.9965</v>
      </c>
      <c r="AA274" s="84">
        <v>307.99299999999999</v>
      </c>
      <c r="AB274" s="88" t="e">
        <v>#DIV/0!</v>
      </c>
      <c r="AC274" t="s">
        <v>1428</v>
      </c>
    </row>
    <row r="275" spans="3:29">
      <c r="C275" t="s">
        <v>1429</v>
      </c>
      <c r="D275" t="s">
        <v>1425</v>
      </c>
      <c r="E275" s="84">
        <v>509.99</v>
      </c>
      <c r="F275" s="84">
        <v>254.995</v>
      </c>
      <c r="G275" t="s">
        <v>1333</v>
      </c>
      <c r="H275" t="s">
        <v>1430</v>
      </c>
      <c r="I275" t="s">
        <v>736</v>
      </c>
      <c r="J275" t="s">
        <v>1358</v>
      </c>
      <c r="K275" t="s">
        <v>807</v>
      </c>
      <c r="L275" t="s">
        <v>50</v>
      </c>
      <c r="M275">
        <v>45</v>
      </c>
      <c r="N275">
        <v>40</v>
      </c>
      <c r="O275">
        <v>75</v>
      </c>
      <c r="P275">
        <v>0.13500000000000001</v>
      </c>
      <c r="Q275" s="84" t="e">
        <v>#REF!</v>
      </c>
      <c r="R275" s="85"/>
      <c r="S275" s="85"/>
      <c r="T275" s="86">
        <v>0</v>
      </c>
      <c r="U275" s="84">
        <v>0</v>
      </c>
      <c r="V275" s="84">
        <v>356.99299999999999</v>
      </c>
      <c r="W275" s="84">
        <v>178.4965</v>
      </c>
      <c r="X275" s="82">
        <v>0.35</v>
      </c>
      <c r="Y275" s="82"/>
      <c r="Z275" s="84">
        <v>178.4965</v>
      </c>
      <c r="AA275" s="84">
        <v>356.99299999999999</v>
      </c>
      <c r="AB275" s="88" t="e">
        <v>#DIV/0!</v>
      </c>
      <c r="AC275" t="s">
        <v>1428</v>
      </c>
    </row>
    <row r="276" spans="3:29">
      <c r="C276" t="s">
        <v>1431</v>
      </c>
      <c r="D276" t="s">
        <v>1432</v>
      </c>
      <c r="E276" s="84">
        <v>174.99</v>
      </c>
      <c r="F276" s="84">
        <v>87.495000000000005</v>
      </c>
      <c r="G276" t="s">
        <v>1333</v>
      </c>
      <c r="H276" t="s">
        <v>1433</v>
      </c>
      <c r="I276" t="s">
        <v>1434</v>
      </c>
      <c r="J276" t="s">
        <v>1435</v>
      </c>
      <c r="K276" t="s">
        <v>645</v>
      </c>
      <c r="L276" t="s">
        <v>646</v>
      </c>
      <c r="M276">
        <v>48</v>
      </c>
      <c r="N276">
        <v>63</v>
      </c>
      <c r="O276">
        <v>105</v>
      </c>
      <c r="P276">
        <v>0.31752000000000002</v>
      </c>
      <c r="Q276" s="84" t="e">
        <v>#REF!</v>
      </c>
      <c r="R276" s="85"/>
      <c r="S276" s="85"/>
      <c r="T276" s="86">
        <v>0</v>
      </c>
      <c r="U276" s="84">
        <v>0</v>
      </c>
      <c r="V276" s="84">
        <v>122.49299999999999</v>
      </c>
      <c r="W276" s="84">
        <v>61.246499999999997</v>
      </c>
      <c r="X276" s="82">
        <v>0.35</v>
      </c>
      <c r="Y276" s="82"/>
      <c r="Z276" s="84">
        <v>61.246499999999997</v>
      </c>
      <c r="AA276" s="84">
        <v>122.49299999999999</v>
      </c>
      <c r="AB276" s="88" t="e">
        <v>#DIV/0!</v>
      </c>
      <c r="AC276" t="s">
        <v>1436</v>
      </c>
    </row>
    <row r="277" spans="3:29">
      <c r="C277" t="s">
        <v>1437</v>
      </c>
      <c r="D277" t="s">
        <v>1438</v>
      </c>
      <c r="E277" s="84">
        <v>204.99</v>
      </c>
      <c r="F277" s="84">
        <v>102.495</v>
      </c>
      <c r="G277" t="s">
        <v>1333</v>
      </c>
      <c r="H277" t="s">
        <v>1439</v>
      </c>
      <c r="I277" t="s">
        <v>1440</v>
      </c>
      <c r="J277" t="s">
        <v>1441</v>
      </c>
      <c r="K277" t="s">
        <v>662</v>
      </c>
      <c r="L277" t="s">
        <v>646</v>
      </c>
      <c r="M277">
        <v>40</v>
      </c>
      <c r="N277">
        <v>47</v>
      </c>
      <c r="O277">
        <v>105</v>
      </c>
      <c r="P277">
        <v>0.19739999999999999</v>
      </c>
      <c r="Q277" s="84" t="e">
        <v>#REF!</v>
      </c>
      <c r="R277" s="85">
        <v>171548.442935812</v>
      </c>
      <c r="S277" s="85">
        <v>385000</v>
      </c>
      <c r="T277" s="86">
        <v>556548.44293581205</v>
      </c>
      <c r="U277" s="84">
        <v>37.103229529054097</v>
      </c>
      <c r="V277" s="84">
        <v>143.49299999999999</v>
      </c>
      <c r="W277" s="84">
        <v>71.746499999999997</v>
      </c>
      <c r="X277" s="82">
        <v>0.35</v>
      </c>
      <c r="Y277" s="87">
        <v>74.206459058108294</v>
      </c>
      <c r="Z277" s="84">
        <v>74.206459058108294</v>
      </c>
      <c r="AA277" s="84">
        <v>148.41291811621701</v>
      </c>
      <c r="AB277" s="88">
        <v>2</v>
      </c>
      <c r="AC277" t="s">
        <v>1442</v>
      </c>
    </row>
    <row r="278" spans="3:29">
      <c r="C278" t="s">
        <v>1443</v>
      </c>
      <c r="D278" t="s">
        <v>1444</v>
      </c>
      <c r="E278" s="84">
        <v>329.99</v>
      </c>
      <c r="F278" s="84">
        <v>164.995</v>
      </c>
      <c r="G278" t="s">
        <v>1333</v>
      </c>
      <c r="H278" t="s">
        <v>1445</v>
      </c>
      <c r="I278" t="s">
        <v>1446</v>
      </c>
      <c r="J278" t="s">
        <v>1447</v>
      </c>
      <c r="K278" t="s">
        <v>807</v>
      </c>
      <c r="L278" t="s">
        <v>50</v>
      </c>
      <c r="M278">
        <v>40</v>
      </c>
      <c r="N278">
        <v>40</v>
      </c>
      <c r="O278">
        <v>75</v>
      </c>
      <c r="P278">
        <v>0.12</v>
      </c>
      <c r="Q278" s="84" t="e">
        <v>#REF!</v>
      </c>
      <c r="R278" s="85"/>
      <c r="S278" s="85"/>
      <c r="T278" s="86">
        <v>0</v>
      </c>
      <c r="U278" s="84">
        <v>0</v>
      </c>
      <c r="V278" s="84">
        <v>230.99299999999999</v>
      </c>
      <c r="W278" s="84">
        <v>115.4965</v>
      </c>
      <c r="X278" s="82">
        <v>0.35</v>
      </c>
      <c r="Y278" s="82"/>
      <c r="Z278" s="84">
        <v>115.4965</v>
      </c>
      <c r="AA278" s="84">
        <v>230.99299999999999</v>
      </c>
      <c r="AB278" s="88" t="e">
        <v>#DIV/0!</v>
      </c>
      <c r="AC278" t="s">
        <v>1448</v>
      </c>
    </row>
    <row r="279" spans="3:29">
      <c r="C279" t="s">
        <v>1449</v>
      </c>
      <c r="D279" t="s">
        <v>1450</v>
      </c>
      <c r="E279" s="84">
        <v>237.99</v>
      </c>
      <c r="F279" s="84">
        <v>118.995</v>
      </c>
      <c r="G279" t="s">
        <v>1333</v>
      </c>
      <c r="H279" t="s">
        <v>1451</v>
      </c>
      <c r="I279" t="s">
        <v>1452</v>
      </c>
      <c r="J279" t="s">
        <v>1435</v>
      </c>
      <c r="K279" t="s">
        <v>645</v>
      </c>
      <c r="L279" t="s">
        <v>646</v>
      </c>
      <c r="M279">
        <v>48</v>
      </c>
      <c r="N279">
        <v>63</v>
      </c>
      <c r="O279">
        <v>105</v>
      </c>
      <c r="P279">
        <v>0.31752000000000002</v>
      </c>
      <c r="Q279" s="84" t="e">
        <v>#REF!</v>
      </c>
      <c r="R279" s="85">
        <v>299475.25683625898</v>
      </c>
      <c r="S279" s="85">
        <v>440000</v>
      </c>
      <c r="T279" s="86">
        <v>739475.25683625904</v>
      </c>
      <c r="U279" s="84">
        <v>49.298350455750601</v>
      </c>
      <c r="V279" s="84">
        <v>166.59299999999999</v>
      </c>
      <c r="W279" s="84">
        <v>83.296499999999995</v>
      </c>
      <c r="X279" s="82">
        <v>0.35</v>
      </c>
      <c r="Y279" s="87">
        <v>98.596700911501202</v>
      </c>
      <c r="Z279" s="84">
        <v>98.596700911501202</v>
      </c>
      <c r="AA279" s="84">
        <v>197.19340182300201</v>
      </c>
      <c r="AB279" s="88">
        <v>2</v>
      </c>
      <c r="AC279" t="s">
        <v>1453</v>
      </c>
    </row>
    <row r="280" spans="3:29">
      <c r="C280" t="s">
        <v>1454</v>
      </c>
      <c r="E280" s="84"/>
      <c r="F280" s="82"/>
      <c r="R280" s="85"/>
      <c r="S280" s="85"/>
      <c r="T280" s="86"/>
      <c r="V280" s="84"/>
      <c r="W280" s="84"/>
      <c r="X280" s="82"/>
      <c r="Y280" s="82"/>
      <c r="Z280" s="82"/>
      <c r="AA280" s="82"/>
      <c r="AB280" s="88"/>
    </row>
    <row r="281" spans="3:29">
      <c r="C281" t="s">
        <v>1455</v>
      </c>
      <c r="D281" t="s">
        <v>1456</v>
      </c>
      <c r="E281" s="84">
        <v>129.99</v>
      </c>
      <c r="F281" s="84">
        <v>64.995000000000005</v>
      </c>
      <c r="G281" t="s">
        <v>1454</v>
      </c>
      <c r="H281" t="s">
        <v>1457</v>
      </c>
      <c r="I281" t="s">
        <v>1458</v>
      </c>
      <c r="J281" t="s">
        <v>1459</v>
      </c>
      <c r="K281" t="s">
        <v>645</v>
      </c>
      <c r="L281" t="s">
        <v>646</v>
      </c>
      <c r="M281">
        <v>31</v>
      </c>
      <c r="N281">
        <v>31</v>
      </c>
      <c r="O281">
        <v>43</v>
      </c>
      <c r="P281">
        <v>4.1322999999999999E-2</v>
      </c>
      <c r="Q281" s="84" t="e">
        <v>#REF!</v>
      </c>
      <c r="R281" s="85">
        <v>55473.415383084997</v>
      </c>
      <c r="S281" s="85">
        <v>350000</v>
      </c>
      <c r="T281" s="86">
        <v>405473.41538308503</v>
      </c>
      <c r="U281" s="84">
        <v>27.031561025538998</v>
      </c>
      <c r="V281" s="84">
        <v>90.992999999999995</v>
      </c>
      <c r="W281" s="84">
        <v>45.496499999999997</v>
      </c>
      <c r="X281" s="82">
        <v>0.35</v>
      </c>
      <c r="Y281" s="87">
        <v>54.063122051077997</v>
      </c>
      <c r="Z281" s="84">
        <v>54.063122051077997</v>
      </c>
      <c r="AA281" s="84">
        <v>108.12624410215599</v>
      </c>
      <c r="AB281" s="88">
        <v>2</v>
      </c>
      <c r="AC281" t="s">
        <v>1460</v>
      </c>
    </row>
    <row r="282" spans="3:29">
      <c r="C282" t="s">
        <v>1462</v>
      </c>
      <c r="D282" t="s">
        <v>1463</v>
      </c>
      <c r="E282" s="84">
        <v>149.99</v>
      </c>
      <c r="F282" s="84">
        <v>74.995000000000005</v>
      </c>
      <c r="G282" t="s">
        <v>1454</v>
      </c>
      <c r="H282" t="s">
        <v>1464</v>
      </c>
      <c r="I282" t="s">
        <v>1465</v>
      </c>
      <c r="J282" t="s">
        <v>1466</v>
      </c>
      <c r="K282" t="s">
        <v>815</v>
      </c>
      <c r="L282" t="s">
        <v>50</v>
      </c>
      <c r="M282">
        <v>35</v>
      </c>
      <c r="N282">
        <v>25</v>
      </c>
      <c r="O282">
        <v>43</v>
      </c>
      <c r="P282">
        <v>3.7624999999999999E-2</v>
      </c>
      <c r="Q282" s="84" t="e">
        <v>#REF!</v>
      </c>
      <c r="R282" s="85">
        <v>608015.89993965405</v>
      </c>
      <c r="S282" s="85">
        <v>0</v>
      </c>
      <c r="T282" s="86">
        <v>608015.89993965405</v>
      </c>
      <c r="U282" s="84">
        <v>40.534393329310298</v>
      </c>
      <c r="V282" s="84">
        <v>104.99299999999999</v>
      </c>
      <c r="W282" s="84">
        <v>52.496499999999997</v>
      </c>
      <c r="X282" s="82">
        <v>0.35</v>
      </c>
      <c r="Y282" s="87">
        <v>93.2291046574136</v>
      </c>
      <c r="Z282" s="84">
        <v>93.2291046574136</v>
      </c>
      <c r="AA282" s="84">
        <v>186.458209314827</v>
      </c>
      <c r="AB282" s="88">
        <v>2.2999999999999998</v>
      </c>
      <c r="AC282" t="s">
        <v>1467</v>
      </c>
    </row>
    <row r="283" spans="3:29">
      <c r="C283" t="s">
        <v>1468</v>
      </c>
      <c r="D283" t="s">
        <v>1469</v>
      </c>
      <c r="E283" s="84">
        <v>239.99</v>
      </c>
      <c r="F283" s="84">
        <v>119.995</v>
      </c>
      <c r="G283" t="s">
        <v>1454</v>
      </c>
      <c r="H283" t="s">
        <v>1470</v>
      </c>
      <c r="I283" t="s">
        <v>1471</v>
      </c>
      <c r="J283" t="s">
        <v>1472</v>
      </c>
      <c r="K283" t="s">
        <v>1473</v>
      </c>
      <c r="L283" t="s">
        <v>50</v>
      </c>
      <c r="N283">
        <v>40</v>
      </c>
      <c r="O283">
        <v>43</v>
      </c>
      <c r="P283">
        <v>6.88E-2</v>
      </c>
      <c r="Q283" s="84" t="e">
        <v>#REF!</v>
      </c>
      <c r="R283" s="85">
        <v>583827.75478439499</v>
      </c>
      <c r="S283" s="85">
        <v>0</v>
      </c>
      <c r="T283" s="86">
        <v>583827.75478439499</v>
      </c>
      <c r="U283" s="84">
        <v>38.921850318959599</v>
      </c>
      <c r="V283" s="84">
        <v>167.99299999999999</v>
      </c>
      <c r="W283" s="84">
        <v>83.996499999999997</v>
      </c>
      <c r="X283" s="82">
        <v>0.35</v>
      </c>
      <c r="Y283" s="82"/>
      <c r="Z283" s="84">
        <v>83.996499999999997</v>
      </c>
      <c r="AA283" s="84">
        <v>167.99299999999999</v>
      </c>
      <c r="AB283" s="88">
        <v>2.1580808546268799</v>
      </c>
      <c r="AC283" t="s">
        <v>1474</v>
      </c>
    </row>
    <row r="284" spans="3:29">
      <c r="C284">
        <v>22005</v>
      </c>
      <c r="D284" t="s">
        <v>1475</v>
      </c>
      <c r="E284" s="84">
        <v>183.99</v>
      </c>
      <c r="F284" s="84">
        <v>91.995000000000005</v>
      </c>
      <c r="G284" t="s">
        <v>1454</v>
      </c>
      <c r="H284" t="s">
        <v>1476</v>
      </c>
      <c r="I284" t="s">
        <v>1477</v>
      </c>
      <c r="J284" t="s">
        <v>1478</v>
      </c>
      <c r="K284" t="s">
        <v>645</v>
      </c>
      <c r="L284" t="s">
        <v>670</v>
      </c>
      <c r="N284">
        <v>40</v>
      </c>
      <c r="O284">
        <v>46</v>
      </c>
      <c r="P284">
        <v>7.3599999999999999E-2</v>
      </c>
      <c r="Q284" s="84" t="e">
        <v>#REF!</v>
      </c>
      <c r="R284" s="85"/>
      <c r="S284" s="85"/>
      <c r="T284" s="86">
        <v>0</v>
      </c>
      <c r="U284" s="84">
        <v>0</v>
      </c>
      <c r="V284" s="84">
        <v>128.79300000000001</v>
      </c>
      <c r="W284" s="84">
        <v>64.396500000000003</v>
      </c>
      <c r="X284" s="82">
        <v>0.35</v>
      </c>
      <c r="Y284" s="82"/>
      <c r="Z284" s="84">
        <v>64.396500000000003</v>
      </c>
      <c r="AA284" s="84">
        <v>128.79300000000001</v>
      </c>
      <c r="AB284" s="88" t="e">
        <v>#DIV/0!</v>
      </c>
      <c r="AC284" t="s">
        <v>1479</v>
      </c>
    </row>
    <row r="285" spans="3:29">
      <c r="C285" t="s">
        <v>1480</v>
      </c>
      <c r="D285" t="s">
        <v>1481</v>
      </c>
      <c r="E285" s="84">
        <v>110.99</v>
      </c>
      <c r="F285" s="84">
        <v>55.494999999999997</v>
      </c>
      <c r="G285" t="s">
        <v>1454</v>
      </c>
      <c r="H285" t="s">
        <v>1482</v>
      </c>
      <c r="I285" t="s">
        <v>1483</v>
      </c>
      <c r="J285" t="s">
        <v>1478</v>
      </c>
      <c r="K285" t="s">
        <v>645</v>
      </c>
      <c r="L285" t="s">
        <v>646</v>
      </c>
      <c r="N285">
        <v>40</v>
      </c>
      <c r="O285">
        <v>46</v>
      </c>
      <c r="P285">
        <v>7.3599999999999999E-2</v>
      </c>
      <c r="Q285" s="84" t="e">
        <v>#REF!</v>
      </c>
      <c r="R285" s="85">
        <v>39547.302620784001</v>
      </c>
      <c r="S285" s="85">
        <v>330000</v>
      </c>
      <c r="T285" s="86">
        <v>369547.30262078397</v>
      </c>
      <c r="U285" s="84">
        <v>24.636486841385601</v>
      </c>
      <c r="V285" s="84">
        <v>77.692999999999998</v>
      </c>
      <c r="W285" s="84">
        <v>38.846499999999999</v>
      </c>
      <c r="X285" s="82">
        <v>0.35</v>
      </c>
      <c r="Y285" s="87">
        <v>49.272973682771202</v>
      </c>
      <c r="Z285" s="84">
        <v>49.272973682771202</v>
      </c>
      <c r="AA285" s="84">
        <v>98.545947365542403</v>
      </c>
      <c r="AB285" s="88">
        <v>2</v>
      </c>
      <c r="AC285" t="s">
        <v>1484</v>
      </c>
    </row>
    <row r="286" spans="3:29">
      <c r="C286" t="s">
        <v>1485</v>
      </c>
      <c r="D286" t="s">
        <v>1486</v>
      </c>
      <c r="E286" s="84">
        <v>229.99</v>
      </c>
      <c r="F286" s="84">
        <v>114.995</v>
      </c>
      <c r="G286" t="s">
        <v>1454</v>
      </c>
      <c r="H286" t="s">
        <v>1487</v>
      </c>
      <c r="I286" t="s">
        <v>1488</v>
      </c>
      <c r="J286" t="s">
        <v>1489</v>
      </c>
      <c r="K286" t="s">
        <v>815</v>
      </c>
      <c r="L286" t="s">
        <v>50</v>
      </c>
      <c r="N286">
        <v>30</v>
      </c>
      <c r="O286">
        <v>46</v>
      </c>
      <c r="P286">
        <v>4.1399999999999999E-2</v>
      </c>
      <c r="Q286" s="84" t="e">
        <v>#REF!</v>
      </c>
      <c r="R286" s="85">
        <v>654322.48805114103</v>
      </c>
      <c r="S286" s="85"/>
      <c r="T286" s="86">
        <v>654322.48805114103</v>
      </c>
      <c r="U286" s="84">
        <v>43.6214992034094</v>
      </c>
      <c r="V286" s="84">
        <v>160.99299999999999</v>
      </c>
      <c r="W286" s="84">
        <v>80.496499999999997</v>
      </c>
      <c r="X286" s="82">
        <v>0.35</v>
      </c>
      <c r="Y286" s="87">
        <v>100.329448167842</v>
      </c>
      <c r="Z286" s="84">
        <v>100.329448167842</v>
      </c>
      <c r="AA286" s="84">
        <v>200.65889633568301</v>
      </c>
      <c r="AB286" s="88">
        <v>2.2999999999999998</v>
      </c>
      <c r="AC286" t="s">
        <v>1490</v>
      </c>
    </row>
    <row r="287" spans="3:29">
      <c r="C287" t="s">
        <v>1491</v>
      </c>
      <c r="D287" t="s">
        <v>1492</v>
      </c>
      <c r="E287" s="84">
        <v>349.99</v>
      </c>
      <c r="F287" s="84">
        <v>174.995</v>
      </c>
      <c r="G287" t="s">
        <v>1454</v>
      </c>
      <c r="H287" t="s">
        <v>1493</v>
      </c>
      <c r="I287" t="s">
        <v>1494</v>
      </c>
      <c r="J287" t="s">
        <v>1495</v>
      </c>
      <c r="K287" t="s">
        <v>1473</v>
      </c>
      <c r="L287" t="s">
        <v>50</v>
      </c>
      <c r="M287">
        <v>45</v>
      </c>
      <c r="N287">
        <v>40</v>
      </c>
      <c r="O287">
        <v>45</v>
      </c>
      <c r="P287">
        <v>8.1000000000000003E-2</v>
      </c>
      <c r="Q287" s="84" t="e">
        <v>#REF!</v>
      </c>
      <c r="R287" s="85"/>
      <c r="S287" s="85"/>
      <c r="T287" s="86">
        <v>0</v>
      </c>
      <c r="U287" s="84">
        <v>0</v>
      </c>
      <c r="V287" s="84">
        <v>244.99299999999999</v>
      </c>
      <c r="W287" s="84">
        <v>122.4965</v>
      </c>
      <c r="X287" s="82">
        <v>0.35</v>
      </c>
      <c r="Y287" s="82"/>
      <c r="Z287" s="84">
        <v>122.4965</v>
      </c>
      <c r="AA287" s="84">
        <v>244.99299999999999</v>
      </c>
      <c r="AB287" s="88" t="e">
        <v>#DIV/0!</v>
      </c>
      <c r="AC287" t="s">
        <v>1496</v>
      </c>
    </row>
    <row r="288" spans="3:29">
      <c r="C288">
        <v>33026</v>
      </c>
      <c r="D288" t="s">
        <v>1497</v>
      </c>
      <c r="E288" s="84">
        <v>221.99</v>
      </c>
      <c r="F288" s="84">
        <v>110.995</v>
      </c>
      <c r="G288" t="s">
        <v>1454</v>
      </c>
      <c r="H288" t="s">
        <v>1498</v>
      </c>
      <c r="I288" t="s">
        <v>1499</v>
      </c>
      <c r="J288" t="s">
        <v>1500</v>
      </c>
      <c r="K288" t="s">
        <v>1501</v>
      </c>
      <c r="L288" t="s">
        <v>670</v>
      </c>
      <c r="N288">
        <v>50</v>
      </c>
      <c r="O288">
        <v>43</v>
      </c>
      <c r="P288">
        <v>0.1075</v>
      </c>
      <c r="Q288" s="84" t="e">
        <v>#REF!</v>
      </c>
      <c r="R288" s="85">
        <v>50000</v>
      </c>
      <c r="S288" s="85">
        <v>500000</v>
      </c>
      <c r="T288" s="86">
        <v>550000</v>
      </c>
      <c r="U288" s="84">
        <v>36.6666666666667</v>
      </c>
      <c r="V288" s="84">
        <v>155.393</v>
      </c>
      <c r="W288" s="84">
        <v>77.6965</v>
      </c>
      <c r="X288" s="82">
        <v>0.35</v>
      </c>
      <c r="Y288" s="87"/>
      <c r="Z288" s="84">
        <v>77.6965</v>
      </c>
      <c r="AA288" s="84">
        <v>155.393</v>
      </c>
      <c r="AB288" s="88">
        <v>2</v>
      </c>
      <c r="AC288" t="s">
        <v>1502</v>
      </c>
    </row>
    <row r="289" spans="3:29">
      <c r="C289" t="s">
        <v>802</v>
      </c>
      <c r="D289" t="s">
        <v>803</v>
      </c>
      <c r="E289" s="84">
        <v>499.99</v>
      </c>
      <c r="F289" s="84">
        <v>249.995</v>
      </c>
      <c r="G289" t="s">
        <v>1454</v>
      </c>
      <c r="H289" t="s">
        <v>1504</v>
      </c>
      <c r="I289" t="s">
        <v>1505</v>
      </c>
      <c r="J289" t="s">
        <v>806</v>
      </c>
      <c r="K289" t="s">
        <v>645</v>
      </c>
      <c r="L289" t="s">
        <v>646</v>
      </c>
      <c r="N289">
        <v>35</v>
      </c>
      <c r="O289">
        <v>45</v>
      </c>
      <c r="P289">
        <v>5.5125E-2</v>
      </c>
      <c r="Q289" s="84" t="e">
        <v>#REF!</v>
      </c>
      <c r="R289" s="85">
        <v>77959.658376777006</v>
      </c>
      <c r="S289" s="85">
        <v>900000</v>
      </c>
      <c r="T289" s="86">
        <v>977959.65837677696</v>
      </c>
      <c r="U289" s="84">
        <v>65.197310558451804</v>
      </c>
      <c r="V289" s="84">
        <v>349.99299999999999</v>
      </c>
      <c r="W289" s="84">
        <v>174.9965</v>
      </c>
      <c r="X289" s="82">
        <v>0.35</v>
      </c>
      <c r="Y289" s="82"/>
      <c r="Z289" s="84">
        <v>174.9965</v>
      </c>
      <c r="AA289" s="84">
        <v>349.99299999999999</v>
      </c>
      <c r="AB289" s="88">
        <v>2.6841061157439801</v>
      </c>
      <c r="AC289" t="s">
        <v>1506</v>
      </c>
    </row>
    <row r="290" spans="3:29">
      <c r="C290" t="s">
        <v>1507</v>
      </c>
      <c r="E290" s="84"/>
      <c r="F290" s="82"/>
      <c r="R290" s="85"/>
      <c r="S290" s="85"/>
      <c r="T290" s="86"/>
      <c r="V290" s="84">
        <v>0</v>
      </c>
      <c r="W290" s="84">
        <v>0</v>
      </c>
      <c r="X290" s="82" t="e">
        <v>#DIV/0!</v>
      </c>
      <c r="Y290" s="82">
        <v>0</v>
      </c>
      <c r="Z290" s="82"/>
      <c r="AA290" s="82"/>
      <c r="AB290" s="88" t="e">
        <v>#DIV/0!</v>
      </c>
    </row>
    <row r="291" spans="3:29">
      <c r="C291" t="s">
        <v>1508</v>
      </c>
      <c r="D291" t="s">
        <v>1509</v>
      </c>
      <c r="E291" s="84">
        <v>459.99</v>
      </c>
      <c r="F291" s="84">
        <v>229.995</v>
      </c>
      <c r="G291" t="s">
        <v>1507</v>
      </c>
      <c r="H291" t="s">
        <v>1510</v>
      </c>
      <c r="I291" t="s">
        <v>1511</v>
      </c>
      <c r="J291" t="s">
        <v>1512</v>
      </c>
      <c r="K291" t="s">
        <v>1101</v>
      </c>
      <c r="L291" t="s">
        <v>50</v>
      </c>
      <c r="M291">
        <v>110</v>
      </c>
      <c r="N291">
        <v>24</v>
      </c>
      <c r="O291">
        <v>43</v>
      </c>
      <c r="P291">
        <v>0.11352</v>
      </c>
      <c r="Q291" s="84" t="e">
        <v>#REF!</v>
      </c>
      <c r="R291" s="85"/>
      <c r="S291" s="85"/>
      <c r="T291" s="86">
        <v>0</v>
      </c>
      <c r="U291" s="84">
        <v>0</v>
      </c>
      <c r="V291" s="84">
        <v>321.99299999999999</v>
      </c>
      <c r="W291" s="84">
        <v>160.9965</v>
      </c>
      <c r="X291" s="82">
        <v>0.35</v>
      </c>
      <c r="Y291" s="82"/>
      <c r="Z291" s="84">
        <v>160.9965</v>
      </c>
      <c r="AA291" s="84">
        <v>321.99299999999999</v>
      </c>
      <c r="AB291" s="88" t="e">
        <v>#DIV/0!</v>
      </c>
      <c r="AC291" t="s">
        <v>1513</v>
      </c>
    </row>
    <row r="292" spans="3:29">
      <c r="C292" t="s">
        <v>1515</v>
      </c>
      <c r="D292" t="s">
        <v>1509</v>
      </c>
      <c r="E292" s="84">
        <v>469.99</v>
      </c>
      <c r="F292" s="84">
        <v>234.995</v>
      </c>
      <c r="G292" t="s">
        <v>1507</v>
      </c>
      <c r="H292" t="s">
        <v>1516</v>
      </c>
      <c r="I292" t="s">
        <v>1511</v>
      </c>
      <c r="J292" t="s">
        <v>1512</v>
      </c>
      <c r="K292" t="s">
        <v>5249</v>
      </c>
      <c r="L292" t="s">
        <v>50</v>
      </c>
      <c r="M292">
        <v>110</v>
      </c>
      <c r="N292">
        <v>24</v>
      </c>
      <c r="O292">
        <v>43</v>
      </c>
      <c r="P292">
        <v>0.11352</v>
      </c>
      <c r="Q292" s="84" t="e">
        <v>#REF!</v>
      </c>
      <c r="R292" s="85">
        <v>1002896.00796532</v>
      </c>
      <c r="S292" s="85">
        <v>0</v>
      </c>
      <c r="T292" s="86">
        <v>1002896.00796532</v>
      </c>
      <c r="U292" s="84">
        <v>66.859733864354894</v>
      </c>
      <c r="V292" s="84">
        <v>328.99299999999999</v>
      </c>
      <c r="W292" s="84">
        <v>164.4965</v>
      </c>
      <c r="X292" s="82">
        <v>0.35</v>
      </c>
      <c r="Y292" s="82"/>
      <c r="Z292" s="84">
        <v>164.4965</v>
      </c>
      <c r="AA292" s="84">
        <v>328.99299999999999</v>
      </c>
      <c r="AB292" s="88">
        <v>2.4603223867706498</v>
      </c>
      <c r="AC292" t="s">
        <v>1513</v>
      </c>
    </row>
    <row r="293" spans="3:29">
      <c r="C293" t="s">
        <v>1518</v>
      </c>
      <c r="D293" t="s">
        <v>1509</v>
      </c>
      <c r="E293" s="84">
        <v>499.99</v>
      </c>
      <c r="F293" s="84">
        <v>249.995</v>
      </c>
      <c r="G293" t="s">
        <v>1507</v>
      </c>
      <c r="H293" t="s">
        <v>1519</v>
      </c>
      <c r="I293" t="s">
        <v>1511</v>
      </c>
      <c r="J293" t="s">
        <v>1520</v>
      </c>
      <c r="K293" t="s">
        <v>1101</v>
      </c>
      <c r="L293" t="s">
        <v>50</v>
      </c>
      <c r="M293">
        <v>170</v>
      </c>
      <c r="N293">
        <v>25</v>
      </c>
      <c r="O293">
        <v>43</v>
      </c>
      <c r="P293">
        <v>0.18275</v>
      </c>
      <c r="Q293" s="84" t="e">
        <v>#REF!</v>
      </c>
      <c r="R293" s="85"/>
      <c r="S293" s="85"/>
      <c r="T293" s="86">
        <v>0</v>
      </c>
      <c r="U293" s="84">
        <v>0</v>
      </c>
      <c r="V293" s="84">
        <v>349.99299999999999</v>
      </c>
      <c r="W293" s="84">
        <v>174.9965</v>
      </c>
      <c r="X293" s="82">
        <v>0.35</v>
      </c>
      <c r="Y293" s="82"/>
      <c r="Z293" s="84">
        <v>174.9965</v>
      </c>
      <c r="AA293" s="84">
        <v>349.99299999999999</v>
      </c>
      <c r="AB293" s="88" t="e">
        <v>#DIV/0!</v>
      </c>
      <c r="AC293" t="s">
        <v>1513</v>
      </c>
    </row>
    <row r="294" spans="3:29">
      <c r="C294" t="s">
        <v>1521</v>
      </c>
      <c r="D294" t="s">
        <v>1509</v>
      </c>
      <c r="E294" s="84"/>
      <c r="F294" s="84">
        <v>0</v>
      </c>
      <c r="G294" t="s">
        <v>1507</v>
      </c>
      <c r="H294" t="s">
        <v>1522</v>
      </c>
      <c r="I294" t="s">
        <v>1511</v>
      </c>
      <c r="J294" t="s">
        <v>1520</v>
      </c>
      <c r="K294" t="s">
        <v>5249</v>
      </c>
      <c r="L294" t="s">
        <v>50</v>
      </c>
      <c r="M294">
        <v>170</v>
      </c>
      <c r="N294">
        <v>25</v>
      </c>
      <c r="O294">
        <v>43</v>
      </c>
      <c r="P294">
        <v>0.18275</v>
      </c>
      <c r="Q294" s="84" t="e">
        <v>#REF!</v>
      </c>
      <c r="R294" s="85"/>
      <c r="S294" s="85"/>
      <c r="T294" s="86">
        <v>0</v>
      </c>
      <c r="U294" s="84">
        <v>0</v>
      </c>
      <c r="V294" s="84">
        <v>0</v>
      </c>
      <c r="W294" s="84">
        <v>0</v>
      </c>
      <c r="X294" s="82" t="e">
        <v>#DIV/0!</v>
      </c>
      <c r="Y294" s="82"/>
      <c r="Z294" s="84">
        <v>0</v>
      </c>
      <c r="AA294" s="84">
        <v>0</v>
      </c>
      <c r="AB294" s="88" t="e">
        <v>#DIV/0!</v>
      </c>
      <c r="AC294" t="s">
        <v>1523</v>
      </c>
    </row>
    <row r="295" spans="3:29">
      <c r="C295" t="s">
        <v>1524</v>
      </c>
      <c r="D295" t="s">
        <v>1525</v>
      </c>
      <c r="E295" s="84">
        <v>309.99</v>
      </c>
      <c r="F295" s="84">
        <v>154.995</v>
      </c>
      <c r="G295" t="s">
        <v>1507</v>
      </c>
      <c r="H295" t="s">
        <v>1526</v>
      </c>
      <c r="I295" t="s">
        <v>1527</v>
      </c>
      <c r="J295" t="s">
        <v>1528</v>
      </c>
      <c r="K295" t="s">
        <v>645</v>
      </c>
      <c r="L295" t="s">
        <v>646</v>
      </c>
      <c r="M295">
        <v>100</v>
      </c>
      <c r="N295">
        <v>66</v>
      </c>
      <c r="O295">
        <v>86</v>
      </c>
      <c r="P295">
        <v>0.56759999999999999</v>
      </c>
      <c r="Q295" s="84" t="e">
        <v>#REF!</v>
      </c>
      <c r="R295" s="85">
        <v>236404.45621119399</v>
      </c>
      <c r="S295" s="85">
        <v>450000</v>
      </c>
      <c r="T295" s="86">
        <v>686404.45621119405</v>
      </c>
      <c r="U295" s="84">
        <v>45.760297080746298</v>
      </c>
      <c r="V295" s="84">
        <v>216.99299999999999</v>
      </c>
      <c r="W295" s="84">
        <v>108.4965</v>
      </c>
      <c r="X295" s="82">
        <v>0.35</v>
      </c>
      <c r="Y295" s="82"/>
      <c r="Z295" s="84">
        <v>108.4965</v>
      </c>
      <c r="AA295" s="84">
        <v>216.99299999999999</v>
      </c>
      <c r="AB295" s="88">
        <v>2.3709745548319501</v>
      </c>
      <c r="AC295" t="s">
        <v>1529</v>
      </c>
    </row>
    <row r="296" spans="3:29">
      <c r="C296" t="s">
        <v>1530</v>
      </c>
      <c r="D296" t="s">
        <v>1525</v>
      </c>
      <c r="E296" s="84">
        <v>579.99</v>
      </c>
      <c r="F296" s="84">
        <v>289.995</v>
      </c>
      <c r="G296" t="s">
        <v>1507</v>
      </c>
      <c r="H296" t="s">
        <v>1531</v>
      </c>
      <c r="I296" t="s">
        <v>1527</v>
      </c>
      <c r="J296" t="s">
        <v>1532</v>
      </c>
      <c r="K296" t="s">
        <v>645</v>
      </c>
      <c r="L296" t="s">
        <v>646</v>
      </c>
      <c r="M296">
        <v>135</v>
      </c>
      <c r="N296">
        <v>66</v>
      </c>
      <c r="O296">
        <v>86</v>
      </c>
      <c r="P296">
        <v>0.76626000000000005</v>
      </c>
      <c r="Q296" s="84" t="e">
        <v>#REF!</v>
      </c>
      <c r="R296" s="85">
        <v>269819.46142896003</v>
      </c>
      <c r="S296" s="85">
        <v>800000</v>
      </c>
      <c r="T296" s="86">
        <v>1069819.4614289601</v>
      </c>
      <c r="U296" s="84">
        <v>71.321297428597305</v>
      </c>
      <c r="V296" s="84">
        <v>405.99299999999999</v>
      </c>
      <c r="W296" s="84">
        <v>202.9965</v>
      </c>
      <c r="X296" s="82">
        <v>0.35</v>
      </c>
      <c r="Y296" s="82"/>
      <c r="Z296" s="84">
        <v>202.9965</v>
      </c>
      <c r="AA296" s="84">
        <v>405.99299999999999</v>
      </c>
      <c r="AB296" s="88">
        <v>2.8462255640151302</v>
      </c>
      <c r="AC296" t="s">
        <v>1533</v>
      </c>
    </row>
    <row r="297" spans="3:29">
      <c r="C297">
        <v>22015</v>
      </c>
      <c r="D297" t="s">
        <v>1534</v>
      </c>
      <c r="E297" s="84">
        <v>301.99</v>
      </c>
      <c r="F297" s="84">
        <v>150.995</v>
      </c>
      <c r="G297" t="s">
        <v>1507</v>
      </c>
      <c r="H297" t="s">
        <v>1535</v>
      </c>
      <c r="I297" t="s">
        <v>1536</v>
      </c>
      <c r="J297" t="s">
        <v>1537</v>
      </c>
      <c r="K297" t="s">
        <v>1538</v>
      </c>
      <c r="L297" t="s">
        <v>646</v>
      </c>
      <c r="M297">
        <v>152</v>
      </c>
      <c r="N297">
        <v>41</v>
      </c>
      <c r="O297">
        <v>47</v>
      </c>
      <c r="P297">
        <v>0.292904</v>
      </c>
      <c r="Q297" s="84" t="e">
        <v>#REF!</v>
      </c>
      <c r="R297" s="85"/>
      <c r="S297" s="85"/>
      <c r="T297" s="86">
        <v>0</v>
      </c>
      <c r="U297" s="84">
        <v>0</v>
      </c>
      <c r="V297" s="84">
        <v>211.393</v>
      </c>
      <c r="W297" s="84">
        <v>105.6965</v>
      </c>
      <c r="X297" s="82">
        <v>0.35</v>
      </c>
      <c r="Y297" s="82"/>
      <c r="Z297" s="84">
        <v>105.6965</v>
      </c>
      <c r="AA297" s="84">
        <v>211.393</v>
      </c>
      <c r="AB297" s="88" t="e">
        <v>#DIV/0!</v>
      </c>
      <c r="AC297" t="s">
        <v>1539</v>
      </c>
    </row>
    <row r="298" spans="3:29">
      <c r="C298" t="s">
        <v>1540</v>
      </c>
      <c r="D298" t="s">
        <v>1541</v>
      </c>
      <c r="E298" s="84">
        <v>599.99</v>
      </c>
      <c r="F298" s="84">
        <v>299.995</v>
      </c>
      <c r="G298" t="s">
        <v>1507</v>
      </c>
      <c r="H298" t="s">
        <v>1542</v>
      </c>
      <c r="I298" t="s">
        <v>1543</v>
      </c>
      <c r="J298" t="s">
        <v>1544</v>
      </c>
      <c r="K298" t="s">
        <v>645</v>
      </c>
      <c r="L298" t="s">
        <v>646</v>
      </c>
      <c r="M298">
        <v>127</v>
      </c>
      <c r="N298">
        <v>38</v>
      </c>
      <c r="O298">
        <v>47</v>
      </c>
      <c r="P298">
        <v>0.226822</v>
      </c>
      <c r="Q298" s="84" t="e">
        <v>#REF!</v>
      </c>
      <c r="R298" s="85"/>
      <c r="S298" s="85"/>
      <c r="T298" s="86">
        <v>0</v>
      </c>
      <c r="U298" s="84">
        <v>0</v>
      </c>
      <c r="V298" s="84">
        <v>419.99299999999999</v>
      </c>
      <c r="W298" s="84">
        <v>209.9965</v>
      </c>
      <c r="X298" s="82">
        <v>0.35</v>
      </c>
      <c r="Y298" s="82"/>
      <c r="Z298" s="84">
        <v>209.9965</v>
      </c>
      <c r="AA298" s="84">
        <v>419.99299999999999</v>
      </c>
      <c r="AB298" s="88" t="e">
        <v>#DIV/0!</v>
      </c>
      <c r="AC298" t="s">
        <v>1545</v>
      </c>
    </row>
    <row r="299" spans="3:29">
      <c r="C299" t="s">
        <v>1546</v>
      </c>
      <c r="D299" t="s">
        <v>1547</v>
      </c>
      <c r="E299" s="84">
        <v>1599.99</v>
      </c>
      <c r="F299" s="84">
        <v>799.995</v>
      </c>
      <c r="G299" t="s">
        <v>1507</v>
      </c>
      <c r="H299" t="s">
        <v>1548</v>
      </c>
      <c r="I299" t="s">
        <v>1549</v>
      </c>
      <c r="J299" t="s">
        <v>1550</v>
      </c>
      <c r="K299" t="s">
        <v>1101</v>
      </c>
      <c r="L299" t="s">
        <v>50</v>
      </c>
      <c r="M299">
        <v>240</v>
      </c>
      <c r="N299">
        <v>40</v>
      </c>
      <c r="O299">
        <v>45</v>
      </c>
      <c r="P299">
        <v>0.432</v>
      </c>
      <c r="Q299" s="84" t="e">
        <v>#REF!</v>
      </c>
      <c r="R299" s="85"/>
      <c r="S299" s="85"/>
      <c r="T299" s="86">
        <v>0</v>
      </c>
      <c r="U299" s="84">
        <v>0</v>
      </c>
      <c r="V299" s="84">
        <v>1119.9929999999999</v>
      </c>
      <c r="W299" s="84">
        <v>559.99649999999997</v>
      </c>
      <c r="X299" s="82">
        <v>0.35</v>
      </c>
      <c r="Y299" s="82"/>
      <c r="Z299" s="84">
        <v>559.99649999999997</v>
      </c>
      <c r="AA299" s="84">
        <v>1119.9929999999999</v>
      </c>
      <c r="AB299" s="88" t="e">
        <v>#DIV/0!</v>
      </c>
      <c r="AC299" t="s">
        <v>1551</v>
      </c>
    </row>
    <row r="300" spans="3:29">
      <c r="C300" t="s">
        <v>1552</v>
      </c>
      <c r="D300" t="s">
        <v>1547</v>
      </c>
      <c r="E300" s="84">
        <v>1699.99</v>
      </c>
      <c r="F300" s="84">
        <v>849.995</v>
      </c>
      <c r="G300" t="s">
        <v>1507</v>
      </c>
      <c r="H300" t="s">
        <v>1553</v>
      </c>
      <c r="I300" t="s">
        <v>1549</v>
      </c>
      <c r="J300" t="s">
        <v>1550</v>
      </c>
      <c r="K300" t="s">
        <v>5249</v>
      </c>
      <c r="L300" t="s">
        <v>50</v>
      </c>
      <c r="M300">
        <v>240</v>
      </c>
      <c r="N300">
        <v>40</v>
      </c>
      <c r="O300">
        <v>45</v>
      </c>
      <c r="P300">
        <v>0.432</v>
      </c>
      <c r="Q300" s="84" t="e">
        <v>#REF!</v>
      </c>
      <c r="R300" s="85">
        <v>2241743.5828553401</v>
      </c>
      <c r="S300" s="85">
        <v>0</v>
      </c>
      <c r="T300" s="86">
        <v>2241743.5828553401</v>
      </c>
      <c r="U300" s="84">
        <v>149.44957219035601</v>
      </c>
      <c r="V300" s="84">
        <v>1189.9929999999999</v>
      </c>
      <c r="W300" s="84">
        <v>594.99649999999997</v>
      </c>
      <c r="X300" s="82">
        <v>0.35</v>
      </c>
      <c r="Y300" s="82"/>
      <c r="Z300" s="84">
        <v>594.99649999999997</v>
      </c>
      <c r="AA300" s="84">
        <v>1189.9929999999999</v>
      </c>
      <c r="AB300" s="88">
        <v>3.98125261437447</v>
      </c>
      <c r="AC300" t="s">
        <v>1554</v>
      </c>
    </row>
    <row r="301" spans="3:29">
      <c r="C301" t="s">
        <v>1555</v>
      </c>
      <c r="D301" t="s">
        <v>1547</v>
      </c>
      <c r="E301" s="84">
        <v>1649.99</v>
      </c>
      <c r="F301" s="84">
        <v>824.995</v>
      </c>
      <c r="G301" t="s">
        <v>1507</v>
      </c>
      <c r="H301" t="s">
        <v>1556</v>
      </c>
      <c r="I301" t="s">
        <v>1549</v>
      </c>
      <c r="J301" t="s">
        <v>1557</v>
      </c>
      <c r="K301" t="s">
        <v>1101</v>
      </c>
      <c r="L301" t="s">
        <v>50</v>
      </c>
      <c r="M301">
        <v>250</v>
      </c>
      <c r="N301">
        <v>40</v>
      </c>
      <c r="O301">
        <v>45</v>
      </c>
      <c r="P301">
        <v>0.45</v>
      </c>
      <c r="Q301" s="84" t="e">
        <v>#REF!</v>
      </c>
      <c r="R301" s="85"/>
      <c r="S301" s="85"/>
      <c r="T301" s="86">
        <v>0</v>
      </c>
      <c r="U301" s="84">
        <v>0</v>
      </c>
      <c r="V301" s="84">
        <v>1154.9929999999999</v>
      </c>
      <c r="W301" s="84">
        <v>577.49649999999997</v>
      </c>
      <c r="X301" s="82">
        <v>0.35</v>
      </c>
      <c r="Y301" s="82"/>
      <c r="Z301" s="84">
        <v>577.49649999999997</v>
      </c>
      <c r="AA301" s="84">
        <v>1154.9929999999999</v>
      </c>
      <c r="AB301" s="88" t="e">
        <v>#DIV/0!</v>
      </c>
      <c r="AC301" t="s">
        <v>1551</v>
      </c>
    </row>
    <row r="302" spans="3:29">
      <c r="C302" t="s">
        <v>1558</v>
      </c>
      <c r="D302" t="s">
        <v>1547</v>
      </c>
      <c r="E302" s="84">
        <v>1789.99</v>
      </c>
      <c r="F302" s="84">
        <v>894.995</v>
      </c>
      <c r="G302" t="s">
        <v>1507</v>
      </c>
      <c r="H302" t="s">
        <v>1559</v>
      </c>
      <c r="I302" t="s">
        <v>1549</v>
      </c>
      <c r="J302" t="s">
        <v>1557</v>
      </c>
      <c r="K302" t="s">
        <v>5249</v>
      </c>
      <c r="L302" t="s">
        <v>50</v>
      </c>
      <c r="M302">
        <v>250</v>
      </c>
      <c r="N302">
        <v>40</v>
      </c>
      <c r="O302">
        <v>45</v>
      </c>
      <c r="P302">
        <v>0.45</v>
      </c>
      <c r="Q302" s="84" t="e">
        <v>#REF!</v>
      </c>
      <c r="R302" s="85"/>
      <c r="S302" s="85"/>
      <c r="T302" s="86">
        <v>0</v>
      </c>
      <c r="U302" s="84">
        <v>0</v>
      </c>
      <c r="V302" s="84">
        <v>1252.9929999999999</v>
      </c>
      <c r="W302" s="84">
        <v>626.49649999999997</v>
      </c>
      <c r="X302" s="82">
        <v>0.35</v>
      </c>
      <c r="Y302" s="82"/>
      <c r="Z302" s="84">
        <v>626.49649999999997</v>
      </c>
      <c r="AA302" s="84">
        <v>1252.9929999999999</v>
      </c>
      <c r="AB302" s="88" t="e">
        <v>#DIV/0!</v>
      </c>
      <c r="AC302" t="s">
        <v>1560</v>
      </c>
    </row>
    <row r="303" spans="3:29">
      <c r="C303" t="s">
        <v>1561</v>
      </c>
      <c r="D303" t="s">
        <v>1547</v>
      </c>
      <c r="E303" s="84">
        <v>2009.99</v>
      </c>
      <c r="F303" s="84">
        <v>1004.995</v>
      </c>
      <c r="G303" t="s">
        <v>1507</v>
      </c>
      <c r="H303" t="s">
        <v>1562</v>
      </c>
      <c r="I303" t="s">
        <v>1549</v>
      </c>
      <c r="J303" t="s">
        <v>1563</v>
      </c>
      <c r="K303" t="s">
        <v>1101</v>
      </c>
      <c r="L303" t="s">
        <v>50</v>
      </c>
      <c r="M303">
        <v>300</v>
      </c>
      <c r="N303">
        <v>40</v>
      </c>
      <c r="O303">
        <v>45</v>
      </c>
      <c r="P303">
        <v>0.54</v>
      </c>
      <c r="Q303" s="84" t="e">
        <v>#REF!</v>
      </c>
      <c r="R303" s="85"/>
      <c r="S303" s="85"/>
      <c r="T303" s="86">
        <v>0</v>
      </c>
      <c r="U303" s="84">
        <v>0</v>
      </c>
      <c r="V303" s="84">
        <v>1406.9929999999999</v>
      </c>
      <c r="W303" s="84">
        <v>703.49649999999997</v>
      </c>
      <c r="X303" s="82">
        <v>0.35</v>
      </c>
      <c r="Y303" s="82"/>
      <c r="Z303" s="84">
        <v>703.49649999999997</v>
      </c>
      <c r="AA303" s="84">
        <v>1406.9929999999999</v>
      </c>
      <c r="AB303" s="88" t="e">
        <v>#DIV/0!</v>
      </c>
      <c r="AC303" t="s">
        <v>1564</v>
      </c>
    </row>
    <row r="304" spans="3:29">
      <c r="C304" t="s">
        <v>1565</v>
      </c>
      <c r="D304" t="s">
        <v>1547</v>
      </c>
      <c r="E304" s="84">
        <v>2159.9899999999998</v>
      </c>
      <c r="F304" s="84">
        <v>1079.9949999999999</v>
      </c>
      <c r="G304" t="s">
        <v>1507</v>
      </c>
      <c r="H304" t="s">
        <v>1566</v>
      </c>
      <c r="I304" t="s">
        <v>1549</v>
      </c>
      <c r="J304" t="s">
        <v>1563</v>
      </c>
      <c r="K304" t="s">
        <v>5249</v>
      </c>
      <c r="L304" t="s">
        <v>50</v>
      </c>
      <c r="M304">
        <v>300</v>
      </c>
      <c r="N304">
        <v>40</v>
      </c>
      <c r="O304">
        <v>45</v>
      </c>
      <c r="P304">
        <v>0.54</v>
      </c>
      <c r="Q304" s="84" t="e">
        <v>#REF!</v>
      </c>
      <c r="R304" s="85"/>
      <c r="S304" s="85"/>
      <c r="T304" s="86">
        <v>0</v>
      </c>
      <c r="U304" s="84">
        <v>0</v>
      </c>
      <c r="V304" s="84">
        <v>1511.9929999999999</v>
      </c>
      <c r="W304" s="84">
        <v>755.99649999999997</v>
      </c>
      <c r="X304" s="82">
        <v>0.35</v>
      </c>
      <c r="Y304" s="82"/>
      <c r="Z304" s="84">
        <v>755.99649999999997</v>
      </c>
      <c r="AA304" s="84">
        <v>1511.9929999999999</v>
      </c>
      <c r="AB304" s="88" t="e">
        <v>#DIV/0!</v>
      </c>
      <c r="AC304" t="s">
        <v>1551</v>
      </c>
    </row>
    <row r="305" spans="3:29">
      <c r="C305" t="s">
        <v>1567</v>
      </c>
      <c r="D305" t="s">
        <v>1568</v>
      </c>
      <c r="E305" s="84">
        <v>1739.99</v>
      </c>
      <c r="F305" s="84">
        <v>869.995</v>
      </c>
      <c r="G305" t="s">
        <v>1507</v>
      </c>
      <c r="H305" t="s">
        <v>1569</v>
      </c>
      <c r="I305" t="s">
        <v>1570</v>
      </c>
      <c r="J305" t="s">
        <v>1557</v>
      </c>
      <c r="K305" t="s">
        <v>1101</v>
      </c>
      <c r="L305" t="s">
        <v>50</v>
      </c>
      <c r="M305">
        <v>250</v>
      </c>
      <c r="N305">
        <v>40</v>
      </c>
      <c r="O305">
        <v>45</v>
      </c>
      <c r="P305">
        <v>0.45</v>
      </c>
      <c r="Q305" s="84" t="e">
        <v>#REF!</v>
      </c>
      <c r="R305" s="85"/>
      <c r="S305" s="85"/>
      <c r="T305" s="86">
        <v>0</v>
      </c>
      <c r="U305" s="84">
        <v>0</v>
      </c>
      <c r="V305" s="84">
        <v>1217.9929999999999</v>
      </c>
      <c r="W305" s="84">
        <v>608.99649999999997</v>
      </c>
      <c r="X305" s="82">
        <v>0.35</v>
      </c>
      <c r="Y305" s="82"/>
      <c r="Z305" s="84">
        <v>608.99649999999997</v>
      </c>
      <c r="AA305" s="84">
        <v>1217.9929999999999</v>
      </c>
      <c r="AB305" s="88" t="e">
        <v>#DIV/0!</v>
      </c>
      <c r="AC305" t="s">
        <v>1571</v>
      </c>
    </row>
    <row r="306" spans="3:29">
      <c r="C306" t="s">
        <v>1572</v>
      </c>
      <c r="D306" t="s">
        <v>1568</v>
      </c>
      <c r="E306" s="84">
        <v>1979.99</v>
      </c>
      <c r="F306" s="84">
        <v>989.995</v>
      </c>
      <c r="G306" t="s">
        <v>1507</v>
      </c>
      <c r="H306" t="s">
        <v>1573</v>
      </c>
      <c r="I306" t="s">
        <v>1570</v>
      </c>
      <c r="J306" t="s">
        <v>1557</v>
      </c>
      <c r="K306" t="s">
        <v>5249</v>
      </c>
      <c r="L306" t="s">
        <v>50</v>
      </c>
      <c r="M306">
        <v>250</v>
      </c>
      <c r="N306">
        <v>40</v>
      </c>
      <c r="O306">
        <v>45</v>
      </c>
      <c r="P306">
        <v>0.45</v>
      </c>
      <c r="Q306" s="84" t="e">
        <v>#REF!</v>
      </c>
      <c r="R306" s="85"/>
      <c r="S306" s="85"/>
      <c r="T306" s="86">
        <v>0</v>
      </c>
      <c r="U306" s="84">
        <v>0</v>
      </c>
      <c r="V306" s="84">
        <v>1385.9929999999999</v>
      </c>
      <c r="W306" s="84">
        <v>692.99649999999997</v>
      </c>
      <c r="X306" s="82">
        <v>0.35</v>
      </c>
      <c r="Y306" s="82"/>
      <c r="Z306" s="84">
        <v>692.99649999999997</v>
      </c>
      <c r="AA306" s="84">
        <v>1385.9929999999999</v>
      </c>
      <c r="AB306" s="88" t="e">
        <v>#DIV/0!</v>
      </c>
      <c r="AC306" t="s">
        <v>1574</v>
      </c>
    </row>
    <row r="307" spans="3:29">
      <c r="C307" t="s">
        <v>1575</v>
      </c>
      <c r="D307" t="s">
        <v>1568</v>
      </c>
      <c r="E307" s="84">
        <v>2219.9899999999998</v>
      </c>
      <c r="F307" s="84">
        <v>1109.9949999999999</v>
      </c>
      <c r="G307" t="s">
        <v>1507</v>
      </c>
      <c r="H307" t="s">
        <v>1576</v>
      </c>
      <c r="I307" t="s">
        <v>1570</v>
      </c>
      <c r="J307" t="s">
        <v>1577</v>
      </c>
      <c r="K307" t="s">
        <v>1101</v>
      </c>
      <c r="L307" t="s">
        <v>50</v>
      </c>
      <c r="M307">
        <v>300</v>
      </c>
      <c r="N307">
        <v>40</v>
      </c>
      <c r="O307">
        <v>45</v>
      </c>
      <c r="P307">
        <v>0.54</v>
      </c>
      <c r="Q307" s="84" t="e">
        <v>#REF!</v>
      </c>
      <c r="R307" s="85"/>
      <c r="S307" s="85"/>
      <c r="T307" s="86">
        <v>0</v>
      </c>
      <c r="U307" s="84">
        <v>0</v>
      </c>
      <c r="V307" s="84">
        <v>1553.9929999999999</v>
      </c>
      <c r="W307" s="84">
        <v>776.99649999999997</v>
      </c>
      <c r="X307" s="82">
        <v>0.35</v>
      </c>
      <c r="Y307" s="82"/>
      <c r="Z307" s="84">
        <v>776.99649999999997</v>
      </c>
      <c r="AA307" s="84">
        <v>1553.9929999999999</v>
      </c>
      <c r="AB307" s="88" t="e">
        <v>#DIV/0!</v>
      </c>
      <c r="AC307" t="s">
        <v>1578</v>
      </c>
    </row>
    <row r="308" spans="3:29">
      <c r="C308" t="s">
        <v>1579</v>
      </c>
      <c r="D308" t="s">
        <v>1568</v>
      </c>
      <c r="E308" s="84">
        <v>2429.9899999999998</v>
      </c>
      <c r="F308" s="84">
        <v>1214.9949999999999</v>
      </c>
      <c r="G308" t="s">
        <v>1507</v>
      </c>
      <c r="H308" t="s">
        <v>1580</v>
      </c>
      <c r="I308" t="s">
        <v>1570</v>
      </c>
      <c r="J308" t="s">
        <v>1577</v>
      </c>
      <c r="K308" t="s">
        <v>5249</v>
      </c>
      <c r="L308" t="s">
        <v>50</v>
      </c>
      <c r="M308">
        <v>300</v>
      </c>
      <c r="N308">
        <v>40</v>
      </c>
      <c r="O308">
        <v>45</v>
      </c>
      <c r="P308">
        <v>0.54</v>
      </c>
      <c r="Q308" s="84" t="e">
        <v>#REF!</v>
      </c>
      <c r="R308" s="85">
        <v>3034405.8361179102</v>
      </c>
      <c r="S308" s="85">
        <v>0</v>
      </c>
      <c r="T308" s="86">
        <v>3034405.8361179102</v>
      </c>
      <c r="U308" s="84">
        <v>202.293722407861</v>
      </c>
      <c r="V308" s="84">
        <v>1700.9929999999999</v>
      </c>
      <c r="W308" s="84">
        <v>850.49649999999997</v>
      </c>
      <c r="X308" s="82">
        <v>0.35</v>
      </c>
      <c r="Y308" s="82"/>
      <c r="Z308" s="84">
        <v>850.49649999999997</v>
      </c>
      <c r="AA308" s="84">
        <v>1700.9929999999999</v>
      </c>
      <c r="AB308" s="88">
        <v>4.20426541108995</v>
      </c>
      <c r="AC308" t="s">
        <v>1574</v>
      </c>
    </row>
    <row r="309" spans="3:29">
      <c r="C309" t="s">
        <v>1581</v>
      </c>
      <c r="D309" t="s">
        <v>1582</v>
      </c>
      <c r="E309" s="84">
        <v>1669.99</v>
      </c>
      <c r="F309" s="84">
        <v>834.995</v>
      </c>
      <c r="G309" t="s">
        <v>1507</v>
      </c>
      <c r="H309" t="s">
        <v>1583</v>
      </c>
      <c r="I309" t="s">
        <v>1584</v>
      </c>
      <c r="J309" t="s">
        <v>1585</v>
      </c>
      <c r="K309" t="s">
        <v>1101</v>
      </c>
      <c r="L309" t="s">
        <v>50</v>
      </c>
      <c r="M309">
        <v>280</v>
      </c>
      <c r="N309">
        <v>40</v>
      </c>
      <c r="O309">
        <v>45</v>
      </c>
      <c r="P309">
        <v>0.504</v>
      </c>
      <c r="Q309" s="84" t="e">
        <v>#REF!</v>
      </c>
      <c r="R309" s="85"/>
      <c r="S309" s="85"/>
      <c r="T309" s="86">
        <v>0</v>
      </c>
      <c r="U309" s="84">
        <v>0</v>
      </c>
      <c r="V309" s="84">
        <v>1168.9929999999999</v>
      </c>
      <c r="W309" s="84">
        <v>584.49649999999997</v>
      </c>
      <c r="X309" s="82">
        <v>0.35</v>
      </c>
      <c r="Y309" s="82"/>
      <c r="Z309" s="84">
        <v>584.49649999999997</v>
      </c>
      <c r="AA309" s="84">
        <v>1168.9929999999999</v>
      </c>
      <c r="AB309" s="88" t="e">
        <v>#DIV/0!</v>
      </c>
      <c r="AC309" t="s">
        <v>1586</v>
      </c>
    </row>
    <row r="310" spans="3:29">
      <c r="C310" t="s">
        <v>1587</v>
      </c>
      <c r="D310" t="s">
        <v>1582</v>
      </c>
      <c r="E310" s="84">
        <v>1739.99</v>
      </c>
      <c r="F310" s="84">
        <v>869.995</v>
      </c>
      <c r="G310" t="s">
        <v>1507</v>
      </c>
      <c r="H310" t="s">
        <v>1588</v>
      </c>
      <c r="I310" t="s">
        <v>1584</v>
      </c>
      <c r="J310" t="s">
        <v>1585</v>
      </c>
      <c r="K310" t="s">
        <v>5249</v>
      </c>
      <c r="L310" t="s">
        <v>50</v>
      </c>
      <c r="M310">
        <v>280</v>
      </c>
      <c r="N310">
        <v>40</v>
      </c>
      <c r="O310">
        <v>45</v>
      </c>
      <c r="P310">
        <v>0.504</v>
      </c>
      <c r="Q310" s="84" t="e">
        <v>#REF!</v>
      </c>
      <c r="R310" s="85"/>
      <c r="S310" s="85"/>
      <c r="T310" s="86">
        <v>0</v>
      </c>
      <c r="U310" s="84">
        <v>0</v>
      </c>
      <c r="V310" s="84">
        <v>1217.9929999999999</v>
      </c>
      <c r="W310" s="84">
        <v>608.99649999999997</v>
      </c>
      <c r="X310" s="82">
        <v>0.35</v>
      </c>
      <c r="Y310" s="82"/>
      <c r="Z310" s="84">
        <v>608.99649999999997</v>
      </c>
      <c r="AA310" s="84">
        <v>1217.9929999999999</v>
      </c>
      <c r="AB310" s="88" t="e">
        <v>#DIV/0!</v>
      </c>
      <c r="AC310" t="s">
        <v>1589</v>
      </c>
    </row>
    <row r="311" spans="3:29">
      <c r="C311" t="s">
        <v>1590</v>
      </c>
      <c r="D311" t="s">
        <v>1582</v>
      </c>
      <c r="E311" s="84">
        <v>2049.9899999999998</v>
      </c>
      <c r="F311" s="84">
        <v>1024.9949999999999</v>
      </c>
      <c r="G311" t="s">
        <v>1507</v>
      </c>
      <c r="H311" t="s">
        <v>1591</v>
      </c>
      <c r="I311" t="s">
        <v>1584</v>
      </c>
      <c r="J311" t="s">
        <v>1592</v>
      </c>
      <c r="K311" t="s">
        <v>1101</v>
      </c>
      <c r="L311" t="s">
        <v>50</v>
      </c>
      <c r="M311">
        <v>320</v>
      </c>
      <c r="N311">
        <v>40</v>
      </c>
      <c r="O311">
        <v>45</v>
      </c>
      <c r="P311">
        <v>0.57599999999999996</v>
      </c>
      <c r="Q311" s="84" t="e">
        <v>#REF!</v>
      </c>
      <c r="R311" s="85"/>
      <c r="S311" s="85"/>
      <c r="T311" s="86">
        <v>0</v>
      </c>
      <c r="U311" s="84">
        <v>0</v>
      </c>
      <c r="V311" s="84">
        <v>1434.9929999999999</v>
      </c>
      <c r="W311" s="84">
        <v>717.49649999999997</v>
      </c>
      <c r="X311" s="82">
        <v>0.35</v>
      </c>
      <c r="Y311" s="82"/>
      <c r="Z311" s="84">
        <v>717.49649999999997</v>
      </c>
      <c r="AA311" s="84">
        <v>1434.9929999999999</v>
      </c>
      <c r="AB311" s="88" t="e">
        <v>#DIV/0!</v>
      </c>
      <c r="AC311" t="s">
        <v>1586</v>
      </c>
    </row>
    <row r="312" spans="3:29">
      <c r="C312" t="s">
        <v>1593</v>
      </c>
      <c r="D312" t="s">
        <v>1582</v>
      </c>
      <c r="E312" s="84">
        <v>2129.9899999999998</v>
      </c>
      <c r="F312" s="84">
        <v>1064.9949999999999</v>
      </c>
      <c r="G312" t="s">
        <v>1507</v>
      </c>
      <c r="H312" t="s">
        <v>1594</v>
      </c>
      <c r="I312" t="s">
        <v>1584</v>
      </c>
      <c r="J312" t="s">
        <v>1592</v>
      </c>
      <c r="K312" t="s">
        <v>5249</v>
      </c>
      <c r="L312" t="s">
        <v>50</v>
      </c>
      <c r="M312">
        <v>320</v>
      </c>
      <c r="N312">
        <v>40</v>
      </c>
      <c r="O312">
        <v>45</v>
      </c>
      <c r="P312">
        <v>0.57599999999999996</v>
      </c>
      <c r="Q312" s="84" t="e">
        <v>#REF!</v>
      </c>
      <c r="R312" s="85"/>
      <c r="S312" s="85"/>
      <c r="T312" s="86">
        <v>0</v>
      </c>
      <c r="U312" s="84">
        <v>0</v>
      </c>
      <c r="V312" s="84">
        <v>1490.9929999999999</v>
      </c>
      <c r="W312" s="84">
        <v>745.49649999999997</v>
      </c>
      <c r="X312" s="82">
        <v>0.35</v>
      </c>
      <c r="Y312" s="82"/>
      <c r="Z312" s="84">
        <v>745.49649999999997</v>
      </c>
      <c r="AA312" s="84">
        <v>1490.9929999999999</v>
      </c>
      <c r="AB312" s="88" t="e">
        <v>#DIV/0!</v>
      </c>
      <c r="AC312" t="s">
        <v>1586</v>
      </c>
    </row>
    <row r="313" spans="3:29">
      <c r="C313" t="s">
        <v>1595</v>
      </c>
      <c r="D313" t="s">
        <v>1582</v>
      </c>
      <c r="E313" s="84">
        <v>4049.99</v>
      </c>
      <c r="F313" s="84">
        <v>2024.9949999999999</v>
      </c>
      <c r="G313" t="s">
        <v>1507</v>
      </c>
      <c r="H313" t="s">
        <v>1596</v>
      </c>
      <c r="I313" t="s">
        <v>1584</v>
      </c>
      <c r="J313" t="s">
        <v>1597</v>
      </c>
      <c r="K313" t="s">
        <v>1101</v>
      </c>
      <c r="L313" t="s">
        <v>50</v>
      </c>
      <c r="M313">
        <v>400</v>
      </c>
      <c r="N313">
        <v>40</v>
      </c>
      <c r="O313">
        <v>45</v>
      </c>
      <c r="P313">
        <v>0.72</v>
      </c>
      <c r="Q313" s="84" t="e">
        <v>#REF!</v>
      </c>
      <c r="R313" s="85"/>
      <c r="S313" s="85"/>
      <c r="T313" s="86">
        <v>0</v>
      </c>
      <c r="U313" s="84">
        <v>0</v>
      </c>
      <c r="V313" s="84">
        <v>2834.9929999999999</v>
      </c>
      <c r="W313" s="84">
        <v>1417.4965</v>
      </c>
      <c r="X313" s="82">
        <v>0.35</v>
      </c>
      <c r="Y313" s="82"/>
      <c r="Z313" s="84">
        <v>1417.4965</v>
      </c>
      <c r="AA313" s="84">
        <v>2834.9929999999999</v>
      </c>
      <c r="AB313" s="88" t="e">
        <v>#DIV/0!</v>
      </c>
      <c r="AC313" t="s">
        <v>1586</v>
      </c>
    </row>
    <row r="314" spans="3:29">
      <c r="C314" t="s">
        <v>1598</v>
      </c>
      <c r="D314" t="s">
        <v>1582</v>
      </c>
      <c r="E314" s="84">
        <v>4259.99</v>
      </c>
      <c r="F314" s="84">
        <v>2129.9949999999999</v>
      </c>
      <c r="G314" t="s">
        <v>1507</v>
      </c>
      <c r="H314" t="s">
        <v>1599</v>
      </c>
      <c r="I314" t="s">
        <v>1584</v>
      </c>
      <c r="J314" t="s">
        <v>1597</v>
      </c>
      <c r="K314" t="s">
        <v>5249</v>
      </c>
      <c r="L314" t="s">
        <v>50</v>
      </c>
      <c r="M314">
        <v>400</v>
      </c>
      <c r="N314">
        <v>40</v>
      </c>
      <c r="O314">
        <v>45</v>
      </c>
      <c r="P314">
        <v>0.72</v>
      </c>
      <c r="Q314" s="84" t="e">
        <v>#REF!</v>
      </c>
      <c r="R314" s="85"/>
      <c r="S314" s="85"/>
      <c r="T314" s="86">
        <v>0</v>
      </c>
      <c r="U314" s="84">
        <v>0</v>
      </c>
      <c r="V314" s="84">
        <v>2981.9929999999999</v>
      </c>
      <c r="W314" s="84">
        <v>1490.9965</v>
      </c>
      <c r="X314" s="82">
        <v>0.35</v>
      </c>
      <c r="Y314" s="82"/>
      <c r="Z314" s="84">
        <v>1490.9965</v>
      </c>
      <c r="AA314" s="84">
        <v>2981.9929999999999</v>
      </c>
      <c r="AB314" s="88" t="e">
        <v>#DIV/0!</v>
      </c>
      <c r="AC314" t="s">
        <v>1600</v>
      </c>
    </row>
    <row r="315" spans="3:29">
      <c r="C315" t="s">
        <v>1601</v>
      </c>
      <c r="D315" t="s">
        <v>1602</v>
      </c>
      <c r="E315" s="84">
        <v>1979.99</v>
      </c>
      <c r="F315" s="84">
        <v>989.995</v>
      </c>
      <c r="G315" t="s">
        <v>1507</v>
      </c>
      <c r="H315" t="s">
        <v>1603</v>
      </c>
      <c r="I315" t="s">
        <v>1604</v>
      </c>
      <c r="J315" t="s">
        <v>1605</v>
      </c>
      <c r="K315" t="s">
        <v>1101</v>
      </c>
      <c r="L315" t="s">
        <v>50</v>
      </c>
      <c r="M315">
        <v>260</v>
      </c>
      <c r="N315">
        <v>40</v>
      </c>
      <c r="O315">
        <v>45</v>
      </c>
      <c r="P315">
        <v>0.46800000000000003</v>
      </c>
      <c r="Q315" s="84" t="e">
        <v>#REF!</v>
      </c>
      <c r="R315" s="85"/>
      <c r="S315" s="85"/>
      <c r="T315" s="86">
        <v>0</v>
      </c>
      <c r="U315" s="84">
        <v>0</v>
      </c>
      <c r="V315" s="84">
        <v>1385.9929999999999</v>
      </c>
      <c r="W315" s="84">
        <v>692.99649999999997</v>
      </c>
      <c r="X315" s="82">
        <v>0.35</v>
      </c>
      <c r="Y315" s="82"/>
      <c r="Z315" s="84">
        <v>692.99649999999997</v>
      </c>
      <c r="AA315" s="84">
        <v>1385.9929999999999</v>
      </c>
      <c r="AB315" s="88" t="e">
        <v>#DIV/0!</v>
      </c>
      <c r="AC315" t="s">
        <v>1606</v>
      </c>
    </row>
    <row r="316" spans="3:29">
      <c r="C316" t="s">
        <v>1607</v>
      </c>
      <c r="D316" t="s">
        <v>1602</v>
      </c>
      <c r="E316" s="84">
        <v>2029.99</v>
      </c>
      <c r="F316" s="84">
        <v>1014.995</v>
      </c>
      <c r="G316" t="s">
        <v>1507</v>
      </c>
      <c r="H316" t="s">
        <v>1608</v>
      </c>
      <c r="I316" t="s">
        <v>1604</v>
      </c>
      <c r="J316" t="s">
        <v>1605</v>
      </c>
      <c r="K316" t="s">
        <v>5249</v>
      </c>
      <c r="L316" t="s">
        <v>50</v>
      </c>
      <c r="M316">
        <v>260</v>
      </c>
      <c r="N316">
        <v>40</v>
      </c>
      <c r="O316">
        <v>45</v>
      </c>
      <c r="P316">
        <v>0.46800000000000003</v>
      </c>
      <c r="Q316" s="84" t="e">
        <v>#REF!</v>
      </c>
      <c r="R316" s="85"/>
      <c r="S316" s="85"/>
      <c r="T316" s="86"/>
      <c r="U316" s="84">
        <v>0</v>
      </c>
      <c r="V316" s="84">
        <v>1420.9929999999999</v>
      </c>
      <c r="W316" s="84">
        <v>710.49649999999997</v>
      </c>
      <c r="X316" s="82">
        <v>0.35</v>
      </c>
      <c r="Y316" s="82"/>
      <c r="Z316" s="84">
        <v>710.49649999999997</v>
      </c>
      <c r="AA316" s="84">
        <v>1420.9929999999999</v>
      </c>
      <c r="AB316" s="88" t="e">
        <v>#DIV/0!</v>
      </c>
      <c r="AC316" t="s">
        <v>1609</v>
      </c>
    </row>
    <row r="317" spans="3:29">
      <c r="C317" t="s">
        <v>1610</v>
      </c>
      <c r="E317" s="84"/>
      <c r="F317" s="82"/>
      <c r="R317" s="85"/>
      <c r="S317" s="85"/>
      <c r="T317" s="86"/>
      <c r="V317" s="84">
        <v>0</v>
      </c>
      <c r="W317" s="84">
        <v>0</v>
      </c>
      <c r="X317" s="82" t="e">
        <v>#DIV/0!</v>
      </c>
      <c r="Y317" s="82">
        <v>0</v>
      </c>
      <c r="Z317" s="82"/>
      <c r="AA317" s="82"/>
      <c r="AB317" s="88" t="e">
        <v>#DIV/0!</v>
      </c>
    </row>
    <row r="318" spans="3:29">
      <c r="C318" t="s">
        <v>1611</v>
      </c>
      <c r="D318" t="s">
        <v>1612</v>
      </c>
      <c r="E318" s="84">
        <v>1359.99</v>
      </c>
      <c r="F318" s="84">
        <v>679.995</v>
      </c>
      <c r="G318" t="s">
        <v>1610</v>
      </c>
      <c r="H318" t="s">
        <v>1613</v>
      </c>
      <c r="I318" t="s">
        <v>1614</v>
      </c>
      <c r="J318" t="s">
        <v>1615</v>
      </c>
      <c r="K318" t="s">
        <v>807</v>
      </c>
      <c r="L318" t="s">
        <v>50</v>
      </c>
      <c r="M318">
        <v>102</v>
      </c>
      <c r="N318">
        <v>67</v>
      </c>
      <c r="O318">
        <v>64</v>
      </c>
      <c r="P318">
        <v>0.43737599999999999</v>
      </c>
      <c r="Q318" s="84" t="e">
        <v>#REF!</v>
      </c>
      <c r="R318" s="85"/>
      <c r="S318" s="85"/>
      <c r="T318" s="86">
        <v>0</v>
      </c>
      <c r="U318" s="84">
        <v>0</v>
      </c>
      <c r="V318" s="84">
        <v>951.99300000000005</v>
      </c>
      <c r="W318" s="84">
        <v>475.99650000000003</v>
      </c>
      <c r="X318" s="82">
        <v>0.35</v>
      </c>
      <c r="Y318" s="82"/>
      <c r="Z318" s="84">
        <v>475.99650000000003</v>
      </c>
      <c r="AA318" s="84">
        <v>951.99300000000005</v>
      </c>
      <c r="AB318" s="88" t="e">
        <v>#DIV/0!</v>
      </c>
      <c r="AC318" t="s">
        <v>1616</v>
      </c>
    </row>
    <row r="319" spans="3:29">
      <c r="C319" t="s">
        <v>1618</v>
      </c>
      <c r="D319" t="s">
        <v>1619</v>
      </c>
      <c r="E319" s="84">
        <v>3369.99</v>
      </c>
      <c r="F319" s="84">
        <v>1684.9949999999999</v>
      </c>
      <c r="G319" t="s">
        <v>1610</v>
      </c>
      <c r="H319" t="s">
        <v>1620</v>
      </c>
      <c r="I319" t="s">
        <v>1621</v>
      </c>
      <c r="J319" t="s">
        <v>1622</v>
      </c>
      <c r="K319" t="s">
        <v>1223</v>
      </c>
      <c r="L319" t="s">
        <v>670</v>
      </c>
      <c r="M319">
        <v>102</v>
      </c>
      <c r="N319">
        <v>70</v>
      </c>
      <c r="O319">
        <v>75</v>
      </c>
      <c r="P319">
        <v>0.53549999999999998</v>
      </c>
      <c r="Q319" s="84" t="e">
        <v>#REF!</v>
      </c>
      <c r="R319" s="85"/>
      <c r="S319" s="85"/>
      <c r="T319" s="86">
        <v>0</v>
      </c>
      <c r="U319" s="84">
        <v>0</v>
      </c>
      <c r="V319" s="84">
        <v>2358.9929999999999</v>
      </c>
      <c r="W319" s="84">
        <v>1179.4965</v>
      </c>
      <c r="X319" s="82">
        <v>0.35</v>
      </c>
      <c r="Y319" s="82"/>
      <c r="Z319" s="84">
        <v>1179.4965</v>
      </c>
      <c r="AA319" s="84">
        <v>2358.9929999999999</v>
      </c>
      <c r="AB319" s="88" t="e">
        <v>#DIV/0!</v>
      </c>
      <c r="AC319" t="s">
        <v>1623</v>
      </c>
    </row>
    <row r="320" spans="3:29">
      <c r="C320" t="s">
        <v>1624</v>
      </c>
      <c r="D320" t="s">
        <v>1625</v>
      </c>
      <c r="E320" s="84">
        <v>1359.99</v>
      </c>
      <c r="F320" s="84">
        <v>679.995</v>
      </c>
      <c r="G320" t="s">
        <v>1610</v>
      </c>
      <c r="H320" t="s">
        <v>1626</v>
      </c>
      <c r="I320" t="s">
        <v>1627</v>
      </c>
      <c r="J320" t="s">
        <v>1628</v>
      </c>
      <c r="K320" t="s">
        <v>807</v>
      </c>
      <c r="L320" t="s">
        <v>50</v>
      </c>
      <c r="M320">
        <v>202</v>
      </c>
      <c r="N320">
        <v>67</v>
      </c>
      <c r="O320">
        <v>64</v>
      </c>
      <c r="P320">
        <v>0.86617599999999995</v>
      </c>
      <c r="Q320" s="84" t="e">
        <v>#REF!</v>
      </c>
      <c r="R320" s="85"/>
      <c r="S320" s="85"/>
      <c r="T320" s="86">
        <v>0</v>
      </c>
      <c r="U320" s="84">
        <v>0</v>
      </c>
      <c r="V320" s="84">
        <v>951.99300000000005</v>
      </c>
      <c r="W320" s="84">
        <v>475.99650000000003</v>
      </c>
      <c r="X320" s="82">
        <v>0.35</v>
      </c>
      <c r="Y320" s="82"/>
      <c r="Z320" s="84">
        <v>475.99650000000003</v>
      </c>
      <c r="AA320" s="84">
        <v>951.99300000000005</v>
      </c>
      <c r="AB320" s="88" t="e">
        <v>#DIV/0!</v>
      </c>
      <c r="AC320" t="s">
        <v>1629</v>
      </c>
    </row>
    <row r="321" spans="3:29">
      <c r="C321" t="s">
        <v>1630</v>
      </c>
      <c r="D321" t="s">
        <v>1631</v>
      </c>
      <c r="E321" s="84">
        <v>3674.99</v>
      </c>
      <c r="F321" s="84">
        <v>1837.4949999999999</v>
      </c>
      <c r="G321" t="s">
        <v>1610</v>
      </c>
      <c r="H321" t="s">
        <v>1632</v>
      </c>
      <c r="I321" t="s">
        <v>1633</v>
      </c>
      <c r="J321" t="s">
        <v>1634</v>
      </c>
      <c r="K321" t="s">
        <v>1223</v>
      </c>
      <c r="L321" t="s">
        <v>670</v>
      </c>
      <c r="M321">
        <v>202</v>
      </c>
      <c r="N321">
        <v>70</v>
      </c>
      <c r="O321">
        <v>75</v>
      </c>
      <c r="P321">
        <v>1.0605</v>
      </c>
      <c r="Q321" s="84" t="e">
        <v>#REF!</v>
      </c>
      <c r="R321" s="85"/>
      <c r="S321" s="85"/>
      <c r="T321" s="86">
        <v>0</v>
      </c>
      <c r="U321" s="84">
        <v>0</v>
      </c>
      <c r="V321" s="84">
        <v>2572.4929999999999</v>
      </c>
      <c r="W321" s="84">
        <v>1286.2465</v>
      </c>
      <c r="X321" s="82">
        <v>0.35</v>
      </c>
      <c r="Y321" s="82"/>
      <c r="Z321" s="84">
        <v>1286.2465</v>
      </c>
      <c r="AA321" s="84">
        <v>2572.4929999999999</v>
      </c>
      <c r="AB321" s="88" t="e">
        <v>#DIV/0!</v>
      </c>
      <c r="AC321" t="s">
        <v>1635</v>
      </c>
    </row>
    <row r="322" spans="3:29">
      <c r="C322" t="s">
        <v>1636</v>
      </c>
      <c r="D322" t="s">
        <v>1637</v>
      </c>
      <c r="E322" s="84">
        <v>1359.99</v>
      </c>
      <c r="F322" s="84">
        <v>679.995</v>
      </c>
      <c r="G322" t="s">
        <v>1610</v>
      </c>
      <c r="H322" t="s">
        <v>1638</v>
      </c>
      <c r="I322" t="s">
        <v>1639</v>
      </c>
      <c r="J322" t="s">
        <v>1640</v>
      </c>
      <c r="K322" t="s">
        <v>807</v>
      </c>
      <c r="L322" t="s">
        <v>50</v>
      </c>
      <c r="M322">
        <v>250</v>
      </c>
      <c r="N322">
        <v>67</v>
      </c>
      <c r="O322">
        <v>64</v>
      </c>
      <c r="P322">
        <v>1.0720000000000001</v>
      </c>
      <c r="Q322" s="84" t="e">
        <v>#REF!</v>
      </c>
      <c r="R322" s="85"/>
      <c r="S322" s="85"/>
      <c r="T322" s="86">
        <v>0</v>
      </c>
      <c r="U322" s="84">
        <v>0</v>
      </c>
      <c r="V322" s="84">
        <v>951.99300000000005</v>
      </c>
      <c r="W322" s="84">
        <v>475.99650000000003</v>
      </c>
      <c r="X322" s="82">
        <v>0.35</v>
      </c>
      <c r="Y322" s="82"/>
      <c r="Z322" s="84">
        <v>475.99650000000003</v>
      </c>
      <c r="AA322" s="84">
        <v>951.99300000000005</v>
      </c>
      <c r="AB322" s="88" t="e">
        <v>#DIV/0!</v>
      </c>
      <c r="AC322" t="s">
        <v>1641</v>
      </c>
    </row>
    <row r="323" spans="3:29">
      <c r="C323" t="s">
        <v>1642</v>
      </c>
      <c r="D323" t="s">
        <v>1643</v>
      </c>
      <c r="E323" s="84">
        <v>3674.99</v>
      </c>
      <c r="F323" s="84">
        <v>1837.4949999999999</v>
      </c>
      <c r="G323" t="s">
        <v>1610</v>
      </c>
      <c r="H323" t="s">
        <v>1644</v>
      </c>
      <c r="I323" t="s">
        <v>1645</v>
      </c>
      <c r="J323" t="s">
        <v>1646</v>
      </c>
      <c r="K323" t="s">
        <v>1223</v>
      </c>
      <c r="L323" t="s">
        <v>670</v>
      </c>
      <c r="M323">
        <v>250</v>
      </c>
      <c r="N323">
        <v>67</v>
      </c>
      <c r="O323">
        <v>64</v>
      </c>
      <c r="P323">
        <v>1.0720000000000001</v>
      </c>
      <c r="Q323" s="84" t="e">
        <v>#REF!</v>
      </c>
      <c r="R323" s="85"/>
      <c r="S323" s="85"/>
      <c r="T323" s="86">
        <v>0</v>
      </c>
      <c r="U323" s="84">
        <v>0</v>
      </c>
      <c r="V323" s="84">
        <v>2572.4929999999999</v>
      </c>
      <c r="W323" s="84">
        <v>1286.2465</v>
      </c>
      <c r="X323" s="82">
        <v>0.35</v>
      </c>
      <c r="Y323" s="82"/>
      <c r="Z323" s="84">
        <v>1286.2465</v>
      </c>
      <c r="AA323" s="84">
        <v>2572.4929999999999</v>
      </c>
      <c r="AB323" s="88" t="e">
        <v>#DIV/0!</v>
      </c>
      <c r="AC323" t="s">
        <v>1647</v>
      </c>
    </row>
    <row r="324" spans="3:29">
      <c r="C324" t="s">
        <v>1648</v>
      </c>
      <c r="D324" t="s">
        <v>1649</v>
      </c>
      <c r="E324" s="84">
        <v>1279.99</v>
      </c>
      <c r="F324" s="84">
        <v>639.995</v>
      </c>
      <c r="G324" t="s">
        <v>1610</v>
      </c>
      <c r="H324" t="s">
        <v>1650</v>
      </c>
      <c r="I324" t="s">
        <v>1651</v>
      </c>
      <c r="J324" t="s">
        <v>1652</v>
      </c>
      <c r="K324" t="s">
        <v>807</v>
      </c>
      <c r="L324" t="s">
        <v>50</v>
      </c>
      <c r="M324">
        <v>106</v>
      </c>
      <c r="N324">
        <v>86</v>
      </c>
      <c r="O324">
        <v>73</v>
      </c>
      <c r="P324">
        <v>0.66546799999999995</v>
      </c>
      <c r="Q324" s="84" t="e">
        <v>#REF!</v>
      </c>
      <c r="R324" s="85"/>
      <c r="S324" s="85"/>
      <c r="T324" s="86">
        <v>0</v>
      </c>
      <c r="U324" s="84">
        <v>0</v>
      </c>
      <c r="V324" s="84">
        <v>895.99300000000005</v>
      </c>
      <c r="W324" s="84">
        <v>447.99650000000003</v>
      </c>
      <c r="X324" s="82">
        <v>0.35</v>
      </c>
      <c r="Y324" s="82"/>
      <c r="Z324" s="84">
        <v>447.99650000000003</v>
      </c>
      <c r="AA324" s="84">
        <v>895.99300000000005</v>
      </c>
      <c r="AB324" s="88" t="e">
        <v>#DIV/0!</v>
      </c>
      <c r="AC324" t="s">
        <v>1653</v>
      </c>
    </row>
    <row r="325" spans="3:29">
      <c r="C325" t="s">
        <v>1654</v>
      </c>
      <c r="D325" t="s">
        <v>1655</v>
      </c>
      <c r="E325" s="84">
        <v>2049.9899999999998</v>
      </c>
      <c r="F325" s="84">
        <v>1024.9949999999999</v>
      </c>
      <c r="G325" t="s">
        <v>1610</v>
      </c>
      <c r="H325" t="s">
        <v>1656</v>
      </c>
      <c r="I325" t="s">
        <v>1657</v>
      </c>
      <c r="J325" t="s">
        <v>1658</v>
      </c>
      <c r="K325" t="s">
        <v>807</v>
      </c>
      <c r="L325" t="s">
        <v>50</v>
      </c>
      <c r="M325">
        <v>206</v>
      </c>
      <c r="N325">
        <v>86</v>
      </c>
      <c r="O325">
        <v>73</v>
      </c>
      <c r="P325">
        <v>1.2932680000000001</v>
      </c>
      <c r="Q325" s="84" t="e">
        <v>#REF!</v>
      </c>
      <c r="R325" s="85"/>
      <c r="S325" s="85"/>
      <c r="T325" s="86">
        <v>0</v>
      </c>
      <c r="U325" s="84">
        <v>0</v>
      </c>
      <c r="V325" s="84">
        <v>1434.9929999999999</v>
      </c>
      <c r="W325" s="84">
        <v>717.49649999999997</v>
      </c>
      <c r="X325" s="82">
        <v>0.35</v>
      </c>
      <c r="Y325" s="82"/>
      <c r="Z325" s="84">
        <v>717.49649999999997</v>
      </c>
      <c r="AA325" s="84">
        <v>1434.9929999999999</v>
      </c>
      <c r="AB325" s="88" t="e">
        <v>#DIV/0!</v>
      </c>
      <c r="AC325" t="s">
        <v>1659</v>
      </c>
    </row>
    <row r="326" spans="3:29">
      <c r="C326" t="s">
        <v>1660</v>
      </c>
      <c r="D326" t="s">
        <v>1661</v>
      </c>
      <c r="E326" s="84">
        <v>1279.99</v>
      </c>
      <c r="F326" s="84">
        <v>639.995</v>
      </c>
      <c r="G326" t="s">
        <v>1610</v>
      </c>
      <c r="H326" t="s">
        <v>1662</v>
      </c>
      <c r="I326" t="s">
        <v>1663</v>
      </c>
      <c r="J326" t="s">
        <v>1664</v>
      </c>
      <c r="K326" t="s">
        <v>807</v>
      </c>
      <c r="L326" t="s">
        <v>50</v>
      </c>
      <c r="M326">
        <v>250</v>
      </c>
      <c r="N326">
        <v>86</v>
      </c>
      <c r="O326">
        <v>73</v>
      </c>
      <c r="P326">
        <v>1.5694999999999999</v>
      </c>
      <c r="Q326" s="84" t="e">
        <v>#REF!</v>
      </c>
      <c r="R326" s="85"/>
      <c r="S326" s="85"/>
      <c r="T326" s="86">
        <v>0</v>
      </c>
      <c r="U326" s="84">
        <v>0</v>
      </c>
      <c r="V326" s="84">
        <v>895.99300000000005</v>
      </c>
      <c r="W326" s="84">
        <v>447.99650000000003</v>
      </c>
      <c r="X326" s="82">
        <v>0.35</v>
      </c>
      <c r="Y326" s="82"/>
      <c r="Z326" s="84">
        <v>447.99650000000003</v>
      </c>
      <c r="AA326" s="84">
        <v>895.99300000000005</v>
      </c>
      <c r="AB326" s="88" t="e">
        <v>#DIV/0!</v>
      </c>
      <c r="AC326" t="s">
        <v>1665</v>
      </c>
    </row>
    <row r="327" spans="3:29">
      <c r="C327" t="s">
        <v>1666</v>
      </c>
      <c r="D327" t="s">
        <v>1667</v>
      </c>
      <c r="E327" s="84">
        <v>3594.99</v>
      </c>
      <c r="F327" s="84">
        <v>1797.4949999999999</v>
      </c>
      <c r="G327" t="s">
        <v>1610</v>
      </c>
      <c r="H327" t="s">
        <v>1668</v>
      </c>
      <c r="I327" t="s">
        <v>1669</v>
      </c>
      <c r="J327" t="s">
        <v>1670</v>
      </c>
      <c r="K327" t="s">
        <v>1671</v>
      </c>
      <c r="L327" t="s">
        <v>670</v>
      </c>
      <c r="M327">
        <v>105</v>
      </c>
      <c r="N327">
        <v>90</v>
      </c>
      <c r="O327">
        <v>67</v>
      </c>
      <c r="P327">
        <v>0.63314999999999999</v>
      </c>
      <c r="Q327" s="84" t="e">
        <v>#REF!</v>
      </c>
      <c r="R327" s="85"/>
      <c r="S327" s="85"/>
      <c r="T327" s="86">
        <v>0</v>
      </c>
      <c r="U327" s="84">
        <v>0</v>
      </c>
      <c r="V327" s="84">
        <v>2516.4929999999999</v>
      </c>
      <c r="W327" s="84">
        <v>1258.2465</v>
      </c>
      <c r="X327" s="82">
        <v>0.35</v>
      </c>
      <c r="Y327" s="82"/>
      <c r="Z327" s="84">
        <v>1258.2465</v>
      </c>
      <c r="AA327" s="84">
        <v>2516.4929999999999</v>
      </c>
      <c r="AB327" s="88" t="e">
        <v>#DIV/0!</v>
      </c>
      <c r="AC327" t="s">
        <v>1672</v>
      </c>
    </row>
    <row r="328" spans="3:29">
      <c r="C328" t="s">
        <v>1674</v>
      </c>
      <c r="D328" t="s">
        <v>1675</v>
      </c>
      <c r="E328" s="84">
        <v>5084.99</v>
      </c>
      <c r="F328" s="84">
        <v>2542.4949999999999</v>
      </c>
      <c r="G328" t="s">
        <v>1610</v>
      </c>
      <c r="H328" t="s">
        <v>1676</v>
      </c>
      <c r="I328" t="s">
        <v>1677</v>
      </c>
      <c r="J328" t="s">
        <v>1678</v>
      </c>
      <c r="K328" t="s">
        <v>1671</v>
      </c>
      <c r="L328" t="s">
        <v>670</v>
      </c>
      <c r="M328">
        <v>205</v>
      </c>
      <c r="N328">
        <v>90</v>
      </c>
      <c r="O328">
        <v>67</v>
      </c>
      <c r="P328">
        <v>1.2361500000000001</v>
      </c>
      <c r="Q328" s="84" t="e">
        <v>#REF!</v>
      </c>
      <c r="R328" s="85"/>
      <c r="S328" s="85"/>
      <c r="T328" s="86">
        <v>0</v>
      </c>
      <c r="U328" s="84">
        <v>0</v>
      </c>
      <c r="V328" s="84">
        <v>3559.4929999999999</v>
      </c>
      <c r="W328" s="84">
        <v>1779.7465</v>
      </c>
      <c r="X328" s="82">
        <v>0.35</v>
      </c>
      <c r="Y328" s="82"/>
      <c r="Z328" s="84">
        <v>1779.7465</v>
      </c>
      <c r="AA328" s="84">
        <v>3559.4929999999999</v>
      </c>
      <c r="AB328" s="88" t="e">
        <v>#DIV/0!</v>
      </c>
      <c r="AC328" t="s">
        <v>1679</v>
      </c>
    </row>
    <row r="329" spans="3:29">
      <c r="C329" t="s">
        <v>1680</v>
      </c>
      <c r="D329" t="s">
        <v>1681</v>
      </c>
      <c r="E329" s="84">
        <v>5979.99</v>
      </c>
      <c r="F329" s="84">
        <v>2989.9949999999999</v>
      </c>
      <c r="G329" t="s">
        <v>1610</v>
      </c>
      <c r="H329" t="s">
        <v>1682</v>
      </c>
      <c r="I329" t="s">
        <v>1683</v>
      </c>
      <c r="J329" t="s">
        <v>1684</v>
      </c>
      <c r="K329" t="s">
        <v>1671</v>
      </c>
      <c r="L329" t="s">
        <v>670</v>
      </c>
      <c r="M329">
        <v>270</v>
      </c>
      <c r="N329">
        <v>90</v>
      </c>
      <c r="O329">
        <v>67</v>
      </c>
      <c r="P329">
        <v>1.6281000000000001</v>
      </c>
      <c r="Q329" s="84" t="e">
        <v>#REF!</v>
      </c>
      <c r="R329" s="85"/>
      <c r="S329" s="85"/>
      <c r="T329" s="86">
        <v>0</v>
      </c>
      <c r="U329" s="84">
        <v>0</v>
      </c>
      <c r="V329" s="84">
        <v>4185.9930000000004</v>
      </c>
      <c r="W329" s="84">
        <v>2092.9965000000002</v>
      </c>
      <c r="X329" s="82">
        <v>0.35</v>
      </c>
      <c r="Y329" s="82"/>
      <c r="Z329" s="84">
        <v>2092.9965000000002</v>
      </c>
      <c r="AA329" s="84">
        <v>4185.9930000000004</v>
      </c>
      <c r="AB329" s="88" t="e">
        <v>#DIV/0!</v>
      </c>
      <c r="AC329" t="s">
        <v>1685</v>
      </c>
    </row>
    <row r="330" spans="3:29">
      <c r="C330" t="s">
        <v>1686</v>
      </c>
      <c r="E330" s="84"/>
      <c r="F330" s="82"/>
      <c r="R330" s="85"/>
      <c r="S330" s="85"/>
      <c r="T330" s="86"/>
      <c r="V330" s="84"/>
      <c r="W330" s="84"/>
      <c r="X330" s="82"/>
      <c r="Y330" s="82"/>
      <c r="Z330" s="82"/>
      <c r="AA330" s="82"/>
      <c r="AB330" s="88"/>
    </row>
    <row r="331" spans="3:29">
      <c r="C331" t="s">
        <v>1687</v>
      </c>
      <c r="D331" t="s">
        <v>1688</v>
      </c>
      <c r="E331" s="84">
        <v>2189.9899999999998</v>
      </c>
      <c r="F331" s="84">
        <v>1094.9949999999999</v>
      </c>
      <c r="G331" t="s">
        <v>1686</v>
      </c>
      <c r="H331" t="s">
        <v>1689</v>
      </c>
      <c r="I331" t="s">
        <v>1690</v>
      </c>
      <c r="J331" t="s">
        <v>1691</v>
      </c>
      <c r="K331" t="s">
        <v>807</v>
      </c>
      <c r="L331" t="s">
        <v>50</v>
      </c>
      <c r="M331">
        <v>92</v>
      </c>
      <c r="N331">
        <v>87</v>
      </c>
      <c r="O331">
        <v>66</v>
      </c>
      <c r="P331">
        <v>0.52826399999999996</v>
      </c>
      <c r="Q331" s="84" t="e">
        <v>#REF!</v>
      </c>
      <c r="R331" s="85">
        <v>2755166.5439385101</v>
      </c>
      <c r="S331" s="85">
        <v>0</v>
      </c>
      <c r="T331" s="86">
        <v>2755166.5439385101</v>
      </c>
      <c r="U331" s="84">
        <v>183.6777695959</v>
      </c>
      <c r="V331" s="84">
        <v>1532.9929999999999</v>
      </c>
      <c r="W331" s="84">
        <v>766.49649999999997</v>
      </c>
      <c r="X331" s="82">
        <v>0.35</v>
      </c>
      <c r="Y331" s="82"/>
      <c r="Z331" s="84">
        <v>766.49649999999997</v>
      </c>
      <c r="AA331" s="84">
        <v>1532.9929999999999</v>
      </c>
      <c r="AB331" s="88">
        <v>4.1730499106469301</v>
      </c>
      <c r="AC331" t="s">
        <v>1692</v>
      </c>
    </row>
    <row r="332" spans="3:29">
      <c r="C332" t="s">
        <v>1694</v>
      </c>
      <c r="D332" t="s">
        <v>1695</v>
      </c>
      <c r="E332" s="84">
        <v>724.99</v>
      </c>
      <c r="F332" s="84">
        <v>362.495</v>
      </c>
      <c r="G332" t="s">
        <v>1686</v>
      </c>
      <c r="H332" t="s">
        <v>1696</v>
      </c>
      <c r="I332" t="s">
        <v>1697</v>
      </c>
      <c r="K332" t="s">
        <v>1223</v>
      </c>
      <c r="L332" t="s">
        <v>1698</v>
      </c>
      <c r="P332">
        <v>0</v>
      </c>
      <c r="Q332" s="84" t="e">
        <v>#REF!</v>
      </c>
      <c r="R332" s="85"/>
      <c r="S332" s="85"/>
      <c r="T332" s="86">
        <v>0</v>
      </c>
      <c r="U332" s="84">
        <v>0</v>
      </c>
      <c r="V332" s="84">
        <v>507.49299999999999</v>
      </c>
      <c r="W332" s="84">
        <v>253.7465</v>
      </c>
      <c r="X332" s="82">
        <v>0.35</v>
      </c>
      <c r="Y332" s="82"/>
      <c r="Z332" s="84">
        <v>253.7465</v>
      </c>
      <c r="AA332" s="84">
        <v>507.49299999999999</v>
      </c>
      <c r="AB332" s="88" t="e">
        <v>#DIV/0!</v>
      </c>
      <c r="AC332" t="s">
        <v>1699</v>
      </c>
    </row>
    <row r="333" spans="3:29">
      <c r="C333" t="s">
        <v>1700</v>
      </c>
      <c r="D333" t="s">
        <v>1701</v>
      </c>
      <c r="E333" s="84">
        <v>3259.99</v>
      </c>
      <c r="F333" s="84">
        <v>1629.9949999999999</v>
      </c>
      <c r="G333" t="s">
        <v>1686</v>
      </c>
      <c r="H333" t="s">
        <v>1702</v>
      </c>
      <c r="I333" t="s">
        <v>1703</v>
      </c>
      <c r="J333" t="s">
        <v>1704</v>
      </c>
      <c r="K333" t="s">
        <v>807</v>
      </c>
      <c r="L333" t="s">
        <v>50</v>
      </c>
      <c r="M333">
        <v>188</v>
      </c>
      <c r="N333">
        <v>87</v>
      </c>
      <c r="O333">
        <v>66</v>
      </c>
      <c r="P333">
        <v>1.079496</v>
      </c>
      <c r="Q333" s="84" t="e">
        <v>#REF!</v>
      </c>
      <c r="R333" s="85">
        <v>4262379.4144301098</v>
      </c>
      <c r="S333" s="85">
        <v>0</v>
      </c>
      <c r="T333" s="86">
        <v>4262379.4144301098</v>
      </c>
      <c r="U333" s="84">
        <v>284.15862762867403</v>
      </c>
      <c r="V333" s="84">
        <v>2281.9929999999999</v>
      </c>
      <c r="W333" s="84">
        <v>1140.9965</v>
      </c>
      <c r="X333" s="82">
        <v>0.35</v>
      </c>
      <c r="Y333" s="82"/>
      <c r="Z333" s="84">
        <v>1140.9965</v>
      </c>
      <c r="AA333" s="84">
        <v>2281.9929999999999</v>
      </c>
      <c r="AB333" s="88">
        <v>4.0153505438905901</v>
      </c>
      <c r="AC333" t="s">
        <v>1705</v>
      </c>
    </row>
    <row r="334" spans="3:29">
      <c r="C334" t="s">
        <v>1706</v>
      </c>
      <c r="D334" t="s">
        <v>1707</v>
      </c>
      <c r="E334" s="84">
        <v>1359.99</v>
      </c>
      <c r="F334" s="84">
        <v>679.995</v>
      </c>
      <c r="G334" t="s">
        <v>1686</v>
      </c>
      <c r="H334" t="s">
        <v>1708</v>
      </c>
      <c r="I334" t="s">
        <v>1709</v>
      </c>
      <c r="K334" t="s">
        <v>1223</v>
      </c>
      <c r="L334" t="s">
        <v>1698</v>
      </c>
      <c r="P334">
        <v>0</v>
      </c>
      <c r="Q334" s="84" t="e">
        <v>#REF!</v>
      </c>
      <c r="R334" s="85"/>
      <c r="S334" s="85"/>
      <c r="T334" s="86">
        <v>0</v>
      </c>
      <c r="U334" s="84">
        <v>0</v>
      </c>
      <c r="V334" s="84">
        <v>951.99300000000005</v>
      </c>
      <c r="W334" s="84">
        <v>475.99650000000003</v>
      </c>
      <c r="X334" s="82">
        <v>0.35</v>
      </c>
      <c r="Y334" s="82"/>
      <c r="Z334" s="84">
        <v>475.99650000000003</v>
      </c>
      <c r="AA334" s="84">
        <v>951.99300000000005</v>
      </c>
      <c r="AB334" s="88" t="e">
        <v>#DIV/0!</v>
      </c>
      <c r="AC334" t="s">
        <v>1710</v>
      </c>
    </row>
    <row r="335" spans="3:29">
      <c r="C335" t="s">
        <v>1711</v>
      </c>
      <c r="D335" t="s">
        <v>1712</v>
      </c>
      <c r="E335" s="84">
        <v>4139.99</v>
      </c>
      <c r="F335" s="84">
        <v>2069.9949999999999</v>
      </c>
      <c r="G335" t="s">
        <v>1686</v>
      </c>
      <c r="H335" t="s">
        <v>1713</v>
      </c>
      <c r="I335" t="s">
        <v>1714</v>
      </c>
      <c r="J335" t="s">
        <v>1715</v>
      </c>
      <c r="K335" t="s">
        <v>807</v>
      </c>
      <c r="L335" t="s">
        <v>50</v>
      </c>
      <c r="M335">
        <v>300</v>
      </c>
      <c r="N335">
        <v>87</v>
      </c>
      <c r="O335">
        <v>66</v>
      </c>
      <c r="P335">
        <v>1.7225999999999999</v>
      </c>
      <c r="Q335" s="84" t="e">
        <v>#REF!</v>
      </c>
      <c r="R335" s="85"/>
      <c r="S335" s="85"/>
      <c r="T335" s="86">
        <v>0</v>
      </c>
      <c r="U335" s="84">
        <v>0</v>
      </c>
      <c r="V335" s="84">
        <v>2897.9929999999999</v>
      </c>
      <c r="W335" s="84">
        <v>1448.9965</v>
      </c>
      <c r="X335" s="82">
        <v>0.35</v>
      </c>
      <c r="Y335" s="82"/>
      <c r="Z335" s="84">
        <v>1448.9965</v>
      </c>
      <c r="AA335" s="84">
        <v>2897.9929999999999</v>
      </c>
      <c r="AB335" s="88" t="e">
        <v>#DIV/0!</v>
      </c>
      <c r="AC335" t="s">
        <v>1716</v>
      </c>
    </row>
    <row r="336" spans="3:29">
      <c r="C336" t="s">
        <v>1717</v>
      </c>
      <c r="D336" t="s">
        <v>1718</v>
      </c>
      <c r="E336" s="84">
        <v>2379.9899999999998</v>
      </c>
      <c r="F336" s="84">
        <v>1189.9949999999999</v>
      </c>
      <c r="G336" t="s">
        <v>1686</v>
      </c>
      <c r="H336" t="s">
        <v>1708</v>
      </c>
      <c r="I336" t="s">
        <v>1719</v>
      </c>
      <c r="K336" t="s">
        <v>1223</v>
      </c>
      <c r="L336" t="s">
        <v>1698</v>
      </c>
      <c r="P336">
        <v>0</v>
      </c>
      <c r="Q336" s="84" t="e">
        <v>#REF!</v>
      </c>
      <c r="R336" s="85"/>
      <c r="S336" s="85"/>
      <c r="T336" s="86">
        <v>0</v>
      </c>
      <c r="U336" s="84">
        <v>0</v>
      </c>
      <c r="V336" s="84">
        <v>1665.9929999999999</v>
      </c>
      <c r="W336" s="84">
        <v>832.99649999999997</v>
      </c>
      <c r="X336" s="82">
        <v>0.35</v>
      </c>
      <c r="Y336" s="82"/>
      <c r="Z336" s="84">
        <v>832.99649999999997</v>
      </c>
      <c r="AA336" s="84">
        <v>1665.9929999999999</v>
      </c>
      <c r="AB336" s="88" t="e">
        <v>#DIV/0!</v>
      </c>
      <c r="AC336" t="s">
        <v>1720</v>
      </c>
    </row>
    <row r="337" spans="3:29">
      <c r="C337" t="s">
        <v>1721</v>
      </c>
      <c r="D337" t="s">
        <v>1722</v>
      </c>
      <c r="E337" s="84">
        <v>2259.9899999999998</v>
      </c>
      <c r="F337" s="84">
        <v>1129.9949999999999</v>
      </c>
      <c r="G337" t="s">
        <v>1686</v>
      </c>
      <c r="H337" t="s">
        <v>1723</v>
      </c>
      <c r="I337" t="s">
        <v>1724</v>
      </c>
      <c r="J337" t="s">
        <v>1725</v>
      </c>
      <c r="K337" t="s">
        <v>815</v>
      </c>
      <c r="L337" t="s">
        <v>50</v>
      </c>
      <c r="M337">
        <v>62</v>
      </c>
      <c r="N337">
        <v>76</v>
      </c>
      <c r="O337">
        <v>87</v>
      </c>
      <c r="P337">
        <v>0.40994399999999998</v>
      </c>
      <c r="Q337" s="84" t="e">
        <v>#REF!</v>
      </c>
      <c r="R337" s="85">
        <v>4774103.60102381</v>
      </c>
      <c r="S337" s="85">
        <v>0</v>
      </c>
      <c r="T337" s="86">
        <v>4774103.60102381</v>
      </c>
      <c r="U337" s="84">
        <v>318.27357340158699</v>
      </c>
      <c r="V337" s="84">
        <v>1581.9929999999999</v>
      </c>
      <c r="W337" s="84">
        <v>790.99649999999997</v>
      </c>
      <c r="X337" s="82">
        <v>0.35</v>
      </c>
      <c r="Y337" s="82"/>
      <c r="Z337" s="84">
        <v>790.99649999999997</v>
      </c>
      <c r="AA337" s="84">
        <v>1581.9929999999999</v>
      </c>
      <c r="AB337" s="88">
        <v>2.4852723132056802</v>
      </c>
      <c r="AC337" t="s">
        <v>1726</v>
      </c>
    </row>
    <row r="338" spans="3:29">
      <c r="C338" t="s">
        <v>1727</v>
      </c>
      <c r="D338" t="s">
        <v>1728</v>
      </c>
      <c r="E338" s="84">
        <v>2499.9899999999998</v>
      </c>
      <c r="F338" s="84">
        <v>1249.9949999999999</v>
      </c>
      <c r="G338" t="s">
        <v>1686</v>
      </c>
      <c r="H338" t="s">
        <v>1729</v>
      </c>
      <c r="I338" t="s">
        <v>1730</v>
      </c>
      <c r="J338" t="s">
        <v>1731</v>
      </c>
      <c r="K338" t="s">
        <v>807</v>
      </c>
      <c r="L338" t="s">
        <v>646</v>
      </c>
      <c r="M338">
        <v>200</v>
      </c>
      <c r="N338">
        <v>109</v>
      </c>
      <c r="O338">
        <v>84</v>
      </c>
      <c r="P338">
        <v>1.8311999999999999</v>
      </c>
      <c r="Q338" s="84" t="e">
        <v>#REF!</v>
      </c>
      <c r="R338" s="85"/>
      <c r="S338" s="85"/>
      <c r="T338" s="86">
        <v>0</v>
      </c>
      <c r="U338" s="84">
        <v>0</v>
      </c>
      <c r="V338" s="84">
        <v>1749.9929999999999</v>
      </c>
      <c r="W338" s="84">
        <v>874.99649999999997</v>
      </c>
      <c r="X338" s="82">
        <v>0.35</v>
      </c>
      <c r="Y338" s="82"/>
      <c r="Z338" s="84">
        <v>874.99649999999997</v>
      </c>
      <c r="AA338" s="84">
        <v>1749.9929999999999</v>
      </c>
      <c r="AB338" s="88" t="e">
        <v>#DIV/0!</v>
      </c>
      <c r="AC338" t="s">
        <v>1732</v>
      </c>
    </row>
    <row r="339" spans="3:29">
      <c r="C339">
        <v>21422</v>
      </c>
      <c r="D339" t="s">
        <v>1733</v>
      </c>
      <c r="E339" s="84">
        <v>289.99</v>
      </c>
      <c r="F339" s="84">
        <v>144.995</v>
      </c>
      <c r="G339" t="s">
        <v>1686</v>
      </c>
      <c r="H339" t="s">
        <v>1734</v>
      </c>
      <c r="I339" t="s">
        <v>1735</v>
      </c>
      <c r="J339" t="s">
        <v>1736</v>
      </c>
      <c r="K339" t="s">
        <v>1196</v>
      </c>
      <c r="L339" t="s">
        <v>1698</v>
      </c>
      <c r="M339">
        <v>70</v>
      </c>
      <c r="N339">
        <v>66</v>
      </c>
      <c r="O339">
        <v>77</v>
      </c>
      <c r="P339">
        <v>0.35574</v>
      </c>
      <c r="Q339" s="84" t="e">
        <v>#REF!</v>
      </c>
      <c r="R339" s="85"/>
      <c r="S339" s="85"/>
      <c r="T339" s="86">
        <v>0</v>
      </c>
      <c r="U339" s="84">
        <v>0</v>
      </c>
      <c r="V339" s="84">
        <v>202.99299999999999</v>
      </c>
      <c r="W339" s="84">
        <v>101.4965</v>
      </c>
      <c r="X339" s="82">
        <v>0.35</v>
      </c>
      <c r="Y339" s="82"/>
      <c r="Z339" s="84">
        <v>101.4965</v>
      </c>
      <c r="AA339" s="84">
        <v>202.99299999999999</v>
      </c>
      <c r="AB339" s="88" t="e">
        <v>#DIV/0!</v>
      </c>
      <c r="AC339" t="s">
        <v>1737</v>
      </c>
    </row>
    <row r="340" spans="3:29">
      <c r="C340" t="s">
        <v>1738</v>
      </c>
      <c r="D340" t="s">
        <v>1739</v>
      </c>
      <c r="E340" s="84">
        <v>164.99</v>
      </c>
      <c r="F340" s="84">
        <v>82.495000000000005</v>
      </c>
      <c r="G340" t="s">
        <v>1686</v>
      </c>
      <c r="H340" t="s">
        <v>1740</v>
      </c>
      <c r="I340" t="s">
        <v>1741</v>
      </c>
      <c r="K340" t="s">
        <v>1223</v>
      </c>
      <c r="L340" t="s">
        <v>1698</v>
      </c>
      <c r="P340">
        <v>0</v>
      </c>
      <c r="Q340" s="84" t="e">
        <v>#REF!</v>
      </c>
      <c r="R340" s="85"/>
      <c r="S340" s="85"/>
      <c r="T340" s="86">
        <v>0</v>
      </c>
      <c r="U340" s="84">
        <v>0</v>
      </c>
      <c r="V340" s="84">
        <v>115.49299999999999</v>
      </c>
      <c r="W340" s="84">
        <v>57.746499999999997</v>
      </c>
      <c r="X340" s="82">
        <v>0.35</v>
      </c>
      <c r="Y340" s="82"/>
      <c r="Z340" s="84">
        <v>57.746499999999997</v>
      </c>
      <c r="AA340" s="84">
        <v>115.49299999999999</v>
      </c>
      <c r="AB340" s="88" t="e">
        <v>#DIV/0!</v>
      </c>
      <c r="AC340" t="s">
        <v>1742</v>
      </c>
    </row>
    <row r="341" spans="3:29">
      <c r="C341" t="s">
        <v>1743</v>
      </c>
      <c r="D341" t="s">
        <v>1744</v>
      </c>
      <c r="E341" s="84">
        <v>2359.9899999999998</v>
      </c>
      <c r="F341" s="84">
        <v>1179.9949999999999</v>
      </c>
      <c r="G341" t="s">
        <v>1686</v>
      </c>
      <c r="H341" t="s">
        <v>1745</v>
      </c>
      <c r="I341" t="s">
        <v>1746</v>
      </c>
      <c r="J341" t="s">
        <v>1747</v>
      </c>
      <c r="K341" t="s">
        <v>815</v>
      </c>
      <c r="L341" t="s">
        <v>853</v>
      </c>
      <c r="M341">
        <v>88</v>
      </c>
      <c r="N341">
        <v>78</v>
      </c>
      <c r="O341">
        <v>74</v>
      </c>
      <c r="P341">
        <v>0.50793600000000005</v>
      </c>
      <c r="Q341" s="84" t="e">
        <v>#REF!</v>
      </c>
      <c r="R341" s="85"/>
      <c r="S341" s="85"/>
      <c r="T341" s="86">
        <v>0</v>
      </c>
      <c r="U341" s="84">
        <v>0</v>
      </c>
      <c r="V341" s="84">
        <v>1651.9929999999999</v>
      </c>
      <c r="W341" s="84">
        <v>825.99649999999997</v>
      </c>
      <c r="X341" s="82">
        <v>0.35</v>
      </c>
      <c r="Y341" s="82"/>
      <c r="Z341" s="84">
        <v>825.99649999999997</v>
      </c>
      <c r="AA341" s="84">
        <v>1651.9929999999999</v>
      </c>
      <c r="AB341" s="88" t="e">
        <v>#DIV/0!</v>
      </c>
      <c r="AC341" t="s">
        <v>1748</v>
      </c>
    </row>
    <row r="342" spans="3:29">
      <c r="C342" t="s">
        <v>1749</v>
      </c>
      <c r="D342" t="s">
        <v>1750</v>
      </c>
      <c r="E342" s="84">
        <v>874.99</v>
      </c>
      <c r="F342" s="84">
        <v>437.495</v>
      </c>
      <c r="G342" t="s">
        <v>1686</v>
      </c>
      <c r="H342" t="s">
        <v>1751</v>
      </c>
      <c r="I342" t="s">
        <v>1752</v>
      </c>
      <c r="K342" t="s">
        <v>1223</v>
      </c>
      <c r="L342" t="s">
        <v>1698</v>
      </c>
      <c r="P342">
        <v>0</v>
      </c>
      <c r="Q342" s="84" t="e">
        <v>#REF!</v>
      </c>
      <c r="R342" s="85"/>
      <c r="S342" s="85"/>
      <c r="T342" s="86">
        <v>0</v>
      </c>
      <c r="U342" s="84">
        <v>0</v>
      </c>
      <c r="V342" s="84">
        <v>612.49300000000005</v>
      </c>
      <c r="W342" s="84">
        <v>306.24650000000003</v>
      </c>
      <c r="X342" s="82">
        <v>0.35</v>
      </c>
      <c r="Y342" s="82"/>
      <c r="Z342" s="84">
        <v>306.24650000000003</v>
      </c>
      <c r="AA342" s="84">
        <v>612.49300000000005</v>
      </c>
      <c r="AB342" s="88" t="e">
        <v>#DIV/0!</v>
      </c>
      <c r="AC342" t="s">
        <v>1753</v>
      </c>
    </row>
    <row r="343" spans="3:29">
      <c r="C343" t="s">
        <v>1754</v>
      </c>
      <c r="D343" t="s">
        <v>1755</v>
      </c>
      <c r="E343" s="84">
        <v>3709.99</v>
      </c>
      <c r="F343" s="84">
        <v>1854.9949999999999</v>
      </c>
      <c r="G343" t="s">
        <v>1686</v>
      </c>
      <c r="H343" t="s">
        <v>1756</v>
      </c>
      <c r="I343" t="s">
        <v>1757</v>
      </c>
      <c r="J343" t="s">
        <v>1758</v>
      </c>
      <c r="K343" t="s">
        <v>815</v>
      </c>
      <c r="L343" t="s">
        <v>853</v>
      </c>
      <c r="M343">
        <v>178</v>
      </c>
      <c r="N343">
        <v>78</v>
      </c>
      <c r="O343">
        <v>74</v>
      </c>
      <c r="P343">
        <v>1.0274160000000001</v>
      </c>
      <c r="Q343" s="84" t="e">
        <v>#REF!</v>
      </c>
      <c r="R343" s="85"/>
      <c r="S343" s="85"/>
      <c r="T343" s="86">
        <v>0</v>
      </c>
      <c r="U343" s="84">
        <v>0</v>
      </c>
      <c r="V343" s="84">
        <v>2596.9929999999999</v>
      </c>
      <c r="W343" s="84">
        <v>1298.4965</v>
      </c>
      <c r="X343" s="82">
        <v>0.35</v>
      </c>
      <c r="Y343" s="82"/>
      <c r="Z343" s="84">
        <v>1298.4965</v>
      </c>
      <c r="AA343" s="84">
        <v>2596.9929999999999</v>
      </c>
      <c r="AB343" s="88" t="e">
        <v>#DIV/0!</v>
      </c>
      <c r="AC343" t="s">
        <v>1759</v>
      </c>
    </row>
    <row r="344" spans="3:29">
      <c r="C344" t="s">
        <v>1760</v>
      </c>
      <c r="D344" t="s">
        <v>1761</v>
      </c>
      <c r="E344" s="84">
        <v>1744.99</v>
      </c>
      <c r="F344" s="84">
        <v>872.495</v>
      </c>
      <c r="G344" t="s">
        <v>1686</v>
      </c>
      <c r="H344" t="s">
        <v>1751</v>
      </c>
      <c r="I344" t="s">
        <v>1752</v>
      </c>
      <c r="K344" t="s">
        <v>1223</v>
      </c>
      <c r="L344" t="s">
        <v>1698</v>
      </c>
      <c r="P344">
        <v>0</v>
      </c>
      <c r="Q344" s="84" t="e">
        <v>#REF!</v>
      </c>
      <c r="R344" s="85"/>
      <c r="S344" s="85"/>
      <c r="T344" s="86">
        <v>0</v>
      </c>
      <c r="U344" s="84">
        <v>0</v>
      </c>
      <c r="V344" s="84">
        <v>1221.4929999999999</v>
      </c>
      <c r="W344" s="84">
        <v>610.74649999999997</v>
      </c>
      <c r="X344" s="82">
        <v>0.35</v>
      </c>
      <c r="Y344" s="82"/>
      <c r="Z344" s="84">
        <v>610.74649999999997</v>
      </c>
      <c r="AA344" s="84">
        <v>1221.4929999999999</v>
      </c>
      <c r="AB344" s="88" t="e">
        <v>#DIV/0!</v>
      </c>
      <c r="AC344" t="s">
        <v>1753</v>
      </c>
    </row>
    <row r="345" spans="3:29">
      <c r="C345" t="s">
        <v>1762</v>
      </c>
      <c r="D345" t="s">
        <v>1763</v>
      </c>
      <c r="E345" s="84">
        <v>5259.99</v>
      </c>
      <c r="F345" s="84">
        <v>2629.9949999999999</v>
      </c>
      <c r="G345" t="s">
        <v>1686</v>
      </c>
      <c r="H345" t="s">
        <v>1764</v>
      </c>
      <c r="I345" t="s">
        <v>1765</v>
      </c>
      <c r="J345" t="s">
        <v>1766</v>
      </c>
      <c r="K345" t="s">
        <v>815</v>
      </c>
      <c r="L345" t="s">
        <v>853</v>
      </c>
      <c r="M345">
        <v>248</v>
      </c>
      <c r="N345">
        <v>110</v>
      </c>
      <c r="O345">
        <v>74</v>
      </c>
      <c r="P345">
        <v>2.0187200000000001</v>
      </c>
      <c r="Q345" s="84" t="e">
        <v>#REF!</v>
      </c>
      <c r="R345" s="85"/>
      <c r="S345" s="85"/>
      <c r="T345" s="86">
        <v>0</v>
      </c>
      <c r="U345" s="84">
        <v>0</v>
      </c>
      <c r="V345" s="84">
        <v>3681.9929999999999</v>
      </c>
      <c r="W345" s="84">
        <v>1840.9965</v>
      </c>
      <c r="X345" s="82">
        <v>0.35</v>
      </c>
      <c r="Y345" s="82"/>
      <c r="Z345" s="84">
        <v>1840.9965</v>
      </c>
      <c r="AA345" s="84">
        <v>3681.9929999999999</v>
      </c>
      <c r="AB345" s="88" t="e">
        <v>#DIV/0!</v>
      </c>
      <c r="AC345" t="s">
        <v>1767</v>
      </c>
    </row>
    <row r="346" spans="3:29">
      <c r="C346" t="s">
        <v>1768</v>
      </c>
      <c r="D346" t="s">
        <v>1769</v>
      </c>
      <c r="E346" s="84">
        <v>2569.9899999999998</v>
      </c>
      <c r="F346" s="84">
        <v>1284.9949999999999</v>
      </c>
      <c r="G346" t="s">
        <v>1686</v>
      </c>
      <c r="H346" t="s">
        <v>1751</v>
      </c>
      <c r="I346" t="s">
        <v>1752</v>
      </c>
      <c r="K346" t="s">
        <v>1223</v>
      </c>
      <c r="L346" t="s">
        <v>1698</v>
      </c>
      <c r="P346">
        <v>0</v>
      </c>
      <c r="Q346" s="84" t="e">
        <v>#REF!</v>
      </c>
      <c r="R346" s="85"/>
      <c r="S346" s="85"/>
      <c r="T346" s="86">
        <v>0</v>
      </c>
      <c r="U346" s="84">
        <v>0</v>
      </c>
      <c r="V346" s="84">
        <v>1798.9929999999999</v>
      </c>
      <c r="W346" s="84">
        <v>899.49649999999997</v>
      </c>
      <c r="X346" s="82">
        <v>0.35</v>
      </c>
      <c r="Y346" s="82"/>
      <c r="Z346" s="84">
        <v>899.49649999999997</v>
      </c>
      <c r="AA346" s="84">
        <v>1798.9929999999999</v>
      </c>
      <c r="AB346" s="88" t="e">
        <v>#DIV/0!</v>
      </c>
      <c r="AC346" t="s">
        <v>1770</v>
      </c>
    </row>
    <row r="347" spans="3:29">
      <c r="C347" t="s">
        <v>1771</v>
      </c>
      <c r="D347" t="s">
        <v>1772</v>
      </c>
      <c r="E347" s="84">
        <v>519.99</v>
      </c>
      <c r="F347" s="84">
        <v>259.995</v>
      </c>
      <c r="G347" t="s">
        <v>1686</v>
      </c>
      <c r="H347" t="s">
        <v>1773</v>
      </c>
      <c r="I347" t="s">
        <v>1774</v>
      </c>
      <c r="J347" t="s">
        <v>1775</v>
      </c>
      <c r="K347" t="s">
        <v>815</v>
      </c>
      <c r="L347" t="s">
        <v>853</v>
      </c>
      <c r="M347">
        <v>68</v>
      </c>
      <c r="N347">
        <v>50</v>
      </c>
      <c r="O347">
        <v>21</v>
      </c>
      <c r="P347">
        <v>7.1400000000000005E-2</v>
      </c>
      <c r="Q347" s="84" t="e">
        <v>#REF!</v>
      </c>
      <c r="R347" s="85"/>
      <c r="S347" s="85"/>
      <c r="T347" s="86">
        <v>0</v>
      </c>
      <c r="U347" s="84">
        <v>0</v>
      </c>
      <c r="V347" s="84">
        <v>363.99299999999999</v>
      </c>
      <c r="W347" s="84">
        <v>181.9965</v>
      </c>
      <c r="X347" s="82">
        <v>0.35</v>
      </c>
      <c r="Y347" s="82"/>
      <c r="Z347" s="84">
        <v>181.9965</v>
      </c>
      <c r="AA347" s="84">
        <v>363.99299999999999</v>
      </c>
      <c r="AB347" s="88" t="e">
        <v>#DIV/0!</v>
      </c>
      <c r="AC347" t="s">
        <v>1776</v>
      </c>
    </row>
    <row r="348" spans="3:29">
      <c r="C348" t="s">
        <v>1777</v>
      </c>
      <c r="D348" t="s">
        <v>1778</v>
      </c>
      <c r="E348" s="84">
        <v>714.99</v>
      </c>
      <c r="F348" s="84">
        <v>357.495</v>
      </c>
      <c r="G348" t="s">
        <v>1686</v>
      </c>
      <c r="H348" t="s">
        <v>1751</v>
      </c>
      <c r="I348" t="s">
        <v>1752</v>
      </c>
      <c r="K348" t="s">
        <v>1223</v>
      </c>
      <c r="L348" t="s">
        <v>1698</v>
      </c>
      <c r="P348">
        <v>0</v>
      </c>
      <c r="Q348" s="84" t="e">
        <v>#REF!</v>
      </c>
      <c r="R348" s="85"/>
      <c r="S348" s="85"/>
      <c r="T348" s="86">
        <v>0</v>
      </c>
      <c r="U348" s="84">
        <v>0</v>
      </c>
      <c r="V348" s="84">
        <v>500.49299999999999</v>
      </c>
      <c r="W348" s="84">
        <v>250.2465</v>
      </c>
      <c r="X348" s="82">
        <v>0.35</v>
      </c>
      <c r="Y348" s="82"/>
      <c r="Z348" s="84">
        <v>250.2465</v>
      </c>
      <c r="AA348" s="84">
        <v>500.49299999999999</v>
      </c>
      <c r="AB348" s="88" t="e">
        <v>#DIV/0!</v>
      </c>
      <c r="AC348" t="s">
        <v>1779</v>
      </c>
    </row>
    <row r="349" spans="3:29">
      <c r="C349" t="s">
        <v>1780</v>
      </c>
      <c r="D349" t="s">
        <v>1781</v>
      </c>
      <c r="E349" s="84">
        <v>420.99</v>
      </c>
      <c r="F349" s="84">
        <v>210.495</v>
      </c>
      <c r="G349" t="s">
        <v>1686</v>
      </c>
      <c r="H349" t="s">
        <v>1782</v>
      </c>
      <c r="I349" t="s">
        <v>1783</v>
      </c>
      <c r="J349" t="s">
        <v>1784</v>
      </c>
      <c r="K349" t="s">
        <v>1785</v>
      </c>
      <c r="L349" t="s">
        <v>646</v>
      </c>
      <c r="M349">
        <v>76</v>
      </c>
      <c r="N349">
        <v>80</v>
      </c>
      <c r="O349">
        <v>90</v>
      </c>
      <c r="P349">
        <v>0.54720000000000002</v>
      </c>
      <c r="Q349" s="84" t="e">
        <v>#REF!</v>
      </c>
      <c r="R349" s="85">
        <v>255000</v>
      </c>
      <c r="S349" s="85">
        <v>850000</v>
      </c>
      <c r="T349" s="86">
        <v>1105000</v>
      </c>
      <c r="U349" s="84">
        <v>73.6666666666667</v>
      </c>
      <c r="V349" s="84">
        <v>294.69299999999998</v>
      </c>
      <c r="W349" s="84">
        <v>147.34649999999999</v>
      </c>
      <c r="X349" s="82">
        <v>0.35</v>
      </c>
      <c r="Y349" s="87"/>
      <c r="Z349" s="84">
        <v>147.34649999999999</v>
      </c>
      <c r="AA349" s="84">
        <v>294.69299999999998</v>
      </c>
      <c r="AB349" s="88">
        <v>2</v>
      </c>
      <c r="AC349" t="s">
        <v>1786</v>
      </c>
    </row>
    <row r="350" spans="3:29">
      <c r="C350" t="s">
        <v>1787</v>
      </c>
      <c r="D350" t="s">
        <v>1788</v>
      </c>
      <c r="E350" s="84">
        <v>1879.99</v>
      </c>
      <c r="F350" s="84">
        <v>939.995</v>
      </c>
      <c r="G350" t="s">
        <v>1686</v>
      </c>
      <c r="H350" t="s">
        <v>1789</v>
      </c>
      <c r="I350" t="s">
        <v>1790</v>
      </c>
      <c r="J350" t="s">
        <v>1791</v>
      </c>
      <c r="K350" t="s">
        <v>807</v>
      </c>
      <c r="L350" t="s">
        <v>50</v>
      </c>
      <c r="M350">
        <v>92</v>
      </c>
      <c r="N350">
        <v>89</v>
      </c>
      <c r="O350">
        <v>66</v>
      </c>
      <c r="P350">
        <v>0.540408</v>
      </c>
      <c r="Q350" s="84" t="e">
        <v>#REF!</v>
      </c>
      <c r="R350" s="85">
        <v>2866791.4549196302</v>
      </c>
      <c r="S350" s="85">
        <v>0</v>
      </c>
      <c r="T350" s="86">
        <v>2866791.4549196302</v>
      </c>
      <c r="U350" s="84">
        <v>191.11943032797501</v>
      </c>
      <c r="V350" s="84">
        <v>1315.9929999999999</v>
      </c>
      <c r="W350" s="84">
        <v>657.99649999999997</v>
      </c>
      <c r="X350" s="82">
        <v>0.35</v>
      </c>
      <c r="Y350" s="82"/>
      <c r="Z350" s="84">
        <v>657.99649999999997</v>
      </c>
      <c r="AA350" s="84">
        <v>1315.9929999999999</v>
      </c>
      <c r="AB350" s="88">
        <v>3.4428550716733999</v>
      </c>
      <c r="AC350" t="s">
        <v>1792</v>
      </c>
    </row>
    <row r="351" spans="3:29">
      <c r="C351" t="s">
        <v>1793</v>
      </c>
      <c r="D351" t="s">
        <v>1788</v>
      </c>
      <c r="E351" s="84">
        <v>1599.99</v>
      </c>
      <c r="F351" s="84">
        <v>799.995</v>
      </c>
      <c r="G351" t="s">
        <v>1686</v>
      </c>
      <c r="H351" t="s">
        <v>1794</v>
      </c>
      <c r="I351" t="s">
        <v>1795</v>
      </c>
      <c r="J351" t="s">
        <v>1791</v>
      </c>
      <c r="K351" t="s">
        <v>1796</v>
      </c>
      <c r="L351" t="s">
        <v>50</v>
      </c>
      <c r="M351">
        <v>92</v>
      </c>
      <c r="N351">
        <v>89</v>
      </c>
      <c r="O351">
        <v>66</v>
      </c>
      <c r="P351">
        <v>0.540408</v>
      </c>
      <c r="Q351" s="84" t="e">
        <v>#REF!</v>
      </c>
      <c r="R351" s="85">
        <v>1883818.20491963</v>
      </c>
      <c r="S351" s="85">
        <v>0</v>
      </c>
      <c r="T351" s="86">
        <v>1883818.20491963</v>
      </c>
      <c r="U351" s="84">
        <v>125.587880327975</v>
      </c>
      <c r="V351" s="84">
        <v>1119.9929999999999</v>
      </c>
      <c r="W351" s="84">
        <v>559.99649999999997</v>
      </c>
      <c r="X351" s="82">
        <v>0.35</v>
      </c>
      <c r="Y351" s="82"/>
      <c r="Z351" s="84">
        <v>559.99649999999997</v>
      </c>
      <c r="AA351" s="84">
        <v>1119.9929999999999</v>
      </c>
      <c r="AB351" s="88">
        <v>4.4590011276371397</v>
      </c>
      <c r="AC351" t="s">
        <v>1797</v>
      </c>
    </row>
    <row r="352" spans="3:29">
      <c r="C352" t="s">
        <v>1798</v>
      </c>
      <c r="D352" t="s">
        <v>1799</v>
      </c>
      <c r="E352" s="84">
        <v>1154.99</v>
      </c>
      <c r="F352" s="84">
        <v>577.495</v>
      </c>
      <c r="G352" t="s">
        <v>1686</v>
      </c>
      <c r="H352" t="s">
        <v>1800</v>
      </c>
      <c r="I352" t="s">
        <v>1801</v>
      </c>
      <c r="K352" t="s">
        <v>1223</v>
      </c>
      <c r="L352" t="s">
        <v>1698</v>
      </c>
      <c r="P352">
        <v>0</v>
      </c>
      <c r="Q352" s="84" t="e">
        <v>#REF!</v>
      </c>
      <c r="R352" s="85">
        <v>51806.5187373101</v>
      </c>
      <c r="S352" s="85">
        <v>2100669.4399999999</v>
      </c>
      <c r="T352" s="86">
        <v>2152475.95873731</v>
      </c>
      <c r="U352" s="84">
        <v>143.49839724915401</v>
      </c>
      <c r="V352" s="84">
        <v>808.49300000000005</v>
      </c>
      <c r="W352" s="84">
        <v>404.24650000000003</v>
      </c>
      <c r="X352" s="82">
        <v>0.35</v>
      </c>
      <c r="Y352" s="82"/>
      <c r="Z352" s="84">
        <v>404.24650000000003</v>
      </c>
      <c r="AA352" s="84">
        <v>808.49300000000005</v>
      </c>
      <c r="AB352" s="88">
        <v>2.8170802444442198</v>
      </c>
      <c r="AC352" t="s">
        <v>1802</v>
      </c>
    </row>
    <row r="353" spans="3:29">
      <c r="C353" t="s">
        <v>1803</v>
      </c>
      <c r="D353" t="s">
        <v>1804</v>
      </c>
      <c r="E353" s="84">
        <v>2549.9899999999998</v>
      </c>
      <c r="F353" s="84">
        <v>1274.9949999999999</v>
      </c>
      <c r="G353" t="s">
        <v>1686</v>
      </c>
      <c r="H353" t="s">
        <v>1805</v>
      </c>
      <c r="I353" t="s">
        <v>1806</v>
      </c>
      <c r="J353" t="s">
        <v>1807</v>
      </c>
      <c r="K353" t="s">
        <v>807</v>
      </c>
      <c r="L353" t="s">
        <v>50</v>
      </c>
      <c r="M353">
        <v>188</v>
      </c>
      <c r="N353">
        <v>89</v>
      </c>
      <c r="O353">
        <v>66</v>
      </c>
      <c r="P353">
        <v>1.104312</v>
      </c>
      <c r="Q353" s="84" t="e">
        <v>#REF!</v>
      </c>
      <c r="R353" s="85">
        <v>4562805.6522448901</v>
      </c>
      <c r="S353" s="85">
        <v>0</v>
      </c>
      <c r="T353" s="86">
        <v>4562805.6522448901</v>
      </c>
      <c r="U353" s="84">
        <v>304.18704348299298</v>
      </c>
      <c r="V353" s="84">
        <v>1784.9929999999999</v>
      </c>
      <c r="W353" s="84">
        <v>892.49649999999997</v>
      </c>
      <c r="X353" s="82">
        <v>0.35</v>
      </c>
      <c r="Y353" s="82"/>
      <c r="Z353" s="84">
        <v>892.49649999999997</v>
      </c>
      <c r="AA353" s="84">
        <v>1784.9929999999999</v>
      </c>
      <c r="AB353" s="88">
        <v>2.9340385105846898</v>
      </c>
      <c r="AC353" t="s">
        <v>1808</v>
      </c>
    </row>
    <row r="354" spans="3:29">
      <c r="C354" t="s">
        <v>1809</v>
      </c>
      <c r="D354" t="s">
        <v>1804</v>
      </c>
      <c r="E354" s="84">
        <v>2259.9899999999998</v>
      </c>
      <c r="F354" s="84">
        <v>1129.9949999999999</v>
      </c>
      <c r="G354" t="s">
        <v>1686</v>
      </c>
      <c r="H354" t="s">
        <v>1810</v>
      </c>
      <c r="I354" t="s">
        <v>1806</v>
      </c>
      <c r="J354" t="s">
        <v>1807</v>
      </c>
      <c r="K354" t="s">
        <v>1796</v>
      </c>
      <c r="L354" t="s">
        <v>50</v>
      </c>
      <c r="M354">
        <v>188</v>
      </c>
      <c r="N354">
        <v>89</v>
      </c>
      <c r="O354">
        <v>66</v>
      </c>
      <c r="P354">
        <v>1.104312</v>
      </c>
      <c r="Q354" s="84" t="e">
        <v>#REF!</v>
      </c>
      <c r="R354" s="85">
        <v>2786100.6522448901</v>
      </c>
      <c r="S354" s="85">
        <v>0</v>
      </c>
      <c r="T354" s="86">
        <v>2786100.6522448901</v>
      </c>
      <c r="U354" s="84">
        <v>185.740043482993</v>
      </c>
      <c r="V354" s="84">
        <v>1581.9929999999999</v>
      </c>
      <c r="W354" s="84">
        <v>790.99649999999997</v>
      </c>
      <c r="X354" s="82">
        <v>0.35</v>
      </c>
      <c r="Y354" s="82"/>
      <c r="Z354" s="84">
        <v>790.99649999999997</v>
      </c>
      <c r="AA354" s="84">
        <v>1581.9929999999999</v>
      </c>
      <c r="AB354" s="88">
        <v>4.2586212707139097</v>
      </c>
      <c r="AC354" t="s">
        <v>1811</v>
      </c>
    </row>
    <row r="355" spans="3:29">
      <c r="C355" t="s">
        <v>1812</v>
      </c>
      <c r="D355" t="s">
        <v>1813</v>
      </c>
      <c r="E355" s="84">
        <v>2464.9899999999998</v>
      </c>
      <c r="F355" s="84">
        <v>1232.4949999999999</v>
      </c>
      <c r="G355" t="s">
        <v>1686</v>
      </c>
      <c r="H355" t="s">
        <v>1800</v>
      </c>
      <c r="I355" t="s">
        <v>1801</v>
      </c>
      <c r="K355" t="s">
        <v>1223</v>
      </c>
      <c r="L355" t="s">
        <v>1698</v>
      </c>
      <c r="P355">
        <v>0</v>
      </c>
      <c r="Q355" s="84" t="e">
        <v>#REF!</v>
      </c>
      <c r="R355" s="85">
        <v>119014.975477614</v>
      </c>
      <c r="S355" s="85">
        <v>4775817.4366666703</v>
      </c>
      <c r="T355" s="86">
        <v>4894832.41214428</v>
      </c>
      <c r="U355" s="84">
        <v>326.32216080961899</v>
      </c>
      <c r="V355" s="84">
        <v>1725.4929999999999</v>
      </c>
      <c r="W355" s="84">
        <v>862.74649999999997</v>
      </c>
      <c r="X355" s="82">
        <v>0.35</v>
      </c>
      <c r="Y355" s="82"/>
      <c r="Z355" s="84">
        <v>862.74649999999997</v>
      </c>
      <c r="AA355" s="84">
        <v>1725.4929999999999</v>
      </c>
      <c r="AB355" s="88">
        <v>2.6438489432023</v>
      </c>
      <c r="AC355" t="s">
        <v>1814</v>
      </c>
    </row>
    <row r="356" spans="3:29">
      <c r="C356" t="s">
        <v>1815</v>
      </c>
      <c r="D356" t="s">
        <v>1816</v>
      </c>
      <c r="E356" s="84">
        <v>3419.99</v>
      </c>
      <c r="F356" s="84">
        <v>1709.9949999999999</v>
      </c>
      <c r="G356" t="s">
        <v>1686</v>
      </c>
      <c r="H356" t="s">
        <v>1817</v>
      </c>
      <c r="I356" t="s">
        <v>1818</v>
      </c>
      <c r="J356" t="s">
        <v>1819</v>
      </c>
      <c r="K356" t="s">
        <v>807</v>
      </c>
      <c r="L356" t="s">
        <v>50</v>
      </c>
      <c r="M356">
        <v>300</v>
      </c>
      <c r="N356">
        <v>89</v>
      </c>
      <c r="O356">
        <v>66</v>
      </c>
      <c r="P356">
        <v>1.7622</v>
      </c>
      <c r="Q356" s="84" t="e">
        <v>#REF!</v>
      </c>
      <c r="R356" s="85">
        <v>4283509.4287039703</v>
      </c>
      <c r="S356" s="85">
        <v>0</v>
      </c>
      <c r="T356" s="86">
        <v>4283509.4287039703</v>
      </c>
      <c r="U356" s="84">
        <v>285.567295246931</v>
      </c>
      <c r="V356" s="84">
        <v>2393.9929999999999</v>
      </c>
      <c r="W356" s="84">
        <v>1196.9965</v>
      </c>
      <c r="X356" s="82">
        <v>0.35</v>
      </c>
      <c r="Y356" s="82"/>
      <c r="Z356" s="84">
        <v>1196.9965</v>
      </c>
      <c r="AA356" s="84">
        <v>2393.9929999999999</v>
      </c>
      <c r="AB356" s="88">
        <v>4.1916442110955003</v>
      </c>
      <c r="AC356" t="s">
        <v>1820</v>
      </c>
    </row>
    <row r="357" spans="3:29">
      <c r="C357" t="s">
        <v>1821</v>
      </c>
      <c r="D357" t="s">
        <v>1822</v>
      </c>
      <c r="E357" s="84">
        <v>1219.99</v>
      </c>
      <c r="F357" s="84">
        <v>609.995</v>
      </c>
      <c r="G357" t="s">
        <v>1686</v>
      </c>
      <c r="H357" t="s">
        <v>1823</v>
      </c>
      <c r="I357" t="s">
        <v>1824</v>
      </c>
      <c r="J357" t="s">
        <v>1825</v>
      </c>
      <c r="K357" t="s">
        <v>807</v>
      </c>
      <c r="L357" t="s">
        <v>50</v>
      </c>
      <c r="M357">
        <v>84</v>
      </c>
      <c r="N357">
        <v>91</v>
      </c>
      <c r="O357">
        <v>70</v>
      </c>
      <c r="P357">
        <v>0.53508</v>
      </c>
      <c r="Q357" s="84" t="e">
        <v>#REF!</v>
      </c>
      <c r="R357" s="85"/>
      <c r="S357" s="85"/>
      <c r="T357" s="86">
        <v>0</v>
      </c>
      <c r="U357" s="84">
        <v>0</v>
      </c>
      <c r="V357" s="84">
        <v>853.99300000000005</v>
      </c>
      <c r="W357" s="84">
        <v>426.99650000000003</v>
      </c>
      <c r="X357" s="82">
        <v>0.35</v>
      </c>
      <c r="Y357" s="82"/>
      <c r="Z357" s="84">
        <v>426.99650000000003</v>
      </c>
      <c r="AA357" s="84">
        <v>853.99300000000005</v>
      </c>
      <c r="AB357" s="88" t="e">
        <v>#DIV/0!</v>
      </c>
      <c r="AC357" t="s">
        <v>1826</v>
      </c>
    </row>
    <row r="358" spans="3:29">
      <c r="C358" t="s">
        <v>1827</v>
      </c>
      <c r="D358" t="s">
        <v>1828</v>
      </c>
      <c r="E358" s="84">
        <v>1019.99</v>
      </c>
      <c r="F358" s="84">
        <v>509.995</v>
      </c>
      <c r="G358" t="s">
        <v>1686</v>
      </c>
      <c r="H358" t="s">
        <v>1829</v>
      </c>
      <c r="I358" t="s">
        <v>1830</v>
      </c>
      <c r="K358" t="s">
        <v>1223</v>
      </c>
      <c r="L358" t="s">
        <v>1698</v>
      </c>
      <c r="P358">
        <v>0</v>
      </c>
      <c r="Q358" s="84" t="e">
        <v>#REF!</v>
      </c>
      <c r="R358" s="85"/>
      <c r="S358" s="85"/>
      <c r="T358" s="86">
        <v>0</v>
      </c>
      <c r="U358" s="84">
        <v>0</v>
      </c>
      <c r="V358" s="84">
        <v>713.99300000000005</v>
      </c>
      <c r="W358" s="84">
        <v>356.99650000000003</v>
      </c>
      <c r="X358" s="82">
        <v>0.35</v>
      </c>
      <c r="Y358" s="82"/>
      <c r="Z358" s="84">
        <v>356.99650000000003</v>
      </c>
      <c r="AA358" s="84">
        <v>713.99300000000005</v>
      </c>
      <c r="AB358" s="88" t="e">
        <v>#DIV/0!</v>
      </c>
      <c r="AC358" t="s">
        <v>1831</v>
      </c>
    </row>
    <row r="359" spans="3:29">
      <c r="C359" t="s">
        <v>1832</v>
      </c>
      <c r="D359" t="s">
        <v>1833</v>
      </c>
      <c r="E359" s="84">
        <v>709.99</v>
      </c>
      <c r="F359" s="84">
        <v>354.995</v>
      </c>
      <c r="G359" t="s">
        <v>1686</v>
      </c>
      <c r="H359" t="s">
        <v>1834</v>
      </c>
      <c r="I359" t="s">
        <v>1835</v>
      </c>
      <c r="J359" t="s">
        <v>1836</v>
      </c>
      <c r="K359" t="s">
        <v>807</v>
      </c>
      <c r="L359" t="s">
        <v>50</v>
      </c>
      <c r="M359">
        <v>70</v>
      </c>
      <c r="N359">
        <v>84</v>
      </c>
      <c r="O359">
        <v>70</v>
      </c>
      <c r="P359">
        <v>0.41160000000000002</v>
      </c>
      <c r="Q359" s="84" t="e">
        <v>#REF!</v>
      </c>
      <c r="R359" s="85"/>
      <c r="S359" s="85"/>
      <c r="T359" s="86">
        <v>0</v>
      </c>
      <c r="U359" s="84">
        <v>0</v>
      </c>
      <c r="V359" s="84">
        <v>496.99299999999999</v>
      </c>
      <c r="W359" s="84">
        <v>248.4965</v>
      </c>
      <c r="X359" s="82">
        <v>0.35</v>
      </c>
      <c r="Y359" s="82"/>
      <c r="Z359" s="84">
        <v>248.4965</v>
      </c>
      <c r="AA359" s="84">
        <v>496.99299999999999</v>
      </c>
      <c r="AB359" s="88" t="e">
        <v>#DIV/0!</v>
      </c>
      <c r="AC359" t="s">
        <v>1837</v>
      </c>
    </row>
    <row r="360" spans="3:29">
      <c r="C360" t="s">
        <v>1838</v>
      </c>
      <c r="D360" t="s">
        <v>1839</v>
      </c>
      <c r="E360" s="84">
        <v>1019.99</v>
      </c>
      <c r="F360" s="84">
        <v>509.995</v>
      </c>
      <c r="G360" t="s">
        <v>1686</v>
      </c>
      <c r="H360" t="s">
        <v>1829</v>
      </c>
      <c r="I360" t="s">
        <v>1840</v>
      </c>
      <c r="K360" t="s">
        <v>1223</v>
      </c>
      <c r="L360" t="s">
        <v>1698</v>
      </c>
      <c r="P360">
        <v>0</v>
      </c>
      <c r="Q360" s="84" t="e">
        <v>#REF!</v>
      </c>
      <c r="R360" s="85"/>
      <c r="S360" s="85"/>
      <c r="T360" s="86">
        <v>0</v>
      </c>
      <c r="U360" s="84">
        <v>0</v>
      </c>
      <c r="V360" s="84">
        <v>713.99300000000005</v>
      </c>
      <c r="W360" s="84">
        <v>356.99650000000003</v>
      </c>
      <c r="X360" s="82">
        <v>0.35</v>
      </c>
      <c r="Y360" s="82"/>
      <c r="Z360" s="84">
        <v>356.99650000000003</v>
      </c>
      <c r="AA360" s="84">
        <v>713.99300000000005</v>
      </c>
      <c r="AB360" s="88" t="e">
        <v>#DIV/0!</v>
      </c>
      <c r="AC360" t="s">
        <v>1841</v>
      </c>
    </row>
    <row r="361" spans="3:29">
      <c r="C361" t="s">
        <v>1842</v>
      </c>
      <c r="D361" t="s">
        <v>1843</v>
      </c>
      <c r="E361" s="84">
        <v>1199.99</v>
      </c>
      <c r="F361" s="84">
        <v>599.995</v>
      </c>
      <c r="G361" t="s">
        <v>1686</v>
      </c>
      <c r="H361" t="s">
        <v>1844</v>
      </c>
      <c r="I361" t="s">
        <v>1845</v>
      </c>
      <c r="J361" t="s">
        <v>1846</v>
      </c>
      <c r="K361" t="s">
        <v>807</v>
      </c>
      <c r="L361" t="s">
        <v>646</v>
      </c>
      <c r="M361">
        <v>88</v>
      </c>
      <c r="N361">
        <v>74</v>
      </c>
      <c r="O361">
        <v>93</v>
      </c>
      <c r="P361">
        <v>0.60561600000000004</v>
      </c>
      <c r="Q361" s="84" t="e">
        <v>#REF!</v>
      </c>
      <c r="R361" s="85">
        <v>374510.21675477998</v>
      </c>
      <c r="S361" s="85">
        <v>1518000</v>
      </c>
      <c r="T361" s="86">
        <v>1892510.2167547799</v>
      </c>
      <c r="U361" s="84">
        <v>126.167347783652</v>
      </c>
      <c r="V361" s="84">
        <v>839.99300000000005</v>
      </c>
      <c r="W361" s="84">
        <v>419.99650000000003</v>
      </c>
      <c r="X361" s="82">
        <v>0.35</v>
      </c>
      <c r="Y361" s="82"/>
      <c r="Z361" s="84">
        <v>419.99650000000003</v>
      </c>
      <c r="AA361" s="84">
        <v>839.99300000000005</v>
      </c>
      <c r="AB361" s="88">
        <v>3.3288842745604601</v>
      </c>
      <c r="AC361" t="s">
        <v>1847</v>
      </c>
    </row>
    <row r="362" spans="3:29">
      <c r="C362" t="s">
        <v>1848</v>
      </c>
      <c r="D362" t="s">
        <v>1849</v>
      </c>
      <c r="E362" s="84">
        <v>579.99</v>
      </c>
      <c r="F362" s="84">
        <v>289.995</v>
      </c>
      <c r="G362" t="s">
        <v>1686</v>
      </c>
      <c r="H362" t="s">
        <v>1850</v>
      </c>
      <c r="I362" t="s">
        <v>1851</v>
      </c>
      <c r="J362" t="s">
        <v>1852</v>
      </c>
      <c r="K362" t="s">
        <v>807</v>
      </c>
      <c r="L362" t="s">
        <v>646</v>
      </c>
      <c r="M362">
        <v>65</v>
      </c>
      <c r="N362">
        <v>51</v>
      </c>
      <c r="O362">
        <v>70</v>
      </c>
      <c r="P362">
        <v>0.23205000000000001</v>
      </c>
      <c r="Q362" s="84" t="e">
        <v>#REF!</v>
      </c>
      <c r="R362" s="85"/>
      <c r="S362" s="85"/>
      <c r="T362" s="86">
        <v>0</v>
      </c>
      <c r="U362" s="84">
        <v>0</v>
      </c>
      <c r="V362" s="84">
        <v>405.99299999999999</v>
      </c>
      <c r="W362" s="84">
        <v>202.9965</v>
      </c>
      <c r="X362" s="82">
        <v>0.35</v>
      </c>
      <c r="Y362" s="82"/>
      <c r="Z362" s="84">
        <v>202.9965</v>
      </c>
      <c r="AA362" s="84">
        <v>405.99299999999999</v>
      </c>
      <c r="AB362" s="88" t="e">
        <v>#DIV/0!</v>
      </c>
      <c r="AC362" t="s">
        <v>1853</v>
      </c>
    </row>
    <row r="363" spans="3:29">
      <c r="C363" t="s">
        <v>1854</v>
      </c>
      <c r="D363" t="s">
        <v>1855</v>
      </c>
      <c r="E363" s="84">
        <v>1159.99</v>
      </c>
      <c r="F363" s="84">
        <v>579.995</v>
      </c>
      <c r="G363" t="s">
        <v>1686</v>
      </c>
      <c r="H363" t="s">
        <v>1856</v>
      </c>
      <c r="I363" t="s">
        <v>1857</v>
      </c>
      <c r="J363" t="s">
        <v>1858</v>
      </c>
      <c r="K363" t="s">
        <v>807</v>
      </c>
      <c r="L363" t="s">
        <v>646</v>
      </c>
      <c r="M363">
        <v>88</v>
      </c>
      <c r="N363">
        <v>74</v>
      </c>
      <c r="O363">
        <v>90</v>
      </c>
      <c r="P363">
        <v>0.58608000000000005</v>
      </c>
      <c r="Q363" s="84" t="e">
        <v>#REF!</v>
      </c>
      <c r="R363" s="85">
        <v>567230.90249613998</v>
      </c>
      <c r="S363" s="85">
        <v>1200000</v>
      </c>
      <c r="T363" s="86">
        <v>1767230.90249614</v>
      </c>
      <c r="U363" s="84">
        <v>117.815393499743</v>
      </c>
      <c r="V363" s="84">
        <v>811.99300000000005</v>
      </c>
      <c r="W363" s="84">
        <v>405.99650000000003</v>
      </c>
      <c r="X363" s="82">
        <v>0.35</v>
      </c>
      <c r="Y363" s="82"/>
      <c r="Z363" s="84">
        <v>405.99650000000003</v>
      </c>
      <c r="AA363" s="84">
        <v>811.99300000000005</v>
      </c>
      <c r="AB363" s="88">
        <v>3.44603950247713</v>
      </c>
      <c r="AC363" t="s">
        <v>1859</v>
      </c>
    </row>
    <row r="364" spans="3:29">
      <c r="C364" t="s">
        <v>1860</v>
      </c>
      <c r="D364" t="s">
        <v>1861</v>
      </c>
      <c r="E364" s="84">
        <v>609.99</v>
      </c>
      <c r="F364" s="84">
        <v>304.995</v>
      </c>
      <c r="G364" t="s">
        <v>1686</v>
      </c>
      <c r="H364" t="s">
        <v>1862</v>
      </c>
      <c r="I364" t="s">
        <v>1863</v>
      </c>
      <c r="J364" t="s">
        <v>1864</v>
      </c>
      <c r="K364" t="s">
        <v>807</v>
      </c>
      <c r="L364" t="s">
        <v>646</v>
      </c>
      <c r="M364">
        <v>70</v>
      </c>
      <c r="N364">
        <v>45</v>
      </c>
      <c r="O364">
        <v>70</v>
      </c>
      <c r="P364">
        <v>0.2205</v>
      </c>
      <c r="Q364" s="84" t="e">
        <v>#REF!</v>
      </c>
      <c r="R364" s="85"/>
      <c r="S364" s="85"/>
      <c r="T364" s="86">
        <v>0</v>
      </c>
      <c r="U364" s="84">
        <v>0</v>
      </c>
      <c r="V364" s="84">
        <v>426.99299999999999</v>
      </c>
      <c r="W364" s="84">
        <v>213.4965</v>
      </c>
      <c r="X364" s="82">
        <v>0.35</v>
      </c>
      <c r="Y364" s="82"/>
      <c r="Z364" s="84">
        <v>213.4965</v>
      </c>
      <c r="AA364" s="84">
        <v>426.99299999999999</v>
      </c>
      <c r="AB364" s="88" t="e">
        <v>#DIV/0!</v>
      </c>
      <c r="AC364" t="s">
        <v>1865</v>
      </c>
    </row>
    <row r="365" spans="3:29">
      <c r="C365" t="s">
        <v>1866</v>
      </c>
      <c r="E365" s="84"/>
      <c r="F365" s="82"/>
      <c r="R365" s="85"/>
      <c r="S365" s="85"/>
      <c r="T365" s="86"/>
      <c r="V365" s="84">
        <v>0</v>
      </c>
      <c r="W365" s="84">
        <v>0</v>
      </c>
      <c r="X365" s="82" t="e">
        <v>#DIV/0!</v>
      </c>
      <c r="Y365" s="82">
        <v>0</v>
      </c>
      <c r="Z365" s="82"/>
      <c r="AA365" s="82"/>
      <c r="AB365" s="88" t="e">
        <v>#DIV/0!</v>
      </c>
    </row>
    <row r="366" spans="3:29">
      <c r="C366">
        <v>22565</v>
      </c>
      <c r="D366" t="s">
        <v>1867</v>
      </c>
      <c r="E366" s="84">
        <v>986.99</v>
      </c>
      <c r="F366" s="84">
        <v>493.495</v>
      </c>
      <c r="G366" t="s">
        <v>1866</v>
      </c>
      <c r="H366" t="s">
        <v>1868</v>
      </c>
      <c r="I366" t="s">
        <v>1867</v>
      </c>
      <c r="J366" t="s">
        <v>1869</v>
      </c>
      <c r="K366" t="s">
        <v>1196</v>
      </c>
      <c r="L366" t="s">
        <v>670</v>
      </c>
      <c r="M366">
        <v>200</v>
      </c>
      <c r="N366">
        <v>200</v>
      </c>
      <c r="O366">
        <v>41</v>
      </c>
      <c r="P366">
        <v>1.64</v>
      </c>
      <c r="Q366" s="84" t="e">
        <v>#REF!</v>
      </c>
      <c r="R366" s="85"/>
      <c r="S366" s="85"/>
      <c r="T366" s="86">
        <v>0</v>
      </c>
      <c r="U366" s="84">
        <v>0</v>
      </c>
      <c r="V366" s="84">
        <v>690.89300000000003</v>
      </c>
      <c r="W366" s="84">
        <v>345.44650000000001</v>
      </c>
      <c r="X366" s="82">
        <v>0.35</v>
      </c>
      <c r="Y366" s="82"/>
      <c r="Z366" s="84">
        <v>345.44650000000001</v>
      </c>
      <c r="AA366" s="84">
        <v>690.89300000000003</v>
      </c>
      <c r="AB366" s="88" t="e">
        <v>#DIV/0!</v>
      </c>
      <c r="AC366" t="s">
        <v>1870</v>
      </c>
    </row>
    <row r="367" spans="3:29">
      <c r="C367">
        <v>22567</v>
      </c>
      <c r="D367" t="s">
        <v>1872</v>
      </c>
      <c r="E367" s="84">
        <v>798.99</v>
      </c>
      <c r="F367" s="84">
        <v>399.495</v>
      </c>
      <c r="G367" t="s">
        <v>1866</v>
      </c>
      <c r="H367" t="s">
        <v>1873</v>
      </c>
      <c r="I367" t="s">
        <v>1874</v>
      </c>
      <c r="J367" t="s">
        <v>1875</v>
      </c>
      <c r="K367" t="s">
        <v>1876</v>
      </c>
      <c r="L367" t="s">
        <v>670</v>
      </c>
      <c r="M367">
        <v>200</v>
      </c>
      <c r="N367">
        <v>200</v>
      </c>
      <c r="O367">
        <v>41</v>
      </c>
      <c r="P367">
        <v>1.64</v>
      </c>
      <c r="Q367" s="84" t="e">
        <v>#REF!</v>
      </c>
      <c r="R367" s="85"/>
      <c r="S367" s="85"/>
      <c r="T367" s="86">
        <v>0</v>
      </c>
      <c r="U367" s="84">
        <v>0</v>
      </c>
      <c r="V367" s="84">
        <v>559.29300000000001</v>
      </c>
      <c r="W367" s="84">
        <v>279.6465</v>
      </c>
      <c r="X367" s="82">
        <v>0.35</v>
      </c>
      <c r="Y367" s="82"/>
      <c r="Z367" s="84">
        <v>279.6465</v>
      </c>
      <c r="AA367" s="84">
        <v>559.29300000000001</v>
      </c>
      <c r="AB367" s="88" t="e">
        <v>#DIV/0!</v>
      </c>
      <c r="AC367" t="s">
        <v>1877</v>
      </c>
    </row>
    <row r="368" spans="3:29">
      <c r="C368" t="s">
        <v>1879</v>
      </c>
      <c r="D368" t="s">
        <v>1880</v>
      </c>
      <c r="E368" s="84">
        <v>269.99</v>
      </c>
      <c r="F368" s="84">
        <v>134.995</v>
      </c>
      <c r="G368" t="s">
        <v>1866</v>
      </c>
      <c r="H368" t="s">
        <v>1881</v>
      </c>
      <c r="I368" t="s">
        <v>1882</v>
      </c>
      <c r="L368" t="s">
        <v>646</v>
      </c>
      <c r="P368">
        <v>0</v>
      </c>
      <c r="Q368" s="84" t="e">
        <v>#REF!</v>
      </c>
      <c r="R368" s="85">
        <v>31482.847140516002</v>
      </c>
      <c r="S368" s="85">
        <v>250000</v>
      </c>
      <c r="T368" s="86">
        <v>281482.84714051598</v>
      </c>
      <c r="U368" s="84">
        <v>18.765523142701099</v>
      </c>
      <c r="V368" s="84">
        <v>188.99299999999999</v>
      </c>
      <c r="W368" s="84">
        <v>94.496499999999997</v>
      </c>
      <c r="X368" s="82">
        <v>0.35</v>
      </c>
      <c r="Y368" s="82"/>
      <c r="Z368" s="84">
        <v>94.496499999999997</v>
      </c>
      <c r="AA368" s="84">
        <v>188.99299999999999</v>
      </c>
      <c r="AB368" s="88">
        <v>5.0356443186479902</v>
      </c>
      <c r="AC368" t="s">
        <v>1883</v>
      </c>
    </row>
    <row r="369" spans="3:29">
      <c r="C369" t="s">
        <v>1884</v>
      </c>
      <c r="D369" t="s">
        <v>993</v>
      </c>
      <c r="E369" s="84">
        <v>99.99</v>
      </c>
      <c r="F369" s="84">
        <v>49.994999999999997</v>
      </c>
      <c r="G369" t="s">
        <v>1866</v>
      </c>
      <c r="H369" t="s">
        <v>1885</v>
      </c>
      <c r="I369" t="s">
        <v>1886</v>
      </c>
      <c r="J369" t="s">
        <v>1887</v>
      </c>
      <c r="K369" t="s">
        <v>1888</v>
      </c>
      <c r="L369" t="s">
        <v>670</v>
      </c>
      <c r="M369">
        <v>30</v>
      </c>
      <c r="N369">
        <v>88</v>
      </c>
      <c r="O369">
        <v>2</v>
      </c>
      <c r="P369">
        <v>5.28E-3</v>
      </c>
      <c r="Q369" s="84" t="e">
        <v>#REF!</v>
      </c>
      <c r="R369" s="85"/>
      <c r="S369" s="85"/>
      <c r="T369" s="86">
        <v>0</v>
      </c>
      <c r="U369" s="84">
        <v>0</v>
      </c>
      <c r="V369" s="84">
        <v>69.992999999999995</v>
      </c>
      <c r="W369" s="84">
        <v>34.996499999999997</v>
      </c>
      <c r="X369" s="82">
        <v>0.35</v>
      </c>
      <c r="Y369" s="82"/>
      <c r="Z369" s="84">
        <v>34.996499999999997</v>
      </c>
      <c r="AA369" s="84">
        <v>69.992999999999995</v>
      </c>
      <c r="AB369" s="88" t="e">
        <v>#DIV/0!</v>
      </c>
      <c r="AC369" t="s">
        <v>1889</v>
      </c>
    </row>
    <row r="370" spans="3:29">
      <c r="C370" t="s">
        <v>1890</v>
      </c>
      <c r="D370" t="s">
        <v>1891</v>
      </c>
      <c r="E370" s="84">
        <v>1259.99</v>
      </c>
      <c r="F370" s="84">
        <v>629.995</v>
      </c>
      <c r="G370" t="s">
        <v>1866</v>
      </c>
      <c r="H370" t="s">
        <v>1892</v>
      </c>
      <c r="I370" t="s">
        <v>1893</v>
      </c>
      <c r="J370" t="s">
        <v>1894</v>
      </c>
      <c r="K370" t="s">
        <v>1517</v>
      </c>
      <c r="L370" t="s">
        <v>50</v>
      </c>
      <c r="M370">
        <v>200</v>
      </c>
      <c r="N370">
        <v>80</v>
      </c>
      <c r="O370">
        <v>32</v>
      </c>
      <c r="P370">
        <v>0.51200000000000001</v>
      </c>
      <c r="Q370" s="84" t="e">
        <v>#REF!</v>
      </c>
      <c r="R370" s="85">
        <v>2463694.1711876998</v>
      </c>
      <c r="S370" s="85">
        <v>0</v>
      </c>
      <c r="T370" s="86">
        <v>2463694.1711876998</v>
      </c>
      <c r="U370" s="84">
        <v>164.24627807918</v>
      </c>
      <c r="V370" s="84">
        <v>881.99300000000005</v>
      </c>
      <c r="W370" s="84">
        <v>440.99650000000003</v>
      </c>
      <c r="X370" s="82">
        <v>0.35</v>
      </c>
      <c r="Y370" s="82"/>
      <c r="Z370" s="84">
        <v>440.99650000000003</v>
      </c>
      <c r="AA370" s="84">
        <v>881.99300000000005</v>
      </c>
      <c r="AB370" s="88">
        <v>2.6849710395714701</v>
      </c>
      <c r="AC370" t="s">
        <v>1895</v>
      </c>
    </row>
    <row r="371" spans="3:29">
      <c r="C371" t="s">
        <v>1896</v>
      </c>
      <c r="D371" t="s">
        <v>1897</v>
      </c>
      <c r="E371" s="84">
        <v>1209.99</v>
      </c>
      <c r="F371" s="84">
        <v>604.995</v>
      </c>
      <c r="G371" t="s">
        <v>1866</v>
      </c>
      <c r="H371" t="s">
        <v>1898</v>
      </c>
      <c r="I371" t="s">
        <v>1899</v>
      </c>
      <c r="K371" t="s">
        <v>1223</v>
      </c>
      <c r="L371" t="s">
        <v>1698</v>
      </c>
      <c r="P371">
        <v>0</v>
      </c>
      <c r="Q371" s="84" t="e">
        <v>#REF!</v>
      </c>
      <c r="R371" s="85"/>
      <c r="S371" s="85"/>
      <c r="T371" s="86">
        <v>0</v>
      </c>
      <c r="U371" s="84">
        <v>0</v>
      </c>
      <c r="V371" s="84">
        <v>846.99300000000005</v>
      </c>
      <c r="W371" s="84">
        <v>423.49650000000003</v>
      </c>
      <c r="X371" s="82">
        <v>0.35</v>
      </c>
      <c r="Y371" s="82"/>
      <c r="Z371" s="84">
        <v>423.49650000000003</v>
      </c>
      <c r="AA371" s="84">
        <v>846.99300000000005</v>
      </c>
      <c r="AB371" s="88" t="e">
        <v>#DIV/0!</v>
      </c>
      <c r="AC371" t="s">
        <v>1900</v>
      </c>
    </row>
    <row r="372" spans="3:29">
      <c r="C372" t="s">
        <v>1901</v>
      </c>
      <c r="D372" t="s">
        <v>1902</v>
      </c>
      <c r="E372" s="84">
        <v>2929.99</v>
      </c>
      <c r="F372" s="84">
        <v>1464.9949999999999</v>
      </c>
      <c r="G372" t="s">
        <v>1866</v>
      </c>
      <c r="H372" t="s">
        <v>1903</v>
      </c>
      <c r="I372" t="s">
        <v>1904</v>
      </c>
      <c r="J372" t="s">
        <v>1905</v>
      </c>
      <c r="K372" t="s">
        <v>1517</v>
      </c>
      <c r="L372" t="s">
        <v>50</v>
      </c>
      <c r="M372">
        <v>200</v>
      </c>
      <c r="N372">
        <v>200</v>
      </c>
      <c r="O372">
        <v>32</v>
      </c>
      <c r="P372">
        <v>1.28</v>
      </c>
      <c r="Q372" s="84" t="e">
        <v>#REF!</v>
      </c>
      <c r="R372" s="85">
        <v>4086217.8357164799</v>
      </c>
      <c r="S372" s="85">
        <v>0</v>
      </c>
      <c r="T372" s="86">
        <v>4086217.8357164799</v>
      </c>
      <c r="U372" s="84">
        <v>272.414522381099</v>
      </c>
      <c r="V372" s="84">
        <v>2050.9929999999999</v>
      </c>
      <c r="W372" s="84">
        <v>1025.4965</v>
      </c>
      <c r="X372" s="82">
        <v>0.35</v>
      </c>
      <c r="Y372" s="82"/>
      <c r="Z372" s="84">
        <v>1025.4965</v>
      </c>
      <c r="AA372" s="84">
        <v>2050.9929999999999</v>
      </c>
      <c r="AB372" s="88">
        <v>3.7644707449383499</v>
      </c>
      <c r="AC372" t="s">
        <v>1906</v>
      </c>
    </row>
    <row r="373" spans="3:29">
      <c r="C373" t="s">
        <v>1907</v>
      </c>
      <c r="D373" t="s">
        <v>1908</v>
      </c>
      <c r="E373" s="84">
        <v>2569.9899999999998</v>
      </c>
      <c r="F373" s="84">
        <v>1284.9949999999999</v>
      </c>
      <c r="G373" t="s">
        <v>1866</v>
      </c>
      <c r="H373" t="s">
        <v>1909</v>
      </c>
      <c r="I373" t="s">
        <v>1910</v>
      </c>
      <c r="K373" t="s">
        <v>1223</v>
      </c>
      <c r="L373" t="s">
        <v>1698</v>
      </c>
      <c r="P373">
        <v>0</v>
      </c>
      <c r="Q373" s="84" t="e">
        <v>#REF!</v>
      </c>
      <c r="R373" s="85"/>
      <c r="S373" s="85"/>
      <c r="T373" s="86">
        <v>0</v>
      </c>
      <c r="U373" s="84">
        <v>0</v>
      </c>
      <c r="V373" s="84">
        <v>1798.9929999999999</v>
      </c>
      <c r="W373" s="84">
        <v>899.49649999999997</v>
      </c>
      <c r="X373" s="82">
        <v>0.35</v>
      </c>
      <c r="Y373" s="82"/>
      <c r="Z373" s="84">
        <v>899.49649999999997</v>
      </c>
      <c r="AA373" s="84">
        <v>1798.9929999999999</v>
      </c>
      <c r="AB373" s="88" t="e">
        <v>#DIV/0!</v>
      </c>
      <c r="AC373" t="s">
        <v>1911</v>
      </c>
    </row>
    <row r="374" spans="3:29">
      <c r="C374" t="s">
        <v>1912</v>
      </c>
      <c r="D374" t="s">
        <v>1913</v>
      </c>
      <c r="E374" s="84">
        <v>2119.9899999999998</v>
      </c>
      <c r="F374" s="84">
        <v>1059.9949999999999</v>
      </c>
      <c r="G374" t="s">
        <v>1866</v>
      </c>
      <c r="H374" t="s">
        <v>1914</v>
      </c>
      <c r="I374" t="s">
        <v>1915</v>
      </c>
      <c r="J374" t="s">
        <v>1916</v>
      </c>
      <c r="K374" t="s">
        <v>1917</v>
      </c>
      <c r="L374" t="s">
        <v>50</v>
      </c>
      <c r="M374">
        <v>200</v>
      </c>
      <c r="N374">
        <v>80</v>
      </c>
      <c r="O374">
        <v>45</v>
      </c>
      <c r="P374">
        <v>0.72</v>
      </c>
      <c r="Q374" s="84" t="e">
        <v>#REF!</v>
      </c>
      <c r="R374" s="85">
        <v>3590351.9575761198</v>
      </c>
      <c r="S374" s="85">
        <v>0</v>
      </c>
      <c r="T374" s="86">
        <v>3590351.9575761198</v>
      </c>
      <c r="U374" s="84">
        <v>239.35679717174099</v>
      </c>
      <c r="V374" s="84">
        <v>1483.9929999999999</v>
      </c>
      <c r="W374" s="84">
        <v>741.99649999999997</v>
      </c>
      <c r="X374" s="82">
        <v>0.35</v>
      </c>
      <c r="Y374" s="82"/>
      <c r="Z374" s="84">
        <v>741.99649999999997</v>
      </c>
      <c r="AA374" s="84">
        <v>1483.9929999999999</v>
      </c>
      <c r="AB374" s="88">
        <v>3.09996001269857</v>
      </c>
      <c r="AC374" t="s">
        <v>1918</v>
      </c>
    </row>
    <row r="375" spans="3:29">
      <c r="C375" t="s">
        <v>1919</v>
      </c>
      <c r="D375" t="s">
        <v>1920</v>
      </c>
      <c r="E375" s="84">
        <v>859.99</v>
      </c>
      <c r="F375" s="84">
        <v>429.995</v>
      </c>
      <c r="G375" t="s">
        <v>1866</v>
      </c>
      <c r="H375" t="s">
        <v>1921</v>
      </c>
      <c r="I375" t="s">
        <v>1922</v>
      </c>
      <c r="K375" t="s">
        <v>1223</v>
      </c>
      <c r="L375" t="s">
        <v>1698</v>
      </c>
      <c r="P375">
        <v>0</v>
      </c>
      <c r="Q375" s="84" t="e">
        <v>#REF!</v>
      </c>
      <c r="R375" s="85"/>
      <c r="S375" s="85"/>
      <c r="T375" s="86">
        <v>0</v>
      </c>
      <c r="U375" s="84">
        <v>0</v>
      </c>
      <c r="V375" s="84">
        <v>601.99300000000005</v>
      </c>
      <c r="W375" s="84">
        <v>300.99650000000003</v>
      </c>
      <c r="X375" s="82">
        <v>0.35</v>
      </c>
      <c r="Y375" s="82"/>
      <c r="Z375" s="84">
        <v>300.99650000000003</v>
      </c>
      <c r="AA375" s="84">
        <v>601.99300000000005</v>
      </c>
      <c r="AB375" s="88" t="e">
        <v>#DIV/0!</v>
      </c>
      <c r="AC375" t="s">
        <v>1923</v>
      </c>
    </row>
    <row r="376" spans="3:29">
      <c r="C376">
        <v>22004</v>
      </c>
      <c r="D376" t="s">
        <v>1924</v>
      </c>
      <c r="E376" s="84">
        <v>625.99</v>
      </c>
      <c r="F376" s="84">
        <v>312.995</v>
      </c>
      <c r="G376" t="s">
        <v>1866</v>
      </c>
      <c r="H376" t="s">
        <v>1925</v>
      </c>
      <c r="I376" t="s">
        <v>1926</v>
      </c>
      <c r="J376" t="s">
        <v>1927</v>
      </c>
      <c r="K376" t="s">
        <v>1196</v>
      </c>
      <c r="L376" t="s">
        <v>1698</v>
      </c>
      <c r="M376">
        <v>213</v>
      </c>
      <c r="N376">
        <v>152.5</v>
      </c>
      <c r="O376">
        <v>5</v>
      </c>
      <c r="P376">
        <v>0.16241249999999999</v>
      </c>
      <c r="Q376" s="84" t="e">
        <v>#REF!</v>
      </c>
      <c r="R376" s="85"/>
      <c r="S376" s="85"/>
      <c r="T376" s="86">
        <v>0</v>
      </c>
      <c r="U376" s="84">
        <v>0</v>
      </c>
      <c r="V376" s="84">
        <v>438.19299999999998</v>
      </c>
      <c r="W376" s="84">
        <v>219.09649999999999</v>
      </c>
      <c r="X376" s="82">
        <v>0.35</v>
      </c>
      <c r="Y376" s="82"/>
      <c r="Z376" s="84">
        <v>219.09649999999999</v>
      </c>
      <c r="AA376" s="84">
        <v>438.19299999999998</v>
      </c>
      <c r="AB376" s="88" t="e">
        <v>#DIV/0!</v>
      </c>
      <c r="AC376" t="s">
        <v>1928</v>
      </c>
    </row>
    <row r="377" spans="3:29">
      <c r="C377" t="s">
        <v>1929</v>
      </c>
      <c r="D377" t="s">
        <v>1930</v>
      </c>
      <c r="E377" s="84">
        <v>1499.99</v>
      </c>
      <c r="F377" s="84">
        <v>749.995</v>
      </c>
      <c r="G377" t="s">
        <v>1866</v>
      </c>
      <c r="H377" t="s">
        <v>1931</v>
      </c>
      <c r="I377" t="s">
        <v>1932</v>
      </c>
      <c r="K377" t="s">
        <v>1223</v>
      </c>
      <c r="L377" t="s">
        <v>1698</v>
      </c>
      <c r="P377">
        <v>0</v>
      </c>
      <c r="Q377" s="84" t="e">
        <v>#REF!</v>
      </c>
      <c r="R377" s="85"/>
      <c r="S377" s="85"/>
      <c r="T377" s="86">
        <v>0</v>
      </c>
      <c r="U377" s="84">
        <v>0</v>
      </c>
      <c r="V377" s="84">
        <v>1049.9929999999999</v>
      </c>
      <c r="W377" s="84">
        <v>524.99649999999997</v>
      </c>
      <c r="X377" s="82">
        <v>0.35</v>
      </c>
      <c r="Y377" s="82"/>
      <c r="Z377" s="84">
        <v>524.99649999999997</v>
      </c>
      <c r="AA377" s="84">
        <v>1049.9929999999999</v>
      </c>
      <c r="AB377" s="88" t="e">
        <v>#DIV/0!</v>
      </c>
      <c r="AC377" t="s">
        <v>1933</v>
      </c>
    </row>
    <row r="378" spans="3:29">
      <c r="C378" t="s">
        <v>1934</v>
      </c>
      <c r="E378" s="84"/>
      <c r="F378" s="82"/>
      <c r="R378" s="85"/>
      <c r="S378" s="85"/>
      <c r="T378" s="86"/>
      <c r="V378" s="84"/>
      <c r="W378" s="84"/>
      <c r="X378" s="82"/>
      <c r="Y378" s="82"/>
      <c r="Z378" s="82"/>
      <c r="AA378" s="82"/>
      <c r="AB378" s="88"/>
    </row>
    <row r="379" spans="3:29">
      <c r="C379" t="s">
        <v>1935</v>
      </c>
      <c r="D379" t="s">
        <v>1936</v>
      </c>
      <c r="E379" s="84">
        <v>7239.99</v>
      </c>
      <c r="F379" s="84">
        <v>3619.9949999999999</v>
      </c>
      <c r="G379" t="s">
        <v>1934</v>
      </c>
      <c r="H379" t="s">
        <v>1937</v>
      </c>
      <c r="I379" t="s">
        <v>1938</v>
      </c>
      <c r="J379" t="s">
        <v>1939</v>
      </c>
      <c r="K379" t="s">
        <v>58</v>
      </c>
      <c r="L379" t="s">
        <v>50</v>
      </c>
      <c r="M379">
        <v>230</v>
      </c>
      <c r="N379">
        <v>200</v>
      </c>
      <c r="O379">
        <v>250</v>
      </c>
      <c r="P379">
        <v>11.5</v>
      </c>
      <c r="Q379" s="84" t="e">
        <v>#REF!</v>
      </c>
      <c r="R379" s="85"/>
      <c r="S379" s="85"/>
      <c r="T379" s="86">
        <v>0</v>
      </c>
      <c r="U379" s="84">
        <v>0</v>
      </c>
      <c r="V379" s="84">
        <v>5067.9930000000004</v>
      </c>
      <c r="W379" s="84">
        <v>2533.9965000000002</v>
      </c>
      <c r="X379" s="82">
        <v>0.35</v>
      </c>
      <c r="Y379" s="82"/>
      <c r="Z379" s="84">
        <v>2533.9965000000002</v>
      </c>
      <c r="AA379" s="84">
        <v>5067.9930000000004</v>
      </c>
      <c r="AB379" s="88" t="e">
        <v>#DIV/0!</v>
      </c>
      <c r="AC379" t="s">
        <v>1940</v>
      </c>
    </row>
    <row r="380" spans="3:29">
      <c r="C380" t="s">
        <v>1942</v>
      </c>
      <c r="D380" t="s">
        <v>1943</v>
      </c>
      <c r="E380" s="84">
        <v>1049.99</v>
      </c>
      <c r="F380" s="84">
        <v>524.995</v>
      </c>
      <c r="G380" t="s">
        <v>1934</v>
      </c>
      <c r="H380" t="s">
        <v>1944</v>
      </c>
      <c r="I380" t="s">
        <v>1945</v>
      </c>
      <c r="J380" t="s">
        <v>1946</v>
      </c>
      <c r="K380" t="s">
        <v>58</v>
      </c>
      <c r="L380" t="s">
        <v>50</v>
      </c>
      <c r="P380">
        <v>0</v>
      </c>
      <c r="Q380" s="84" t="e">
        <v>#REF!</v>
      </c>
      <c r="R380" s="85"/>
      <c r="S380" s="85"/>
      <c r="T380" s="86">
        <v>0</v>
      </c>
      <c r="U380" s="84">
        <v>0</v>
      </c>
      <c r="V380" s="84">
        <v>734.99300000000005</v>
      </c>
      <c r="W380" s="84">
        <v>367.49650000000003</v>
      </c>
      <c r="X380" s="82">
        <v>0.35</v>
      </c>
      <c r="Y380" s="82"/>
      <c r="Z380" s="84">
        <v>367.49650000000003</v>
      </c>
      <c r="AA380" s="84">
        <v>734.99300000000005</v>
      </c>
      <c r="AB380" s="88" t="e">
        <v>#DIV/0!</v>
      </c>
      <c r="AC380" t="s">
        <v>1947</v>
      </c>
    </row>
    <row r="381" spans="3:29">
      <c r="C381" t="s">
        <v>1948</v>
      </c>
      <c r="D381" t="s">
        <v>1949</v>
      </c>
      <c r="E381" s="84">
        <v>3539.99</v>
      </c>
      <c r="F381" s="84">
        <v>1769.9949999999999</v>
      </c>
      <c r="G381" t="s">
        <v>1934</v>
      </c>
      <c r="H381" t="s">
        <v>1950</v>
      </c>
      <c r="I381" t="s">
        <v>1951</v>
      </c>
      <c r="J381" t="s">
        <v>1952</v>
      </c>
      <c r="K381" t="s">
        <v>58</v>
      </c>
      <c r="L381" t="s">
        <v>50</v>
      </c>
      <c r="M381">
        <v>230</v>
      </c>
      <c r="N381">
        <v>210</v>
      </c>
      <c r="O381">
        <v>250</v>
      </c>
      <c r="P381">
        <v>12.074999999999999</v>
      </c>
      <c r="Q381" s="84" t="e">
        <v>#REF!</v>
      </c>
      <c r="R381" s="85"/>
      <c r="S381" s="85"/>
      <c r="T381" s="86">
        <v>0</v>
      </c>
      <c r="U381" s="84">
        <v>0</v>
      </c>
      <c r="V381" s="84">
        <v>2477.9929999999999</v>
      </c>
      <c r="W381" s="84">
        <v>1238.9965</v>
      </c>
      <c r="X381" s="82">
        <v>0.35</v>
      </c>
      <c r="Y381" s="82"/>
      <c r="Z381" s="84">
        <v>1238.9965</v>
      </c>
      <c r="AA381" s="84">
        <v>2477.9929999999999</v>
      </c>
      <c r="AB381" s="88" t="e">
        <v>#DIV/0!</v>
      </c>
      <c r="AC381" t="s">
        <v>1953</v>
      </c>
    </row>
    <row r="382" spans="3:29">
      <c r="C382" t="s">
        <v>1954</v>
      </c>
      <c r="D382" t="s">
        <v>1955</v>
      </c>
      <c r="E382" s="84">
        <v>2124.9899999999998</v>
      </c>
      <c r="F382" s="84">
        <v>1062.4949999999999</v>
      </c>
      <c r="G382" t="s">
        <v>1934</v>
      </c>
      <c r="H382" t="s">
        <v>1956</v>
      </c>
      <c r="I382" t="s">
        <v>1957</v>
      </c>
      <c r="J382" t="s">
        <v>1958</v>
      </c>
      <c r="K382" t="s">
        <v>662</v>
      </c>
      <c r="L382" t="s">
        <v>646</v>
      </c>
      <c r="M382">
        <v>220</v>
      </c>
      <c r="N382">
        <v>220</v>
      </c>
      <c r="O382">
        <v>230</v>
      </c>
      <c r="P382">
        <v>11.132</v>
      </c>
      <c r="Q382" s="84" t="e">
        <v>#REF!</v>
      </c>
      <c r="R382" s="85"/>
      <c r="S382" s="85"/>
      <c r="T382" s="86">
        <v>0</v>
      </c>
      <c r="U382" s="84">
        <v>0</v>
      </c>
      <c r="V382" s="84">
        <v>1487.4929999999999</v>
      </c>
      <c r="W382" s="84">
        <v>743.74649999999997</v>
      </c>
      <c r="X382" s="82">
        <v>0.35</v>
      </c>
      <c r="Y382" s="82"/>
      <c r="Z382" s="84">
        <v>743.74649999999997</v>
      </c>
      <c r="AA382" s="84">
        <v>1487.4929999999999</v>
      </c>
      <c r="AB382" s="88" t="e">
        <v>#DIV/0!</v>
      </c>
      <c r="AC382" t="s">
        <v>1959</v>
      </c>
    </row>
    <row r="383" spans="3:29">
      <c r="C383" t="s">
        <v>1960</v>
      </c>
      <c r="D383" t="s">
        <v>1961</v>
      </c>
      <c r="E383" s="84">
        <v>439.99</v>
      </c>
      <c r="F383" s="84">
        <v>219.995</v>
      </c>
      <c r="G383" t="s">
        <v>1934</v>
      </c>
      <c r="H383" t="s">
        <v>1962</v>
      </c>
      <c r="I383" t="s">
        <v>1963</v>
      </c>
      <c r="J383" t="s">
        <v>1946</v>
      </c>
      <c r="K383" t="s">
        <v>1964</v>
      </c>
      <c r="L383" t="s">
        <v>670</v>
      </c>
      <c r="P383">
        <v>0</v>
      </c>
      <c r="Q383" s="84" t="e">
        <v>#REF!</v>
      </c>
      <c r="R383" s="85"/>
      <c r="S383" s="85"/>
      <c r="T383" s="86">
        <v>0</v>
      </c>
      <c r="U383" s="84">
        <v>0</v>
      </c>
      <c r="V383" s="84">
        <v>307.99299999999999</v>
      </c>
      <c r="W383" s="84">
        <v>153.9965</v>
      </c>
      <c r="X383" s="82">
        <v>0.35</v>
      </c>
      <c r="Y383" s="82"/>
      <c r="Z383" s="84">
        <v>153.9965</v>
      </c>
      <c r="AA383" s="84">
        <v>307.99299999999999</v>
      </c>
      <c r="AB383" s="88" t="e">
        <v>#DIV/0!</v>
      </c>
      <c r="AC383" t="s">
        <v>1965</v>
      </c>
    </row>
    <row r="384" spans="3:29">
      <c r="C384" t="s">
        <v>1966</v>
      </c>
      <c r="D384" t="s">
        <v>1967</v>
      </c>
      <c r="E384" s="84">
        <v>4304.99</v>
      </c>
      <c r="F384" s="84">
        <v>2152.4949999999999</v>
      </c>
      <c r="G384" t="s">
        <v>1934</v>
      </c>
      <c r="H384" t="s">
        <v>1968</v>
      </c>
      <c r="I384" t="s">
        <v>1969</v>
      </c>
      <c r="J384" t="s">
        <v>1970</v>
      </c>
      <c r="K384" t="s">
        <v>662</v>
      </c>
      <c r="L384" t="s">
        <v>646</v>
      </c>
      <c r="M384">
        <v>210</v>
      </c>
      <c r="N384">
        <v>210</v>
      </c>
      <c r="O384">
        <v>250</v>
      </c>
      <c r="P384">
        <v>11.025</v>
      </c>
      <c r="Q384" s="84" t="e">
        <v>#REF!</v>
      </c>
      <c r="R384" s="85">
        <v>784066.31220895995</v>
      </c>
      <c r="S384" s="85">
        <v>8000000</v>
      </c>
      <c r="T384" s="86">
        <v>8784066.3122089598</v>
      </c>
      <c r="U384" s="84">
        <v>585.60442081393103</v>
      </c>
      <c r="V384" s="84">
        <v>3013.4929999999999</v>
      </c>
      <c r="W384" s="84">
        <v>1506.7465</v>
      </c>
      <c r="X384" s="82">
        <v>0.35</v>
      </c>
      <c r="Y384" s="82"/>
      <c r="Z384" s="84">
        <v>1506.7465</v>
      </c>
      <c r="AA384" s="84">
        <v>3013.4929999999999</v>
      </c>
      <c r="AB384" s="88">
        <v>2.57297664847846</v>
      </c>
      <c r="AC384" t="s">
        <v>1971</v>
      </c>
    </row>
    <row r="385" spans="3:29">
      <c r="C385" t="s">
        <v>1972</v>
      </c>
      <c r="D385" t="s">
        <v>1973</v>
      </c>
      <c r="E385" s="84">
        <v>2889.99</v>
      </c>
      <c r="F385" s="84">
        <v>1444.9949999999999</v>
      </c>
      <c r="G385" t="s">
        <v>1934</v>
      </c>
      <c r="H385" t="s">
        <v>1974</v>
      </c>
      <c r="I385" t="s">
        <v>1975</v>
      </c>
      <c r="J385" t="s">
        <v>1970</v>
      </c>
      <c r="K385" t="s">
        <v>662</v>
      </c>
      <c r="L385" t="s">
        <v>646</v>
      </c>
      <c r="M385">
        <v>210</v>
      </c>
      <c r="N385">
        <v>210</v>
      </c>
      <c r="O385">
        <v>250</v>
      </c>
      <c r="P385">
        <v>11.025</v>
      </c>
      <c r="Q385" s="84" t="e">
        <v>#REF!</v>
      </c>
      <c r="R385" s="85"/>
      <c r="S385" s="85"/>
      <c r="T385" s="86">
        <v>0</v>
      </c>
      <c r="U385" s="84">
        <v>0</v>
      </c>
      <c r="V385" s="84">
        <v>2022.9929999999999</v>
      </c>
      <c r="W385" s="84">
        <v>1011.4965</v>
      </c>
      <c r="X385" s="82">
        <v>0.35</v>
      </c>
      <c r="Y385" s="82"/>
      <c r="Z385" s="84">
        <v>1011.4965</v>
      </c>
      <c r="AA385" s="84">
        <v>2022.9929999999999</v>
      </c>
      <c r="AB385" s="88" t="e">
        <v>#DIV/0!</v>
      </c>
      <c r="AC385" t="s">
        <v>1976</v>
      </c>
    </row>
    <row r="386" spans="3:29">
      <c r="C386" t="s">
        <v>1977</v>
      </c>
      <c r="D386" t="s">
        <v>1978</v>
      </c>
      <c r="E386" s="84">
        <v>5079.99</v>
      </c>
      <c r="F386" s="84">
        <v>2539.9949999999999</v>
      </c>
      <c r="G386" t="s">
        <v>1934</v>
      </c>
      <c r="H386" t="s">
        <v>1979</v>
      </c>
      <c r="I386" t="s">
        <v>1980</v>
      </c>
      <c r="J386" t="s">
        <v>1981</v>
      </c>
      <c r="K386" t="s">
        <v>662</v>
      </c>
      <c r="L386" t="s">
        <v>646</v>
      </c>
      <c r="M386">
        <v>200</v>
      </c>
      <c r="N386">
        <v>200</v>
      </c>
      <c r="O386">
        <v>230</v>
      </c>
      <c r="P386">
        <v>9.1999999999999993</v>
      </c>
      <c r="Q386" s="84" t="e">
        <v>#REF!</v>
      </c>
      <c r="R386" s="85">
        <v>458728.20764178998</v>
      </c>
      <c r="S386" s="85">
        <v>7000000</v>
      </c>
      <c r="T386" s="86">
        <v>7458728.2076417897</v>
      </c>
      <c r="U386" s="84">
        <v>497.24854717611902</v>
      </c>
      <c r="V386" s="84">
        <v>3555.9929999999999</v>
      </c>
      <c r="W386" s="84">
        <v>1777.9965</v>
      </c>
      <c r="X386" s="82">
        <v>0.35</v>
      </c>
      <c r="Y386" s="82"/>
      <c r="Z386" s="84">
        <v>1777.9965</v>
      </c>
      <c r="AA386" s="84">
        <v>3555.9929999999999</v>
      </c>
      <c r="AB386" s="88">
        <v>3.5756695722838501</v>
      </c>
      <c r="AC386" t="s">
        <v>1982</v>
      </c>
    </row>
    <row r="387" spans="3:29">
      <c r="C387" t="s">
        <v>1983</v>
      </c>
      <c r="D387" t="s">
        <v>1984</v>
      </c>
      <c r="E387" s="84">
        <v>4334.99</v>
      </c>
      <c r="F387" s="84">
        <v>2167.4949999999999</v>
      </c>
      <c r="G387" t="s">
        <v>1934</v>
      </c>
      <c r="H387" t="s">
        <v>1985</v>
      </c>
      <c r="I387" t="s">
        <v>1986</v>
      </c>
      <c r="J387" t="s">
        <v>1970</v>
      </c>
      <c r="K387" t="s">
        <v>662</v>
      </c>
      <c r="L387" t="s">
        <v>646</v>
      </c>
      <c r="M387">
        <v>210</v>
      </c>
      <c r="N387">
        <v>210</v>
      </c>
      <c r="O387">
        <v>250</v>
      </c>
      <c r="P387">
        <v>11.025</v>
      </c>
      <c r="Q387" s="84" t="e">
        <v>#REF!</v>
      </c>
      <c r="R387" s="85">
        <v>622142.31220895995</v>
      </c>
      <c r="S387" s="85">
        <v>6750000</v>
      </c>
      <c r="T387" s="86">
        <v>7372142.3122089598</v>
      </c>
      <c r="U387" s="84">
        <v>491.47615414726403</v>
      </c>
      <c r="V387" s="84">
        <v>3034.4929999999999</v>
      </c>
      <c r="W387" s="84">
        <v>1517.2465</v>
      </c>
      <c r="X387" s="82">
        <v>0.35</v>
      </c>
      <c r="Y387" s="82"/>
      <c r="Z387" s="84">
        <v>1517.2465</v>
      </c>
      <c r="AA387" s="84">
        <v>3034.4929999999999</v>
      </c>
      <c r="AB387" s="88">
        <v>3.08712129204417</v>
      </c>
      <c r="AC387" t="s">
        <v>1987</v>
      </c>
    </row>
    <row r="388" spans="3:29">
      <c r="C388" t="s">
        <v>1988</v>
      </c>
      <c r="E388" s="84"/>
      <c r="F388" s="82"/>
      <c r="R388" s="85"/>
      <c r="S388" s="85"/>
      <c r="T388" s="86"/>
      <c r="V388" s="84">
        <v>0</v>
      </c>
      <c r="W388" s="84">
        <v>0</v>
      </c>
      <c r="X388" s="82" t="e">
        <v>#DIV/0!</v>
      </c>
      <c r="Y388" s="82">
        <v>0</v>
      </c>
      <c r="Z388" s="82"/>
      <c r="AA388" s="82"/>
      <c r="AB388" s="88" t="e">
        <v>#DIV/0!</v>
      </c>
    </row>
    <row r="389" spans="3:29">
      <c r="C389">
        <v>22636</v>
      </c>
      <c r="D389" t="s">
        <v>1874</v>
      </c>
      <c r="E389" s="84">
        <v>470.99</v>
      </c>
      <c r="F389" s="84">
        <v>235.495</v>
      </c>
      <c r="G389" t="s">
        <v>1989</v>
      </c>
      <c r="H389" t="s">
        <v>1990</v>
      </c>
      <c r="I389" t="s">
        <v>1991</v>
      </c>
      <c r="J389" t="s">
        <v>1992</v>
      </c>
      <c r="K389" t="s">
        <v>1196</v>
      </c>
      <c r="L389" t="s">
        <v>670</v>
      </c>
      <c r="M389">
        <v>180</v>
      </c>
      <c r="N389">
        <v>180</v>
      </c>
      <c r="O389">
        <v>50</v>
      </c>
      <c r="P389">
        <v>1.62</v>
      </c>
      <c r="Q389" s="84" t="e">
        <v>#REF!</v>
      </c>
      <c r="R389" s="85"/>
      <c r="S389" s="85"/>
      <c r="T389" s="86">
        <v>0</v>
      </c>
      <c r="U389" s="84">
        <v>0</v>
      </c>
      <c r="V389" s="84">
        <v>329.69299999999998</v>
      </c>
      <c r="W389" s="84">
        <v>164.84649999999999</v>
      </c>
      <c r="X389" s="82">
        <v>0.35</v>
      </c>
      <c r="Y389" s="82"/>
      <c r="Z389" s="84">
        <v>164.84649999999999</v>
      </c>
      <c r="AA389" s="84">
        <v>329.69299999999998</v>
      </c>
      <c r="AB389" s="88" t="e">
        <v>#DIV/0!</v>
      </c>
      <c r="AC389" t="s">
        <v>1993</v>
      </c>
    </row>
    <row r="390" spans="3:29">
      <c r="C390">
        <v>22567</v>
      </c>
      <c r="D390" t="s">
        <v>1874</v>
      </c>
      <c r="E390" s="84">
        <v>798.99</v>
      </c>
      <c r="F390" s="84">
        <v>399.495</v>
      </c>
      <c r="G390" t="s">
        <v>1989</v>
      </c>
      <c r="H390" t="s">
        <v>1995</v>
      </c>
      <c r="I390" t="s">
        <v>1996</v>
      </c>
      <c r="J390" t="s">
        <v>1997</v>
      </c>
      <c r="K390" t="s">
        <v>1196</v>
      </c>
      <c r="L390" t="s">
        <v>670</v>
      </c>
      <c r="M390">
        <v>225</v>
      </c>
      <c r="N390">
        <v>225</v>
      </c>
      <c r="O390">
        <v>50</v>
      </c>
      <c r="P390">
        <v>2.53125</v>
      </c>
      <c r="Q390" s="84" t="e">
        <v>#REF!</v>
      </c>
      <c r="R390" s="85"/>
      <c r="S390" s="85"/>
      <c r="T390" s="86">
        <v>0</v>
      </c>
      <c r="U390" s="84">
        <v>0</v>
      </c>
      <c r="V390" s="84">
        <v>559.29300000000001</v>
      </c>
      <c r="W390" s="84">
        <v>279.6465</v>
      </c>
      <c r="X390" s="82">
        <v>0.35</v>
      </c>
      <c r="Y390" s="82"/>
      <c r="Z390" s="84">
        <v>279.6465</v>
      </c>
      <c r="AA390" s="84">
        <v>559.29300000000001</v>
      </c>
      <c r="AB390" s="88" t="e">
        <v>#DIV/0!</v>
      </c>
      <c r="AC390" t="s">
        <v>1998</v>
      </c>
    </row>
    <row r="391" spans="3:29">
      <c r="C391">
        <v>21950</v>
      </c>
      <c r="D391" t="s">
        <v>1999</v>
      </c>
      <c r="E391" s="84">
        <v>267.99</v>
      </c>
      <c r="F391" s="84">
        <v>133.995</v>
      </c>
      <c r="G391" t="s">
        <v>1989</v>
      </c>
      <c r="H391" t="s">
        <v>2000</v>
      </c>
      <c r="I391" t="s">
        <v>2001</v>
      </c>
      <c r="J391" t="s">
        <v>2002</v>
      </c>
      <c r="K391" t="s">
        <v>1196</v>
      </c>
      <c r="L391" t="s">
        <v>670</v>
      </c>
      <c r="N391">
        <v>120</v>
      </c>
      <c r="O391">
        <v>30</v>
      </c>
      <c r="P391">
        <v>0.432</v>
      </c>
      <c r="Q391" s="84" t="e">
        <v>#REF!</v>
      </c>
      <c r="R391" s="85">
        <v>104288.98459701</v>
      </c>
      <c r="S391" s="85">
        <v>1300000</v>
      </c>
      <c r="T391" s="86">
        <v>1404288.9845970101</v>
      </c>
      <c r="U391" s="84">
        <v>93.619265639800702</v>
      </c>
      <c r="V391" s="84">
        <v>187.59299999999999</v>
      </c>
      <c r="W391" s="84">
        <v>93.796499999999995</v>
      </c>
      <c r="X391" s="82">
        <v>0.35</v>
      </c>
      <c r="Y391" s="87">
        <v>140.428898459701</v>
      </c>
      <c r="Z391" s="84">
        <v>140.428898459701</v>
      </c>
      <c r="AA391" s="84">
        <v>280.85779691940201</v>
      </c>
      <c r="AB391" s="88">
        <v>2</v>
      </c>
      <c r="AC391" t="s">
        <v>2003</v>
      </c>
    </row>
    <row r="392" spans="3:29">
      <c r="C392">
        <v>22354</v>
      </c>
      <c r="D392" t="s">
        <v>1999</v>
      </c>
      <c r="E392" s="84">
        <v>434.99</v>
      </c>
      <c r="F392" s="84">
        <v>217.495</v>
      </c>
      <c r="G392" t="s">
        <v>1989</v>
      </c>
      <c r="H392" t="s">
        <v>2004</v>
      </c>
      <c r="I392" t="s">
        <v>2005</v>
      </c>
      <c r="J392" t="s">
        <v>2006</v>
      </c>
      <c r="K392" t="s">
        <v>1196</v>
      </c>
      <c r="L392" t="s">
        <v>670</v>
      </c>
      <c r="N392">
        <v>180</v>
      </c>
      <c r="O392">
        <v>40</v>
      </c>
      <c r="P392">
        <v>1.296</v>
      </c>
      <c r="Q392" s="84" t="e">
        <v>#REF!</v>
      </c>
      <c r="R392" s="85">
        <v>312866.95379104</v>
      </c>
      <c r="S392" s="85">
        <v>2000000</v>
      </c>
      <c r="T392" s="86">
        <v>2312866.95379104</v>
      </c>
      <c r="U392" s="84">
        <v>154.191130252736</v>
      </c>
      <c r="V392" s="84">
        <v>304.49299999999999</v>
      </c>
      <c r="W392" s="84">
        <v>152.2465</v>
      </c>
      <c r="X392" s="82">
        <v>0.35</v>
      </c>
      <c r="Y392" s="87">
        <v>231.286695379104</v>
      </c>
      <c r="Z392" s="84">
        <v>231.286695379104</v>
      </c>
      <c r="AA392" s="84">
        <v>462.57339075820801</v>
      </c>
      <c r="AB392" s="88">
        <v>2</v>
      </c>
      <c r="AC392" t="s">
        <v>2007</v>
      </c>
    </row>
    <row r="393" spans="3:29">
      <c r="C393">
        <v>22007</v>
      </c>
      <c r="D393" t="s">
        <v>2008</v>
      </c>
      <c r="E393" s="84">
        <v>585.99</v>
      </c>
      <c r="F393" s="84">
        <v>292.995</v>
      </c>
      <c r="G393" t="s">
        <v>1989</v>
      </c>
      <c r="H393" t="s">
        <v>2009</v>
      </c>
      <c r="I393" t="s">
        <v>2010</v>
      </c>
      <c r="J393" t="s">
        <v>2011</v>
      </c>
      <c r="K393" t="s">
        <v>2012</v>
      </c>
      <c r="L393" t="s">
        <v>670</v>
      </c>
      <c r="N393">
        <v>183</v>
      </c>
      <c r="O393">
        <v>50</v>
      </c>
      <c r="P393">
        <v>1.67445</v>
      </c>
      <c r="Q393" s="84" t="e">
        <v>#REF!</v>
      </c>
      <c r="R393" s="85">
        <v>2245802.8833473101</v>
      </c>
      <c r="S393" s="85"/>
      <c r="T393" s="86">
        <v>2245802.8833473101</v>
      </c>
      <c r="U393" s="84">
        <v>149.72019222315399</v>
      </c>
      <c r="V393" s="84">
        <v>410.19299999999998</v>
      </c>
      <c r="W393" s="84">
        <v>205.09649999999999</v>
      </c>
      <c r="X393" s="82">
        <v>0.35</v>
      </c>
      <c r="Y393" s="87">
        <v>269.49634600167701</v>
      </c>
      <c r="Z393" s="84">
        <v>269.49634600167701</v>
      </c>
      <c r="AA393" s="84">
        <v>538.99269200335402</v>
      </c>
      <c r="AB393" s="88">
        <v>2</v>
      </c>
      <c r="AC393" t="s">
        <v>2013</v>
      </c>
    </row>
    <row r="394" spans="3:29">
      <c r="C394">
        <v>22016</v>
      </c>
      <c r="D394" t="s">
        <v>2015</v>
      </c>
      <c r="E394" s="84">
        <v>189.99</v>
      </c>
      <c r="F394" s="84">
        <v>94.995000000000005</v>
      </c>
      <c r="G394" t="s">
        <v>1989</v>
      </c>
      <c r="H394" t="s">
        <v>2016</v>
      </c>
      <c r="I394" t="s">
        <v>2017</v>
      </c>
      <c r="J394" t="s">
        <v>2018</v>
      </c>
      <c r="K394" t="s">
        <v>2019</v>
      </c>
      <c r="L394" t="s">
        <v>646</v>
      </c>
      <c r="N394">
        <v>5</v>
      </c>
      <c r="O394">
        <v>235</v>
      </c>
      <c r="P394">
        <v>5.875E-3</v>
      </c>
      <c r="Q394" s="84" t="e">
        <v>#REF!</v>
      </c>
      <c r="R394" s="85">
        <v>2396.896425504</v>
      </c>
      <c r="S394" s="85">
        <v>133031.79999999999</v>
      </c>
      <c r="T394" s="86">
        <v>135428.69642550399</v>
      </c>
      <c r="U394" s="84">
        <v>9.0285797617002697</v>
      </c>
      <c r="V394" s="84">
        <v>132.99299999999999</v>
      </c>
      <c r="W394" s="84">
        <v>66.496499999999997</v>
      </c>
      <c r="X394" s="82">
        <v>0.35</v>
      </c>
      <c r="Y394" s="82"/>
      <c r="Z394" s="84">
        <v>66.496499999999997</v>
      </c>
      <c r="AA394" s="84">
        <v>132.99299999999999</v>
      </c>
      <c r="AB394" s="88">
        <v>7.3651118730857101</v>
      </c>
      <c r="AC394" t="s">
        <v>2020</v>
      </c>
    </row>
    <row r="395" spans="3:29">
      <c r="C395" t="s">
        <v>1879</v>
      </c>
      <c r="D395" t="s">
        <v>2021</v>
      </c>
      <c r="E395" s="84">
        <v>269.99</v>
      </c>
      <c r="F395" s="84">
        <v>134.995</v>
      </c>
      <c r="G395" t="s">
        <v>1989</v>
      </c>
      <c r="H395" t="s">
        <v>2022</v>
      </c>
      <c r="I395" t="s">
        <v>2023</v>
      </c>
      <c r="J395" t="s">
        <v>2024</v>
      </c>
      <c r="K395" t="s">
        <v>2019</v>
      </c>
      <c r="L395" t="s">
        <v>646</v>
      </c>
      <c r="N395">
        <v>8</v>
      </c>
      <c r="O395">
        <v>235</v>
      </c>
      <c r="P395">
        <v>1.504E-2</v>
      </c>
      <c r="Q395" s="84" t="e">
        <v>#REF!</v>
      </c>
      <c r="R395" s="85"/>
      <c r="S395" s="85"/>
      <c r="T395" s="86">
        <v>0</v>
      </c>
      <c r="U395" s="84">
        <v>0</v>
      </c>
      <c r="V395" s="84">
        <v>188.99299999999999</v>
      </c>
      <c r="W395" s="84">
        <v>94.496499999999997</v>
      </c>
      <c r="X395" s="82">
        <v>0.35</v>
      </c>
      <c r="Y395" s="82"/>
      <c r="Z395" s="84">
        <v>94.496499999999997</v>
      </c>
      <c r="AA395" s="84">
        <v>188.99299999999999</v>
      </c>
      <c r="AB395" s="88" t="e">
        <v>#DIV/0!</v>
      </c>
      <c r="AC395" t="s">
        <v>2025</v>
      </c>
    </row>
    <row r="396" spans="3:29">
      <c r="C396" t="s">
        <v>2026</v>
      </c>
      <c r="D396" t="s">
        <v>2027</v>
      </c>
      <c r="E396" s="84">
        <v>195.99</v>
      </c>
      <c r="F396" s="84">
        <v>97.995000000000005</v>
      </c>
      <c r="G396" t="s">
        <v>1989</v>
      </c>
      <c r="H396" t="s">
        <v>2028</v>
      </c>
      <c r="I396" t="s">
        <v>2029</v>
      </c>
      <c r="J396" t="s">
        <v>2030</v>
      </c>
      <c r="K396" t="s">
        <v>2031</v>
      </c>
      <c r="L396" t="s">
        <v>670</v>
      </c>
      <c r="M396">
        <v>30</v>
      </c>
      <c r="N396">
        <v>30</v>
      </c>
      <c r="O396">
        <v>40</v>
      </c>
      <c r="P396">
        <v>3.5999999999999997E-2</v>
      </c>
      <c r="Q396" s="84" t="e">
        <v>#REF!</v>
      </c>
      <c r="R396" s="85">
        <v>8690.7487164179893</v>
      </c>
      <c r="S396" s="85">
        <v>350000</v>
      </c>
      <c r="T396" s="86">
        <v>358690.74871641799</v>
      </c>
      <c r="U396" s="84">
        <v>23.9127165810945</v>
      </c>
      <c r="V396" s="84">
        <v>137.19300000000001</v>
      </c>
      <c r="W396" s="84">
        <v>68.596500000000006</v>
      </c>
      <c r="X396" s="82">
        <v>0.35</v>
      </c>
      <c r="Y396" s="82"/>
      <c r="Z396" s="84">
        <v>68.596500000000006</v>
      </c>
      <c r="AA396" s="84">
        <v>137.19300000000001</v>
      </c>
      <c r="AB396" s="88">
        <v>2.8686201238312101</v>
      </c>
      <c r="AC396" t="s">
        <v>2032</v>
      </c>
    </row>
    <row r="397" spans="3:29">
      <c r="C397" t="s">
        <v>2033</v>
      </c>
      <c r="D397" t="s">
        <v>2027</v>
      </c>
      <c r="E397" s="84">
        <v>289.99</v>
      </c>
      <c r="F397" s="84">
        <v>144.995</v>
      </c>
      <c r="G397" t="s">
        <v>1989</v>
      </c>
      <c r="H397" t="s">
        <v>2034</v>
      </c>
      <c r="I397" t="s">
        <v>2035</v>
      </c>
      <c r="J397" t="s">
        <v>2036</v>
      </c>
      <c r="K397" t="s">
        <v>2031</v>
      </c>
      <c r="L397" t="s">
        <v>670</v>
      </c>
      <c r="M397">
        <v>40</v>
      </c>
      <c r="N397">
        <v>40</v>
      </c>
      <c r="O397">
        <v>40</v>
      </c>
      <c r="P397">
        <v>6.4000000000000001E-2</v>
      </c>
      <c r="Q397" s="84" t="e">
        <v>#REF!</v>
      </c>
      <c r="R397" s="85">
        <v>81026.934226013007</v>
      </c>
      <c r="S397" s="85">
        <v>600000</v>
      </c>
      <c r="T397" s="86">
        <v>681026.93422601302</v>
      </c>
      <c r="U397" s="84">
        <v>45.401795615067499</v>
      </c>
      <c r="V397" s="84">
        <v>202.99299999999999</v>
      </c>
      <c r="W397" s="84">
        <v>101.4965</v>
      </c>
      <c r="X397" s="82">
        <v>0.35</v>
      </c>
      <c r="Y397" s="82"/>
      <c r="Z397" s="84">
        <v>101.4965</v>
      </c>
      <c r="AA397" s="84">
        <v>202.99299999999999</v>
      </c>
      <c r="AB397" s="88">
        <v>2.2355173099434902</v>
      </c>
      <c r="AC397" t="s">
        <v>2037</v>
      </c>
    </row>
    <row r="398" spans="3:29">
      <c r="C398" t="s">
        <v>2038</v>
      </c>
      <c r="D398" t="s">
        <v>2027</v>
      </c>
      <c r="E398" s="84">
        <v>289.99</v>
      </c>
      <c r="F398" s="84">
        <v>144.995</v>
      </c>
      <c r="G398" t="s">
        <v>1989</v>
      </c>
      <c r="H398" t="s">
        <v>2034</v>
      </c>
      <c r="I398" t="s">
        <v>2039</v>
      </c>
      <c r="J398" t="s">
        <v>2036</v>
      </c>
      <c r="K398" t="s">
        <v>2031</v>
      </c>
      <c r="L398" t="s">
        <v>670</v>
      </c>
      <c r="M398">
        <v>40</v>
      </c>
      <c r="N398">
        <v>40</v>
      </c>
      <c r="O398">
        <v>40</v>
      </c>
      <c r="P398">
        <v>6.4000000000000001E-2</v>
      </c>
      <c r="Q398" s="84" t="e">
        <v>#REF!</v>
      </c>
      <c r="R398" s="85"/>
      <c r="S398" s="85"/>
      <c r="T398" s="86">
        <v>0</v>
      </c>
      <c r="U398" s="84">
        <v>0</v>
      </c>
      <c r="V398" s="84">
        <v>202.99299999999999</v>
      </c>
      <c r="W398" s="84">
        <v>101.4965</v>
      </c>
      <c r="X398" s="82">
        <v>0.35</v>
      </c>
      <c r="Y398" s="82"/>
      <c r="Z398" s="84">
        <v>101.4965</v>
      </c>
      <c r="AA398" s="84">
        <v>202.99299999999999</v>
      </c>
      <c r="AB398" s="88" t="e">
        <v>#DIV/0!</v>
      </c>
      <c r="AC398" t="s">
        <v>2040</v>
      </c>
    </row>
    <row r="399" spans="3:29">
      <c r="C399" t="s">
        <v>2041</v>
      </c>
      <c r="D399" t="s">
        <v>2027</v>
      </c>
      <c r="E399" s="84">
        <v>309.99</v>
      </c>
      <c r="F399" s="84">
        <v>154.995</v>
      </c>
      <c r="G399" t="s">
        <v>1989</v>
      </c>
      <c r="H399" t="s">
        <v>2042</v>
      </c>
      <c r="I399" t="s">
        <v>2043</v>
      </c>
      <c r="J399" t="s">
        <v>2044</v>
      </c>
      <c r="K399" t="s">
        <v>2031</v>
      </c>
      <c r="L399" t="s">
        <v>670</v>
      </c>
      <c r="M399">
        <v>50</v>
      </c>
      <c r="N399">
        <v>50</v>
      </c>
      <c r="O399">
        <v>40</v>
      </c>
      <c r="P399">
        <v>0.1</v>
      </c>
      <c r="Q399" s="84" t="e">
        <v>#REF!</v>
      </c>
      <c r="R399" s="85"/>
      <c r="S399" s="85"/>
      <c r="T399" s="86">
        <v>0</v>
      </c>
      <c r="U399" s="84">
        <v>0</v>
      </c>
      <c r="V399" s="84">
        <v>216.99299999999999</v>
      </c>
      <c r="W399" s="84">
        <v>108.4965</v>
      </c>
      <c r="X399" s="82">
        <v>0.35</v>
      </c>
      <c r="Y399" s="82"/>
      <c r="Z399" s="84">
        <v>108.4965</v>
      </c>
      <c r="AA399" s="84">
        <v>216.99299999999999</v>
      </c>
      <c r="AB399" s="88" t="e">
        <v>#DIV/0!</v>
      </c>
      <c r="AC399" t="s">
        <v>2045</v>
      </c>
    </row>
    <row r="400" spans="3:29">
      <c r="C400" t="s">
        <v>2046</v>
      </c>
      <c r="D400" t="s">
        <v>2047</v>
      </c>
      <c r="E400" s="84">
        <v>454.99</v>
      </c>
      <c r="F400" s="84">
        <v>227.495</v>
      </c>
      <c r="G400" t="s">
        <v>1989</v>
      </c>
      <c r="H400" t="s">
        <v>2048</v>
      </c>
      <c r="I400" t="s">
        <v>2049</v>
      </c>
      <c r="J400" t="s">
        <v>2050</v>
      </c>
      <c r="K400" t="s">
        <v>2051</v>
      </c>
      <c r="L400" t="s">
        <v>670</v>
      </c>
      <c r="N400">
        <v>20</v>
      </c>
      <c r="O400">
        <v>20</v>
      </c>
      <c r="P400">
        <v>8.0000000000000002E-3</v>
      </c>
      <c r="Q400" s="84" t="e">
        <v>#REF!</v>
      </c>
      <c r="R400" s="85"/>
      <c r="S400" s="85"/>
      <c r="T400" s="86">
        <v>0</v>
      </c>
      <c r="U400" s="84">
        <v>0</v>
      </c>
      <c r="V400" s="84">
        <v>318.49299999999999</v>
      </c>
      <c r="W400" s="84">
        <v>159.2465</v>
      </c>
      <c r="X400" s="82">
        <v>0.35</v>
      </c>
      <c r="Y400" s="82"/>
      <c r="Z400" s="84">
        <v>159.2465</v>
      </c>
      <c r="AA400" s="84">
        <v>318.49299999999999</v>
      </c>
      <c r="AB400" s="88" t="e">
        <v>#DIV/0!</v>
      </c>
      <c r="AC400" t="s">
        <v>2052</v>
      </c>
    </row>
    <row r="401" spans="3:29">
      <c r="C401" t="s">
        <v>2053</v>
      </c>
      <c r="D401" t="s">
        <v>2054</v>
      </c>
      <c r="E401" s="84">
        <v>714.99</v>
      </c>
      <c r="F401" s="84">
        <v>357.495</v>
      </c>
      <c r="G401" t="s">
        <v>1989</v>
      </c>
      <c r="H401" t="s">
        <v>2055</v>
      </c>
      <c r="I401" t="s">
        <v>2056</v>
      </c>
      <c r="J401" t="s">
        <v>2057</v>
      </c>
      <c r="K401" t="s">
        <v>1888</v>
      </c>
      <c r="L401" t="s">
        <v>670</v>
      </c>
      <c r="M401">
        <v>40</v>
      </c>
      <c r="N401">
        <v>40</v>
      </c>
      <c r="O401">
        <v>42</v>
      </c>
      <c r="P401">
        <v>6.7199999999999996E-2</v>
      </c>
      <c r="Q401" s="84" t="e">
        <v>#REF!</v>
      </c>
      <c r="R401" s="85"/>
      <c r="S401" s="85"/>
      <c r="T401" s="86">
        <v>0</v>
      </c>
      <c r="U401" s="84">
        <v>0</v>
      </c>
      <c r="V401" s="84">
        <v>500.49299999999999</v>
      </c>
      <c r="W401" s="84">
        <v>250.2465</v>
      </c>
      <c r="X401" s="82">
        <v>0.35</v>
      </c>
      <c r="Y401" s="82"/>
      <c r="Z401" s="84">
        <v>250.2465</v>
      </c>
      <c r="AA401" s="84">
        <v>500.49299999999999</v>
      </c>
      <c r="AB401" s="88" t="e">
        <v>#DIV/0!</v>
      </c>
      <c r="AC401" t="s">
        <v>2058</v>
      </c>
    </row>
    <row r="402" spans="3:29">
      <c r="C402" t="s">
        <v>2059</v>
      </c>
      <c r="D402" t="s">
        <v>2054</v>
      </c>
      <c r="E402" s="84">
        <v>1069.99</v>
      </c>
      <c r="F402" s="84">
        <v>534.995</v>
      </c>
      <c r="G402" t="s">
        <v>1989</v>
      </c>
      <c r="H402" t="s">
        <v>2055</v>
      </c>
      <c r="I402" t="s">
        <v>2060</v>
      </c>
      <c r="J402" t="s">
        <v>2057</v>
      </c>
      <c r="K402" t="s">
        <v>1888</v>
      </c>
      <c r="L402" t="s">
        <v>670</v>
      </c>
      <c r="M402">
        <v>40</v>
      </c>
      <c r="N402">
        <v>40</v>
      </c>
      <c r="O402">
        <v>42</v>
      </c>
      <c r="P402">
        <v>6.7199999999999996E-2</v>
      </c>
      <c r="Q402" s="84" t="e">
        <v>#REF!</v>
      </c>
      <c r="R402" s="85"/>
      <c r="S402" s="85"/>
      <c r="T402" s="86">
        <v>0</v>
      </c>
      <c r="U402" s="84">
        <v>0</v>
      </c>
      <c r="V402" s="84">
        <v>748.99300000000005</v>
      </c>
      <c r="W402" s="84">
        <v>374.49650000000003</v>
      </c>
      <c r="X402" s="82">
        <v>0.35</v>
      </c>
      <c r="Y402" s="82"/>
      <c r="Z402" s="84">
        <v>374.49650000000003</v>
      </c>
      <c r="AA402" s="84">
        <v>748.99300000000005</v>
      </c>
      <c r="AB402" s="88" t="e">
        <v>#DIV/0!</v>
      </c>
      <c r="AC402" t="s">
        <v>2061</v>
      </c>
    </row>
    <row r="403" spans="3:29">
      <c r="C403" t="s">
        <v>2062</v>
      </c>
      <c r="E403" s="84"/>
      <c r="F403" s="82"/>
      <c r="R403" s="85"/>
      <c r="S403" s="85"/>
      <c r="T403" s="86"/>
      <c r="V403" s="84"/>
      <c r="W403" s="84"/>
      <c r="X403" s="82"/>
      <c r="Y403" s="82"/>
      <c r="Z403" s="82"/>
      <c r="AA403" s="82"/>
      <c r="AB403" s="88"/>
    </row>
    <row r="404" spans="3:29">
      <c r="C404" t="s">
        <v>2063</v>
      </c>
      <c r="D404" t="s">
        <v>2064</v>
      </c>
      <c r="E404" s="84">
        <v>43.99</v>
      </c>
      <c r="F404" s="84">
        <v>21.995000000000001</v>
      </c>
      <c r="G404" t="s">
        <v>2065</v>
      </c>
      <c r="H404" t="s">
        <v>2066</v>
      </c>
      <c r="I404" t="s">
        <v>2067</v>
      </c>
      <c r="J404" t="s">
        <v>2068</v>
      </c>
      <c r="K404" t="s">
        <v>846</v>
      </c>
      <c r="L404" t="s">
        <v>50</v>
      </c>
      <c r="M404">
        <v>10</v>
      </c>
      <c r="N404">
        <v>20</v>
      </c>
      <c r="O404">
        <v>10</v>
      </c>
      <c r="P404">
        <v>2E-3</v>
      </c>
      <c r="Q404" s="84" t="e">
        <v>#REF!</v>
      </c>
      <c r="R404" s="85">
        <v>154227.87566195399</v>
      </c>
      <c r="S404" s="85">
        <v>0</v>
      </c>
      <c r="T404" s="86">
        <v>154227.87566195399</v>
      </c>
      <c r="U404" s="84">
        <v>10.2818583774636</v>
      </c>
      <c r="V404" s="84">
        <v>30.792999999999999</v>
      </c>
      <c r="W404" s="84">
        <v>15.3965</v>
      </c>
      <c r="X404" s="82">
        <v>0.35</v>
      </c>
      <c r="Y404" s="87">
        <v>18.507345079434501</v>
      </c>
      <c r="Z404" s="84">
        <v>18.507345079434501</v>
      </c>
      <c r="AA404" s="84">
        <v>37.014690158869001</v>
      </c>
      <c r="AB404" s="88">
        <v>2</v>
      </c>
      <c r="AC404" t="s">
        <v>2069</v>
      </c>
    </row>
    <row r="405" spans="3:29">
      <c r="C405" t="s">
        <v>2071</v>
      </c>
      <c r="D405" t="s">
        <v>2072</v>
      </c>
      <c r="E405" s="84">
        <v>11.99</v>
      </c>
      <c r="F405" s="84">
        <v>5.9950000000000001</v>
      </c>
      <c r="G405" t="s">
        <v>2065</v>
      </c>
      <c r="H405" t="s">
        <v>2073</v>
      </c>
      <c r="I405" t="s">
        <v>2074</v>
      </c>
      <c r="J405" t="s">
        <v>2075</v>
      </c>
      <c r="K405" t="s">
        <v>645</v>
      </c>
      <c r="L405" t="s">
        <v>646</v>
      </c>
      <c r="M405">
        <v>12</v>
      </c>
      <c r="N405">
        <v>12</v>
      </c>
      <c r="O405">
        <v>6</v>
      </c>
      <c r="P405">
        <v>8.6399999999999997E-4</v>
      </c>
      <c r="Q405" s="84" t="e">
        <v>#REF!</v>
      </c>
      <c r="R405" s="85">
        <v>8795.1779691939992</v>
      </c>
      <c r="S405" s="85">
        <v>28000</v>
      </c>
      <c r="T405" s="86">
        <v>36795.177969194003</v>
      </c>
      <c r="U405" s="84">
        <v>2.4530118646129302</v>
      </c>
      <c r="V405" s="84">
        <v>8.3930000000000007</v>
      </c>
      <c r="W405" s="84">
        <v>4.1965000000000003</v>
      </c>
      <c r="X405" s="82">
        <v>0.35</v>
      </c>
      <c r="Y405" s="87">
        <v>4.9060237292258702</v>
      </c>
      <c r="Z405" s="84">
        <v>4.9060237292258702</v>
      </c>
      <c r="AA405" s="84">
        <v>9.8120474584517297</v>
      </c>
      <c r="AB405" s="88">
        <v>2</v>
      </c>
      <c r="AC405" t="s">
        <v>2076</v>
      </c>
    </row>
    <row r="406" spans="3:29">
      <c r="C406" t="s">
        <v>2078</v>
      </c>
      <c r="D406" t="s">
        <v>2072</v>
      </c>
      <c r="E406" s="84">
        <v>17.989999999999998</v>
      </c>
      <c r="F406" s="84">
        <v>8.9949999999999992</v>
      </c>
      <c r="G406" t="s">
        <v>2065</v>
      </c>
      <c r="H406" t="s">
        <v>2079</v>
      </c>
      <c r="I406" t="s">
        <v>2080</v>
      </c>
      <c r="J406" t="s">
        <v>2081</v>
      </c>
      <c r="K406" t="s">
        <v>645</v>
      </c>
      <c r="L406" t="s">
        <v>646</v>
      </c>
      <c r="M406">
        <v>18</v>
      </c>
      <c r="N406">
        <v>18</v>
      </c>
      <c r="O406">
        <v>6</v>
      </c>
      <c r="P406">
        <v>1.944E-3</v>
      </c>
      <c r="Q406" s="84" t="e">
        <v>#REF!</v>
      </c>
      <c r="R406" s="85">
        <v>7654.3670973531998</v>
      </c>
      <c r="S406" s="85">
        <v>48000</v>
      </c>
      <c r="T406" s="86">
        <v>55654.367097353199</v>
      </c>
      <c r="U406" s="84">
        <v>3.7102911398235499</v>
      </c>
      <c r="V406" s="84">
        <v>12.593</v>
      </c>
      <c r="W406" s="84">
        <v>6.2965</v>
      </c>
      <c r="X406" s="82">
        <v>0.35</v>
      </c>
      <c r="Y406" s="87">
        <v>7.4205822796470899</v>
      </c>
      <c r="Z406" s="84">
        <v>7.4205822796470899</v>
      </c>
      <c r="AA406" s="84">
        <v>14.841164559294199</v>
      </c>
      <c r="AB406" s="88">
        <v>2</v>
      </c>
      <c r="AC406" t="s">
        <v>2082</v>
      </c>
    </row>
    <row r="407" spans="3:29">
      <c r="C407" t="s">
        <v>2083</v>
      </c>
      <c r="D407" t="s">
        <v>2072</v>
      </c>
      <c r="E407" s="84">
        <v>44.99</v>
      </c>
      <c r="F407" s="84">
        <v>22.495000000000001</v>
      </c>
      <c r="G407" t="s">
        <v>2065</v>
      </c>
      <c r="H407" t="s">
        <v>2084</v>
      </c>
      <c r="I407" t="s">
        <v>2085</v>
      </c>
      <c r="J407" t="s">
        <v>2086</v>
      </c>
      <c r="K407" t="s">
        <v>645</v>
      </c>
      <c r="L407" t="s">
        <v>646</v>
      </c>
      <c r="M407">
        <v>28</v>
      </c>
      <c r="N407">
        <v>28</v>
      </c>
      <c r="O407">
        <v>6</v>
      </c>
      <c r="P407">
        <v>4.7039999999999998E-3</v>
      </c>
      <c r="Q407" s="84" t="e">
        <v>#REF!</v>
      </c>
      <c r="R407" s="85">
        <v>8725.7578322785994</v>
      </c>
      <c r="S407" s="85">
        <v>82500</v>
      </c>
      <c r="T407" s="86">
        <v>91225.757832278599</v>
      </c>
      <c r="U407" s="84">
        <v>6.0817171888185699</v>
      </c>
      <c r="V407" s="84">
        <v>31.492999999999999</v>
      </c>
      <c r="W407" s="84">
        <v>15.746499999999999</v>
      </c>
      <c r="X407" s="82">
        <v>0.35</v>
      </c>
      <c r="Y407" s="82"/>
      <c r="Z407" s="84">
        <v>15.746499999999999</v>
      </c>
      <c r="AA407" s="84">
        <v>31.492999999999999</v>
      </c>
      <c r="AB407" s="88">
        <v>2.5891536076275301</v>
      </c>
      <c r="AC407" t="s">
        <v>2087</v>
      </c>
    </row>
    <row r="408" spans="3:29">
      <c r="C408" t="s">
        <v>2088</v>
      </c>
      <c r="D408" t="s">
        <v>2089</v>
      </c>
      <c r="E408" s="84">
        <v>29.99</v>
      </c>
      <c r="F408" s="84">
        <v>14.994999999999999</v>
      </c>
      <c r="G408" t="s">
        <v>2065</v>
      </c>
      <c r="H408" t="s">
        <v>2090</v>
      </c>
      <c r="I408" t="s">
        <v>2091</v>
      </c>
      <c r="J408" t="s">
        <v>2092</v>
      </c>
      <c r="K408" t="s">
        <v>645</v>
      </c>
      <c r="L408" t="s">
        <v>646</v>
      </c>
      <c r="M408">
        <v>24</v>
      </c>
      <c r="N408">
        <v>16</v>
      </c>
      <c r="O408">
        <v>6</v>
      </c>
      <c r="P408">
        <v>2.3040000000000001E-3</v>
      </c>
      <c r="Q408" s="84" t="e">
        <v>#REF!</v>
      </c>
      <c r="R408" s="85">
        <v>17732.795779699001</v>
      </c>
      <c r="S408" s="85">
        <v>45000</v>
      </c>
      <c r="T408" s="86">
        <v>62732.795779699001</v>
      </c>
      <c r="U408" s="84">
        <v>4.1821863853132699</v>
      </c>
      <c r="V408" s="84">
        <v>20.992999999999999</v>
      </c>
      <c r="W408" s="84">
        <v>10.496499999999999</v>
      </c>
      <c r="X408" s="82">
        <v>0.35</v>
      </c>
      <c r="Y408" s="82"/>
      <c r="Z408" s="84">
        <v>10.496499999999999</v>
      </c>
      <c r="AA408" s="84">
        <v>20.992999999999999</v>
      </c>
      <c r="AB408" s="88">
        <v>2.5098116231406902</v>
      </c>
      <c r="AC408" t="s">
        <v>2093</v>
      </c>
    </row>
    <row r="409" spans="3:29">
      <c r="C409" t="s">
        <v>2094</v>
      </c>
      <c r="D409" t="s">
        <v>2089</v>
      </c>
      <c r="E409" s="84">
        <v>58.99</v>
      </c>
      <c r="F409" s="84">
        <v>29.495000000000001</v>
      </c>
      <c r="G409" t="s">
        <v>2065</v>
      </c>
      <c r="H409" t="s">
        <v>2095</v>
      </c>
      <c r="I409" t="s">
        <v>2096</v>
      </c>
      <c r="J409" t="s">
        <v>2097</v>
      </c>
      <c r="K409" t="s">
        <v>645</v>
      </c>
      <c r="L409" t="s">
        <v>646</v>
      </c>
      <c r="M409">
        <v>40</v>
      </c>
      <c r="N409">
        <v>30</v>
      </c>
      <c r="O409">
        <v>6</v>
      </c>
      <c r="P409">
        <v>7.1999999999999998E-3</v>
      </c>
      <c r="Q409" s="84" t="e">
        <v>#REF!</v>
      </c>
      <c r="R409" s="85">
        <v>14024.749743283999</v>
      </c>
      <c r="S409" s="85">
        <v>125000</v>
      </c>
      <c r="T409" s="86">
        <v>139024.74974328399</v>
      </c>
      <c r="U409" s="84">
        <v>9.2683166495522702</v>
      </c>
      <c r="V409" s="84">
        <v>41.292999999999999</v>
      </c>
      <c r="W409" s="84">
        <v>20.6465</v>
      </c>
      <c r="X409" s="82">
        <v>0.35</v>
      </c>
      <c r="Y409" s="82"/>
      <c r="Z409" s="84">
        <v>20.6465</v>
      </c>
      <c r="AA409" s="84">
        <v>41.292999999999999</v>
      </c>
      <c r="AB409" s="88">
        <v>2.2276429238094102</v>
      </c>
      <c r="AC409" t="s">
        <v>2098</v>
      </c>
    </row>
    <row r="410" spans="3:29">
      <c r="C410" t="s">
        <v>2099</v>
      </c>
      <c r="D410" t="s">
        <v>2089</v>
      </c>
      <c r="E410" s="84">
        <v>76.989999999999995</v>
      </c>
      <c r="F410" s="84">
        <v>38.494999999999997</v>
      </c>
      <c r="G410" t="s">
        <v>2065</v>
      </c>
      <c r="H410" t="s">
        <v>2100</v>
      </c>
      <c r="I410" t="s">
        <v>2101</v>
      </c>
      <c r="J410" t="s">
        <v>2102</v>
      </c>
      <c r="K410" t="s">
        <v>645</v>
      </c>
      <c r="L410" t="s">
        <v>646</v>
      </c>
      <c r="M410">
        <v>60</v>
      </c>
      <c r="N410">
        <v>22</v>
      </c>
      <c r="O410">
        <v>6</v>
      </c>
      <c r="P410">
        <v>7.92E-3</v>
      </c>
      <c r="Q410" s="84" t="e">
        <v>#REF!</v>
      </c>
      <c r="R410" s="85">
        <v>11322.964717612</v>
      </c>
      <c r="S410" s="85">
        <v>143000</v>
      </c>
      <c r="T410" s="86">
        <v>154322.96471761199</v>
      </c>
      <c r="U410" s="84">
        <v>10.2881976478408</v>
      </c>
      <c r="V410" s="84">
        <v>53.893000000000001</v>
      </c>
      <c r="W410" s="84">
        <v>26.9465</v>
      </c>
      <c r="X410" s="82">
        <v>0.35</v>
      </c>
      <c r="Y410" s="82"/>
      <c r="Z410" s="84">
        <v>26.9465</v>
      </c>
      <c r="AA410" s="84">
        <v>53.893000000000001</v>
      </c>
      <c r="AB410" s="88">
        <v>2.61916624489182</v>
      </c>
      <c r="AC410" t="s">
        <v>2103</v>
      </c>
    </row>
    <row r="411" spans="3:29">
      <c r="C411" t="s">
        <v>2104</v>
      </c>
      <c r="D411" t="s">
        <v>2105</v>
      </c>
      <c r="E411" s="84">
        <v>17.989999999999998</v>
      </c>
      <c r="F411" s="84">
        <v>8.9949999999999992</v>
      </c>
      <c r="G411" t="s">
        <v>2065</v>
      </c>
      <c r="H411" t="s">
        <v>2106</v>
      </c>
      <c r="I411" t="s">
        <v>2107</v>
      </c>
      <c r="J411" t="s">
        <v>2108</v>
      </c>
      <c r="K411" t="s">
        <v>645</v>
      </c>
      <c r="L411" t="s">
        <v>646</v>
      </c>
      <c r="N411">
        <v>18</v>
      </c>
      <c r="O411">
        <v>6</v>
      </c>
      <c r="P411">
        <v>1.944E-3</v>
      </c>
      <c r="Q411" s="84" t="e">
        <v>#REF!</v>
      </c>
      <c r="R411" s="85">
        <v>6799.6504306866</v>
      </c>
      <c r="S411" s="85">
        <v>33000</v>
      </c>
      <c r="T411" s="86">
        <v>39799.650430686597</v>
      </c>
      <c r="U411" s="84">
        <v>2.6533100287124398</v>
      </c>
      <c r="V411" s="84">
        <v>12.593</v>
      </c>
      <c r="W411" s="84">
        <v>6.2965</v>
      </c>
      <c r="X411" s="82">
        <v>0.35</v>
      </c>
      <c r="Y411" s="82"/>
      <c r="Z411" s="84">
        <v>6.2965</v>
      </c>
      <c r="AA411" s="84">
        <v>12.593</v>
      </c>
      <c r="AB411" s="88">
        <v>2.3730736068771701</v>
      </c>
      <c r="AC411" t="s">
        <v>2109</v>
      </c>
    </row>
    <row r="412" spans="3:29">
      <c r="C412" t="s">
        <v>2110</v>
      </c>
      <c r="D412" t="s">
        <v>2105</v>
      </c>
      <c r="E412" s="84">
        <v>36.99</v>
      </c>
      <c r="F412" s="84">
        <v>18.495000000000001</v>
      </c>
      <c r="G412" t="s">
        <v>2065</v>
      </c>
      <c r="H412" t="s">
        <v>2111</v>
      </c>
      <c r="I412" t="s">
        <v>2112</v>
      </c>
      <c r="J412" t="s">
        <v>2113</v>
      </c>
      <c r="K412" t="s">
        <v>645</v>
      </c>
      <c r="L412" t="s">
        <v>646</v>
      </c>
      <c r="N412">
        <v>26</v>
      </c>
      <c r="O412">
        <v>6</v>
      </c>
      <c r="P412">
        <v>4.0559999999999997E-3</v>
      </c>
      <c r="Q412" s="84" t="e">
        <v>#REF!</v>
      </c>
      <c r="R412" s="85">
        <v>18155.745550564701</v>
      </c>
      <c r="S412" s="85">
        <v>72600</v>
      </c>
      <c r="T412" s="86">
        <v>90755.745550564694</v>
      </c>
      <c r="U412" s="84">
        <v>6.0503830367043099</v>
      </c>
      <c r="V412" s="84">
        <v>25.893000000000001</v>
      </c>
      <c r="W412" s="84">
        <v>12.9465</v>
      </c>
      <c r="X412" s="82">
        <v>0.35</v>
      </c>
      <c r="Y412" s="82"/>
      <c r="Z412" s="84">
        <v>12.9465</v>
      </c>
      <c r="AA412" s="84">
        <v>25.893000000000001</v>
      </c>
      <c r="AB412" s="88">
        <v>2.1397818818181902</v>
      </c>
      <c r="AC412" t="s">
        <v>2114</v>
      </c>
    </row>
    <row r="413" spans="3:29">
      <c r="C413" t="s">
        <v>2115</v>
      </c>
      <c r="D413" t="s">
        <v>2105</v>
      </c>
      <c r="E413" s="84">
        <v>64.989999999999995</v>
      </c>
      <c r="F413" s="84">
        <v>32.494999999999997</v>
      </c>
      <c r="G413" t="s">
        <v>2065</v>
      </c>
      <c r="H413" t="s">
        <v>2116</v>
      </c>
      <c r="I413" t="s">
        <v>2117</v>
      </c>
      <c r="J413" t="s">
        <v>2118</v>
      </c>
      <c r="K413" t="s">
        <v>645</v>
      </c>
      <c r="L413" t="s">
        <v>646</v>
      </c>
      <c r="N413">
        <v>32</v>
      </c>
      <c r="O413">
        <v>6</v>
      </c>
      <c r="P413">
        <v>6.1440000000000002E-3</v>
      </c>
      <c r="Q413" s="84" t="e">
        <v>#REF!</v>
      </c>
      <c r="R413" s="85">
        <v>11965.221114268999</v>
      </c>
      <c r="S413" s="85">
        <v>121000</v>
      </c>
      <c r="T413" s="86">
        <v>132965.22111426899</v>
      </c>
      <c r="U413" s="84">
        <v>8.8643480742845995</v>
      </c>
      <c r="V413" s="84">
        <v>45.493000000000002</v>
      </c>
      <c r="W413" s="84">
        <v>22.746500000000001</v>
      </c>
      <c r="X413" s="82">
        <v>0.35</v>
      </c>
      <c r="Y413" s="82"/>
      <c r="Z413" s="84">
        <v>22.746500000000001</v>
      </c>
      <c r="AA413" s="84">
        <v>45.493000000000002</v>
      </c>
      <c r="AB413" s="88">
        <v>2.5660657511845</v>
      </c>
      <c r="AC413" t="s">
        <v>2119</v>
      </c>
    </row>
    <row r="414" spans="3:29">
      <c r="C414" t="s">
        <v>2120</v>
      </c>
      <c r="D414" t="s">
        <v>2121</v>
      </c>
      <c r="E414" s="84">
        <v>18.989999999999998</v>
      </c>
      <c r="F414" s="84">
        <v>9.4949999999999992</v>
      </c>
      <c r="G414" t="s">
        <v>2065</v>
      </c>
      <c r="H414" t="s">
        <v>2122</v>
      </c>
      <c r="I414" t="s">
        <v>2123</v>
      </c>
      <c r="J414" t="s">
        <v>2124</v>
      </c>
      <c r="K414" t="s">
        <v>2125</v>
      </c>
      <c r="L414" t="s">
        <v>646</v>
      </c>
      <c r="N414">
        <v>15</v>
      </c>
      <c r="O414">
        <v>15</v>
      </c>
      <c r="P414">
        <v>3.375E-3</v>
      </c>
      <c r="Q414" s="84" t="e">
        <v>#REF!</v>
      </c>
      <c r="R414" s="85">
        <v>20880</v>
      </c>
      <c r="S414" s="85">
        <v>69600</v>
      </c>
      <c r="T414" s="86">
        <v>90480</v>
      </c>
      <c r="U414" s="84">
        <v>6.032</v>
      </c>
      <c r="V414" s="84">
        <v>13.292999999999999</v>
      </c>
      <c r="W414" s="84">
        <v>6.6464999999999996</v>
      </c>
      <c r="X414" s="82">
        <v>0.35</v>
      </c>
      <c r="Y414" s="87">
        <v>9.048</v>
      </c>
      <c r="Z414" s="84">
        <v>9.048</v>
      </c>
      <c r="AA414" s="84">
        <v>18.096</v>
      </c>
      <c r="AB414" s="88">
        <v>2</v>
      </c>
      <c r="AC414" t="s">
        <v>2126</v>
      </c>
    </row>
    <row r="415" spans="3:29">
      <c r="C415" t="s">
        <v>2127</v>
      </c>
      <c r="D415" t="s">
        <v>2128</v>
      </c>
      <c r="E415" s="84">
        <v>25.99</v>
      </c>
      <c r="F415" s="84">
        <v>12.994999999999999</v>
      </c>
      <c r="G415" t="s">
        <v>2065</v>
      </c>
      <c r="H415" t="s">
        <v>2129</v>
      </c>
      <c r="I415" t="s">
        <v>2130</v>
      </c>
      <c r="J415" t="s">
        <v>2131</v>
      </c>
      <c r="K415" t="s">
        <v>2125</v>
      </c>
      <c r="L415" t="s">
        <v>646</v>
      </c>
      <c r="N415">
        <v>15</v>
      </c>
      <c r="O415">
        <v>35</v>
      </c>
      <c r="P415">
        <v>7.8750000000000001E-3</v>
      </c>
      <c r="Q415" s="84" t="e">
        <v>#REF!</v>
      </c>
      <c r="R415" s="85"/>
      <c r="S415" s="85"/>
      <c r="T415" s="86">
        <v>0</v>
      </c>
      <c r="U415" s="84">
        <v>0</v>
      </c>
      <c r="V415" s="84">
        <v>18.193000000000001</v>
      </c>
      <c r="W415" s="84">
        <v>9.0965000000000007</v>
      </c>
      <c r="X415" s="82">
        <v>0.35</v>
      </c>
      <c r="Y415" s="82"/>
      <c r="Z415" s="84">
        <v>9.0965000000000007</v>
      </c>
      <c r="AA415" s="84">
        <v>18.193000000000001</v>
      </c>
      <c r="AB415" s="88" t="e">
        <v>#DIV/0!</v>
      </c>
      <c r="AC415" t="s">
        <v>2132</v>
      </c>
    </row>
    <row r="416" spans="3:29">
      <c r="C416" t="s">
        <v>2133</v>
      </c>
      <c r="D416" t="s">
        <v>2134</v>
      </c>
      <c r="E416" s="84">
        <v>64.989999999999995</v>
      </c>
      <c r="F416" s="84">
        <v>32.494999999999997</v>
      </c>
      <c r="G416" t="s">
        <v>2065</v>
      </c>
      <c r="H416" t="s">
        <v>2135</v>
      </c>
      <c r="I416" t="s">
        <v>2136</v>
      </c>
      <c r="J416" t="s">
        <v>2137</v>
      </c>
      <c r="K416" t="s">
        <v>2125</v>
      </c>
      <c r="L416" t="s">
        <v>646</v>
      </c>
      <c r="N416">
        <v>15</v>
      </c>
      <c r="O416">
        <v>60</v>
      </c>
      <c r="P416">
        <v>1.35E-2</v>
      </c>
      <c r="Q416" s="84" t="e">
        <v>#REF!</v>
      </c>
      <c r="R416" s="85">
        <v>32626.218268657001</v>
      </c>
      <c r="S416" s="85">
        <v>138000</v>
      </c>
      <c r="T416" s="86">
        <v>170626.21826865699</v>
      </c>
      <c r="U416" s="84">
        <v>11.3750812179105</v>
      </c>
      <c r="V416" s="84">
        <v>45.493000000000002</v>
      </c>
      <c r="W416" s="84">
        <v>22.746500000000001</v>
      </c>
      <c r="X416" s="82">
        <v>0.35</v>
      </c>
      <c r="Y416" s="87">
        <v>22.750162435820901</v>
      </c>
      <c r="Z416" s="84">
        <v>22.750162435820901</v>
      </c>
      <c r="AA416" s="84">
        <v>45.500324871641901</v>
      </c>
      <c r="AB416" s="88">
        <v>1.99967802991902</v>
      </c>
      <c r="AC416" t="s">
        <v>2138</v>
      </c>
    </row>
    <row r="417" spans="3:29">
      <c r="C417" t="s">
        <v>2139</v>
      </c>
      <c r="D417" t="s">
        <v>2140</v>
      </c>
      <c r="E417" s="84">
        <v>24.99</v>
      </c>
      <c r="F417" s="84">
        <v>12.494999999999999</v>
      </c>
      <c r="G417" t="s">
        <v>2065</v>
      </c>
      <c r="H417" t="s">
        <v>2141</v>
      </c>
      <c r="I417" t="s">
        <v>2142</v>
      </c>
      <c r="J417" t="s">
        <v>2143</v>
      </c>
      <c r="K417" t="s">
        <v>2125</v>
      </c>
      <c r="L417" t="s">
        <v>646</v>
      </c>
      <c r="N417">
        <v>20</v>
      </c>
      <c r="O417">
        <v>15</v>
      </c>
      <c r="P417">
        <v>6.0000000000000001E-3</v>
      </c>
      <c r="Q417" s="84" t="e">
        <v>#REF!</v>
      </c>
      <c r="R417" s="85"/>
      <c r="S417" s="85"/>
      <c r="T417" s="86">
        <v>0</v>
      </c>
      <c r="U417" s="84">
        <v>0</v>
      </c>
      <c r="V417" s="84">
        <v>17.492999999999999</v>
      </c>
      <c r="W417" s="84">
        <v>8.7464999999999993</v>
      </c>
      <c r="X417" s="82">
        <v>0.35</v>
      </c>
      <c r="Y417" s="82"/>
      <c r="Z417" s="84">
        <v>8.7464999999999993</v>
      </c>
      <c r="AA417" s="84">
        <v>17.492999999999999</v>
      </c>
      <c r="AB417" s="88" t="e">
        <v>#DIV/0!</v>
      </c>
      <c r="AC417" t="s">
        <v>2144</v>
      </c>
    </row>
    <row r="418" spans="3:29">
      <c r="C418" t="s">
        <v>2145</v>
      </c>
      <c r="D418" t="s">
        <v>2146</v>
      </c>
      <c r="E418" s="84">
        <v>49.99</v>
      </c>
      <c r="F418" s="84">
        <v>24.995000000000001</v>
      </c>
      <c r="G418" t="s">
        <v>2065</v>
      </c>
      <c r="H418" t="s">
        <v>2147</v>
      </c>
      <c r="I418" t="s">
        <v>2148</v>
      </c>
      <c r="J418" t="s">
        <v>2149</v>
      </c>
      <c r="K418" t="s">
        <v>2125</v>
      </c>
      <c r="L418" t="s">
        <v>646</v>
      </c>
      <c r="N418">
        <v>20</v>
      </c>
      <c r="O418">
        <v>35</v>
      </c>
      <c r="P418">
        <v>1.4E-2</v>
      </c>
      <c r="Q418" s="84" t="e">
        <v>#REF!</v>
      </c>
      <c r="R418" s="85">
        <v>23488.048111939999</v>
      </c>
      <c r="S418" s="85">
        <v>114852</v>
      </c>
      <c r="T418" s="86">
        <v>138340.04811194001</v>
      </c>
      <c r="U418" s="84">
        <v>9.2226698741293305</v>
      </c>
      <c r="V418" s="84">
        <v>34.993000000000002</v>
      </c>
      <c r="W418" s="84">
        <v>17.496500000000001</v>
      </c>
      <c r="X418" s="82">
        <v>0.35</v>
      </c>
      <c r="Y418" s="87">
        <v>18.4453397482587</v>
      </c>
      <c r="Z418" s="84">
        <v>18.4453397482587</v>
      </c>
      <c r="AA418" s="84">
        <v>36.890679496517301</v>
      </c>
      <c r="AB418" s="88">
        <v>2</v>
      </c>
      <c r="AC418" t="s">
        <v>2150</v>
      </c>
    </row>
    <row r="419" spans="3:29">
      <c r="C419" t="s">
        <v>2151</v>
      </c>
      <c r="D419" t="s">
        <v>2152</v>
      </c>
      <c r="E419" s="84">
        <v>45.99</v>
      </c>
      <c r="F419" s="84">
        <v>22.995000000000001</v>
      </c>
      <c r="G419" t="s">
        <v>2065</v>
      </c>
      <c r="H419" t="s">
        <v>2153</v>
      </c>
      <c r="I419" t="s">
        <v>2154</v>
      </c>
      <c r="J419" t="s">
        <v>2155</v>
      </c>
      <c r="K419" t="s">
        <v>2125</v>
      </c>
      <c r="L419" t="s">
        <v>646</v>
      </c>
      <c r="N419">
        <v>20</v>
      </c>
      <c r="O419">
        <v>60</v>
      </c>
      <c r="P419">
        <v>2.4E-2</v>
      </c>
      <c r="Q419" s="84" t="e">
        <v>#REF!</v>
      </c>
      <c r="R419" s="85"/>
      <c r="S419" s="85"/>
      <c r="T419" s="86">
        <v>0</v>
      </c>
      <c r="U419" s="84">
        <v>0</v>
      </c>
      <c r="V419" s="84">
        <v>32.192999999999998</v>
      </c>
      <c r="W419" s="84">
        <v>16.096499999999999</v>
      </c>
      <c r="X419" s="82">
        <v>0.35</v>
      </c>
      <c r="Y419" s="82"/>
      <c r="Z419" s="84">
        <v>16.096499999999999</v>
      </c>
      <c r="AA419" s="84">
        <v>32.192999999999998</v>
      </c>
      <c r="AB419" s="88" t="e">
        <v>#DIV/0!</v>
      </c>
      <c r="AC419" t="s">
        <v>2156</v>
      </c>
    </row>
    <row r="420" spans="3:29">
      <c r="C420" t="s">
        <v>2157</v>
      </c>
      <c r="D420" t="s">
        <v>2158</v>
      </c>
      <c r="E420" s="84">
        <v>30.99</v>
      </c>
      <c r="F420" s="84">
        <v>15.494999999999999</v>
      </c>
      <c r="G420" t="s">
        <v>2065</v>
      </c>
      <c r="H420" t="s">
        <v>2141</v>
      </c>
      <c r="I420" t="s">
        <v>2159</v>
      </c>
      <c r="J420" t="s">
        <v>2143</v>
      </c>
      <c r="K420" t="s">
        <v>2125</v>
      </c>
      <c r="L420" t="s">
        <v>646</v>
      </c>
      <c r="N420">
        <v>20</v>
      </c>
      <c r="O420">
        <v>15</v>
      </c>
      <c r="P420">
        <v>6.0000000000000001E-3</v>
      </c>
      <c r="Q420" s="84" t="e">
        <v>#REF!</v>
      </c>
      <c r="R420" s="85"/>
      <c r="S420" s="85"/>
      <c r="T420" s="86">
        <v>0</v>
      </c>
      <c r="U420" s="84">
        <v>0</v>
      </c>
      <c r="V420" s="84">
        <v>21.693000000000001</v>
      </c>
      <c r="W420" s="84">
        <v>10.846500000000001</v>
      </c>
      <c r="X420" s="82">
        <v>0.35</v>
      </c>
      <c r="Y420" s="82"/>
      <c r="Z420" s="84">
        <v>10.846500000000001</v>
      </c>
      <c r="AA420" s="84">
        <v>21.693000000000001</v>
      </c>
      <c r="AB420" s="88" t="e">
        <v>#DIV/0!</v>
      </c>
      <c r="AC420" t="s">
        <v>2160</v>
      </c>
    </row>
    <row r="421" spans="3:29">
      <c r="C421" t="s">
        <v>2161</v>
      </c>
      <c r="D421" t="s">
        <v>2162</v>
      </c>
      <c r="E421" s="84">
        <v>38.99</v>
      </c>
      <c r="F421" s="84">
        <v>19.495000000000001</v>
      </c>
      <c r="G421" t="s">
        <v>2065</v>
      </c>
      <c r="H421" t="s">
        <v>2147</v>
      </c>
      <c r="I421" t="s">
        <v>2163</v>
      </c>
      <c r="J421" t="s">
        <v>2149</v>
      </c>
      <c r="K421" t="s">
        <v>2125</v>
      </c>
      <c r="L421" t="s">
        <v>646</v>
      </c>
      <c r="N421">
        <v>20</v>
      </c>
      <c r="O421">
        <v>35</v>
      </c>
      <c r="P421">
        <v>1.4E-2</v>
      </c>
      <c r="Q421" s="84" t="e">
        <v>#REF!</v>
      </c>
      <c r="R421" s="85"/>
      <c r="S421" s="85"/>
      <c r="T421" s="86">
        <v>0</v>
      </c>
      <c r="U421" s="84">
        <v>0</v>
      </c>
      <c r="V421" s="84">
        <v>27.292999999999999</v>
      </c>
      <c r="W421" s="84">
        <v>13.6465</v>
      </c>
      <c r="X421" s="82">
        <v>0.35</v>
      </c>
      <c r="Y421" s="82"/>
      <c r="Z421" s="84">
        <v>13.6465</v>
      </c>
      <c r="AA421" s="84">
        <v>27.292999999999999</v>
      </c>
      <c r="AB421" s="88" t="e">
        <v>#DIV/0!</v>
      </c>
      <c r="AC421" t="s">
        <v>2164</v>
      </c>
    </row>
    <row r="422" spans="3:29">
      <c r="C422" t="s">
        <v>2165</v>
      </c>
      <c r="D422" t="s">
        <v>2166</v>
      </c>
      <c r="E422" s="84">
        <v>51.99</v>
      </c>
      <c r="F422" s="84">
        <v>25.995000000000001</v>
      </c>
      <c r="G422" t="s">
        <v>2065</v>
      </c>
      <c r="H422" t="s">
        <v>2153</v>
      </c>
      <c r="I422" t="s">
        <v>2167</v>
      </c>
      <c r="J422" t="s">
        <v>2168</v>
      </c>
      <c r="K422" t="s">
        <v>2125</v>
      </c>
      <c r="L422" t="s">
        <v>646</v>
      </c>
      <c r="N422">
        <v>20</v>
      </c>
      <c r="O422">
        <v>60</v>
      </c>
      <c r="P422">
        <v>2.4E-2</v>
      </c>
      <c r="Q422" s="84" t="e">
        <v>#REF!</v>
      </c>
      <c r="R422" s="85"/>
      <c r="S422" s="85"/>
      <c r="T422" s="86">
        <v>0</v>
      </c>
      <c r="U422" s="84">
        <v>0</v>
      </c>
      <c r="V422" s="84">
        <v>36.393000000000001</v>
      </c>
      <c r="W422" s="84">
        <v>18.1965</v>
      </c>
      <c r="X422" s="82">
        <v>0.35</v>
      </c>
      <c r="Y422" s="82"/>
      <c r="Z422" s="84">
        <v>18.1965</v>
      </c>
      <c r="AA422" s="84">
        <v>36.393000000000001</v>
      </c>
      <c r="AB422" s="88" t="e">
        <v>#DIV/0!</v>
      </c>
      <c r="AC422" t="s">
        <v>2169</v>
      </c>
    </row>
    <row r="423" spans="3:29">
      <c r="C423" t="s">
        <v>2170</v>
      </c>
      <c r="D423" t="s">
        <v>2171</v>
      </c>
      <c r="E423" s="84">
        <v>12.99</v>
      </c>
      <c r="F423" s="84">
        <v>6.4950000000000001</v>
      </c>
      <c r="G423" t="s">
        <v>2065</v>
      </c>
      <c r="H423" t="s">
        <v>2172</v>
      </c>
      <c r="I423" t="s">
        <v>2173</v>
      </c>
      <c r="J423" t="s">
        <v>2174</v>
      </c>
      <c r="K423" t="s">
        <v>2175</v>
      </c>
      <c r="L423" t="s">
        <v>670</v>
      </c>
      <c r="M423">
        <v>11</v>
      </c>
      <c r="N423">
        <v>11</v>
      </c>
      <c r="O423">
        <v>5</v>
      </c>
      <c r="P423">
        <v>6.0499999999999996E-4</v>
      </c>
      <c r="Q423" s="84" t="e">
        <v>#REF!</v>
      </c>
      <c r="R423" s="85">
        <v>146.0528603731</v>
      </c>
      <c r="S423" s="85">
        <v>25300</v>
      </c>
      <c r="T423" s="86">
        <v>25446.0528603731</v>
      </c>
      <c r="U423" s="84">
        <v>1.69640352402487</v>
      </c>
      <c r="V423" s="84">
        <v>9.093</v>
      </c>
      <c r="W423" s="84">
        <v>4.5465</v>
      </c>
      <c r="X423" s="82">
        <v>0.35</v>
      </c>
      <c r="Y423" s="82"/>
      <c r="Z423" s="84">
        <v>4.5465</v>
      </c>
      <c r="AA423" s="84">
        <v>9.093</v>
      </c>
      <c r="AB423" s="88">
        <v>2.6800816760937902</v>
      </c>
      <c r="AC423" t="s">
        <v>2176</v>
      </c>
    </row>
    <row r="424" spans="3:29">
      <c r="C424" t="s">
        <v>2177</v>
      </c>
      <c r="D424" t="s">
        <v>2171</v>
      </c>
      <c r="E424" s="84">
        <v>20.99</v>
      </c>
      <c r="F424" s="84">
        <v>10.494999999999999</v>
      </c>
      <c r="G424" t="s">
        <v>2065</v>
      </c>
      <c r="H424" t="s">
        <v>2178</v>
      </c>
      <c r="I424" t="s">
        <v>2179</v>
      </c>
      <c r="J424" t="s">
        <v>2180</v>
      </c>
      <c r="K424" t="s">
        <v>2175</v>
      </c>
      <c r="L424" t="s">
        <v>670</v>
      </c>
      <c r="M424">
        <v>14</v>
      </c>
      <c r="N424">
        <v>14</v>
      </c>
      <c r="O424">
        <v>5</v>
      </c>
      <c r="P424">
        <v>9.7999999999999997E-4</v>
      </c>
      <c r="Q424" s="84" t="e">
        <v>#REF!</v>
      </c>
      <c r="R424" s="85">
        <v>236.58149283580099</v>
      </c>
      <c r="S424" s="85">
        <v>38500</v>
      </c>
      <c r="T424" s="86">
        <v>38736.581492835801</v>
      </c>
      <c r="U424" s="84">
        <v>2.5824387661890502</v>
      </c>
      <c r="V424" s="84">
        <v>14.693</v>
      </c>
      <c r="W424" s="84">
        <v>7.3464999999999998</v>
      </c>
      <c r="X424" s="82">
        <v>0.35</v>
      </c>
      <c r="Y424" s="82"/>
      <c r="Z424" s="84">
        <v>7.3464999999999998</v>
      </c>
      <c r="AA424" s="84">
        <v>14.693</v>
      </c>
      <c r="AB424" s="88">
        <v>2.8447915575715101</v>
      </c>
      <c r="AC424" t="s">
        <v>2181</v>
      </c>
    </row>
    <row r="425" spans="3:29">
      <c r="C425" t="s">
        <v>2182</v>
      </c>
      <c r="D425" t="s">
        <v>2171</v>
      </c>
      <c r="E425" s="84">
        <v>31.99</v>
      </c>
      <c r="F425" s="84">
        <v>15.994999999999999</v>
      </c>
      <c r="G425" t="s">
        <v>2065</v>
      </c>
      <c r="H425" t="s">
        <v>2183</v>
      </c>
      <c r="I425" t="s">
        <v>2184</v>
      </c>
      <c r="J425" t="s">
        <v>2185</v>
      </c>
      <c r="K425" t="s">
        <v>2175</v>
      </c>
      <c r="L425" t="s">
        <v>670</v>
      </c>
      <c r="M425">
        <v>20</v>
      </c>
      <c r="N425">
        <v>20</v>
      </c>
      <c r="O425">
        <v>5</v>
      </c>
      <c r="P425">
        <v>2E-3</v>
      </c>
      <c r="Q425" s="84" t="e">
        <v>#REF!</v>
      </c>
      <c r="R425" s="85">
        <v>482.81937313429802</v>
      </c>
      <c r="S425" s="85">
        <v>60500</v>
      </c>
      <c r="T425" s="86">
        <v>60982.819373134298</v>
      </c>
      <c r="U425" s="84">
        <v>4.0655212915422902</v>
      </c>
      <c r="V425" s="84">
        <v>22.393000000000001</v>
      </c>
      <c r="W425" s="84">
        <v>11.1965</v>
      </c>
      <c r="X425" s="82">
        <v>0.35</v>
      </c>
      <c r="Y425" s="82"/>
      <c r="Z425" s="84">
        <v>11.1965</v>
      </c>
      <c r="AA425" s="84">
        <v>22.393000000000001</v>
      </c>
      <c r="AB425" s="88">
        <v>2.7540133717397199</v>
      </c>
      <c r="AC425" t="s">
        <v>2186</v>
      </c>
    </row>
    <row r="426" spans="3:29">
      <c r="C426" t="s">
        <v>2187</v>
      </c>
      <c r="D426" t="s">
        <v>2188</v>
      </c>
      <c r="E426" s="84">
        <v>173.99</v>
      </c>
      <c r="F426" s="84">
        <v>86.995000000000005</v>
      </c>
      <c r="G426" t="s">
        <v>2065</v>
      </c>
      <c r="H426" t="s">
        <v>2189</v>
      </c>
      <c r="I426" t="s">
        <v>2190</v>
      </c>
      <c r="J426" t="s">
        <v>2191</v>
      </c>
      <c r="K426" t="s">
        <v>2192</v>
      </c>
      <c r="L426" t="s">
        <v>2193</v>
      </c>
      <c r="N426">
        <v>13</v>
      </c>
      <c r="O426">
        <v>20</v>
      </c>
      <c r="P426">
        <v>3.3800000000000002E-3</v>
      </c>
      <c r="Q426" s="84" t="e">
        <v>#REF!</v>
      </c>
      <c r="R426" s="85">
        <v>181252.62655334099</v>
      </c>
      <c r="S426" s="85">
        <v>0</v>
      </c>
      <c r="T426" s="86">
        <v>181252.62655334099</v>
      </c>
      <c r="U426" s="84">
        <v>12.083508436889399</v>
      </c>
      <c r="V426" s="84">
        <v>121.79300000000001</v>
      </c>
      <c r="W426" s="84">
        <v>60.896500000000003</v>
      </c>
      <c r="X426" s="82">
        <v>0.35</v>
      </c>
      <c r="Y426" s="82"/>
      <c r="Z426" s="84">
        <v>60.896500000000003</v>
      </c>
      <c r="AA426" s="84">
        <v>121.79300000000001</v>
      </c>
      <c r="AB426" s="88">
        <v>5.0396373137863399</v>
      </c>
      <c r="AC426" t="s">
        <v>2194</v>
      </c>
    </row>
    <row r="427" spans="3:29">
      <c r="C427" t="s">
        <v>2195</v>
      </c>
      <c r="D427" t="s">
        <v>2188</v>
      </c>
      <c r="E427" s="84">
        <v>183.99</v>
      </c>
      <c r="F427" s="84">
        <v>91.995000000000005</v>
      </c>
      <c r="G427" t="s">
        <v>2065</v>
      </c>
      <c r="H427" t="s">
        <v>2196</v>
      </c>
      <c r="I427" t="s">
        <v>2197</v>
      </c>
      <c r="J427" t="s">
        <v>2198</v>
      </c>
      <c r="K427" t="s">
        <v>2192</v>
      </c>
      <c r="L427" t="s">
        <v>2193</v>
      </c>
      <c r="N427">
        <v>13</v>
      </c>
      <c r="O427">
        <v>25</v>
      </c>
      <c r="P427">
        <v>4.2249999999999996E-3</v>
      </c>
      <c r="Q427" s="84" t="e">
        <v>#REF!</v>
      </c>
      <c r="R427" s="85"/>
      <c r="S427" s="85"/>
      <c r="T427" s="86">
        <v>0</v>
      </c>
      <c r="U427" s="84">
        <v>0</v>
      </c>
      <c r="V427" s="84">
        <v>128.79300000000001</v>
      </c>
      <c r="W427" s="84">
        <v>64.396500000000003</v>
      </c>
      <c r="X427" s="82">
        <v>0.35</v>
      </c>
      <c r="Y427" s="82"/>
      <c r="Z427" s="84">
        <v>64.396500000000003</v>
      </c>
      <c r="AA427" s="84">
        <v>128.79300000000001</v>
      </c>
      <c r="AB427" s="88" t="e">
        <v>#DIV/0!</v>
      </c>
      <c r="AC427" t="s">
        <v>2199</v>
      </c>
    </row>
    <row r="428" spans="3:29">
      <c r="C428" t="s">
        <v>2200</v>
      </c>
      <c r="D428" t="s">
        <v>2188</v>
      </c>
      <c r="E428" s="84">
        <v>192.99</v>
      </c>
      <c r="F428" s="84">
        <v>96.495000000000005</v>
      </c>
      <c r="G428" t="s">
        <v>2065</v>
      </c>
      <c r="H428" t="s">
        <v>2201</v>
      </c>
      <c r="I428" t="s">
        <v>2202</v>
      </c>
      <c r="J428" t="s">
        <v>2203</v>
      </c>
      <c r="K428" t="s">
        <v>2192</v>
      </c>
      <c r="L428" t="s">
        <v>2193</v>
      </c>
      <c r="N428">
        <v>13</v>
      </c>
      <c r="O428">
        <v>30</v>
      </c>
      <c r="P428">
        <v>5.0699999999999999E-3</v>
      </c>
      <c r="Q428" s="84" t="e">
        <v>#REF!</v>
      </c>
      <c r="R428" s="85"/>
      <c r="S428" s="85"/>
      <c r="T428" s="86">
        <v>0</v>
      </c>
      <c r="U428" s="84">
        <v>0</v>
      </c>
      <c r="V428" s="84">
        <v>135.09299999999999</v>
      </c>
      <c r="W428" s="84">
        <v>67.546499999999995</v>
      </c>
      <c r="X428" s="82">
        <v>0.35</v>
      </c>
      <c r="Y428" s="82"/>
      <c r="Z428" s="84">
        <v>67.546499999999995</v>
      </c>
      <c r="AA428" s="84">
        <v>135.09299999999999</v>
      </c>
      <c r="AB428" s="88" t="e">
        <v>#DIV/0!</v>
      </c>
      <c r="AC428" t="s">
        <v>2204</v>
      </c>
    </row>
    <row r="429" spans="3:29">
      <c r="C429" t="s">
        <v>2205</v>
      </c>
      <c r="D429" t="s">
        <v>2206</v>
      </c>
      <c r="E429" s="84">
        <v>289.99</v>
      </c>
      <c r="F429" s="84">
        <v>144.995</v>
      </c>
      <c r="G429" t="s">
        <v>2065</v>
      </c>
      <c r="H429" t="s">
        <v>2207</v>
      </c>
      <c r="I429" t="s">
        <v>2208</v>
      </c>
      <c r="J429" t="s">
        <v>2209</v>
      </c>
      <c r="K429" t="s">
        <v>2192</v>
      </c>
      <c r="L429" t="s">
        <v>2193</v>
      </c>
      <c r="M429">
        <v>16</v>
      </c>
      <c r="N429">
        <v>16</v>
      </c>
      <c r="O429">
        <v>35</v>
      </c>
      <c r="P429">
        <v>8.9599999999999992E-3</v>
      </c>
      <c r="Q429" s="84" t="e">
        <v>#REF!</v>
      </c>
      <c r="R429" s="85"/>
      <c r="S429" s="85"/>
      <c r="T429" s="86">
        <v>0</v>
      </c>
      <c r="U429" s="84">
        <v>0</v>
      </c>
      <c r="V429" s="84">
        <v>202.99299999999999</v>
      </c>
      <c r="W429" s="84">
        <v>101.4965</v>
      </c>
      <c r="X429" s="82">
        <v>0.35</v>
      </c>
      <c r="Y429" s="82"/>
      <c r="Z429" s="84">
        <v>101.4965</v>
      </c>
      <c r="AA429" s="84">
        <v>202.99299999999999</v>
      </c>
      <c r="AB429" s="88" t="e">
        <v>#DIV/0!</v>
      </c>
      <c r="AC429" t="s">
        <v>2210</v>
      </c>
    </row>
    <row r="430" spans="3:29">
      <c r="C430" t="s">
        <v>2211</v>
      </c>
      <c r="D430" t="s">
        <v>2212</v>
      </c>
      <c r="E430" s="84">
        <v>29.99</v>
      </c>
      <c r="F430" s="84">
        <v>14.994999999999999</v>
      </c>
      <c r="G430" t="s">
        <v>2065</v>
      </c>
      <c r="H430" t="s">
        <v>2213</v>
      </c>
      <c r="I430" t="s">
        <v>2214</v>
      </c>
      <c r="J430" t="s">
        <v>2215</v>
      </c>
      <c r="K430" t="s">
        <v>2175</v>
      </c>
      <c r="L430" t="s">
        <v>670</v>
      </c>
      <c r="M430">
        <v>6</v>
      </c>
      <c r="N430">
        <v>6</v>
      </c>
      <c r="O430">
        <v>10</v>
      </c>
      <c r="P430">
        <v>3.6000000000000002E-4</v>
      </c>
      <c r="Q430" s="84" t="e">
        <v>#REF!</v>
      </c>
      <c r="R430" s="85">
        <v>86.907487164200603</v>
      </c>
      <c r="S430" s="85">
        <v>27500</v>
      </c>
      <c r="T430" s="86">
        <v>27586.907487164201</v>
      </c>
      <c r="U430" s="84">
        <v>1.83912716581095</v>
      </c>
      <c r="V430" s="84">
        <v>20.992999999999999</v>
      </c>
      <c r="W430" s="84">
        <v>10.496499999999999</v>
      </c>
      <c r="X430" s="82">
        <v>0.35</v>
      </c>
      <c r="Y430" s="82"/>
      <c r="Z430" s="84">
        <v>10.496499999999999</v>
      </c>
      <c r="AA430" s="84">
        <v>20.992999999999999</v>
      </c>
      <c r="AB430" s="88">
        <v>5.7073269293870004</v>
      </c>
    </row>
    <row r="431" spans="3:29">
      <c r="C431" t="s">
        <v>2216</v>
      </c>
      <c r="D431" t="s">
        <v>2212</v>
      </c>
      <c r="E431" s="84">
        <v>29.99</v>
      </c>
      <c r="F431" s="84">
        <v>14.994999999999999</v>
      </c>
      <c r="G431" t="s">
        <v>2065</v>
      </c>
      <c r="H431" t="s">
        <v>2217</v>
      </c>
      <c r="I431" t="s">
        <v>2218</v>
      </c>
      <c r="J431" t="s">
        <v>2219</v>
      </c>
      <c r="K431" t="s">
        <v>2175</v>
      </c>
      <c r="L431" t="s">
        <v>670</v>
      </c>
      <c r="M431">
        <v>6</v>
      </c>
      <c r="N431">
        <v>6</v>
      </c>
      <c r="O431">
        <v>15</v>
      </c>
      <c r="P431">
        <v>5.4000000000000001E-4</v>
      </c>
      <c r="Q431" s="84" t="e">
        <v>#REF!</v>
      </c>
      <c r="R431" s="85">
        <v>130.361230746297</v>
      </c>
      <c r="S431" s="85">
        <v>44000</v>
      </c>
      <c r="T431" s="86">
        <v>44130.361230746297</v>
      </c>
      <c r="U431" s="84">
        <v>2.9420240820497501</v>
      </c>
      <c r="V431" s="84">
        <v>20.992999999999999</v>
      </c>
      <c r="W431" s="84">
        <v>10.496499999999999</v>
      </c>
      <c r="X431" s="82">
        <v>0.35</v>
      </c>
      <c r="Y431" s="82"/>
      <c r="Z431" s="84">
        <v>10.496499999999999</v>
      </c>
      <c r="AA431" s="84">
        <v>20.992999999999999</v>
      </c>
      <c r="AB431" s="88">
        <v>3.5677818084639599</v>
      </c>
    </row>
    <row r="432" spans="3:29">
      <c r="C432" t="s">
        <v>2220</v>
      </c>
      <c r="D432" t="s">
        <v>2212</v>
      </c>
      <c r="E432" s="84">
        <v>29.99</v>
      </c>
      <c r="F432" s="84">
        <v>14.994999999999999</v>
      </c>
      <c r="G432" t="s">
        <v>2065</v>
      </c>
      <c r="H432" t="s">
        <v>2221</v>
      </c>
      <c r="I432" t="s">
        <v>2222</v>
      </c>
      <c r="J432" t="s">
        <v>2223</v>
      </c>
      <c r="K432" t="s">
        <v>2175</v>
      </c>
      <c r="L432" t="s">
        <v>670</v>
      </c>
      <c r="M432">
        <v>6</v>
      </c>
      <c r="N432">
        <v>6</v>
      </c>
      <c r="O432">
        <v>20</v>
      </c>
      <c r="P432">
        <v>7.2000000000000005E-4</v>
      </c>
      <c r="Q432" s="84" t="e">
        <v>#REF!</v>
      </c>
      <c r="R432" s="85">
        <v>173.81497432840101</v>
      </c>
      <c r="S432" s="85">
        <v>49500</v>
      </c>
      <c r="T432" s="86">
        <v>49673.814974328401</v>
      </c>
      <c r="U432" s="84">
        <v>3.3115876649552298</v>
      </c>
      <c r="V432" s="84">
        <v>20.992999999999999</v>
      </c>
      <c r="W432" s="84">
        <v>10.496499999999999</v>
      </c>
      <c r="X432" s="82">
        <v>0.35</v>
      </c>
      <c r="Y432" s="82"/>
      <c r="Z432" s="84">
        <v>10.496499999999999</v>
      </c>
      <c r="AA432" s="84">
        <v>20.992999999999999</v>
      </c>
      <c r="AB432" s="88">
        <v>3.1696277018660499</v>
      </c>
    </row>
    <row r="433" spans="3:29">
      <c r="C433" t="s">
        <v>2224</v>
      </c>
      <c r="D433" t="s">
        <v>2212</v>
      </c>
      <c r="E433" s="84">
        <v>29.99</v>
      </c>
      <c r="F433" s="84">
        <v>14.994999999999999</v>
      </c>
      <c r="G433" t="s">
        <v>2065</v>
      </c>
      <c r="H433" t="s">
        <v>2225</v>
      </c>
      <c r="I433" t="s">
        <v>2226</v>
      </c>
      <c r="J433" t="s">
        <v>2227</v>
      </c>
      <c r="K433" t="s">
        <v>2175</v>
      </c>
      <c r="L433" t="s">
        <v>670</v>
      </c>
      <c r="M433">
        <v>6</v>
      </c>
      <c r="N433">
        <v>6</v>
      </c>
      <c r="O433">
        <v>25</v>
      </c>
      <c r="P433">
        <v>8.9999999999999998E-4</v>
      </c>
      <c r="Q433" s="84" t="e">
        <v>#REF!</v>
      </c>
      <c r="R433" s="85">
        <v>217.26871791040301</v>
      </c>
      <c r="S433" s="85">
        <v>60500</v>
      </c>
      <c r="T433" s="86">
        <v>60717.268717910403</v>
      </c>
      <c r="U433" s="84">
        <v>4.0478179145273598</v>
      </c>
      <c r="V433" s="84">
        <v>20.992999999999999</v>
      </c>
      <c r="W433" s="84">
        <v>10.496499999999999</v>
      </c>
      <c r="X433" s="82">
        <v>0.35</v>
      </c>
      <c r="Y433" s="82"/>
      <c r="Z433" s="84">
        <v>10.496499999999999</v>
      </c>
      <c r="AA433" s="84">
        <v>20.992999999999999</v>
      </c>
      <c r="AB433" s="88">
        <v>2.5931255361879599</v>
      </c>
    </row>
    <row r="434" spans="3:29">
      <c r="C434" t="s">
        <v>2228</v>
      </c>
      <c r="D434" t="s">
        <v>2212</v>
      </c>
      <c r="E434" s="84">
        <v>29.99</v>
      </c>
      <c r="F434" s="84">
        <v>14.994999999999999</v>
      </c>
      <c r="G434" t="s">
        <v>2065</v>
      </c>
      <c r="H434" t="s">
        <v>2229</v>
      </c>
      <c r="I434" t="s">
        <v>2230</v>
      </c>
      <c r="J434" t="s">
        <v>2231</v>
      </c>
      <c r="K434" t="s">
        <v>2175</v>
      </c>
      <c r="L434" t="s">
        <v>670</v>
      </c>
      <c r="M434">
        <v>8</v>
      </c>
      <c r="N434">
        <v>8</v>
      </c>
      <c r="O434">
        <v>10</v>
      </c>
      <c r="P434">
        <v>6.4000000000000005E-4</v>
      </c>
      <c r="Q434" s="84" t="e">
        <v>#REF!</v>
      </c>
      <c r="R434" s="85"/>
      <c r="S434" s="85"/>
      <c r="T434" s="86">
        <v>0</v>
      </c>
      <c r="U434" s="84">
        <v>0</v>
      </c>
      <c r="V434" s="84">
        <v>20.992999999999999</v>
      </c>
      <c r="W434" s="84">
        <v>10.496499999999999</v>
      </c>
      <c r="X434" s="82">
        <v>0.35</v>
      </c>
      <c r="Y434" s="82"/>
      <c r="Z434" s="84">
        <v>10.496499999999999</v>
      </c>
      <c r="AA434" s="84">
        <v>20.992999999999999</v>
      </c>
      <c r="AB434" s="88" t="e">
        <v>#DIV/0!</v>
      </c>
    </row>
    <row r="435" spans="3:29">
      <c r="C435" t="s">
        <v>2232</v>
      </c>
      <c r="D435" t="s">
        <v>2212</v>
      </c>
      <c r="E435" s="84">
        <v>29.99</v>
      </c>
      <c r="F435" s="84">
        <v>14.994999999999999</v>
      </c>
      <c r="G435" t="s">
        <v>2065</v>
      </c>
      <c r="H435" t="s">
        <v>2233</v>
      </c>
      <c r="I435" t="s">
        <v>2234</v>
      </c>
      <c r="J435" t="s">
        <v>2235</v>
      </c>
      <c r="K435" t="s">
        <v>2175</v>
      </c>
      <c r="L435" t="s">
        <v>670</v>
      </c>
      <c r="M435">
        <v>8</v>
      </c>
      <c r="N435">
        <v>8</v>
      </c>
      <c r="O435">
        <v>15</v>
      </c>
      <c r="P435">
        <v>9.6000000000000002E-4</v>
      </c>
      <c r="Q435" s="84" t="e">
        <v>#REF!</v>
      </c>
      <c r="R435" s="85"/>
      <c r="S435" s="85"/>
      <c r="T435" s="86">
        <v>0</v>
      </c>
      <c r="U435" s="84">
        <v>0</v>
      </c>
      <c r="V435" s="84">
        <v>20.992999999999999</v>
      </c>
      <c r="W435" s="84">
        <v>10.496499999999999</v>
      </c>
      <c r="X435" s="82">
        <v>0.35</v>
      </c>
      <c r="Y435" s="82"/>
      <c r="Z435" s="84">
        <v>10.496499999999999</v>
      </c>
      <c r="AA435" s="84">
        <v>20.992999999999999</v>
      </c>
      <c r="AB435" s="88" t="e">
        <v>#DIV/0!</v>
      </c>
    </row>
    <row r="436" spans="3:29">
      <c r="C436" t="s">
        <v>2236</v>
      </c>
      <c r="D436" t="s">
        <v>2212</v>
      </c>
      <c r="E436" s="84">
        <v>29.99</v>
      </c>
      <c r="F436" s="84">
        <v>14.994999999999999</v>
      </c>
      <c r="G436" t="s">
        <v>2065</v>
      </c>
      <c r="H436" t="s">
        <v>2237</v>
      </c>
      <c r="I436" t="s">
        <v>2238</v>
      </c>
      <c r="J436" t="s">
        <v>2239</v>
      </c>
      <c r="K436" t="s">
        <v>2175</v>
      </c>
      <c r="L436" t="s">
        <v>670</v>
      </c>
      <c r="M436">
        <v>8</v>
      </c>
      <c r="N436">
        <v>8</v>
      </c>
      <c r="O436">
        <v>20</v>
      </c>
      <c r="P436">
        <v>1.2800000000000001E-3</v>
      </c>
      <c r="Q436" s="84" t="e">
        <v>#REF!</v>
      </c>
      <c r="R436" s="85"/>
      <c r="S436" s="85"/>
      <c r="T436" s="86">
        <v>0</v>
      </c>
      <c r="U436" s="84">
        <v>0</v>
      </c>
      <c r="V436" s="84">
        <v>20.992999999999999</v>
      </c>
      <c r="W436" s="84">
        <v>10.496499999999999</v>
      </c>
      <c r="X436" s="82">
        <v>0.35</v>
      </c>
      <c r="Y436" s="82"/>
      <c r="Z436" s="84">
        <v>10.496499999999999</v>
      </c>
      <c r="AA436" s="84">
        <v>20.992999999999999</v>
      </c>
      <c r="AB436" s="88" t="e">
        <v>#DIV/0!</v>
      </c>
    </row>
    <row r="437" spans="3:29">
      <c r="C437" t="s">
        <v>2240</v>
      </c>
      <c r="D437" t="s">
        <v>2212</v>
      </c>
      <c r="E437" s="84">
        <v>39.99</v>
      </c>
      <c r="F437" s="84">
        <v>19.995000000000001</v>
      </c>
      <c r="G437" t="s">
        <v>2065</v>
      </c>
      <c r="H437" t="s">
        <v>2241</v>
      </c>
      <c r="I437" t="s">
        <v>2242</v>
      </c>
      <c r="J437" t="s">
        <v>2243</v>
      </c>
      <c r="K437" t="s">
        <v>2175</v>
      </c>
      <c r="L437" t="s">
        <v>670</v>
      </c>
      <c r="M437">
        <v>8</v>
      </c>
      <c r="N437">
        <v>8</v>
      </c>
      <c r="O437">
        <v>25</v>
      </c>
      <c r="P437">
        <v>1.6000000000000001E-3</v>
      </c>
      <c r="Q437" s="84" t="e">
        <v>#REF!</v>
      </c>
      <c r="R437" s="85"/>
      <c r="S437" s="85"/>
      <c r="T437" s="86">
        <v>0</v>
      </c>
      <c r="U437" s="84">
        <v>0</v>
      </c>
      <c r="V437" s="84">
        <v>27.992999999999999</v>
      </c>
      <c r="W437" s="84">
        <v>13.996499999999999</v>
      </c>
      <c r="X437" s="82">
        <v>0.35</v>
      </c>
      <c r="Y437" s="82"/>
      <c r="Z437" s="84">
        <v>13.996499999999999</v>
      </c>
      <c r="AA437" s="84">
        <v>27.992999999999999</v>
      </c>
      <c r="AB437" s="88" t="e">
        <v>#DIV/0!</v>
      </c>
    </row>
    <row r="438" spans="3:29">
      <c r="C438" t="s">
        <v>2244</v>
      </c>
      <c r="D438" t="s">
        <v>2245</v>
      </c>
      <c r="E438" s="84">
        <v>20.99</v>
      </c>
      <c r="F438" s="84">
        <v>10.494999999999999</v>
      </c>
      <c r="G438" t="s">
        <v>2065</v>
      </c>
      <c r="H438" t="s">
        <v>2246</v>
      </c>
      <c r="I438" t="s">
        <v>2247</v>
      </c>
      <c r="J438" t="s">
        <v>2248</v>
      </c>
      <c r="K438" t="s">
        <v>2175</v>
      </c>
      <c r="L438" t="s">
        <v>670</v>
      </c>
      <c r="M438">
        <v>20</v>
      </c>
      <c r="N438">
        <v>30</v>
      </c>
      <c r="O438">
        <v>30</v>
      </c>
      <c r="P438">
        <v>1.7999999999999999E-2</v>
      </c>
      <c r="Q438" s="84" t="e">
        <v>#REF!</v>
      </c>
      <c r="R438" s="85"/>
      <c r="S438" s="85"/>
      <c r="T438" s="86">
        <v>0</v>
      </c>
      <c r="U438" s="84">
        <v>0</v>
      </c>
      <c r="V438" s="84">
        <v>14.693</v>
      </c>
      <c r="W438" s="84">
        <v>7.3464999999999998</v>
      </c>
      <c r="X438" s="82">
        <v>0.35</v>
      </c>
      <c r="Y438" s="82"/>
      <c r="Z438" s="84">
        <v>7.3464999999999998</v>
      </c>
      <c r="AA438" s="84">
        <v>14.693</v>
      </c>
      <c r="AB438" s="88" t="e">
        <v>#DIV/0!</v>
      </c>
    </row>
    <row r="439" spans="3:29">
      <c r="C439">
        <v>22013</v>
      </c>
      <c r="D439" t="s">
        <v>2249</v>
      </c>
      <c r="E439" s="84">
        <v>64.989999999999995</v>
      </c>
      <c r="F439" s="84">
        <v>32.494999999999997</v>
      </c>
      <c r="G439" t="s">
        <v>2065</v>
      </c>
      <c r="H439" t="s">
        <v>2250</v>
      </c>
      <c r="I439" t="s">
        <v>2251</v>
      </c>
      <c r="J439" t="s">
        <v>2252</v>
      </c>
      <c r="K439" t="s">
        <v>2253</v>
      </c>
      <c r="L439" t="s">
        <v>646</v>
      </c>
      <c r="N439">
        <v>20</v>
      </c>
      <c r="O439">
        <v>17</v>
      </c>
      <c r="P439">
        <v>6.7999999999999996E-3</v>
      </c>
      <c r="Q439" s="84" t="e">
        <v>#REF!</v>
      </c>
      <c r="R439" s="85"/>
      <c r="S439" s="85"/>
      <c r="T439" s="86">
        <v>0</v>
      </c>
      <c r="U439" s="84">
        <v>0</v>
      </c>
      <c r="V439" s="84">
        <v>45.493000000000002</v>
      </c>
      <c r="W439" s="84">
        <v>22.746500000000001</v>
      </c>
      <c r="X439" s="82">
        <v>0.35</v>
      </c>
      <c r="Y439" s="82"/>
      <c r="Z439" s="84">
        <v>22.746500000000001</v>
      </c>
      <c r="AA439" s="84">
        <v>45.493000000000002</v>
      </c>
      <c r="AB439" s="88" t="e">
        <v>#DIV/0!</v>
      </c>
    </row>
    <row r="440" spans="3:29">
      <c r="C440" t="s">
        <v>2254</v>
      </c>
      <c r="E440" s="84"/>
      <c r="F440" s="82"/>
      <c r="R440" s="85"/>
      <c r="S440" s="85"/>
      <c r="T440" s="86"/>
      <c r="V440" s="84"/>
      <c r="W440" s="84"/>
      <c r="X440" s="82"/>
      <c r="Y440" s="82"/>
      <c r="Z440" s="82"/>
      <c r="AA440" s="82"/>
      <c r="AB440" s="88"/>
    </row>
    <row r="441" spans="3:29">
      <c r="C441" t="s">
        <v>2255</v>
      </c>
      <c r="D441" t="s">
        <v>2256</v>
      </c>
      <c r="E441" s="84">
        <v>84.99</v>
      </c>
      <c r="F441" s="84">
        <v>42.494999999999997</v>
      </c>
      <c r="G441" t="s">
        <v>2257</v>
      </c>
      <c r="H441" t="s">
        <v>2258</v>
      </c>
      <c r="I441" t="s">
        <v>2259</v>
      </c>
      <c r="J441" t="s">
        <v>2260</v>
      </c>
      <c r="K441" t="s">
        <v>2261</v>
      </c>
      <c r="L441" t="s">
        <v>646</v>
      </c>
      <c r="N441">
        <v>30</v>
      </c>
      <c r="O441">
        <v>30</v>
      </c>
      <c r="P441">
        <v>2.7E-2</v>
      </c>
      <c r="Q441" s="84" t="e">
        <v>#REF!</v>
      </c>
      <c r="R441" s="85">
        <v>29396.799999999999</v>
      </c>
      <c r="S441" s="86">
        <v>293968</v>
      </c>
      <c r="T441" s="86">
        <v>323364.8</v>
      </c>
      <c r="U441" s="84">
        <v>21.557653333333299</v>
      </c>
      <c r="V441" s="84">
        <v>59.493000000000002</v>
      </c>
      <c r="W441" s="84">
        <v>29.746500000000001</v>
      </c>
      <c r="X441" s="82">
        <v>0.35</v>
      </c>
      <c r="Y441" s="87">
        <v>36.74</v>
      </c>
      <c r="Z441" s="84">
        <v>36.74</v>
      </c>
      <c r="AA441" s="84">
        <v>73.48</v>
      </c>
      <c r="AB441" s="88">
        <v>1.70426713111631</v>
      </c>
      <c r="AC441" t="s">
        <v>2262</v>
      </c>
    </row>
    <row r="442" spans="3:29">
      <c r="C442" t="s">
        <v>2264</v>
      </c>
      <c r="D442" t="s">
        <v>2256</v>
      </c>
      <c r="E442" s="84">
        <v>128.99</v>
      </c>
      <c r="F442" s="84">
        <v>64.495000000000005</v>
      </c>
      <c r="G442" t="s">
        <v>2257</v>
      </c>
      <c r="H442" t="s">
        <v>2265</v>
      </c>
      <c r="I442" t="s">
        <v>2266</v>
      </c>
      <c r="J442" t="s">
        <v>2267</v>
      </c>
      <c r="K442" t="s">
        <v>2261</v>
      </c>
      <c r="L442" t="s">
        <v>646</v>
      </c>
      <c r="N442">
        <v>40</v>
      </c>
      <c r="O442">
        <v>40</v>
      </c>
      <c r="P442">
        <v>6.4000000000000001E-2</v>
      </c>
      <c r="Q442" s="84" t="e">
        <v>#REF!</v>
      </c>
      <c r="R442" s="85">
        <v>42611.199999999997</v>
      </c>
      <c r="S442" s="86">
        <v>426112</v>
      </c>
      <c r="T442" s="86">
        <v>468723.20000000001</v>
      </c>
      <c r="U442" s="84">
        <v>31.2482133333333</v>
      </c>
      <c r="V442" s="84">
        <v>90.293000000000006</v>
      </c>
      <c r="W442" s="84">
        <v>45.146500000000003</v>
      </c>
      <c r="X442" s="82">
        <v>0.35</v>
      </c>
      <c r="Y442" s="87">
        <v>53.26</v>
      </c>
      <c r="Z442" s="84">
        <v>53.26</v>
      </c>
      <c r="AA442" s="84">
        <v>106.52</v>
      </c>
      <c r="AB442" s="88">
        <v>1.7044174472268501</v>
      </c>
      <c r="AC442" t="s">
        <v>2268</v>
      </c>
    </row>
    <row r="443" spans="3:29">
      <c r="C443" t="s">
        <v>2269</v>
      </c>
      <c r="D443" t="s">
        <v>2256</v>
      </c>
      <c r="E443" s="84">
        <v>180.99</v>
      </c>
      <c r="F443" s="84">
        <v>90.495000000000005</v>
      </c>
      <c r="G443" t="s">
        <v>2257</v>
      </c>
      <c r="H443" t="s">
        <v>2270</v>
      </c>
      <c r="I443" t="s">
        <v>2271</v>
      </c>
      <c r="J443" t="s">
        <v>2272</v>
      </c>
      <c r="K443" t="s">
        <v>2261</v>
      </c>
      <c r="L443" t="s">
        <v>646</v>
      </c>
      <c r="N443">
        <v>50</v>
      </c>
      <c r="O443">
        <v>50</v>
      </c>
      <c r="P443">
        <v>0.125</v>
      </c>
      <c r="Q443" s="84" t="e">
        <v>#REF!</v>
      </c>
      <c r="R443" s="85">
        <v>59342.400000000001</v>
      </c>
      <c r="S443" s="86">
        <v>593424</v>
      </c>
      <c r="T443" s="86">
        <v>652766.4</v>
      </c>
      <c r="U443" s="84">
        <v>43.517760000000003</v>
      </c>
      <c r="V443" s="84">
        <v>126.693</v>
      </c>
      <c r="W443" s="84">
        <v>63.346499999999999</v>
      </c>
      <c r="X443" s="82">
        <v>0.35</v>
      </c>
      <c r="Y443" s="87">
        <v>74.180000000000007</v>
      </c>
      <c r="Z443" s="84">
        <v>74.180000000000007</v>
      </c>
      <c r="AA443" s="84">
        <v>148.36000000000001</v>
      </c>
      <c r="AB443" s="88">
        <v>1.7045914127933099</v>
      </c>
      <c r="AC443" t="s">
        <v>2273</v>
      </c>
    </row>
    <row r="444" spans="3:29">
      <c r="C444" t="s">
        <v>2274</v>
      </c>
      <c r="D444" t="s">
        <v>2275</v>
      </c>
      <c r="E444" s="84">
        <v>128.99</v>
      </c>
      <c r="F444" s="84">
        <v>64.495000000000005</v>
      </c>
      <c r="G444" t="s">
        <v>2257</v>
      </c>
      <c r="H444" t="s">
        <v>2276</v>
      </c>
      <c r="I444" t="s">
        <v>2277</v>
      </c>
      <c r="J444" t="s">
        <v>2278</v>
      </c>
      <c r="K444" t="s">
        <v>2261</v>
      </c>
      <c r="L444" t="s">
        <v>646</v>
      </c>
      <c r="N444">
        <v>48</v>
      </c>
      <c r="O444">
        <v>25</v>
      </c>
      <c r="P444">
        <v>5.7599999999999998E-2</v>
      </c>
      <c r="Q444" s="84" t="e">
        <v>#REF!</v>
      </c>
      <c r="R444" s="85">
        <v>41417.599999999999</v>
      </c>
      <c r="S444" s="86">
        <v>414176</v>
      </c>
      <c r="T444" s="86">
        <v>455593.6</v>
      </c>
      <c r="U444" s="84">
        <v>30.372906666666701</v>
      </c>
      <c r="V444" s="84">
        <v>90.293000000000006</v>
      </c>
      <c r="W444" s="84">
        <v>45.146500000000003</v>
      </c>
      <c r="X444" s="82">
        <v>0.35</v>
      </c>
      <c r="Y444" s="87">
        <v>51.78</v>
      </c>
      <c r="Z444" s="84">
        <v>51.78</v>
      </c>
      <c r="AA444" s="84">
        <v>103.56</v>
      </c>
      <c r="AB444" s="88">
        <v>1.7048088471831</v>
      </c>
      <c r="AC444" t="s">
        <v>2279</v>
      </c>
    </row>
    <row r="445" spans="3:29">
      <c r="C445" t="s">
        <v>2280</v>
      </c>
      <c r="D445" t="s">
        <v>2275</v>
      </c>
      <c r="E445" s="84">
        <v>213.99</v>
      </c>
      <c r="F445" s="84">
        <v>106.995</v>
      </c>
      <c r="G445" t="s">
        <v>2257</v>
      </c>
      <c r="H445" t="s">
        <v>2281</v>
      </c>
      <c r="I445" t="s">
        <v>2282</v>
      </c>
      <c r="J445" t="s">
        <v>2283</v>
      </c>
      <c r="K445" t="s">
        <v>2261</v>
      </c>
      <c r="L445" t="s">
        <v>646</v>
      </c>
      <c r="N445">
        <v>64</v>
      </c>
      <c r="O445">
        <v>35</v>
      </c>
      <c r="P445">
        <v>0.14335999999999999</v>
      </c>
      <c r="Q445" s="84" t="e">
        <v>#REF!</v>
      </c>
      <c r="R445" s="85">
        <v>65120</v>
      </c>
      <c r="S445" s="86">
        <v>651200</v>
      </c>
      <c r="T445" s="86">
        <v>716320</v>
      </c>
      <c r="U445" s="84">
        <v>47.754666666666701</v>
      </c>
      <c r="V445" s="84">
        <v>149.79300000000001</v>
      </c>
      <c r="W445" s="84">
        <v>74.896500000000003</v>
      </c>
      <c r="X445" s="82">
        <v>0.35</v>
      </c>
      <c r="Y445" s="87">
        <v>81.400000000000006</v>
      </c>
      <c r="Z445" s="84">
        <v>81.400000000000006</v>
      </c>
      <c r="AA445" s="84">
        <v>162.80000000000001</v>
      </c>
      <c r="AB445" s="88">
        <v>1.7045454545454599</v>
      </c>
      <c r="AC445" t="s">
        <v>2284</v>
      </c>
    </row>
    <row r="446" spans="3:29">
      <c r="C446" t="s">
        <v>2285</v>
      </c>
      <c r="D446" t="s">
        <v>2275</v>
      </c>
      <c r="E446" s="84">
        <v>340.99</v>
      </c>
      <c r="F446" s="84">
        <v>170.495</v>
      </c>
      <c r="G446" t="s">
        <v>2257</v>
      </c>
      <c r="H446" t="s">
        <v>2286</v>
      </c>
      <c r="I446" t="s">
        <v>2287</v>
      </c>
      <c r="J446" t="s">
        <v>2288</v>
      </c>
      <c r="K446" t="s">
        <v>2261</v>
      </c>
      <c r="L446" t="s">
        <v>646</v>
      </c>
      <c r="N446">
        <v>80</v>
      </c>
      <c r="O446">
        <v>45</v>
      </c>
      <c r="P446">
        <v>0.28799999999999998</v>
      </c>
      <c r="Q446" s="84" t="e">
        <v>#REF!</v>
      </c>
      <c r="R446" s="85">
        <v>93996.800000000003</v>
      </c>
      <c r="S446" s="86">
        <v>939968</v>
      </c>
      <c r="T446" s="86">
        <v>1033964.8</v>
      </c>
      <c r="U446" s="84">
        <v>68.930986666666698</v>
      </c>
      <c r="V446" s="84">
        <v>238.69300000000001</v>
      </c>
      <c r="W446" s="84">
        <v>119.34650000000001</v>
      </c>
      <c r="X446" s="82">
        <v>0.35</v>
      </c>
      <c r="Y446" s="87">
        <v>117.5</v>
      </c>
      <c r="Z446" s="84">
        <v>117.5</v>
      </c>
      <c r="AA446" s="84">
        <v>235</v>
      </c>
      <c r="AB446" s="88">
        <v>1.70460348360022</v>
      </c>
      <c r="AC446" t="s">
        <v>2289</v>
      </c>
    </row>
    <row r="447" spans="3:29">
      <c r="C447" t="s">
        <v>2290</v>
      </c>
      <c r="D447" t="s">
        <v>2291</v>
      </c>
      <c r="E447" s="84">
        <v>95.99</v>
      </c>
      <c r="F447" s="84">
        <v>47.994999999999997</v>
      </c>
      <c r="G447" t="s">
        <v>2257</v>
      </c>
      <c r="H447" t="s">
        <v>2292</v>
      </c>
      <c r="I447" t="s">
        <v>2293</v>
      </c>
      <c r="J447" t="s">
        <v>2294</v>
      </c>
      <c r="K447" t="s">
        <v>2261</v>
      </c>
      <c r="L447" t="s">
        <v>646</v>
      </c>
      <c r="N447">
        <v>27</v>
      </c>
      <c r="O447">
        <v>38</v>
      </c>
      <c r="P447">
        <v>2.7702000000000001E-2</v>
      </c>
      <c r="Q447" s="84" t="e">
        <v>#REF!</v>
      </c>
      <c r="R447" s="85">
        <v>32512</v>
      </c>
      <c r="S447" s="86">
        <v>325120</v>
      </c>
      <c r="T447" s="86">
        <v>357632</v>
      </c>
      <c r="U447" s="84">
        <v>23.842133333333301</v>
      </c>
      <c r="V447" s="84">
        <v>67.192999999999998</v>
      </c>
      <c r="W447" s="84">
        <v>33.596499999999999</v>
      </c>
      <c r="X447" s="82">
        <v>0.35</v>
      </c>
      <c r="Y447" s="87">
        <v>40.64</v>
      </c>
      <c r="Z447" s="84">
        <v>40.64</v>
      </c>
      <c r="AA447" s="84">
        <v>81.28</v>
      </c>
      <c r="AB447" s="88">
        <v>1.7045454545454499</v>
      </c>
      <c r="AC447" t="s">
        <v>2295</v>
      </c>
    </row>
    <row r="448" spans="3:29">
      <c r="C448" t="s">
        <v>2296</v>
      </c>
      <c r="D448" t="s">
        <v>2291</v>
      </c>
      <c r="E448" s="84">
        <v>146.99</v>
      </c>
      <c r="F448" s="84">
        <v>73.495000000000005</v>
      </c>
      <c r="G448" t="s">
        <v>2257</v>
      </c>
      <c r="H448" t="s">
        <v>2297</v>
      </c>
      <c r="I448" t="s">
        <v>2298</v>
      </c>
      <c r="J448" t="s">
        <v>2299</v>
      </c>
      <c r="K448" t="s">
        <v>2261</v>
      </c>
      <c r="L448" t="s">
        <v>646</v>
      </c>
      <c r="N448">
        <v>40</v>
      </c>
      <c r="O448">
        <v>50</v>
      </c>
      <c r="P448">
        <v>0.08</v>
      </c>
      <c r="Q448" s="84" t="e">
        <v>#REF!</v>
      </c>
      <c r="R448" s="85">
        <v>47344</v>
      </c>
      <c r="S448" s="86">
        <v>473440</v>
      </c>
      <c r="T448" s="86">
        <v>520784</v>
      </c>
      <c r="U448" s="84">
        <v>34.718933333333297</v>
      </c>
      <c r="V448" s="84">
        <v>102.893</v>
      </c>
      <c r="W448" s="84">
        <v>51.4465</v>
      </c>
      <c r="X448" s="82">
        <v>0.35</v>
      </c>
      <c r="Y448" s="87">
        <v>59.18</v>
      </c>
      <c r="Z448" s="84">
        <v>59.18</v>
      </c>
      <c r="AA448" s="84">
        <v>118.36</v>
      </c>
      <c r="AB448" s="88">
        <v>1.7045454545454499</v>
      </c>
      <c r="AC448" t="s">
        <v>2300</v>
      </c>
    </row>
    <row r="449" spans="3:29">
      <c r="C449" t="s">
        <v>2301</v>
      </c>
      <c r="D449" t="s">
        <v>2291</v>
      </c>
      <c r="E449" s="84">
        <v>213.99</v>
      </c>
      <c r="F449" s="84">
        <v>106.995</v>
      </c>
      <c r="G449" t="s">
        <v>2257</v>
      </c>
      <c r="H449" t="s">
        <v>2302</v>
      </c>
      <c r="I449" t="s">
        <v>2303</v>
      </c>
      <c r="J449" t="s">
        <v>845</v>
      </c>
      <c r="K449" t="s">
        <v>2261</v>
      </c>
      <c r="L449" t="s">
        <v>646</v>
      </c>
      <c r="N449">
        <v>50</v>
      </c>
      <c r="O449">
        <v>60</v>
      </c>
      <c r="P449">
        <v>0.15</v>
      </c>
      <c r="Q449" s="84" t="e">
        <v>#REF!</v>
      </c>
      <c r="R449" s="85">
        <v>68547.199999999997</v>
      </c>
      <c r="S449" s="86">
        <v>685472</v>
      </c>
      <c r="T449" s="86">
        <v>754019.2</v>
      </c>
      <c r="U449" s="84">
        <v>50.267946666666703</v>
      </c>
      <c r="V449" s="84">
        <v>149.79300000000001</v>
      </c>
      <c r="W449" s="84">
        <v>74.896500000000003</v>
      </c>
      <c r="X449" s="82">
        <v>0.35</v>
      </c>
      <c r="Y449" s="87">
        <v>85.68</v>
      </c>
      <c r="Z449" s="84">
        <v>85.68</v>
      </c>
      <c r="AA449" s="84">
        <v>171.36</v>
      </c>
      <c r="AB449" s="88">
        <v>1.70446588097491</v>
      </c>
      <c r="AC449" t="s">
        <v>2304</v>
      </c>
    </row>
    <row r="450" spans="3:29">
      <c r="C450" t="s">
        <v>2305</v>
      </c>
      <c r="D450" t="s">
        <v>2306</v>
      </c>
      <c r="E450" s="84">
        <v>116.99</v>
      </c>
      <c r="F450" s="84">
        <v>58.494999999999997</v>
      </c>
      <c r="G450" t="s">
        <v>2257</v>
      </c>
      <c r="H450" t="s">
        <v>2307</v>
      </c>
      <c r="I450" t="s">
        <v>2308</v>
      </c>
      <c r="J450" t="s">
        <v>2309</v>
      </c>
      <c r="K450" t="s">
        <v>2310</v>
      </c>
      <c r="L450" t="s">
        <v>646</v>
      </c>
      <c r="N450">
        <v>35</v>
      </c>
      <c r="O450">
        <v>35</v>
      </c>
      <c r="P450">
        <v>4.2875000000000003E-2</v>
      </c>
      <c r="Q450" s="84" t="e">
        <v>#REF!</v>
      </c>
      <c r="R450" s="85"/>
      <c r="S450" s="85"/>
      <c r="T450" s="86">
        <v>0</v>
      </c>
      <c r="U450" s="84">
        <v>0</v>
      </c>
      <c r="V450" s="84">
        <v>81.893000000000001</v>
      </c>
      <c r="W450" s="84">
        <v>40.9465</v>
      </c>
      <c r="X450" s="82">
        <v>0.35</v>
      </c>
      <c r="Y450" s="82"/>
      <c r="Z450" s="84">
        <v>40.9465</v>
      </c>
      <c r="AA450" s="84">
        <v>81.893000000000001</v>
      </c>
      <c r="AB450" s="88" t="e">
        <v>#DIV/0!</v>
      </c>
      <c r="AC450" t="s">
        <v>2311</v>
      </c>
    </row>
    <row r="451" spans="3:29">
      <c r="C451" t="s">
        <v>2312</v>
      </c>
      <c r="D451" t="s">
        <v>2306</v>
      </c>
      <c r="E451" s="84">
        <v>151.99</v>
      </c>
      <c r="F451" s="84">
        <v>75.995000000000005</v>
      </c>
      <c r="G451" t="s">
        <v>2257</v>
      </c>
      <c r="H451" t="s">
        <v>2313</v>
      </c>
      <c r="I451" t="s">
        <v>2314</v>
      </c>
      <c r="J451" t="s">
        <v>2315</v>
      </c>
      <c r="K451" t="s">
        <v>2310</v>
      </c>
      <c r="L451" t="s">
        <v>646</v>
      </c>
      <c r="N451">
        <v>45</v>
      </c>
      <c r="O451">
        <v>45</v>
      </c>
      <c r="P451">
        <v>9.1124999999999998E-2</v>
      </c>
      <c r="Q451" s="84" t="e">
        <v>#REF!</v>
      </c>
      <c r="R451" s="85"/>
      <c r="S451" s="85"/>
      <c r="T451" s="86">
        <v>0</v>
      </c>
      <c r="U451" s="84">
        <v>0</v>
      </c>
      <c r="V451" s="84">
        <v>106.393</v>
      </c>
      <c r="W451" s="84">
        <v>53.1965</v>
      </c>
      <c r="X451" s="82">
        <v>0.35</v>
      </c>
      <c r="Y451" s="82"/>
      <c r="Z451" s="84">
        <v>53.1965</v>
      </c>
      <c r="AA451" s="84">
        <v>106.393</v>
      </c>
      <c r="AB451" s="88" t="e">
        <v>#DIV/0!</v>
      </c>
      <c r="AC451" t="s">
        <v>2316</v>
      </c>
    </row>
    <row r="452" spans="3:29">
      <c r="C452" t="s">
        <v>2317</v>
      </c>
      <c r="D452" t="s">
        <v>2306</v>
      </c>
      <c r="E452" s="84">
        <v>199.99</v>
      </c>
      <c r="F452" s="84">
        <v>99.995000000000005</v>
      </c>
      <c r="G452" t="s">
        <v>2257</v>
      </c>
      <c r="H452" t="s">
        <v>2318</v>
      </c>
      <c r="I452" t="s">
        <v>2319</v>
      </c>
      <c r="J452" t="s">
        <v>2320</v>
      </c>
      <c r="K452" t="s">
        <v>2310</v>
      </c>
      <c r="L452" t="s">
        <v>646</v>
      </c>
      <c r="N452">
        <v>55</v>
      </c>
      <c r="O452">
        <v>55</v>
      </c>
      <c r="P452">
        <v>0.166375</v>
      </c>
      <c r="Q452" s="84" t="e">
        <v>#REF!</v>
      </c>
      <c r="R452" s="85"/>
      <c r="S452" s="85"/>
      <c r="T452" s="86">
        <v>0</v>
      </c>
      <c r="U452" s="84">
        <v>0</v>
      </c>
      <c r="V452" s="84">
        <v>139.99299999999999</v>
      </c>
      <c r="W452" s="84">
        <v>69.996499999999997</v>
      </c>
      <c r="X452" s="82">
        <v>0.35</v>
      </c>
      <c r="Y452" s="82"/>
      <c r="Z452" s="84">
        <v>69.996499999999997</v>
      </c>
      <c r="AA452" s="84">
        <v>139.99299999999999</v>
      </c>
      <c r="AB452" s="88" t="e">
        <v>#DIV/0!</v>
      </c>
      <c r="AC452" t="s">
        <v>2321</v>
      </c>
    </row>
    <row r="453" spans="3:29">
      <c r="C453">
        <v>2851215</v>
      </c>
      <c r="D453" t="s">
        <v>2322</v>
      </c>
      <c r="E453" s="84">
        <v>217.99</v>
      </c>
      <c r="F453" s="84">
        <v>108.995</v>
      </c>
      <c r="G453" t="s">
        <v>2257</v>
      </c>
      <c r="H453" t="s">
        <v>2323</v>
      </c>
      <c r="I453" t="s">
        <v>2324</v>
      </c>
      <c r="J453" t="s">
        <v>2325</v>
      </c>
      <c r="K453" t="s">
        <v>2310</v>
      </c>
      <c r="L453" t="s">
        <v>646</v>
      </c>
      <c r="N453">
        <v>55</v>
      </c>
      <c r="O453">
        <v>65</v>
      </c>
      <c r="P453">
        <v>0.19662499999999999</v>
      </c>
      <c r="Q453" s="84" t="e">
        <v>#REF!</v>
      </c>
      <c r="R453" s="85"/>
      <c r="S453" s="85"/>
      <c r="T453" s="86">
        <v>0</v>
      </c>
      <c r="U453" s="84">
        <v>0</v>
      </c>
      <c r="V453" s="84">
        <v>152.59299999999999</v>
      </c>
      <c r="W453" s="84">
        <v>76.296499999999995</v>
      </c>
      <c r="X453" s="82">
        <v>0.35</v>
      </c>
      <c r="Y453" s="82"/>
      <c r="Z453" s="84">
        <v>76.296499999999995</v>
      </c>
      <c r="AA453" s="84">
        <v>152.59299999999999</v>
      </c>
      <c r="AB453" s="88" t="e">
        <v>#DIV/0!</v>
      </c>
      <c r="AC453" t="s">
        <v>2326</v>
      </c>
    </row>
    <row r="454" spans="3:29">
      <c r="C454" t="s">
        <v>2327</v>
      </c>
      <c r="D454" t="s">
        <v>2328</v>
      </c>
      <c r="E454" s="84">
        <v>143.99</v>
      </c>
      <c r="F454" s="84">
        <v>71.995000000000005</v>
      </c>
      <c r="G454" t="s">
        <v>2257</v>
      </c>
      <c r="H454" t="s">
        <v>2329</v>
      </c>
      <c r="I454" t="s">
        <v>2330</v>
      </c>
      <c r="J454" t="s">
        <v>2267</v>
      </c>
      <c r="K454" t="s">
        <v>2331</v>
      </c>
      <c r="L454" t="s">
        <v>646</v>
      </c>
      <c r="N454">
        <v>40</v>
      </c>
      <c r="O454">
        <v>40</v>
      </c>
      <c r="P454">
        <v>6.4000000000000001E-2</v>
      </c>
      <c r="Q454" s="84" t="e">
        <v>#REF!</v>
      </c>
      <c r="R454" s="85"/>
      <c r="S454" s="85"/>
      <c r="T454" s="86">
        <v>0</v>
      </c>
      <c r="U454" s="84">
        <v>0</v>
      </c>
      <c r="V454" s="84">
        <v>100.79300000000001</v>
      </c>
      <c r="W454" s="84">
        <v>50.396500000000003</v>
      </c>
      <c r="X454" s="82">
        <v>0.35</v>
      </c>
      <c r="Y454" s="82"/>
      <c r="Z454" s="84">
        <v>50.396500000000003</v>
      </c>
      <c r="AA454" s="84">
        <v>100.79300000000001</v>
      </c>
      <c r="AB454" s="88" t="e">
        <v>#DIV/0!</v>
      </c>
      <c r="AC454" t="s">
        <v>2332</v>
      </c>
    </row>
    <row r="455" spans="3:29">
      <c r="C455">
        <v>21960</v>
      </c>
      <c r="D455" t="s">
        <v>2333</v>
      </c>
      <c r="E455" s="84">
        <v>69.989999999999995</v>
      </c>
      <c r="F455" s="84">
        <v>34.994999999999997</v>
      </c>
      <c r="G455" t="s">
        <v>2257</v>
      </c>
      <c r="H455" t="s">
        <v>2334</v>
      </c>
      <c r="I455" t="s">
        <v>2335</v>
      </c>
      <c r="J455" t="s">
        <v>2336</v>
      </c>
      <c r="K455" t="s">
        <v>2337</v>
      </c>
      <c r="L455" t="s">
        <v>646</v>
      </c>
      <c r="N455">
        <v>35</v>
      </c>
      <c r="O455">
        <v>38</v>
      </c>
      <c r="P455">
        <v>4.6550000000000001E-2</v>
      </c>
      <c r="Q455" s="84" t="e">
        <v>#REF!</v>
      </c>
      <c r="R455" s="85"/>
      <c r="S455" s="85"/>
      <c r="T455" s="86">
        <v>0</v>
      </c>
      <c r="U455" s="84">
        <v>0</v>
      </c>
      <c r="V455" s="84">
        <v>48.993000000000002</v>
      </c>
      <c r="W455" s="84">
        <v>24.496500000000001</v>
      </c>
      <c r="X455" s="82">
        <v>0.35</v>
      </c>
      <c r="Y455" s="82"/>
      <c r="Z455" s="84">
        <v>24.496500000000001</v>
      </c>
      <c r="AA455" s="84">
        <v>48.993000000000002</v>
      </c>
      <c r="AB455" s="88" t="e">
        <v>#DIV/0!</v>
      </c>
      <c r="AC455" t="s">
        <v>2338</v>
      </c>
    </row>
    <row r="456" spans="3:29">
      <c r="C456">
        <v>21961</v>
      </c>
      <c r="D456" t="s">
        <v>2333</v>
      </c>
      <c r="E456" s="84">
        <v>118.99</v>
      </c>
      <c r="F456" s="84">
        <v>59.494999999999997</v>
      </c>
      <c r="G456" t="s">
        <v>2257</v>
      </c>
      <c r="H456" t="s">
        <v>2339</v>
      </c>
      <c r="I456" t="s">
        <v>2340</v>
      </c>
      <c r="J456" t="s">
        <v>2341</v>
      </c>
      <c r="K456" t="s">
        <v>2337</v>
      </c>
      <c r="L456" t="s">
        <v>646</v>
      </c>
      <c r="N456">
        <v>50</v>
      </c>
      <c r="O456">
        <v>55</v>
      </c>
      <c r="P456">
        <v>0.13750000000000001</v>
      </c>
      <c r="Q456" s="84" t="e">
        <v>#REF!</v>
      </c>
      <c r="R456" s="85"/>
      <c r="S456" s="85"/>
      <c r="T456" s="86">
        <v>0</v>
      </c>
      <c r="U456" s="84">
        <v>0</v>
      </c>
      <c r="V456" s="84">
        <v>83.293000000000006</v>
      </c>
      <c r="W456" s="84">
        <v>41.646500000000003</v>
      </c>
      <c r="X456" s="82">
        <v>0.35</v>
      </c>
      <c r="Y456" s="82"/>
      <c r="Z456" s="84">
        <v>41.646500000000003</v>
      </c>
      <c r="AA456" s="84">
        <v>83.293000000000006</v>
      </c>
      <c r="AB456" s="88" t="e">
        <v>#DIV/0!</v>
      </c>
      <c r="AC456" t="s">
        <v>2342</v>
      </c>
    </row>
    <row r="457" spans="3:29">
      <c r="C457">
        <v>21962</v>
      </c>
      <c r="D457" t="s">
        <v>2333</v>
      </c>
      <c r="E457" s="84">
        <v>233.99</v>
      </c>
      <c r="F457" s="84">
        <v>116.995</v>
      </c>
      <c r="G457" t="s">
        <v>2257</v>
      </c>
      <c r="H457" t="s">
        <v>2343</v>
      </c>
      <c r="I457" t="s">
        <v>2344</v>
      </c>
      <c r="J457" t="s">
        <v>2345</v>
      </c>
      <c r="K457" t="s">
        <v>2337</v>
      </c>
      <c r="L457" t="s">
        <v>646</v>
      </c>
      <c r="N457">
        <v>70</v>
      </c>
      <c r="O457">
        <v>77</v>
      </c>
      <c r="P457">
        <v>0.37730000000000002</v>
      </c>
      <c r="Q457" s="84" t="e">
        <v>#REF!</v>
      </c>
      <c r="R457" s="85"/>
      <c r="S457" s="85"/>
      <c r="T457" s="86">
        <v>0</v>
      </c>
      <c r="U457" s="84">
        <v>0</v>
      </c>
      <c r="V457" s="84">
        <v>163.79300000000001</v>
      </c>
      <c r="W457" s="84">
        <v>81.896500000000003</v>
      </c>
      <c r="X457" s="82">
        <v>0.35</v>
      </c>
      <c r="Y457" s="82"/>
      <c r="Z457" s="84">
        <v>81.896500000000003</v>
      </c>
      <c r="AA457" s="84">
        <v>163.79300000000001</v>
      </c>
      <c r="AB457" s="88" t="e">
        <v>#DIV/0!</v>
      </c>
      <c r="AC457" t="s">
        <v>2346</v>
      </c>
    </row>
    <row r="458" spans="3:29">
      <c r="C458">
        <v>21963</v>
      </c>
      <c r="D458" t="s">
        <v>2333</v>
      </c>
      <c r="E458" s="84">
        <v>970.99</v>
      </c>
      <c r="F458" s="84">
        <v>485.495</v>
      </c>
      <c r="G458" t="s">
        <v>2257</v>
      </c>
      <c r="H458" t="s">
        <v>2347</v>
      </c>
      <c r="I458" t="s">
        <v>2348</v>
      </c>
      <c r="J458" t="s">
        <v>2349</v>
      </c>
      <c r="K458" t="s">
        <v>2337</v>
      </c>
      <c r="L458" t="s">
        <v>646</v>
      </c>
      <c r="N458">
        <v>130</v>
      </c>
      <c r="O458">
        <v>143</v>
      </c>
      <c r="P458">
        <v>2.4167000000000001</v>
      </c>
      <c r="Q458" s="84" t="e">
        <v>#REF!</v>
      </c>
      <c r="R458" s="85"/>
      <c r="S458" s="85"/>
      <c r="T458" s="86">
        <v>0</v>
      </c>
      <c r="U458" s="84">
        <v>0</v>
      </c>
      <c r="V458" s="84">
        <v>679.69299999999998</v>
      </c>
      <c r="W458" s="84">
        <v>339.84649999999999</v>
      </c>
      <c r="X458" s="82">
        <v>0.35</v>
      </c>
      <c r="Y458" s="82"/>
      <c r="Z458" s="84">
        <v>339.84649999999999</v>
      </c>
      <c r="AA458" s="84">
        <v>679.69299999999998</v>
      </c>
      <c r="AB458" s="88" t="e">
        <v>#DIV/0!</v>
      </c>
      <c r="AC458" t="s">
        <v>2350</v>
      </c>
    </row>
    <row r="459" spans="3:29">
      <c r="C459">
        <v>21964</v>
      </c>
      <c r="D459" t="s">
        <v>2333</v>
      </c>
      <c r="E459" s="84">
        <v>2353.9899999999998</v>
      </c>
      <c r="F459" s="84">
        <v>1176.9949999999999</v>
      </c>
      <c r="G459" t="s">
        <v>2257</v>
      </c>
      <c r="H459" t="s">
        <v>2351</v>
      </c>
      <c r="I459" t="s">
        <v>2352</v>
      </c>
      <c r="J459" t="s">
        <v>2353</v>
      </c>
      <c r="K459" t="s">
        <v>2331</v>
      </c>
      <c r="L459" t="s">
        <v>646</v>
      </c>
      <c r="N459">
        <v>220</v>
      </c>
      <c r="O459">
        <v>240</v>
      </c>
      <c r="P459">
        <v>11.616</v>
      </c>
      <c r="Q459" s="84" t="e">
        <v>#REF!</v>
      </c>
      <c r="R459" s="85"/>
      <c r="S459" s="85"/>
      <c r="T459" s="86">
        <v>0</v>
      </c>
      <c r="U459" s="84">
        <v>0</v>
      </c>
      <c r="V459" s="84">
        <v>1647.7929999999999</v>
      </c>
      <c r="W459" s="84">
        <v>823.89649999999995</v>
      </c>
      <c r="X459" s="82">
        <v>0.35</v>
      </c>
      <c r="Y459" s="82"/>
      <c r="Z459" s="84">
        <v>823.89649999999995</v>
      </c>
      <c r="AA459" s="84">
        <v>1647.7929999999999</v>
      </c>
      <c r="AB459" s="88" t="e">
        <v>#DIV/0!</v>
      </c>
      <c r="AC459" t="s">
        <v>2354</v>
      </c>
    </row>
    <row r="460" spans="3:29">
      <c r="C460" t="s">
        <v>2355</v>
      </c>
      <c r="D460" t="s">
        <v>2356</v>
      </c>
      <c r="E460" s="84">
        <v>63.99</v>
      </c>
      <c r="F460" s="84">
        <v>31.995000000000001</v>
      </c>
      <c r="G460" t="s">
        <v>2257</v>
      </c>
      <c r="H460" t="s">
        <v>2357</v>
      </c>
      <c r="I460" t="s">
        <v>2358</v>
      </c>
      <c r="J460" t="s">
        <v>2336</v>
      </c>
      <c r="K460" t="s">
        <v>2310</v>
      </c>
      <c r="L460" t="s">
        <v>646</v>
      </c>
      <c r="N460">
        <v>35</v>
      </c>
      <c r="O460">
        <v>38</v>
      </c>
      <c r="P460">
        <v>4.6550000000000001E-2</v>
      </c>
      <c r="Q460" s="84" t="e">
        <v>#REF!</v>
      </c>
      <c r="R460" s="85"/>
      <c r="S460" s="85"/>
      <c r="T460" s="86">
        <v>0</v>
      </c>
      <c r="U460" s="84">
        <v>0</v>
      </c>
      <c r="V460" s="84">
        <v>44.792999999999999</v>
      </c>
      <c r="W460" s="84">
        <v>22.3965</v>
      </c>
      <c r="X460" s="82">
        <v>0.35</v>
      </c>
      <c r="Y460" s="82"/>
      <c r="Z460" s="84">
        <v>22.3965</v>
      </c>
      <c r="AA460" s="84">
        <v>44.792999999999999</v>
      </c>
      <c r="AB460" s="88" t="e">
        <v>#DIV/0!</v>
      </c>
      <c r="AC460" t="s">
        <v>2359</v>
      </c>
    </row>
    <row r="461" spans="3:29">
      <c r="C461" t="s">
        <v>2360</v>
      </c>
      <c r="D461" t="s">
        <v>2356</v>
      </c>
      <c r="E461" s="84">
        <v>108.99</v>
      </c>
      <c r="F461" s="84">
        <v>54.494999999999997</v>
      </c>
      <c r="G461" t="s">
        <v>2257</v>
      </c>
      <c r="H461" t="s">
        <v>2361</v>
      </c>
      <c r="I461" t="s">
        <v>2362</v>
      </c>
      <c r="J461" t="s">
        <v>2341</v>
      </c>
      <c r="K461" t="s">
        <v>2310</v>
      </c>
      <c r="L461" t="s">
        <v>646</v>
      </c>
      <c r="N461">
        <v>50</v>
      </c>
      <c r="O461">
        <v>55</v>
      </c>
      <c r="P461">
        <v>0.13750000000000001</v>
      </c>
      <c r="Q461" s="84" t="e">
        <v>#REF!</v>
      </c>
      <c r="R461" s="85"/>
      <c r="S461" s="85"/>
      <c r="T461" s="86">
        <v>0</v>
      </c>
      <c r="U461" s="84">
        <v>0</v>
      </c>
      <c r="V461" s="84">
        <v>76.293000000000006</v>
      </c>
      <c r="W461" s="84">
        <v>38.146500000000003</v>
      </c>
      <c r="X461" s="82">
        <v>0.35</v>
      </c>
      <c r="Y461" s="82"/>
      <c r="Z461" s="84">
        <v>38.146500000000003</v>
      </c>
      <c r="AA461" s="84">
        <v>76.293000000000006</v>
      </c>
      <c r="AB461" s="88" t="e">
        <v>#DIV/0!</v>
      </c>
      <c r="AC461" t="s">
        <v>2363</v>
      </c>
    </row>
    <row r="462" spans="3:29">
      <c r="C462" t="s">
        <v>2364</v>
      </c>
      <c r="D462" t="s">
        <v>2356</v>
      </c>
      <c r="E462" s="84">
        <v>216.99</v>
      </c>
      <c r="F462" s="84">
        <v>108.495</v>
      </c>
      <c r="G462" t="s">
        <v>2257</v>
      </c>
      <c r="H462" t="s">
        <v>2365</v>
      </c>
      <c r="I462" t="s">
        <v>2366</v>
      </c>
      <c r="J462" t="s">
        <v>2345</v>
      </c>
      <c r="K462" t="s">
        <v>2310</v>
      </c>
      <c r="L462" t="s">
        <v>646</v>
      </c>
      <c r="N462">
        <v>70</v>
      </c>
      <c r="O462">
        <v>77</v>
      </c>
      <c r="P462">
        <v>0.37730000000000002</v>
      </c>
      <c r="Q462" s="84" t="e">
        <v>#REF!</v>
      </c>
      <c r="R462" s="85"/>
      <c r="S462" s="85"/>
      <c r="T462" s="86">
        <v>0</v>
      </c>
      <c r="U462" s="84">
        <v>0</v>
      </c>
      <c r="V462" s="84">
        <v>151.893</v>
      </c>
      <c r="W462" s="84">
        <v>75.9465</v>
      </c>
      <c r="X462" s="82">
        <v>0.35</v>
      </c>
      <c r="Y462" s="82"/>
      <c r="Z462" s="84">
        <v>75.9465</v>
      </c>
      <c r="AA462" s="84">
        <v>151.893</v>
      </c>
      <c r="AB462" s="88" t="e">
        <v>#DIV/0!</v>
      </c>
      <c r="AC462" t="s">
        <v>2367</v>
      </c>
    </row>
    <row r="463" spans="3:29">
      <c r="C463" t="s">
        <v>2368</v>
      </c>
      <c r="D463" t="s">
        <v>2356</v>
      </c>
      <c r="E463" s="84">
        <v>931.99</v>
      </c>
      <c r="F463" s="84">
        <v>465.995</v>
      </c>
      <c r="G463" t="s">
        <v>2257</v>
      </c>
      <c r="H463" t="s">
        <v>2369</v>
      </c>
      <c r="I463" t="s">
        <v>2370</v>
      </c>
      <c r="J463" t="s">
        <v>2371</v>
      </c>
      <c r="K463" t="s">
        <v>2310</v>
      </c>
      <c r="L463" t="s">
        <v>646</v>
      </c>
      <c r="N463">
        <v>130</v>
      </c>
      <c r="O463">
        <v>143</v>
      </c>
      <c r="P463">
        <v>2.4167000000000001</v>
      </c>
      <c r="Q463" s="84" t="e">
        <v>#REF!</v>
      </c>
      <c r="R463" s="85"/>
      <c r="S463" s="85"/>
      <c r="T463" s="86">
        <v>0</v>
      </c>
      <c r="U463" s="84">
        <v>0</v>
      </c>
      <c r="V463" s="84">
        <v>652.39300000000003</v>
      </c>
      <c r="W463" s="84">
        <v>326.19650000000001</v>
      </c>
      <c r="X463" s="82">
        <v>0.35</v>
      </c>
      <c r="Y463" s="82"/>
      <c r="Z463" s="84">
        <v>326.19650000000001</v>
      </c>
      <c r="AA463" s="84">
        <v>652.39300000000003</v>
      </c>
      <c r="AB463" s="88" t="e">
        <v>#DIV/0!</v>
      </c>
      <c r="AC463" t="s">
        <v>2372</v>
      </c>
    </row>
    <row r="464" spans="3:29">
      <c r="C464" t="s">
        <v>2373</v>
      </c>
      <c r="D464" t="s">
        <v>2356</v>
      </c>
      <c r="E464" s="84">
        <v>2222.9899999999998</v>
      </c>
      <c r="F464" s="84">
        <v>1111.4949999999999</v>
      </c>
      <c r="G464" t="s">
        <v>2257</v>
      </c>
      <c r="H464" t="s">
        <v>2374</v>
      </c>
      <c r="I464" t="s">
        <v>2375</v>
      </c>
      <c r="J464" t="s">
        <v>2353</v>
      </c>
      <c r="K464" t="s">
        <v>2310</v>
      </c>
      <c r="L464" t="s">
        <v>646</v>
      </c>
      <c r="N464">
        <v>220</v>
      </c>
      <c r="O464">
        <v>240</v>
      </c>
      <c r="P464">
        <v>11.616</v>
      </c>
      <c r="Q464" s="84" t="e">
        <v>#REF!</v>
      </c>
      <c r="R464" s="85"/>
      <c r="S464" s="85"/>
      <c r="T464" s="86">
        <v>0</v>
      </c>
      <c r="U464" s="84">
        <v>0</v>
      </c>
      <c r="V464" s="84">
        <v>1556.0930000000001</v>
      </c>
      <c r="W464" s="84">
        <v>778.04650000000004</v>
      </c>
      <c r="X464" s="82">
        <v>0.35</v>
      </c>
      <c r="Y464" s="82"/>
      <c r="Z464" s="84">
        <v>778.04650000000004</v>
      </c>
      <c r="AA464" s="84">
        <v>1556.0930000000001</v>
      </c>
      <c r="AB464" s="88" t="e">
        <v>#DIV/0!</v>
      </c>
      <c r="AC464" t="s">
        <v>2376</v>
      </c>
    </row>
    <row r="465" spans="3:29">
      <c r="C465" t="s">
        <v>2377</v>
      </c>
      <c r="D465" t="s">
        <v>2378</v>
      </c>
      <c r="E465" s="84">
        <v>109.99</v>
      </c>
      <c r="F465" s="84">
        <v>54.994999999999997</v>
      </c>
      <c r="G465" t="s">
        <v>2257</v>
      </c>
      <c r="H465" t="s">
        <v>2379</v>
      </c>
      <c r="I465" t="s">
        <v>2380</v>
      </c>
      <c r="J465" t="s">
        <v>2381</v>
      </c>
      <c r="K465" t="s">
        <v>2382</v>
      </c>
      <c r="L465" t="s">
        <v>646</v>
      </c>
      <c r="N465">
        <v>50</v>
      </c>
      <c r="O465">
        <v>45</v>
      </c>
      <c r="P465">
        <v>0.1125</v>
      </c>
      <c r="Q465" s="84" t="e">
        <v>#REF!</v>
      </c>
      <c r="R465" s="85"/>
      <c r="S465" s="85"/>
      <c r="T465" s="86">
        <v>0</v>
      </c>
      <c r="U465" s="84">
        <v>0</v>
      </c>
      <c r="V465" s="84">
        <v>76.992999999999995</v>
      </c>
      <c r="W465" s="84">
        <v>38.496499999999997</v>
      </c>
      <c r="X465" s="82">
        <v>0.35</v>
      </c>
      <c r="Y465" s="82"/>
      <c r="Z465" s="84">
        <v>38.496499999999997</v>
      </c>
      <c r="AA465" s="84">
        <v>76.992999999999995</v>
      </c>
      <c r="AB465" s="88" t="e">
        <v>#DIV/0!</v>
      </c>
      <c r="AC465" t="s">
        <v>2383</v>
      </c>
    </row>
    <row r="466" spans="3:29">
      <c r="C466" t="s">
        <v>2385</v>
      </c>
      <c r="D466" t="s">
        <v>2378</v>
      </c>
      <c r="E466" s="84">
        <v>129.99</v>
      </c>
      <c r="F466" s="84">
        <v>64.995000000000005</v>
      </c>
      <c r="G466" t="s">
        <v>2257</v>
      </c>
      <c r="H466" t="s">
        <v>2386</v>
      </c>
      <c r="I466" t="s">
        <v>2387</v>
      </c>
      <c r="J466" t="s">
        <v>2388</v>
      </c>
      <c r="K466" t="s">
        <v>2382</v>
      </c>
      <c r="L466" t="s">
        <v>646</v>
      </c>
      <c r="N466">
        <v>50</v>
      </c>
      <c r="O466">
        <v>85</v>
      </c>
      <c r="P466">
        <v>0.21249999999999999</v>
      </c>
      <c r="Q466" s="84" t="e">
        <v>#REF!</v>
      </c>
      <c r="R466" s="85"/>
      <c r="S466" s="85"/>
      <c r="T466" s="86">
        <v>0</v>
      </c>
      <c r="U466" s="84">
        <v>0</v>
      </c>
      <c r="V466" s="84">
        <v>90.992999999999995</v>
      </c>
      <c r="W466" s="84">
        <v>45.496499999999997</v>
      </c>
      <c r="X466" s="82">
        <v>0.35</v>
      </c>
      <c r="Y466" s="82"/>
      <c r="Z466" s="84">
        <v>45.496499999999997</v>
      </c>
      <c r="AA466" s="84">
        <v>90.992999999999995</v>
      </c>
      <c r="AB466" s="88" t="e">
        <v>#DIV/0!</v>
      </c>
      <c r="AC466" t="s">
        <v>2389</v>
      </c>
    </row>
    <row r="467" spans="3:29">
      <c r="C467" t="s">
        <v>2390</v>
      </c>
      <c r="D467" t="s">
        <v>2391</v>
      </c>
      <c r="E467" s="84">
        <v>134.99</v>
      </c>
      <c r="F467" s="84">
        <v>67.495000000000005</v>
      </c>
      <c r="G467" t="s">
        <v>2257</v>
      </c>
      <c r="H467" t="s">
        <v>2392</v>
      </c>
      <c r="I467" t="s">
        <v>2393</v>
      </c>
      <c r="J467" t="s">
        <v>2394</v>
      </c>
      <c r="K467" t="s">
        <v>2395</v>
      </c>
      <c r="L467" t="s">
        <v>646</v>
      </c>
      <c r="N467">
        <v>10</v>
      </c>
      <c r="O467">
        <v>86</v>
      </c>
      <c r="P467">
        <v>8.6E-3</v>
      </c>
      <c r="Q467" s="84" t="e">
        <v>#REF!</v>
      </c>
      <c r="R467" s="85"/>
      <c r="S467" s="85"/>
      <c r="T467" s="86">
        <v>0</v>
      </c>
      <c r="U467" s="84">
        <v>0</v>
      </c>
      <c r="V467" s="84">
        <v>94.492999999999995</v>
      </c>
      <c r="W467" s="84">
        <v>47.246499999999997</v>
      </c>
      <c r="X467" s="82">
        <v>0.35</v>
      </c>
      <c r="Y467" s="82"/>
      <c r="Z467" s="84">
        <v>47.246499999999997</v>
      </c>
      <c r="AA467" s="84">
        <v>94.492999999999995</v>
      </c>
      <c r="AB467" s="88" t="e">
        <v>#DIV/0!</v>
      </c>
      <c r="AC467" t="s">
        <v>2396</v>
      </c>
    </row>
    <row r="468" spans="3:29">
      <c r="C468" t="s">
        <v>2397</v>
      </c>
      <c r="D468" t="s">
        <v>2391</v>
      </c>
      <c r="E468" s="84">
        <v>119.99</v>
      </c>
      <c r="F468" s="84">
        <v>59.994999999999997</v>
      </c>
      <c r="G468" t="s">
        <v>2257</v>
      </c>
      <c r="H468" t="s">
        <v>2398</v>
      </c>
      <c r="I468" t="s">
        <v>2399</v>
      </c>
      <c r="J468" t="s">
        <v>2400</v>
      </c>
      <c r="K468" t="s">
        <v>2395</v>
      </c>
      <c r="L468" t="s">
        <v>646</v>
      </c>
      <c r="N468">
        <v>10</v>
      </c>
      <c r="O468">
        <v>42</v>
      </c>
      <c r="P468">
        <v>4.1999999999999997E-3</v>
      </c>
      <c r="Q468" s="84" t="e">
        <v>#REF!</v>
      </c>
      <c r="R468" s="85"/>
      <c r="S468" s="85"/>
      <c r="T468" s="86">
        <v>0</v>
      </c>
      <c r="U468" s="84">
        <v>0</v>
      </c>
      <c r="V468" s="84">
        <v>83.992999999999995</v>
      </c>
      <c r="W468" s="84">
        <v>41.996499999999997</v>
      </c>
      <c r="X468" s="82">
        <v>0.35</v>
      </c>
      <c r="Y468" s="82"/>
      <c r="Z468" s="84">
        <v>41.996499999999997</v>
      </c>
      <c r="AA468" s="84">
        <v>83.992999999999995</v>
      </c>
      <c r="AB468" s="88" t="e">
        <v>#DIV/0!</v>
      </c>
      <c r="AC468" t="s">
        <v>2401</v>
      </c>
    </row>
    <row r="469" spans="3:29">
      <c r="C469" t="s">
        <v>2402</v>
      </c>
      <c r="D469" t="s">
        <v>2403</v>
      </c>
      <c r="E469" s="84">
        <v>234.99</v>
      </c>
      <c r="F469" s="84">
        <v>117.495</v>
      </c>
      <c r="G469" t="s">
        <v>2257</v>
      </c>
      <c r="H469" t="s">
        <v>2404</v>
      </c>
      <c r="I469" t="s">
        <v>2405</v>
      </c>
      <c r="J469" t="s">
        <v>2406</v>
      </c>
      <c r="K469" t="s">
        <v>2407</v>
      </c>
      <c r="L469" t="s">
        <v>50</v>
      </c>
      <c r="N469">
        <v>12</v>
      </c>
      <c r="O469">
        <v>38</v>
      </c>
      <c r="P469">
        <v>5.4720000000000003E-3</v>
      </c>
      <c r="Q469" s="84" t="e">
        <v>#REF!</v>
      </c>
      <c r="R469" s="85">
        <v>757416.11919624195</v>
      </c>
      <c r="S469" s="85">
        <v>0</v>
      </c>
      <c r="T469" s="86">
        <v>757416.11919624195</v>
      </c>
      <c r="U469" s="84">
        <v>50.494407946416104</v>
      </c>
      <c r="V469" s="84">
        <v>164.49299999999999</v>
      </c>
      <c r="W469" s="84">
        <v>82.246499999999997</v>
      </c>
      <c r="X469" s="82">
        <v>0.35</v>
      </c>
      <c r="Y469" s="87">
        <v>100.98881589283199</v>
      </c>
      <c r="Z469" s="84">
        <v>100.98881589283199</v>
      </c>
      <c r="AA469" s="84">
        <v>201.97763178566399</v>
      </c>
      <c r="AB469" s="88">
        <v>2</v>
      </c>
      <c r="AC469" t="s">
        <v>2408</v>
      </c>
    </row>
    <row r="470" spans="3:29">
      <c r="C470" t="s">
        <v>2409</v>
      </c>
      <c r="D470" t="s">
        <v>2403</v>
      </c>
      <c r="E470" s="84">
        <v>289.99</v>
      </c>
      <c r="F470" s="84">
        <v>144.995</v>
      </c>
      <c r="G470" t="s">
        <v>2257</v>
      </c>
      <c r="H470" t="s">
        <v>2410</v>
      </c>
      <c r="I470" t="s">
        <v>2411</v>
      </c>
      <c r="J470" t="s">
        <v>2412</v>
      </c>
      <c r="K470" t="s">
        <v>2407</v>
      </c>
      <c r="L470" t="s">
        <v>646</v>
      </c>
      <c r="N470">
        <v>15</v>
      </c>
      <c r="O470">
        <v>64</v>
      </c>
      <c r="P470">
        <v>1.44E-2</v>
      </c>
      <c r="Q470" s="84" t="e">
        <v>#REF!</v>
      </c>
      <c r="R470" s="85"/>
      <c r="S470" s="85"/>
      <c r="T470" s="86">
        <v>0</v>
      </c>
      <c r="U470" s="84">
        <v>0</v>
      </c>
      <c r="V470" s="84">
        <v>202.99299999999999</v>
      </c>
      <c r="W470" s="84">
        <v>101.4965</v>
      </c>
      <c r="X470" s="82">
        <v>0.35</v>
      </c>
      <c r="Y470" s="82"/>
      <c r="Z470" s="84">
        <v>101.4965</v>
      </c>
      <c r="AA470" s="84">
        <v>202.99299999999999</v>
      </c>
      <c r="AB470" s="88" t="e">
        <v>#DIV/0!</v>
      </c>
      <c r="AC470" t="s">
        <v>2413</v>
      </c>
    </row>
    <row r="471" spans="3:29">
      <c r="C471" t="s">
        <v>2414</v>
      </c>
      <c r="D471" t="s">
        <v>2415</v>
      </c>
      <c r="E471" s="84">
        <v>282.99</v>
      </c>
      <c r="F471" s="84">
        <v>141.495</v>
      </c>
      <c r="G471" t="s">
        <v>2257</v>
      </c>
      <c r="H471" t="s">
        <v>2416</v>
      </c>
      <c r="I471" t="s">
        <v>2417</v>
      </c>
      <c r="J471" t="s">
        <v>2418</v>
      </c>
      <c r="K471" t="s">
        <v>2419</v>
      </c>
      <c r="L471" t="s">
        <v>646</v>
      </c>
      <c r="M471">
        <v>26</v>
      </c>
      <c r="N471">
        <v>26</v>
      </c>
      <c r="O471">
        <v>54</v>
      </c>
      <c r="P471">
        <v>3.6504000000000002E-2</v>
      </c>
      <c r="Q471" s="84" t="e">
        <v>#REF!</v>
      </c>
      <c r="R471" s="85">
        <v>159528.33884129999</v>
      </c>
      <c r="S471" s="85">
        <v>1100000</v>
      </c>
      <c r="T471" s="86">
        <v>1259528.3388413</v>
      </c>
      <c r="U471" s="84">
        <v>83.968555922753296</v>
      </c>
      <c r="V471" s="84">
        <v>198.09299999999999</v>
      </c>
      <c r="W471" s="84">
        <v>99.046499999999995</v>
      </c>
      <c r="X471" s="82">
        <v>0.35</v>
      </c>
      <c r="Y471" s="87">
        <v>138.54811727254301</v>
      </c>
      <c r="Z471" s="84">
        <v>138.54811727254301</v>
      </c>
      <c r="AA471" s="84">
        <v>277.09623454508602</v>
      </c>
      <c r="AB471" s="88">
        <v>2</v>
      </c>
      <c r="AC471" t="s">
        <v>2420</v>
      </c>
    </row>
    <row r="472" spans="3:29">
      <c r="C472" t="s">
        <v>2421</v>
      </c>
      <c r="D472" t="s">
        <v>2422</v>
      </c>
      <c r="E472" s="84">
        <v>115.99</v>
      </c>
      <c r="F472" s="84">
        <v>57.994999999999997</v>
      </c>
      <c r="G472" t="s">
        <v>2257</v>
      </c>
      <c r="H472" t="s">
        <v>2423</v>
      </c>
      <c r="I472" t="s">
        <v>2424</v>
      </c>
      <c r="J472" t="s">
        <v>2425</v>
      </c>
      <c r="K472" t="s">
        <v>2407</v>
      </c>
      <c r="L472" t="s">
        <v>646</v>
      </c>
      <c r="N472">
        <v>8</v>
      </c>
      <c r="O472">
        <v>40</v>
      </c>
      <c r="P472">
        <v>2.5600000000000002E-3</v>
      </c>
      <c r="Q472" s="84" t="e">
        <v>#REF!</v>
      </c>
      <c r="R472" s="85"/>
      <c r="S472" s="85"/>
      <c r="T472" s="86">
        <v>0</v>
      </c>
      <c r="U472" s="84">
        <v>0</v>
      </c>
      <c r="V472" s="84">
        <v>81.192999999999998</v>
      </c>
      <c r="W472" s="84">
        <v>40.596499999999999</v>
      </c>
      <c r="X472" s="82">
        <v>0.35</v>
      </c>
      <c r="Y472" s="82"/>
      <c r="Z472" s="84">
        <v>40.596499999999999</v>
      </c>
      <c r="AA472" s="84">
        <v>81.192999999999998</v>
      </c>
      <c r="AB472" s="88" t="e">
        <v>#DIV/0!</v>
      </c>
      <c r="AC472" t="s">
        <v>2426</v>
      </c>
    </row>
    <row r="473" spans="3:29">
      <c r="C473" t="s">
        <v>2427</v>
      </c>
      <c r="D473" t="s">
        <v>2422</v>
      </c>
      <c r="E473" s="84">
        <v>130.99</v>
      </c>
      <c r="F473" s="84">
        <v>65.495000000000005</v>
      </c>
      <c r="G473" t="s">
        <v>2257</v>
      </c>
      <c r="H473" t="s">
        <v>2428</v>
      </c>
      <c r="I473" t="s">
        <v>2429</v>
      </c>
      <c r="J473" t="s">
        <v>2430</v>
      </c>
      <c r="K473" t="s">
        <v>2407</v>
      </c>
      <c r="L473" t="s">
        <v>646</v>
      </c>
      <c r="N473">
        <v>8</v>
      </c>
      <c r="O473">
        <v>60</v>
      </c>
      <c r="P473">
        <v>3.8400000000000001E-3</v>
      </c>
      <c r="Q473" s="84" t="e">
        <v>#REF!</v>
      </c>
      <c r="R473" s="85"/>
      <c r="S473" s="85"/>
      <c r="T473" s="86">
        <v>0</v>
      </c>
      <c r="U473" s="84">
        <v>0</v>
      </c>
      <c r="V473" s="84">
        <v>91.692999999999998</v>
      </c>
      <c r="W473" s="84">
        <v>45.846499999999999</v>
      </c>
      <c r="X473" s="82">
        <v>0.35</v>
      </c>
      <c r="Y473" s="82"/>
      <c r="Z473" s="84">
        <v>45.846499999999999</v>
      </c>
      <c r="AA473" s="84">
        <v>91.692999999999998</v>
      </c>
      <c r="AB473" s="88" t="e">
        <v>#DIV/0!</v>
      </c>
      <c r="AC473" t="s">
        <v>2431</v>
      </c>
    </row>
    <row r="474" spans="3:29">
      <c r="C474" t="s">
        <v>2432</v>
      </c>
      <c r="D474" t="s">
        <v>2422</v>
      </c>
      <c r="E474" s="84">
        <v>146.99</v>
      </c>
      <c r="F474" s="84">
        <v>73.495000000000005</v>
      </c>
      <c r="G474" t="s">
        <v>2257</v>
      </c>
      <c r="H474" t="s">
        <v>2433</v>
      </c>
      <c r="I474" t="s">
        <v>2434</v>
      </c>
      <c r="J474" t="s">
        <v>2435</v>
      </c>
      <c r="K474" t="s">
        <v>2407</v>
      </c>
      <c r="L474" t="s">
        <v>646</v>
      </c>
      <c r="N474">
        <v>8</v>
      </c>
      <c r="O474">
        <v>80</v>
      </c>
      <c r="P474">
        <v>5.1200000000000004E-3</v>
      </c>
      <c r="Q474" s="84" t="e">
        <v>#REF!</v>
      </c>
      <c r="R474" s="85"/>
      <c r="S474" s="85"/>
      <c r="T474" s="86">
        <v>0</v>
      </c>
      <c r="U474" s="84">
        <v>0</v>
      </c>
      <c r="V474" s="84">
        <v>102.893</v>
      </c>
      <c r="W474" s="84">
        <v>51.4465</v>
      </c>
      <c r="X474" s="82">
        <v>0.35</v>
      </c>
      <c r="Y474" s="82"/>
      <c r="Z474" s="84">
        <v>51.4465</v>
      </c>
      <c r="AA474" s="84">
        <v>102.893</v>
      </c>
      <c r="AB474" s="88" t="e">
        <v>#DIV/0!</v>
      </c>
      <c r="AC474" t="s">
        <v>2436</v>
      </c>
    </row>
    <row r="475" spans="3:29">
      <c r="C475" t="s">
        <v>2437</v>
      </c>
      <c r="D475" t="s">
        <v>2422</v>
      </c>
      <c r="E475" s="84">
        <v>300.99</v>
      </c>
      <c r="F475" s="84">
        <v>150.495</v>
      </c>
      <c r="G475" t="s">
        <v>2257</v>
      </c>
      <c r="H475" t="s">
        <v>2438</v>
      </c>
      <c r="I475" t="s">
        <v>2439</v>
      </c>
      <c r="J475" t="s">
        <v>2440</v>
      </c>
      <c r="K475" t="s">
        <v>2407</v>
      </c>
      <c r="L475" t="s">
        <v>646</v>
      </c>
      <c r="N475">
        <v>8</v>
      </c>
      <c r="O475">
        <v>170</v>
      </c>
      <c r="P475">
        <v>1.0880000000000001E-2</v>
      </c>
      <c r="Q475" s="84" t="e">
        <v>#REF!</v>
      </c>
      <c r="R475" s="85"/>
      <c r="S475" s="85"/>
      <c r="T475" s="86">
        <v>0</v>
      </c>
      <c r="U475" s="84">
        <v>0</v>
      </c>
      <c r="V475" s="84">
        <v>210.69300000000001</v>
      </c>
      <c r="W475" s="84">
        <v>105.34650000000001</v>
      </c>
      <c r="X475" s="82">
        <v>0.35</v>
      </c>
      <c r="Y475" s="82"/>
      <c r="Z475" s="84">
        <v>105.34650000000001</v>
      </c>
      <c r="AA475" s="84">
        <v>210.69300000000001</v>
      </c>
      <c r="AB475" s="88" t="e">
        <v>#DIV/0!</v>
      </c>
      <c r="AC475" t="s">
        <v>2441</v>
      </c>
    </row>
    <row r="476" spans="3:29">
      <c r="C476" t="s">
        <v>2442</v>
      </c>
      <c r="D476" t="s">
        <v>2443</v>
      </c>
      <c r="E476" s="84">
        <v>197.99</v>
      </c>
      <c r="F476" s="84">
        <v>98.995000000000005</v>
      </c>
      <c r="G476" t="s">
        <v>2257</v>
      </c>
      <c r="H476" t="s">
        <v>2444</v>
      </c>
      <c r="I476" t="s">
        <v>2445</v>
      </c>
      <c r="J476" t="s">
        <v>2191</v>
      </c>
      <c r="K476" t="s">
        <v>2192</v>
      </c>
      <c r="L476" t="s">
        <v>50</v>
      </c>
      <c r="N476">
        <v>13</v>
      </c>
      <c r="O476">
        <v>20</v>
      </c>
      <c r="P476">
        <v>3.3800000000000002E-3</v>
      </c>
      <c r="Q476" s="84" t="e">
        <v>#REF!</v>
      </c>
      <c r="R476" s="85">
        <v>181252.62655334099</v>
      </c>
      <c r="S476" s="85">
        <v>0</v>
      </c>
      <c r="T476" s="86">
        <v>181252.62655334099</v>
      </c>
      <c r="U476" s="84">
        <v>12.083508436889399</v>
      </c>
      <c r="V476" s="84">
        <v>138.59299999999999</v>
      </c>
      <c r="W476" s="84">
        <v>69.296499999999995</v>
      </c>
      <c r="X476" s="82">
        <v>0.35</v>
      </c>
      <c r="Y476" s="82"/>
      <c r="Z476" s="84">
        <v>69.296499999999995</v>
      </c>
      <c r="AA476" s="84">
        <v>138.59299999999999</v>
      </c>
      <c r="AB476" s="88">
        <v>5.73479965375342</v>
      </c>
      <c r="AC476" t="s">
        <v>2446</v>
      </c>
    </row>
    <row r="477" spans="3:29">
      <c r="C477" t="s">
        <v>2447</v>
      </c>
      <c r="D477" t="s">
        <v>2443</v>
      </c>
      <c r="E477" s="84">
        <v>211.99</v>
      </c>
      <c r="F477" s="84">
        <v>105.995</v>
      </c>
      <c r="G477" t="s">
        <v>2257</v>
      </c>
      <c r="H477" t="s">
        <v>2448</v>
      </c>
      <c r="I477" t="s">
        <v>2449</v>
      </c>
      <c r="J477" t="s">
        <v>2198</v>
      </c>
      <c r="K477" t="s">
        <v>2192</v>
      </c>
      <c r="L477" t="s">
        <v>50</v>
      </c>
      <c r="N477">
        <v>13</v>
      </c>
      <c r="O477">
        <v>25</v>
      </c>
      <c r="P477">
        <v>4.2249999999999996E-3</v>
      </c>
      <c r="Q477" s="84" t="e">
        <v>#REF!</v>
      </c>
      <c r="R477" s="85"/>
      <c r="S477" s="85"/>
      <c r="T477" s="86">
        <v>0</v>
      </c>
      <c r="U477" s="84">
        <v>0</v>
      </c>
      <c r="V477" s="84">
        <v>148.393</v>
      </c>
      <c r="W477" s="84">
        <v>74.1965</v>
      </c>
      <c r="X477" s="82">
        <v>0.35</v>
      </c>
      <c r="Y477" s="82"/>
      <c r="Z477" s="84">
        <v>74.1965</v>
      </c>
      <c r="AA477" s="84">
        <v>148.393</v>
      </c>
      <c r="AB477" s="88" t="e">
        <v>#DIV/0!</v>
      </c>
      <c r="AC477" t="s">
        <v>2450</v>
      </c>
    </row>
    <row r="478" spans="3:29">
      <c r="C478" t="s">
        <v>2451</v>
      </c>
      <c r="D478" t="s">
        <v>2443</v>
      </c>
      <c r="E478" s="84">
        <v>221.99</v>
      </c>
      <c r="F478" s="84">
        <v>110.995</v>
      </c>
      <c r="G478" t="s">
        <v>2257</v>
      </c>
      <c r="H478" t="s">
        <v>2452</v>
      </c>
      <c r="I478" t="s">
        <v>2453</v>
      </c>
      <c r="J478" t="s">
        <v>2203</v>
      </c>
      <c r="K478" t="s">
        <v>2192</v>
      </c>
      <c r="L478" t="s">
        <v>50</v>
      </c>
      <c r="N478">
        <v>13</v>
      </c>
      <c r="O478">
        <v>30</v>
      </c>
      <c r="P478">
        <v>5.0699999999999999E-3</v>
      </c>
      <c r="Q478" s="84" t="e">
        <v>#REF!</v>
      </c>
      <c r="R478" s="85"/>
      <c r="S478" s="85"/>
      <c r="T478" s="86">
        <v>0</v>
      </c>
      <c r="U478" s="84">
        <v>0</v>
      </c>
      <c r="V478" s="84">
        <v>155.393</v>
      </c>
      <c r="W478" s="84">
        <v>77.6965</v>
      </c>
      <c r="X478" s="82">
        <v>0.35</v>
      </c>
      <c r="Y478" s="82"/>
      <c r="Z478" s="84">
        <v>77.6965</v>
      </c>
      <c r="AA478" s="84">
        <v>155.393</v>
      </c>
      <c r="AB478" s="88" t="e">
        <v>#DIV/0!</v>
      </c>
      <c r="AC478" t="s">
        <v>2454</v>
      </c>
    </row>
    <row r="479" spans="3:29">
      <c r="C479" t="s">
        <v>2455</v>
      </c>
      <c r="D479" t="s">
        <v>2456</v>
      </c>
      <c r="E479" s="84">
        <v>347.99</v>
      </c>
      <c r="F479" s="84">
        <v>173.995</v>
      </c>
      <c r="G479" t="s">
        <v>2257</v>
      </c>
      <c r="H479" t="s">
        <v>2457</v>
      </c>
      <c r="I479" t="s">
        <v>2458</v>
      </c>
      <c r="J479" t="s">
        <v>2209</v>
      </c>
      <c r="K479" t="s">
        <v>2192</v>
      </c>
      <c r="L479" t="s">
        <v>50</v>
      </c>
      <c r="M479">
        <v>16</v>
      </c>
      <c r="N479">
        <v>16</v>
      </c>
      <c r="O479">
        <v>35</v>
      </c>
      <c r="P479">
        <v>8.9599999999999992E-3</v>
      </c>
      <c r="Q479" s="84" t="e">
        <v>#REF!</v>
      </c>
      <c r="R479" s="85"/>
      <c r="S479" s="85"/>
      <c r="T479" s="86">
        <v>0</v>
      </c>
      <c r="U479" s="84">
        <v>0</v>
      </c>
      <c r="V479" s="84">
        <v>243.59299999999999</v>
      </c>
      <c r="W479" s="84">
        <v>121.79649999999999</v>
      </c>
      <c r="X479" s="82">
        <v>0.35</v>
      </c>
      <c r="Y479" s="82"/>
      <c r="Z479" s="84">
        <v>121.79649999999999</v>
      </c>
      <c r="AA479" s="84">
        <v>243.59299999999999</v>
      </c>
      <c r="AB479" s="88" t="e">
        <v>#DIV/0!</v>
      </c>
      <c r="AC479" t="s">
        <v>2459</v>
      </c>
    </row>
    <row r="480" spans="3:29">
      <c r="C480" t="s">
        <v>2460</v>
      </c>
      <c r="D480" t="s">
        <v>2456</v>
      </c>
      <c r="E480" s="84">
        <v>475.99</v>
      </c>
      <c r="F480" s="84">
        <v>237.995</v>
      </c>
      <c r="G480" t="s">
        <v>2257</v>
      </c>
      <c r="H480" t="s">
        <v>2461</v>
      </c>
      <c r="I480" t="s">
        <v>2462</v>
      </c>
      <c r="J480" t="s">
        <v>2463</v>
      </c>
      <c r="K480" t="s">
        <v>2192</v>
      </c>
      <c r="L480" t="s">
        <v>50</v>
      </c>
      <c r="M480">
        <v>16</v>
      </c>
      <c r="N480">
        <v>16</v>
      </c>
      <c r="O480">
        <v>110</v>
      </c>
      <c r="P480">
        <v>2.8160000000000001E-2</v>
      </c>
      <c r="Q480" s="84" t="e">
        <v>#REF!</v>
      </c>
      <c r="R480" s="85">
        <v>537194.89229017997</v>
      </c>
      <c r="S480" s="85">
        <v>0</v>
      </c>
      <c r="T480" s="86">
        <v>537194.89229017997</v>
      </c>
      <c r="U480" s="84">
        <v>35.812992819345297</v>
      </c>
      <c r="V480" s="84">
        <v>333.19299999999998</v>
      </c>
      <c r="W480" s="84">
        <v>166.59649999999999</v>
      </c>
      <c r="X480" s="82">
        <v>0.35</v>
      </c>
      <c r="Y480" s="82"/>
      <c r="Z480" s="84">
        <v>166.59649999999999</v>
      </c>
      <c r="AA480" s="84">
        <v>333.19299999999998</v>
      </c>
      <c r="AB480" s="88">
        <v>4.6518452350625301</v>
      </c>
      <c r="AC480" t="s">
        <v>2464</v>
      </c>
    </row>
    <row r="481" spans="3:29">
      <c r="C481" t="s">
        <v>2465</v>
      </c>
      <c r="D481" t="s">
        <v>2456</v>
      </c>
      <c r="E481" s="84">
        <v>670.99</v>
      </c>
      <c r="F481" s="84">
        <v>335.495</v>
      </c>
      <c r="G481" t="s">
        <v>2257</v>
      </c>
      <c r="H481" t="s">
        <v>2466</v>
      </c>
      <c r="I481" t="s">
        <v>2467</v>
      </c>
      <c r="J481" t="s">
        <v>2468</v>
      </c>
      <c r="K481" t="s">
        <v>2192</v>
      </c>
      <c r="L481" t="s">
        <v>50</v>
      </c>
      <c r="M481">
        <v>16</v>
      </c>
      <c r="N481">
        <v>16</v>
      </c>
      <c r="O481">
        <v>170</v>
      </c>
      <c r="P481">
        <v>4.3520000000000003E-2</v>
      </c>
      <c r="Q481" s="84" t="e">
        <v>#REF!</v>
      </c>
      <c r="R481" s="85"/>
      <c r="S481" s="85"/>
      <c r="T481" s="86">
        <v>0</v>
      </c>
      <c r="U481" s="84">
        <v>0</v>
      </c>
      <c r="V481" s="84">
        <v>469.69299999999998</v>
      </c>
      <c r="W481" s="84">
        <v>234.84649999999999</v>
      </c>
      <c r="X481" s="82">
        <v>0.35</v>
      </c>
      <c r="Y481" s="82"/>
      <c r="Z481" s="84">
        <v>234.84649999999999</v>
      </c>
      <c r="AA481" s="84">
        <v>469.69299999999998</v>
      </c>
      <c r="AB481" s="88" t="e">
        <v>#DIV/0!</v>
      </c>
      <c r="AC481" t="s">
        <v>2469</v>
      </c>
    </row>
    <row r="482" spans="3:29" ht="45.75">
      <c r="C482" t="s">
        <v>2470</v>
      </c>
      <c r="D482" t="s">
        <v>2471</v>
      </c>
      <c r="E482" s="84"/>
      <c r="F482" s="84">
        <v>0</v>
      </c>
      <c r="G482" t="s">
        <v>2257</v>
      </c>
      <c r="H482" t="s">
        <v>2472</v>
      </c>
      <c r="I482" t="s">
        <v>2473</v>
      </c>
      <c r="J482" t="s">
        <v>2474</v>
      </c>
      <c r="K482" s="83" t="s">
        <v>2475</v>
      </c>
      <c r="L482" t="s">
        <v>50</v>
      </c>
      <c r="M482">
        <v>90</v>
      </c>
      <c r="N482">
        <v>90</v>
      </c>
      <c r="O482">
        <v>30</v>
      </c>
      <c r="P482">
        <v>0.24299999999999999</v>
      </c>
      <c r="Q482" s="84" t="e">
        <v>#REF!</v>
      </c>
      <c r="R482" s="85"/>
      <c r="S482" s="85"/>
      <c r="T482" s="86">
        <v>0</v>
      </c>
      <c r="U482" s="84">
        <v>0</v>
      </c>
      <c r="V482" s="84">
        <v>0</v>
      </c>
      <c r="W482" s="84">
        <v>0</v>
      </c>
      <c r="X482" s="82" t="e">
        <v>#DIV/0!</v>
      </c>
      <c r="Y482" s="82"/>
      <c r="Z482" s="84">
        <v>0</v>
      </c>
      <c r="AA482" s="84">
        <v>0</v>
      </c>
      <c r="AB482" s="88" t="e">
        <v>#DIV/0!</v>
      </c>
      <c r="AC482" t="s">
        <v>2476</v>
      </c>
    </row>
    <row r="483" spans="3:29" ht="45.75">
      <c r="C483" t="s">
        <v>2478</v>
      </c>
      <c r="D483" t="s">
        <v>2471</v>
      </c>
      <c r="E483" s="84"/>
      <c r="F483" s="84">
        <v>0</v>
      </c>
      <c r="G483" t="s">
        <v>2257</v>
      </c>
      <c r="H483" t="s">
        <v>2479</v>
      </c>
      <c r="I483" t="s">
        <v>2480</v>
      </c>
      <c r="J483" t="s">
        <v>2481</v>
      </c>
      <c r="K483" s="83" t="s">
        <v>2475</v>
      </c>
      <c r="L483" t="s">
        <v>50</v>
      </c>
      <c r="M483">
        <v>125</v>
      </c>
      <c r="N483">
        <v>125</v>
      </c>
      <c r="O483">
        <v>4</v>
      </c>
      <c r="P483">
        <v>6.25E-2</v>
      </c>
      <c r="Q483" s="84" t="e">
        <v>#REF!</v>
      </c>
      <c r="R483" s="85"/>
      <c r="S483" s="85"/>
      <c r="T483" s="86">
        <v>0</v>
      </c>
      <c r="U483" s="84">
        <v>0</v>
      </c>
      <c r="V483" s="84">
        <v>0</v>
      </c>
      <c r="W483" s="84">
        <v>0</v>
      </c>
      <c r="X483" s="82" t="e">
        <v>#DIV/0!</v>
      </c>
      <c r="Y483" s="82"/>
      <c r="Z483" s="84">
        <v>0</v>
      </c>
      <c r="AA483" s="84">
        <v>0</v>
      </c>
      <c r="AB483" s="88" t="e">
        <v>#DIV/0!</v>
      </c>
      <c r="AC483" t="s">
        <v>2482</v>
      </c>
    </row>
    <row r="484" spans="3:29">
      <c r="C484" t="s">
        <v>2483</v>
      </c>
      <c r="D484" t="s">
        <v>2471</v>
      </c>
      <c r="E484" s="84">
        <v>384.99</v>
      </c>
      <c r="F484" s="84">
        <v>192.495</v>
      </c>
      <c r="G484" t="s">
        <v>2257</v>
      </c>
      <c r="H484" t="s">
        <v>2484</v>
      </c>
      <c r="I484" t="s">
        <v>2485</v>
      </c>
      <c r="J484" t="s">
        <v>2486</v>
      </c>
      <c r="K484" t="s">
        <v>2487</v>
      </c>
      <c r="L484" t="s">
        <v>646</v>
      </c>
      <c r="M484">
        <v>90</v>
      </c>
      <c r="N484">
        <v>90</v>
      </c>
      <c r="O484">
        <v>25</v>
      </c>
      <c r="P484">
        <v>0.20250000000000001</v>
      </c>
      <c r="Q484" s="84" t="e">
        <v>#REF!</v>
      </c>
      <c r="R484" s="85"/>
      <c r="S484" s="85"/>
      <c r="T484" s="86">
        <v>0</v>
      </c>
      <c r="U484" s="84">
        <v>0</v>
      </c>
      <c r="V484" s="84">
        <v>269.49299999999999</v>
      </c>
      <c r="W484" s="84">
        <v>134.7465</v>
      </c>
      <c r="X484" s="82">
        <v>0.35</v>
      </c>
      <c r="Y484" s="82"/>
      <c r="Z484" s="84">
        <v>134.7465</v>
      </c>
      <c r="AA484" s="84">
        <v>269.49299999999999</v>
      </c>
      <c r="AB484" s="88" t="e">
        <v>#DIV/0!</v>
      </c>
      <c r="AC484" t="s">
        <v>2488</v>
      </c>
    </row>
    <row r="485" spans="3:29" ht="60.75">
      <c r="C485" t="s">
        <v>2470</v>
      </c>
      <c r="D485" t="s">
        <v>2490</v>
      </c>
      <c r="E485" s="84"/>
      <c r="F485" s="84">
        <v>0</v>
      </c>
      <c r="G485" t="s">
        <v>2257</v>
      </c>
      <c r="H485" t="s">
        <v>2491</v>
      </c>
      <c r="I485" t="s">
        <v>2492</v>
      </c>
      <c r="J485" t="s">
        <v>2481</v>
      </c>
      <c r="K485" s="83" t="s">
        <v>2493</v>
      </c>
      <c r="L485" t="s">
        <v>646</v>
      </c>
      <c r="M485">
        <v>125</v>
      </c>
      <c r="N485">
        <v>125</v>
      </c>
      <c r="O485">
        <v>4</v>
      </c>
      <c r="P485">
        <v>6.25E-2</v>
      </c>
      <c r="Q485" s="84" t="e">
        <v>#REF!</v>
      </c>
      <c r="R485" s="85"/>
      <c r="S485" s="85"/>
      <c r="T485" s="86">
        <v>0</v>
      </c>
      <c r="U485" s="84">
        <v>0</v>
      </c>
      <c r="V485" s="84">
        <v>0</v>
      </c>
      <c r="W485" s="84">
        <v>0</v>
      </c>
      <c r="X485" s="82" t="e">
        <v>#DIV/0!</v>
      </c>
      <c r="Y485" s="82"/>
      <c r="Z485" s="84">
        <v>0</v>
      </c>
      <c r="AA485" s="84">
        <v>0</v>
      </c>
      <c r="AB485" s="88" t="e">
        <v>#DIV/0!</v>
      </c>
      <c r="AC485" t="s">
        <v>2494</v>
      </c>
    </row>
    <row r="486" spans="3:29">
      <c r="C486" t="s">
        <v>2495</v>
      </c>
      <c r="D486" t="s">
        <v>2496</v>
      </c>
      <c r="E486" s="84">
        <v>309.99</v>
      </c>
      <c r="F486" s="84">
        <v>154.995</v>
      </c>
      <c r="G486" t="s">
        <v>2257</v>
      </c>
      <c r="H486" t="s">
        <v>2497</v>
      </c>
      <c r="I486" t="s">
        <v>2498</v>
      </c>
      <c r="J486" t="s">
        <v>2499</v>
      </c>
      <c r="K486" t="s">
        <v>2125</v>
      </c>
      <c r="L486" t="s">
        <v>646</v>
      </c>
      <c r="N486">
        <v>40</v>
      </c>
      <c r="O486">
        <v>200</v>
      </c>
      <c r="P486">
        <v>0.32</v>
      </c>
      <c r="Q486" s="84" t="e">
        <v>#REF!</v>
      </c>
      <c r="R486" s="85"/>
      <c r="S486" s="85"/>
      <c r="T486" s="86">
        <v>0</v>
      </c>
      <c r="U486" s="84">
        <v>0</v>
      </c>
      <c r="V486" s="84">
        <v>216.99299999999999</v>
      </c>
      <c r="W486" s="84">
        <v>108.4965</v>
      </c>
      <c r="X486" s="82">
        <v>0.35</v>
      </c>
      <c r="Y486" s="82"/>
      <c r="Z486" s="84">
        <v>108.4965</v>
      </c>
      <c r="AA486" s="84">
        <v>216.99299999999999</v>
      </c>
      <c r="AB486" s="88" t="e">
        <v>#DIV/0!</v>
      </c>
      <c r="AC486" t="s">
        <v>2500</v>
      </c>
    </row>
    <row r="487" spans="3:29">
      <c r="C487" t="s">
        <v>2501</v>
      </c>
      <c r="D487" t="s">
        <v>2502</v>
      </c>
      <c r="E487" s="84">
        <v>71.989999999999995</v>
      </c>
      <c r="F487" s="84">
        <v>35.994999999999997</v>
      </c>
      <c r="G487" t="s">
        <v>2257</v>
      </c>
      <c r="H487" t="s">
        <v>2503</v>
      </c>
      <c r="I487" t="s">
        <v>2504</v>
      </c>
      <c r="J487" t="s">
        <v>1946</v>
      </c>
      <c r="K487" t="s">
        <v>2505</v>
      </c>
      <c r="L487" t="s">
        <v>670</v>
      </c>
      <c r="P487">
        <v>0</v>
      </c>
      <c r="Q487" s="84" t="e">
        <v>#REF!</v>
      </c>
      <c r="R487" s="85"/>
      <c r="S487" s="85"/>
      <c r="T487" s="86">
        <v>0</v>
      </c>
      <c r="U487" s="84">
        <v>0</v>
      </c>
      <c r="V487" s="84">
        <v>50.393000000000001</v>
      </c>
      <c r="W487" s="84">
        <v>25.1965</v>
      </c>
      <c r="X487" s="82">
        <v>0.35</v>
      </c>
      <c r="Y487" s="82"/>
      <c r="Z487" s="84">
        <v>25.1965</v>
      </c>
      <c r="AA487" s="84">
        <v>50.393000000000001</v>
      </c>
      <c r="AB487" s="88" t="e">
        <v>#DIV/0!</v>
      </c>
      <c r="AC487" t="s">
        <v>2506</v>
      </c>
    </row>
    <row r="488" spans="3:29">
      <c r="C488" t="s">
        <v>2508</v>
      </c>
      <c r="D488" t="s">
        <v>2509</v>
      </c>
      <c r="E488" s="84">
        <v>289.99</v>
      </c>
      <c r="F488" s="84">
        <v>144.995</v>
      </c>
      <c r="G488" t="s">
        <v>2257</v>
      </c>
      <c r="H488" t="s">
        <v>2510</v>
      </c>
      <c r="I488" t="s">
        <v>2511</v>
      </c>
      <c r="J488" t="s">
        <v>2512</v>
      </c>
      <c r="K488" t="s">
        <v>2513</v>
      </c>
      <c r="L488" t="s">
        <v>50</v>
      </c>
      <c r="N488">
        <v>46</v>
      </c>
      <c r="O488">
        <v>41</v>
      </c>
      <c r="P488">
        <v>8.6756E-2</v>
      </c>
      <c r="Q488" s="84" t="e">
        <v>#REF!</v>
      </c>
      <c r="R488" s="85"/>
      <c r="S488" s="85"/>
      <c r="T488" s="86">
        <v>0</v>
      </c>
      <c r="U488" s="84">
        <v>0</v>
      </c>
      <c r="V488" s="84">
        <v>202.99299999999999</v>
      </c>
      <c r="W488" s="84">
        <v>101.4965</v>
      </c>
      <c r="X488" s="82">
        <v>0.35</v>
      </c>
      <c r="Y488" s="82"/>
      <c r="Z488" s="84">
        <v>101.4965</v>
      </c>
      <c r="AA488" s="84">
        <v>202.99299999999999</v>
      </c>
      <c r="AB488" s="88" t="e">
        <v>#DIV/0!</v>
      </c>
      <c r="AC488" t="s">
        <v>2514</v>
      </c>
    </row>
    <row r="489" spans="3:29">
      <c r="C489" t="s">
        <v>2516</v>
      </c>
      <c r="D489" t="s">
        <v>2517</v>
      </c>
      <c r="E489" s="84">
        <v>755.99</v>
      </c>
      <c r="F489" s="84">
        <v>377.995</v>
      </c>
      <c r="G489" t="s">
        <v>2257</v>
      </c>
      <c r="H489" t="s">
        <v>2518</v>
      </c>
      <c r="I489" t="s">
        <v>2519</v>
      </c>
      <c r="J489" t="s">
        <v>2520</v>
      </c>
      <c r="K489" t="s">
        <v>2513</v>
      </c>
      <c r="L489" t="s">
        <v>50</v>
      </c>
      <c r="N489">
        <v>50</v>
      </c>
      <c r="O489">
        <v>170</v>
      </c>
      <c r="P489">
        <v>0.42499999999999999</v>
      </c>
      <c r="Q489" s="84" t="e">
        <v>#REF!</v>
      </c>
      <c r="R489" s="85"/>
      <c r="S489" s="85"/>
      <c r="T489" s="86">
        <v>0</v>
      </c>
      <c r="U489" s="84">
        <v>0</v>
      </c>
      <c r="V489" s="84">
        <v>529.19299999999998</v>
      </c>
      <c r="W489" s="84">
        <v>264.59649999999999</v>
      </c>
      <c r="X489" s="82">
        <v>0.35</v>
      </c>
      <c r="Y489" s="82"/>
      <c r="Z489" s="84">
        <v>264.59649999999999</v>
      </c>
      <c r="AA489" s="84">
        <v>529.19299999999998</v>
      </c>
      <c r="AB489" s="88" t="e">
        <v>#DIV/0!</v>
      </c>
      <c r="AC489" t="s">
        <v>2521</v>
      </c>
    </row>
    <row r="490" spans="3:29">
      <c r="C490" t="s">
        <v>2522</v>
      </c>
      <c r="D490" t="s">
        <v>2523</v>
      </c>
      <c r="E490" s="84">
        <v>271.99</v>
      </c>
      <c r="F490" s="84">
        <v>135.995</v>
      </c>
      <c r="G490" t="s">
        <v>2257</v>
      </c>
      <c r="H490" t="s">
        <v>2524</v>
      </c>
      <c r="I490" t="s">
        <v>2525</v>
      </c>
      <c r="J490" t="s">
        <v>2526</v>
      </c>
      <c r="K490" t="s">
        <v>2513</v>
      </c>
      <c r="L490" t="s">
        <v>50</v>
      </c>
      <c r="N490">
        <v>32</v>
      </c>
      <c r="O490">
        <v>38</v>
      </c>
      <c r="P490">
        <v>3.8912000000000002E-2</v>
      </c>
      <c r="Q490" s="84" t="e">
        <v>#REF!</v>
      </c>
      <c r="R490" s="85"/>
      <c r="S490" s="85"/>
      <c r="T490" s="86">
        <v>0</v>
      </c>
      <c r="U490" s="84">
        <v>0</v>
      </c>
      <c r="V490" s="84">
        <v>190.393</v>
      </c>
      <c r="W490" s="84">
        <v>95.1965</v>
      </c>
      <c r="X490" s="82">
        <v>0.35</v>
      </c>
      <c r="Y490" s="82"/>
      <c r="Z490" s="84">
        <v>95.1965</v>
      </c>
      <c r="AA490" s="84">
        <v>190.393</v>
      </c>
      <c r="AB490" s="88" t="e">
        <v>#DIV/0!</v>
      </c>
      <c r="AC490" t="s">
        <v>2527</v>
      </c>
    </row>
    <row r="491" spans="3:29">
      <c r="C491">
        <v>22017</v>
      </c>
      <c r="D491" t="s">
        <v>2528</v>
      </c>
      <c r="E491" s="84">
        <v>79.989999999999995</v>
      </c>
      <c r="F491" s="84">
        <v>39.994999999999997</v>
      </c>
      <c r="G491" t="s">
        <v>2257</v>
      </c>
      <c r="H491" t="s">
        <v>2529</v>
      </c>
      <c r="I491" t="s">
        <v>2530</v>
      </c>
      <c r="J491" t="s">
        <v>2252</v>
      </c>
      <c r="K491" t="s">
        <v>2253</v>
      </c>
      <c r="L491" t="s">
        <v>646</v>
      </c>
      <c r="N491">
        <v>20</v>
      </c>
      <c r="O491">
        <v>17</v>
      </c>
      <c r="P491">
        <v>6.7999999999999996E-3</v>
      </c>
      <c r="Q491" s="84" t="e">
        <v>#REF!</v>
      </c>
      <c r="R491" s="85"/>
      <c r="S491" s="85"/>
      <c r="T491" s="86">
        <v>0</v>
      </c>
      <c r="U491" s="84">
        <v>0</v>
      </c>
      <c r="V491" s="84">
        <v>55.993000000000002</v>
      </c>
      <c r="W491" s="84">
        <v>27.996500000000001</v>
      </c>
      <c r="X491" s="82">
        <v>0.35</v>
      </c>
      <c r="Y491" s="82"/>
      <c r="Z491" s="84">
        <v>27.996500000000001</v>
      </c>
      <c r="AA491" s="84">
        <v>55.993000000000002</v>
      </c>
      <c r="AB491" s="88" t="e">
        <v>#DIV/0!</v>
      </c>
      <c r="AC491" t="s">
        <v>2531</v>
      </c>
    </row>
    <row r="492" spans="3:29">
      <c r="C492">
        <v>33002</v>
      </c>
      <c r="D492" t="s">
        <v>2532</v>
      </c>
      <c r="E492" s="84">
        <v>140.99</v>
      </c>
      <c r="F492" s="84">
        <v>70.495000000000005</v>
      </c>
      <c r="G492" t="s">
        <v>2257</v>
      </c>
      <c r="H492" t="s">
        <v>2533</v>
      </c>
      <c r="I492" t="s">
        <v>2534</v>
      </c>
      <c r="J492" t="s">
        <v>2535</v>
      </c>
      <c r="K492" t="s">
        <v>2536</v>
      </c>
      <c r="L492" t="s">
        <v>646</v>
      </c>
      <c r="N492">
        <v>25</v>
      </c>
      <c r="O492">
        <v>140</v>
      </c>
      <c r="P492">
        <v>8.7499999999999994E-2</v>
      </c>
      <c r="Q492" s="84" t="e">
        <v>#REF!</v>
      </c>
      <c r="R492" s="85"/>
      <c r="S492" s="85"/>
      <c r="T492" s="86">
        <v>0</v>
      </c>
      <c r="U492" s="84">
        <v>0</v>
      </c>
      <c r="V492" s="84">
        <v>98.692999999999998</v>
      </c>
      <c r="W492" s="84">
        <v>49.346499999999999</v>
      </c>
      <c r="X492" s="82">
        <v>0.35</v>
      </c>
      <c r="Y492" s="82"/>
      <c r="Z492" s="84">
        <v>49.346499999999999</v>
      </c>
      <c r="AA492" s="84">
        <v>98.692999999999998</v>
      </c>
      <c r="AB492" s="88" t="e">
        <v>#DIV/0!</v>
      </c>
      <c r="AC492" t="s">
        <v>2537</v>
      </c>
    </row>
    <row r="493" spans="3:29">
      <c r="C493">
        <v>33003</v>
      </c>
      <c r="D493" t="s">
        <v>2538</v>
      </c>
      <c r="E493" s="84">
        <v>130.99</v>
      </c>
      <c r="F493" s="84">
        <v>65.495000000000005</v>
      </c>
      <c r="G493" t="s">
        <v>2257</v>
      </c>
      <c r="H493" t="s">
        <v>2539</v>
      </c>
      <c r="I493" t="s">
        <v>2540</v>
      </c>
      <c r="J493" t="s">
        <v>2541</v>
      </c>
      <c r="K493" t="s">
        <v>2536</v>
      </c>
      <c r="L493" t="s">
        <v>646</v>
      </c>
      <c r="N493">
        <v>35</v>
      </c>
      <c r="O493">
        <v>100</v>
      </c>
      <c r="P493">
        <v>0.1225</v>
      </c>
      <c r="Q493" s="84" t="e">
        <v>#REF!</v>
      </c>
      <c r="R493" s="85"/>
      <c r="S493" s="85"/>
      <c r="T493" s="86">
        <v>0</v>
      </c>
      <c r="U493" s="84">
        <v>0</v>
      </c>
      <c r="V493" s="84">
        <v>91.692999999999998</v>
      </c>
      <c r="W493" s="84">
        <v>45.846499999999999</v>
      </c>
      <c r="X493" s="82">
        <v>0.35</v>
      </c>
      <c r="Y493" s="82"/>
      <c r="Z493" s="84">
        <v>45.846499999999999</v>
      </c>
      <c r="AA493" s="84">
        <v>91.692999999999998</v>
      </c>
      <c r="AB493" s="88" t="e">
        <v>#DIV/0!</v>
      </c>
      <c r="AC493" t="s">
        <v>2542</v>
      </c>
    </row>
    <row r="494" spans="3:29">
      <c r="C494" t="s">
        <v>2543</v>
      </c>
      <c r="D494" t="s">
        <v>2544</v>
      </c>
      <c r="E494" s="84">
        <v>424.99</v>
      </c>
      <c r="F494" s="84">
        <v>212.495</v>
      </c>
      <c r="G494" t="s">
        <v>2257</v>
      </c>
      <c r="H494" t="s">
        <v>2545</v>
      </c>
      <c r="I494" t="s">
        <v>2546</v>
      </c>
      <c r="J494" t="s">
        <v>2547</v>
      </c>
      <c r="K494" t="s">
        <v>2548</v>
      </c>
      <c r="L494" t="s">
        <v>646</v>
      </c>
      <c r="M494">
        <v>40</v>
      </c>
      <c r="N494">
        <v>30</v>
      </c>
      <c r="O494">
        <v>200</v>
      </c>
      <c r="P494">
        <v>0.24</v>
      </c>
      <c r="Q494" s="84" t="e">
        <v>#REF!</v>
      </c>
      <c r="R494" s="85">
        <v>464656.18691897998</v>
      </c>
      <c r="S494" s="85">
        <v>750000</v>
      </c>
      <c r="T494" s="86">
        <v>1214656.18691898</v>
      </c>
      <c r="U494" s="84">
        <v>80.977079127932001</v>
      </c>
      <c r="V494" s="84">
        <v>297.49299999999999</v>
      </c>
      <c r="W494" s="84">
        <v>148.7465</v>
      </c>
      <c r="X494" s="82">
        <v>0.35</v>
      </c>
      <c r="Y494" s="87">
        <v>161.954158255864</v>
      </c>
      <c r="Z494" s="84">
        <v>161.954158255864</v>
      </c>
      <c r="AA494" s="84">
        <v>323.908316511728</v>
      </c>
      <c r="AB494" s="88">
        <v>2</v>
      </c>
      <c r="AC494" t="s">
        <v>2549</v>
      </c>
    </row>
    <row r="495" spans="3:29">
      <c r="C495" t="s">
        <v>2550</v>
      </c>
      <c r="D495" t="s">
        <v>2551</v>
      </c>
      <c r="E495" s="84">
        <v>109.99</v>
      </c>
      <c r="F495" s="84">
        <v>54.994999999999997</v>
      </c>
      <c r="G495" t="s">
        <v>2257</v>
      </c>
      <c r="H495" t="s">
        <v>2552</v>
      </c>
      <c r="I495" t="s">
        <v>2553</v>
      </c>
      <c r="J495" t="s">
        <v>2554</v>
      </c>
      <c r="K495" t="s">
        <v>2555</v>
      </c>
      <c r="L495" t="s">
        <v>646</v>
      </c>
      <c r="N495">
        <v>53</v>
      </c>
      <c r="O495">
        <v>50</v>
      </c>
      <c r="P495">
        <v>0.14044999999999999</v>
      </c>
      <c r="Q495" s="84" t="e">
        <v>#REF!</v>
      </c>
      <c r="R495" s="85"/>
      <c r="S495" s="85"/>
      <c r="T495" s="86">
        <v>0</v>
      </c>
      <c r="U495" s="84">
        <v>0</v>
      </c>
      <c r="V495" s="84">
        <v>76.992999999999995</v>
      </c>
      <c r="W495" s="84">
        <v>38.496499999999997</v>
      </c>
      <c r="X495" s="82">
        <v>0.35</v>
      </c>
      <c r="Y495" s="82"/>
      <c r="Z495" s="84">
        <v>38.496499999999997</v>
      </c>
      <c r="AA495" s="84">
        <v>76.992999999999995</v>
      </c>
      <c r="AB495" s="88" t="e">
        <v>#DIV/0!</v>
      </c>
      <c r="AC495" t="s">
        <v>2556</v>
      </c>
    </row>
    <row r="496" spans="3:29">
      <c r="C496" t="s">
        <v>2558</v>
      </c>
      <c r="E496" s="84"/>
      <c r="F496" s="82"/>
      <c r="R496" s="85"/>
      <c r="S496" s="85"/>
      <c r="T496" s="86"/>
      <c r="V496" s="84">
        <v>0</v>
      </c>
      <c r="W496" s="84">
        <v>0</v>
      </c>
      <c r="X496" s="82" t="e">
        <v>#DIV/0!</v>
      </c>
      <c r="Y496" s="82">
        <v>0</v>
      </c>
      <c r="Z496" s="82"/>
      <c r="AA496" s="82"/>
      <c r="AB496" s="88" t="e">
        <v>#DIV/0!</v>
      </c>
    </row>
    <row r="497" spans="3:29">
      <c r="C497" t="s">
        <v>2559</v>
      </c>
      <c r="D497" t="s">
        <v>2560</v>
      </c>
      <c r="E497" s="84">
        <v>49.99</v>
      </c>
      <c r="F497" s="84">
        <v>24.995000000000001</v>
      </c>
      <c r="G497" t="s">
        <v>2561</v>
      </c>
      <c r="H497" t="s">
        <v>2562</v>
      </c>
      <c r="I497" t="s">
        <v>135</v>
      </c>
      <c r="J497" t="s">
        <v>2563</v>
      </c>
      <c r="K497" t="s">
        <v>2564</v>
      </c>
      <c r="L497" t="s">
        <v>670</v>
      </c>
      <c r="N497">
        <v>15</v>
      </c>
      <c r="O497">
        <v>30</v>
      </c>
      <c r="P497">
        <v>6.7499999999999999E-3</v>
      </c>
      <c r="Q497" s="84" t="e">
        <v>#REF!</v>
      </c>
      <c r="R497" s="85"/>
      <c r="S497" s="85"/>
      <c r="T497" s="86">
        <v>0</v>
      </c>
      <c r="U497" s="84">
        <v>0</v>
      </c>
      <c r="V497" s="84">
        <v>34.993000000000002</v>
      </c>
      <c r="W497" s="84">
        <v>17.496500000000001</v>
      </c>
      <c r="X497" s="82">
        <v>0.35</v>
      </c>
      <c r="Y497" s="82"/>
      <c r="Z497" s="84">
        <v>17.496500000000001</v>
      </c>
      <c r="AA497" s="84">
        <v>34.993000000000002</v>
      </c>
      <c r="AB497" s="88" t="e">
        <v>#DIV/0!</v>
      </c>
      <c r="AC497" t="s">
        <v>2565</v>
      </c>
    </row>
    <row r="498" spans="3:29">
      <c r="C498" t="s">
        <v>2568</v>
      </c>
      <c r="D498" t="s">
        <v>2560</v>
      </c>
      <c r="E498" s="84">
        <v>41.99</v>
      </c>
      <c r="F498" s="84">
        <v>20.995000000000001</v>
      </c>
      <c r="G498" t="s">
        <v>2561</v>
      </c>
      <c r="H498" t="s">
        <v>2569</v>
      </c>
      <c r="I498" t="s">
        <v>135</v>
      </c>
      <c r="J498" t="s">
        <v>2570</v>
      </c>
      <c r="K498" t="s">
        <v>2564</v>
      </c>
      <c r="L498" t="s">
        <v>670</v>
      </c>
      <c r="N498">
        <v>15</v>
      </c>
      <c r="O498">
        <v>20</v>
      </c>
      <c r="P498">
        <v>4.4999999999999997E-3</v>
      </c>
      <c r="Q498" s="84" t="e">
        <v>#REF!</v>
      </c>
      <c r="R498" s="85"/>
      <c r="S498" s="85"/>
      <c r="T498" s="86">
        <v>0</v>
      </c>
      <c r="U498" s="84">
        <v>0</v>
      </c>
      <c r="V498" s="84">
        <v>29.393000000000001</v>
      </c>
      <c r="W498" s="84">
        <v>14.6965</v>
      </c>
      <c r="X498" s="82">
        <v>0.35</v>
      </c>
      <c r="Y498" s="82"/>
      <c r="Z498" s="84">
        <v>14.6965</v>
      </c>
      <c r="AA498" s="84">
        <v>29.393000000000001</v>
      </c>
      <c r="AB498" s="88" t="e">
        <v>#DIV/0!</v>
      </c>
      <c r="AC498" t="s">
        <v>2571</v>
      </c>
    </row>
    <row r="499" spans="3:29">
      <c r="C499" t="s">
        <v>2572</v>
      </c>
      <c r="D499" t="s">
        <v>2573</v>
      </c>
      <c r="E499" s="84">
        <v>25.99</v>
      </c>
      <c r="F499" s="84">
        <v>12.994999999999999</v>
      </c>
      <c r="G499" t="s">
        <v>2561</v>
      </c>
      <c r="H499" t="s">
        <v>2574</v>
      </c>
      <c r="I499" t="s">
        <v>2575</v>
      </c>
      <c r="J499" t="s">
        <v>2576</v>
      </c>
      <c r="K499" t="s">
        <v>2564</v>
      </c>
      <c r="L499" t="s">
        <v>670</v>
      </c>
      <c r="N499">
        <v>12</v>
      </c>
      <c r="O499">
        <v>13</v>
      </c>
      <c r="P499">
        <v>1.872E-3</v>
      </c>
      <c r="Q499" s="84" t="e">
        <v>#REF!</v>
      </c>
      <c r="R499" s="85"/>
      <c r="S499" s="85"/>
      <c r="T499" s="86">
        <v>0</v>
      </c>
      <c r="U499" s="84">
        <v>0</v>
      </c>
      <c r="V499" s="84">
        <v>18.193000000000001</v>
      </c>
      <c r="W499" s="84">
        <v>9.0965000000000007</v>
      </c>
      <c r="X499" s="82">
        <v>0.35</v>
      </c>
      <c r="Y499" s="82"/>
      <c r="Z499" s="84">
        <v>9.0965000000000007</v>
      </c>
      <c r="AA499" s="84">
        <v>18.193000000000001</v>
      </c>
      <c r="AB499" s="88" t="e">
        <v>#DIV/0!</v>
      </c>
      <c r="AC499" t="s">
        <v>2577</v>
      </c>
    </row>
    <row r="500" spans="3:29">
      <c r="C500" t="s">
        <v>2578</v>
      </c>
      <c r="D500" t="s">
        <v>2579</v>
      </c>
      <c r="E500" s="84">
        <v>116.99</v>
      </c>
      <c r="F500" s="84">
        <v>58.494999999999997</v>
      </c>
      <c r="G500" t="s">
        <v>2561</v>
      </c>
      <c r="H500" t="s">
        <v>2580</v>
      </c>
      <c r="I500" t="s">
        <v>140</v>
      </c>
      <c r="J500" t="s">
        <v>2581</v>
      </c>
      <c r="K500" t="s">
        <v>2564</v>
      </c>
      <c r="L500" t="s">
        <v>670</v>
      </c>
      <c r="N500">
        <v>25</v>
      </c>
      <c r="O500">
        <v>16</v>
      </c>
      <c r="P500">
        <v>0.01</v>
      </c>
      <c r="Q500" s="84" t="e">
        <v>#REF!</v>
      </c>
      <c r="R500" s="85"/>
      <c r="S500" s="85"/>
      <c r="T500" s="86">
        <v>0</v>
      </c>
      <c r="U500" s="84">
        <v>0</v>
      </c>
      <c r="V500" s="84">
        <v>81.893000000000001</v>
      </c>
      <c r="W500" s="84">
        <v>40.9465</v>
      </c>
      <c r="X500" s="82">
        <v>0.35</v>
      </c>
      <c r="Y500" s="82"/>
      <c r="Z500" s="84">
        <v>40.9465</v>
      </c>
      <c r="AA500" s="84">
        <v>81.893000000000001</v>
      </c>
      <c r="AB500" s="88" t="e">
        <v>#DIV/0!</v>
      </c>
      <c r="AC500" t="s">
        <v>2582</v>
      </c>
    </row>
    <row r="501" spans="3:29">
      <c r="C501" t="s">
        <v>2583</v>
      </c>
      <c r="D501" t="s">
        <v>2579</v>
      </c>
      <c r="E501" s="84">
        <v>126.99</v>
      </c>
      <c r="F501" s="84">
        <v>63.494999999999997</v>
      </c>
      <c r="G501" t="s">
        <v>2561</v>
      </c>
      <c r="H501" t="s">
        <v>2584</v>
      </c>
      <c r="I501" t="s">
        <v>140</v>
      </c>
      <c r="J501" t="s">
        <v>2585</v>
      </c>
      <c r="K501" t="s">
        <v>2564</v>
      </c>
      <c r="L501" t="s">
        <v>670</v>
      </c>
      <c r="N501">
        <v>25</v>
      </c>
      <c r="O501">
        <v>25</v>
      </c>
      <c r="P501">
        <v>1.5625E-2</v>
      </c>
      <c r="Q501" s="84" t="e">
        <v>#REF!</v>
      </c>
      <c r="R501" s="85"/>
      <c r="S501" s="85"/>
      <c r="T501" s="86">
        <v>0</v>
      </c>
      <c r="U501" s="84">
        <v>0</v>
      </c>
      <c r="V501" s="84">
        <v>88.893000000000001</v>
      </c>
      <c r="W501" s="84">
        <v>44.4465</v>
      </c>
      <c r="X501" s="82">
        <v>0.35</v>
      </c>
      <c r="Y501" s="82"/>
      <c r="Z501" s="84">
        <v>44.4465</v>
      </c>
      <c r="AA501" s="84">
        <v>88.893000000000001</v>
      </c>
      <c r="AB501" s="88" t="e">
        <v>#DIV/0!</v>
      </c>
      <c r="AC501" t="s">
        <v>2586</v>
      </c>
    </row>
    <row r="502" spans="3:29">
      <c r="C502" t="s">
        <v>2587</v>
      </c>
      <c r="D502" t="s">
        <v>2579</v>
      </c>
      <c r="E502" s="84">
        <v>184.99</v>
      </c>
      <c r="F502" s="84">
        <v>92.495000000000005</v>
      </c>
      <c r="G502" t="s">
        <v>2561</v>
      </c>
      <c r="H502" t="s">
        <v>2588</v>
      </c>
      <c r="I502" t="s">
        <v>140</v>
      </c>
      <c r="J502" t="s">
        <v>2589</v>
      </c>
      <c r="K502" t="s">
        <v>2564</v>
      </c>
      <c r="L502" t="s">
        <v>670</v>
      </c>
      <c r="N502">
        <v>25</v>
      </c>
      <c r="O502">
        <v>40</v>
      </c>
      <c r="P502">
        <v>2.5000000000000001E-2</v>
      </c>
      <c r="Q502" s="84" t="e">
        <v>#REF!</v>
      </c>
      <c r="R502" s="85"/>
      <c r="S502" s="85"/>
      <c r="T502" s="86">
        <v>0</v>
      </c>
      <c r="U502" s="84">
        <v>0</v>
      </c>
      <c r="V502" s="84">
        <v>129.49299999999999</v>
      </c>
      <c r="W502" s="84">
        <v>64.746499999999997</v>
      </c>
      <c r="X502" s="82">
        <v>0.35</v>
      </c>
      <c r="Y502" s="82"/>
      <c r="Z502" s="84">
        <v>64.746499999999997</v>
      </c>
      <c r="AA502" s="84">
        <v>129.49299999999999</v>
      </c>
      <c r="AB502" s="88" t="e">
        <v>#DIV/0!</v>
      </c>
      <c r="AC502" t="s">
        <v>2586</v>
      </c>
    </row>
    <row r="503" spans="3:29">
      <c r="C503" t="s">
        <v>2590</v>
      </c>
      <c r="D503" t="s">
        <v>2591</v>
      </c>
      <c r="E503" s="84">
        <v>118.99</v>
      </c>
      <c r="F503" s="84">
        <v>59.494999999999997</v>
      </c>
      <c r="G503" t="s">
        <v>2561</v>
      </c>
      <c r="H503" t="s">
        <v>2592</v>
      </c>
      <c r="I503" t="s">
        <v>144</v>
      </c>
      <c r="J503" t="s">
        <v>2593</v>
      </c>
      <c r="K503" t="s">
        <v>2564</v>
      </c>
      <c r="L503" t="s">
        <v>670</v>
      </c>
      <c r="N503">
        <v>30</v>
      </c>
      <c r="O503">
        <v>19</v>
      </c>
      <c r="P503">
        <v>1.7100000000000001E-2</v>
      </c>
      <c r="Q503" s="84" t="e">
        <v>#REF!</v>
      </c>
      <c r="R503" s="85"/>
      <c r="S503" s="85"/>
      <c r="T503" s="86">
        <v>0</v>
      </c>
      <c r="U503" s="84">
        <v>0</v>
      </c>
      <c r="V503" s="84">
        <v>83.293000000000006</v>
      </c>
      <c r="W503" s="84">
        <v>41.646500000000003</v>
      </c>
      <c r="X503" s="82">
        <v>0.35</v>
      </c>
      <c r="Y503" s="82"/>
      <c r="Z503" s="84">
        <v>41.646500000000003</v>
      </c>
      <c r="AA503" s="84">
        <v>83.293000000000006</v>
      </c>
      <c r="AB503" s="88" t="e">
        <v>#DIV/0!</v>
      </c>
      <c r="AC503" t="s">
        <v>2594</v>
      </c>
    </row>
    <row r="504" spans="3:29">
      <c r="C504" t="s">
        <v>2595</v>
      </c>
      <c r="D504" t="s">
        <v>2591</v>
      </c>
      <c r="E504" s="84">
        <v>174.99</v>
      </c>
      <c r="F504" s="84">
        <v>87.495000000000005</v>
      </c>
      <c r="G504" t="s">
        <v>2561</v>
      </c>
      <c r="H504" t="s">
        <v>2596</v>
      </c>
      <c r="I504" t="s">
        <v>144</v>
      </c>
      <c r="J504" t="s">
        <v>2597</v>
      </c>
      <c r="K504" t="s">
        <v>2564</v>
      </c>
      <c r="L504" t="s">
        <v>670</v>
      </c>
      <c r="N504">
        <v>30</v>
      </c>
      <c r="O504">
        <v>32</v>
      </c>
      <c r="P504">
        <v>2.8799999999999999E-2</v>
      </c>
      <c r="Q504" s="84" t="e">
        <v>#REF!</v>
      </c>
      <c r="R504" s="85"/>
      <c r="S504" s="85"/>
      <c r="T504" s="86">
        <v>0</v>
      </c>
      <c r="U504" s="84">
        <v>0</v>
      </c>
      <c r="V504" s="84">
        <v>122.49299999999999</v>
      </c>
      <c r="W504" s="84">
        <v>61.246499999999997</v>
      </c>
      <c r="X504" s="82">
        <v>0.35</v>
      </c>
      <c r="Y504" s="82"/>
      <c r="Z504" s="84">
        <v>61.246499999999997</v>
      </c>
      <c r="AA504" s="84">
        <v>122.49299999999999</v>
      </c>
      <c r="AB504" s="88" t="e">
        <v>#DIV/0!</v>
      </c>
      <c r="AC504" t="s">
        <v>2598</v>
      </c>
    </row>
    <row r="505" spans="3:29">
      <c r="C505" t="s">
        <v>2599</v>
      </c>
      <c r="D505" t="s">
        <v>2591</v>
      </c>
      <c r="E505" s="84">
        <v>235.99</v>
      </c>
      <c r="F505" s="84">
        <v>117.995</v>
      </c>
      <c r="G505" t="s">
        <v>2561</v>
      </c>
      <c r="H505" t="s">
        <v>2600</v>
      </c>
      <c r="I505" t="s">
        <v>144</v>
      </c>
      <c r="J505" t="s">
        <v>2601</v>
      </c>
      <c r="K505" t="s">
        <v>2564</v>
      </c>
      <c r="L505" t="s">
        <v>670</v>
      </c>
      <c r="N505">
        <v>30</v>
      </c>
      <c r="O505">
        <v>40</v>
      </c>
      <c r="P505">
        <v>3.5999999999999997E-2</v>
      </c>
      <c r="Q505" s="84" t="e">
        <v>#REF!</v>
      </c>
      <c r="R505" s="85"/>
      <c r="S505" s="85"/>
      <c r="T505" s="86">
        <v>0</v>
      </c>
      <c r="U505" s="84">
        <v>0</v>
      </c>
      <c r="V505" s="84">
        <v>165.19300000000001</v>
      </c>
      <c r="W505" s="84">
        <v>82.596500000000006</v>
      </c>
      <c r="X505" s="82">
        <v>0.35</v>
      </c>
      <c r="Y505" s="82"/>
      <c r="Z505" s="84">
        <v>82.596500000000006</v>
      </c>
      <c r="AA505" s="84">
        <v>165.19300000000001</v>
      </c>
      <c r="AB505" s="88" t="e">
        <v>#DIV/0!</v>
      </c>
      <c r="AC505" t="s">
        <v>2594</v>
      </c>
    </row>
    <row r="506" spans="3:29">
      <c r="C506" t="s">
        <v>2602</v>
      </c>
      <c r="D506" t="s">
        <v>2603</v>
      </c>
      <c r="E506" s="84">
        <v>147.99</v>
      </c>
      <c r="F506" s="84">
        <v>73.995000000000005</v>
      </c>
      <c r="G506" t="s">
        <v>2561</v>
      </c>
      <c r="H506" t="s">
        <v>2604</v>
      </c>
      <c r="I506" t="s">
        <v>2605</v>
      </c>
      <c r="J506" t="s">
        <v>2606</v>
      </c>
      <c r="K506" t="s">
        <v>2564</v>
      </c>
      <c r="L506" t="s">
        <v>670</v>
      </c>
      <c r="N506">
        <v>20</v>
      </c>
      <c r="O506">
        <v>60</v>
      </c>
      <c r="P506">
        <v>2.4E-2</v>
      </c>
      <c r="Q506" s="84" t="e">
        <v>#REF!</v>
      </c>
      <c r="R506" s="85"/>
      <c r="S506" s="85"/>
      <c r="T506" s="86">
        <v>0</v>
      </c>
      <c r="U506" s="84">
        <v>0</v>
      </c>
      <c r="V506" s="84">
        <v>103.593</v>
      </c>
      <c r="W506" s="84">
        <v>51.796500000000002</v>
      </c>
      <c r="X506" s="82">
        <v>0.35</v>
      </c>
      <c r="Y506" s="82"/>
      <c r="Z506" s="84">
        <v>51.796500000000002</v>
      </c>
      <c r="AA506" s="84">
        <v>103.593</v>
      </c>
      <c r="AB506" s="88" t="e">
        <v>#DIV/0!</v>
      </c>
      <c r="AC506" t="s">
        <v>2607</v>
      </c>
    </row>
    <row r="507" spans="3:29">
      <c r="C507" t="s">
        <v>2608</v>
      </c>
      <c r="D507" t="s">
        <v>2609</v>
      </c>
      <c r="E507" s="84">
        <v>217.99</v>
      </c>
      <c r="F507" s="84">
        <v>108.995</v>
      </c>
      <c r="G507" t="s">
        <v>2561</v>
      </c>
      <c r="H507" t="s">
        <v>2610</v>
      </c>
      <c r="I507" t="s">
        <v>2611</v>
      </c>
      <c r="J507" t="s">
        <v>2606</v>
      </c>
      <c r="K507" t="s">
        <v>2564</v>
      </c>
      <c r="L507" t="s">
        <v>670</v>
      </c>
      <c r="N507">
        <v>20</v>
      </c>
      <c r="O507">
        <v>60</v>
      </c>
      <c r="P507">
        <v>2.4E-2</v>
      </c>
      <c r="Q507" s="84" t="e">
        <v>#REF!</v>
      </c>
      <c r="R507" s="85"/>
      <c r="S507" s="85"/>
      <c r="T507" s="86">
        <v>0</v>
      </c>
      <c r="U507" s="84">
        <v>0</v>
      </c>
      <c r="V507" s="84">
        <v>152.59299999999999</v>
      </c>
      <c r="W507" s="84">
        <v>76.296499999999995</v>
      </c>
      <c r="X507" s="82">
        <v>0.35</v>
      </c>
      <c r="Y507" s="82"/>
      <c r="Z507" s="84">
        <v>76.296499999999995</v>
      </c>
      <c r="AA507" s="84">
        <v>152.59299999999999</v>
      </c>
      <c r="AB507" s="88" t="e">
        <v>#DIV/0!</v>
      </c>
      <c r="AC507" t="s">
        <v>2612</v>
      </c>
    </row>
    <row r="508" spans="3:29">
      <c r="C508" t="s">
        <v>2613</v>
      </c>
      <c r="D508" t="s">
        <v>2614</v>
      </c>
      <c r="E508" s="84">
        <v>57.99</v>
      </c>
      <c r="F508" s="84">
        <v>28.995000000000001</v>
      </c>
      <c r="G508" t="s">
        <v>2561</v>
      </c>
      <c r="H508" t="s">
        <v>2615</v>
      </c>
      <c r="I508" t="s">
        <v>172</v>
      </c>
      <c r="J508" t="s">
        <v>2616</v>
      </c>
      <c r="K508" t="s">
        <v>2564</v>
      </c>
      <c r="L508" t="s">
        <v>670</v>
      </c>
      <c r="N508">
        <v>8</v>
      </c>
      <c r="O508">
        <v>50</v>
      </c>
      <c r="P508">
        <v>3.2000000000000002E-3</v>
      </c>
      <c r="Q508" s="84" t="e">
        <v>#REF!</v>
      </c>
      <c r="R508" s="85"/>
      <c r="S508" s="85"/>
      <c r="T508" s="86">
        <v>0</v>
      </c>
      <c r="U508" s="84">
        <v>0</v>
      </c>
      <c r="V508" s="84">
        <v>40.593000000000004</v>
      </c>
      <c r="W508" s="84">
        <v>20.296500000000002</v>
      </c>
      <c r="X508" s="82">
        <v>0.35</v>
      </c>
      <c r="Y508" s="82"/>
      <c r="Z508" s="84">
        <v>20.296500000000002</v>
      </c>
      <c r="AA508" s="84">
        <v>40.593000000000004</v>
      </c>
      <c r="AB508" s="88" t="e">
        <v>#DIV/0!</v>
      </c>
      <c r="AC508" t="s">
        <v>2617</v>
      </c>
    </row>
    <row r="509" spans="3:29">
      <c r="C509" t="s">
        <v>2618</v>
      </c>
      <c r="D509" t="s">
        <v>2614</v>
      </c>
      <c r="E509" s="84">
        <v>78.989999999999995</v>
      </c>
      <c r="F509" s="84">
        <v>39.494999999999997</v>
      </c>
      <c r="G509" t="s">
        <v>2561</v>
      </c>
      <c r="H509" t="s">
        <v>2619</v>
      </c>
      <c r="I509" t="s">
        <v>172</v>
      </c>
      <c r="J509" t="s">
        <v>2620</v>
      </c>
      <c r="K509" t="s">
        <v>2564</v>
      </c>
      <c r="L509" t="s">
        <v>670</v>
      </c>
      <c r="N509">
        <v>8</v>
      </c>
      <c r="O509">
        <v>72</v>
      </c>
      <c r="P509">
        <v>4.6080000000000001E-3</v>
      </c>
      <c r="Q509" s="84" t="e">
        <v>#REF!</v>
      </c>
      <c r="R509" s="85"/>
      <c r="S509" s="85"/>
      <c r="T509" s="86">
        <v>0</v>
      </c>
      <c r="U509" s="84">
        <v>0</v>
      </c>
      <c r="V509" s="84">
        <v>55.292999999999999</v>
      </c>
      <c r="W509" s="84">
        <v>27.6465</v>
      </c>
      <c r="X509" s="82">
        <v>0.35</v>
      </c>
      <c r="Y509" s="82"/>
      <c r="Z509" s="84">
        <v>27.6465</v>
      </c>
      <c r="AA509" s="84">
        <v>55.292999999999999</v>
      </c>
      <c r="AB509" s="88" t="e">
        <v>#DIV/0!</v>
      </c>
      <c r="AC509" t="s">
        <v>2621</v>
      </c>
    </row>
    <row r="510" spans="3:29">
      <c r="C510" t="s">
        <v>2622</v>
      </c>
      <c r="D510" t="s">
        <v>2623</v>
      </c>
      <c r="E510" s="84">
        <v>204.99</v>
      </c>
      <c r="F510" s="84">
        <v>102.495</v>
      </c>
      <c r="G510" t="s">
        <v>2561</v>
      </c>
      <c r="H510" t="s">
        <v>2624</v>
      </c>
      <c r="I510" t="s">
        <v>2625</v>
      </c>
      <c r="J510" t="s">
        <v>2626</v>
      </c>
      <c r="K510" t="s">
        <v>2627</v>
      </c>
      <c r="L510" t="s">
        <v>670</v>
      </c>
      <c r="M510">
        <v>35</v>
      </c>
      <c r="N510">
        <v>20</v>
      </c>
      <c r="O510">
        <v>20</v>
      </c>
      <c r="P510">
        <v>1.4E-2</v>
      </c>
      <c r="Q510" s="84" t="e">
        <v>#REF!</v>
      </c>
      <c r="R510" s="85"/>
      <c r="S510" s="85"/>
      <c r="T510" s="86">
        <v>0</v>
      </c>
      <c r="U510" s="84">
        <v>0</v>
      </c>
      <c r="V510" s="84">
        <v>143.49299999999999</v>
      </c>
      <c r="W510" s="84">
        <v>71.746499999999997</v>
      </c>
      <c r="X510" s="82">
        <v>0.35</v>
      </c>
      <c r="Y510" s="82"/>
      <c r="Z510" s="84">
        <v>71.746499999999997</v>
      </c>
      <c r="AA510" s="84">
        <v>143.49299999999999</v>
      </c>
      <c r="AB510" s="88" t="e">
        <v>#DIV/0!</v>
      </c>
      <c r="AC510" t="s">
        <v>2628</v>
      </c>
    </row>
    <row r="511" spans="3:29">
      <c r="C511" t="s">
        <v>2629</v>
      </c>
      <c r="D511" t="s">
        <v>2630</v>
      </c>
      <c r="E511" s="84">
        <v>59.99</v>
      </c>
      <c r="F511" s="84">
        <v>29.995000000000001</v>
      </c>
      <c r="G511" t="s">
        <v>2561</v>
      </c>
      <c r="H511" t="s">
        <v>2624</v>
      </c>
      <c r="I511" t="s">
        <v>2631</v>
      </c>
      <c r="J511" t="s">
        <v>2626</v>
      </c>
      <c r="K511" t="s">
        <v>822</v>
      </c>
      <c r="L511" t="s">
        <v>670</v>
      </c>
      <c r="M511">
        <v>35</v>
      </c>
      <c r="N511">
        <v>20</v>
      </c>
      <c r="O511">
        <v>20</v>
      </c>
      <c r="P511">
        <v>1.4E-2</v>
      </c>
      <c r="Q511" s="84" t="e">
        <v>#REF!</v>
      </c>
      <c r="R511" s="85"/>
      <c r="S511" s="85"/>
      <c r="T511" s="86">
        <v>0</v>
      </c>
      <c r="U511" s="84">
        <v>0</v>
      </c>
      <c r="V511" s="84">
        <v>41.993000000000002</v>
      </c>
      <c r="W511" s="84">
        <v>20.996500000000001</v>
      </c>
      <c r="X511" s="82">
        <v>0.35</v>
      </c>
      <c r="Y511" s="82"/>
      <c r="Z511" s="84">
        <v>20.996500000000001</v>
      </c>
      <c r="AA511" s="84">
        <v>41.993000000000002</v>
      </c>
      <c r="AB511" s="88" t="e">
        <v>#DIV/0!</v>
      </c>
      <c r="AC511" t="s">
        <v>2632</v>
      </c>
    </row>
    <row r="512" spans="3:29">
      <c r="C512" t="s">
        <v>2633</v>
      </c>
      <c r="D512" t="s">
        <v>2634</v>
      </c>
      <c r="E512" s="84">
        <v>147.99</v>
      </c>
      <c r="F512" s="84">
        <v>73.995000000000005</v>
      </c>
      <c r="G512" t="s">
        <v>2561</v>
      </c>
      <c r="H512" t="s">
        <v>2635</v>
      </c>
      <c r="I512" t="s">
        <v>886</v>
      </c>
      <c r="J512" t="s">
        <v>2636</v>
      </c>
      <c r="K512" t="s">
        <v>2637</v>
      </c>
      <c r="L512" t="s">
        <v>670</v>
      </c>
      <c r="M512">
        <v>20</v>
      </c>
      <c r="N512">
        <v>20</v>
      </c>
      <c r="O512">
        <v>25</v>
      </c>
      <c r="P512">
        <v>0.01</v>
      </c>
      <c r="Q512" s="84" t="e">
        <v>#REF!</v>
      </c>
      <c r="R512" s="85"/>
      <c r="S512" s="85"/>
      <c r="T512" s="86">
        <v>0</v>
      </c>
      <c r="U512" s="84">
        <v>0</v>
      </c>
      <c r="V512" s="84">
        <v>103.593</v>
      </c>
      <c r="W512" s="84">
        <v>51.796500000000002</v>
      </c>
      <c r="X512" s="82">
        <v>0.35</v>
      </c>
      <c r="Y512" s="82"/>
      <c r="Z512" s="84">
        <v>51.796500000000002</v>
      </c>
      <c r="AA512" s="84">
        <v>103.593</v>
      </c>
      <c r="AB512" s="88" t="e">
        <v>#DIV/0!</v>
      </c>
      <c r="AC512" t="s">
        <v>2638</v>
      </c>
    </row>
    <row r="513" spans="3:29">
      <c r="C513" t="s">
        <v>2640</v>
      </c>
      <c r="D513" t="s">
        <v>2634</v>
      </c>
      <c r="E513" s="84">
        <v>236.99</v>
      </c>
      <c r="F513" s="84">
        <v>118.495</v>
      </c>
      <c r="G513" t="s">
        <v>2561</v>
      </c>
      <c r="H513" t="s">
        <v>2641</v>
      </c>
      <c r="I513" t="s">
        <v>886</v>
      </c>
      <c r="J513" t="s">
        <v>2642</v>
      </c>
      <c r="K513" t="s">
        <v>2637</v>
      </c>
      <c r="L513" t="s">
        <v>670</v>
      </c>
      <c r="M513">
        <v>20</v>
      </c>
      <c r="N513">
        <v>20</v>
      </c>
      <c r="O513">
        <v>35</v>
      </c>
      <c r="P513">
        <v>1.4E-2</v>
      </c>
      <c r="Q513" s="84" t="e">
        <v>#REF!</v>
      </c>
      <c r="R513" s="85"/>
      <c r="S513" s="85"/>
      <c r="T513" s="86">
        <v>0</v>
      </c>
      <c r="U513" s="84">
        <v>0</v>
      </c>
      <c r="V513" s="84">
        <v>165.893</v>
      </c>
      <c r="W513" s="84">
        <v>82.9465</v>
      </c>
      <c r="X513" s="82">
        <v>0.35</v>
      </c>
      <c r="Y513" s="82"/>
      <c r="Z513" s="84">
        <v>82.9465</v>
      </c>
      <c r="AA513" s="84">
        <v>165.893</v>
      </c>
      <c r="AB513" s="88" t="e">
        <v>#DIV/0!</v>
      </c>
      <c r="AC513" t="s">
        <v>2643</v>
      </c>
    </row>
    <row r="514" spans="3:29">
      <c r="C514" t="s">
        <v>2644</v>
      </c>
      <c r="D514" t="s">
        <v>2645</v>
      </c>
      <c r="E514" s="84">
        <v>72.989999999999995</v>
      </c>
      <c r="F514" s="84">
        <v>36.494999999999997</v>
      </c>
      <c r="G514" t="s">
        <v>2561</v>
      </c>
      <c r="H514" t="s">
        <v>2646</v>
      </c>
      <c r="I514" t="s">
        <v>222</v>
      </c>
      <c r="J514" t="s">
        <v>2647</v>
      </c>
      <c r="K514" t="s">
        <v>2648</v>
      </c>
      <c r="L514" t="s">
        <v>670</v>
      </c>
      <c r="M514">
        <v>12</v>
      </c>
      <c r="N514">
        <v>12</v>
      </c>
      <c r="O514">
        <v>12</v>
      </c>
      <c r="P514">
        <v>1.7279999999999999E-3</v>
      </c>
      <c r="Q514" s="84" t="e">
        <v>#REF!</v>
      </c>
      <c r="R514" s="85"/>
      <c r="S514" s="85"/>
      <c r="T514" s="86">
        <v>0</v>
      </c>
      <c r="U514" s="84">
        <v>0</v>
      </c>
      <c r="V514" s="84">
        <v>51.093000000000004</v>
      </c>
      <c r="W514" s="84">
        <v>25.546500000000002</v>
      </c>
      <c r="X514" s="82">
        <v>0.35</v>
      </c>
      <c r="Y514" s="82"/>
      <c r="Z514" s="84">
        <v>25.546500000000002</v>
      </c>
      <c r="AA514" s="84">
        <v>51.093000000000004</v>
      </c>
      <c r="AB514" s="88" t="e">
        <v>#DIV/0!</v>
      </c>
      <c r="AC514" t="s">
        <v>2649</v>
      </c>
    </row>
    <row r="515" spans="3:29">
      <c r="C515" t="s">
        <v>2650</v>
      </c>
      <c r="D515" t="s">
        <v>2645</v>
      </c>
      <c r="E515" s="84">
        <v>36.99</v>
      </c>
      <c r="F515" s="84">
        <v>18.495000000000001</v>
      </c>
      <c r="G515" t="s">
        <v>2561</v>
      </c>
      <c r="H515" t="s">
        <v>2646</v>
      </c>
      <c r="I515" t="s">
        <v>222</v>
      </c>
      <c r="J515" t="s">
        <v>2647</v>
      </c>
      <c r="K515" t="s">
        <v>2564</v>
      </c>
      <c r="L515" t="s">
        <v>670</v>
      </c>
      <c r="M515">
        <v>12</v>
      </c>
      <c r="N515">
        <v>12</v>
      </c>
      <c r="O515">
        <v>12</v>
      </c>
      <c r="P515">
        <v>1.7279999999999999E-3</v>
      </c>
      <c r="Q515" s="84" t="e">
        <v>#REF!</v>
      </c>
      <c r="R515" s="85"/>
      <c r="S515" s="85"/>
      <c r="T515" s="86">
        <v>0</v>
      </c>
      <c r="U515" s="84">
        <v>0</v>
      </c>
      <c r="V515" s="84">
        <v>25.893000000000001</v>
      </c>
      <c r="W515" s="84">
        <v>12.9465</v>
      </c>
      <c r="X515" s="82">
        <v>0.35</v>
      </c>
      <c r="Y515" s="82"/>
      <c r="Z515" s="84">
        <v>12.9465</v>
      </c>
      <c r="AA515" s="84">
        <v>25.893000000000001</v>
      </c>
      <c r="AB515" s="88" t="e">
        <v>#DIV/0!</v>
      </c>
      <c r="AC515" t="s">
        <v>2651</v>
      </c>
    </row>
    <row r="516" spans="3:29">
      <c r="C516" t="s">
        <v>2652</v>
      </c>
      <c r="D516" t="s">
        <v>2653</v>
      </c>
      <c r="E516" s="84">
        <v>44.99</v>
      </c>
      <c r="F516" s="84">
        <v>22.495000000000001</v>
      </c>
      <c r="G516" t="s">
        <v>2561</v>
      </c>
      <c r="H516" t="s">
        <v>2654</v>
      </c>
      <c r="I516" t="s">
        <v>465</v>
      </c>
      <c r="J516" t="s">
        <v>2655</v>
      </c>
      <c r="K516" t="s">
        <v>2564</v>
      </c>
      <c r="L516" t="s">
        <v>670</v>
      </c>
      <c r="N516">
        <v>16</v>
      </c>
      <c r="O516">
        <v>26</v>
      </c>
      <c r="P516">
        <v>6.6559999999999996E-3</v>
      </c>
      <c r="Q516" s="84" t="e">
        <v>#REF!</v>
      </c>
      <c r="R516" s="85"/>
      <c r="S516" s="85"/>
      <c r="T516" s="86">
        <v>0</v>
      </c>
      <c r="U516" s="84">
        <v>0</v>
      </c>
      <c r="V516" s="84">
        <v>31.492999999999999</v>
      </c>
      <c r="W516" s="84">
        <v>15.746499999999999</v>
      </c>
      <c r="X516" s="82">
        <v>0.35</v>
      </c>
      <c r="Y516" s="82"/>
      <c r="Z516" s="84">
        <v>15.746499999999999</v>
      </c>
      <c r="AA516" s="84">
        <v>31.492999999999999</v>
      </c>
      <c r="AB516" s="88" t="e">
        <v>#DIV/0!</v>
      </c>
      <c r="AC516" t="s">
        <v>2656</v>
      </c>
    </row>
    <row r="517" spans="3:29">
      <c r="C517" t="s">
        <v>2657</v>
      </c>
      <c r="D517" t="s">
        <v>2653</v>
      </c>
      <c r="E517" s="84">
        <v>76.989999999999995</v>
      </c>
      <c r="F517" s="84">
        <v>38.494999999999997</v>
      </c>
      <c r="G517" t="s">
        <v>2561</v>
      </c>
      <c r="H517" t="s">
        <v>2658</v>
      </c>
      <c r="I517" t="s">
        <v>465</v>
      </c>
      <c r="J517" t="s">
        <v>2659</v>
      </c>
      <c r="K517" t="s">
        <v>2564</v>
      </c>
      <c r="L517" t="s">
        <v>670</v>
      </c>
      <c r="N517">
        <v>18</v>
      </c>
      <c r="O517">
        <v>46</v>
      </c>
      <c r="P517">
        <v>1.4904000000000001E-2</v>
      </c>
      <c r="Q517" s="84" t="e">
        <v>#REF!</v>
      </c>
      <c r="R517" s="85"/>
      <c r="S517" s="85"/>
      <c r="T517" s="86">
        <v>0</v>
      </c>
      <c r="U517" s="84">
        <v>0</v>
      </c>
      <c r="V517" s="84">
        <v>53.893000000000001</v>
      </c>
      <c r="W517" s="84">
        <v>26.9465</v>
      </c>
      <c r="X517" s="82">
        <v>0.35</v>
      </c>
      <c r="Y517" s="82"/>
      <c r="Z517" s="84">
        <v>26.9465</v>
      </c>
      <c r="AA517" s="84">
        <v>53.893000000000001</v>
      </c>
      <c r="AB517" s="88" t="e">
        <v>#DIV/0!</v>
      </c>
      <c r="AC517" t="s">
        <v>2660</v>
      </c>
    </row>
    <row r="518" spans="3:29">
      <c r="C518" t="s">
        <v>2661</v>
      </c>
      <c r="D518" t="s">
        <v>2653</v>
      </c>
      <c r="E518" s="84">
        <v>112.99</v>
      </c>
      <c r="F518" s="84">
        <v>56.494999999999997</v>
      </c>
      <c r="G518" t="s">
        <v>2561</v>
      </c>
      <c r="H518" t="s">
        <v>2662</v>
      </c>
      <c r="I518" t="s">
        <v>465</v>
      </c>
      <c r="J518" t="s">
        <v>2663</v>
      </c>
      <c r="K518" t="s">
        <v>2564</v>
      </c>
      <c r="L518" t="s">
        <v>670</v>
      </c>
      <c r="N518">
        <v>24</v>
      </c>
      <c r="O518">
        <v>76</v>
      </c>
      <c r="P518">
        <v>4.3776000000000002E-2</v>
      </c>
      <c r="Q518" s="84" t="e">
        <v>#REF!</v>
      </c>
      <c r="R518" s="85"/>
      <c r="S518" s="85"/>
      <c r="T518" s="86">
        <v>0</v>
      </c>
      <c r="U518" s="84">
        <v>0</v>
      </c>
      <c r="V518" s="84">
        <v>79.093000000000004</v>
      </c>
      <c r="W518" s="84">
        <v>39.546500000000002</v>
      </c>
      <c r="X518" s="82">
        <v>0.35</v>
      </c>
      <c r="Y518" s="82"/>
      <c r="Z518" s="84">
        <v>39.546500000000002</v>
      </c>
      <c r="AA518" s="84">
        <v>79.093000000000004</v>
      </c>
      <c r="AB518" s="88" t="e">
        <v>#DIV/0!</v>
      </c>
      <c r="AC518" t="s">
        <v>2664</v>
      </c>
    </row>
    <row r="519" spans="3:29">
      <c r="C519" t="s">
        <v>2665</v>
      </c>
      <c r="D519" t="s">
        <v>2666</v>
      </c>
      <c r="E519" s="84">
        <v>221.99</v>
      </c>
      <c r="F519" s="84">
        <v>110.995</v>
      </c>
      <c r="G519" t="s">
        <v>2561</v>
      </c>
      <c r="H519" t="s">
        <v>2667</v>
      </c>
      <c r="I519" t="s">
        <v>2668</v>
      </c>
      <c r="J519" t="s">
        <v>2669</v>
      </c>
      <c r="K519" t="s">
        <v>2564</v>
      </c>
      <c r="L519" t="s">
        <v>670</v>
      </c>
      <c r="M519">
        <v>25</v>
      </c>
      <c r="N519">
        <v>7</v>
      </c>
      <c r="O519">
        <v>28</v>
      </c>
      <c r="P519">
        <v>4.8999999999999998E-3</v>
      </c>
      <c r="Q519" s="84" t="e">
        <v>#REF!</v>
      </c>
      <c r="R519" s="85"/>
      <c r="S519" s="85"/>
      <c r="T519" s="86">
        <v>0</v>
      </c>
      <c r="U519" s="84">
        <v>0</v>
      </c>
      <c r="V519" s="84">
        <v>155.393</v>
      </c>
      <c r="W519" s="84">
        <v>77.6965</v>
      </c>
      <c r="X519" s="82">
        <v>0.35</v>
      </c>
      <c r="Y519" s="82"/>
      <c r="Z519" s="84">
        <v>77.6965</v>
      </c>
      <c r="AA519" s="84">
        <v>155.393</v>
      </c>
      <c r="AB519" s="88" t="e">
        <v>#DIV/0!</v>
      </c>
      <c r="AC519" t="s">
        <v>2670</v>
      </c>
    </row>
    <row r="520" spans="3:29">
      <c r="C520" t="s">
        <v>2671</v>
      </c>
      <c r="D520" t="s">
        <v>2666</v>
      </c>
      <c r="E520" s="84">
        <v>295.99</v>
      </c>
      <c r="F520" s="84">
        <v>147.995</v>
      </c>
      <c r="G520" t="s">
        <v>2561</v>
      </c>
      <c r="H520" t="s">
        <v>2672</v>
      </c>
      <c r="I520" t="s">
        <v>2673</v>
      </c>
      <c r="J520" t="s">
        <v>2674</v>
      </c>
      <c r="K520" t="s">
        <v>2637</v>
      </c>
      <c r="L520" t="s">
        <v>670</v>
      </c>
      <c r="M520">
        <v>25</v>
      </c>
      <c r="N520">
        <v>7</v>
      </c>
      <c r="O520">
        <v>28</v>
      </c>
      <c r="P520">
        <v>4.8999999999999998E-3</v>
      </c>
      <c r="Q520" s="84" t="e">
        <v>#REF!</v>
      </c>
      <c r="R520" s="85"/>
      <c r="S520" s="85"/>
      <c r="T520" s="86">
        <v>0</v>
      </c>
      <c r="U520" s="84">
        <v>0</v>
      </c>
      <c r="V520" s="84">
        <v>207.19300000000001</v>
      </c>
      <c r="W520" s="84">
        <v>103.59650000000001</v>
      </c>
      <c r="X520" s="82">
        <v>0.35</v>
      </c>
      <c r="Y520" s="82"/>
      <c r="Z520" s="84">
        <v>103.59650000000001</v>
      </c>
      <c r="AA520" s="84">
        <v>207.19300000000001</v>
      </c>
      <c r="AB520" s="88" t="e">
        <v>#DIV/0!</v>
      </c>
      <c r="AC520" t="s">
        <v>2675</v>
      </c>
    </row>
    <row r="521" spans="3:29">
      <c r="C521" t="s">
        <v>2676</v>
      </c>
      <c r="D521" t="s">
        <v>2677</v>
      </c>
      <c r="E521" s="84">
        <v>461.99</v>
      </c>
      <c r="F521" s="84">
        <v>230.995</v>
      </c>
      <c r="G521" t="s">
        <v>2561</v>
      </c>
      <c r="H521" t="s">
        <v>2678</v>
      </c>
      <c r="I521" t="s">
        <v>2679</v>
      </c>
      <c r="J521" t="s">
        <v>2680</v>
      </c>
      <c r="K521" t="s">
        <v>2564</v>
      </c>
      <c r="L521" t="s">
        <v>670</v>
      </c>
      <c r="M521">
        <v>40</v>
      </c>
      <c r="N521">
        <v>20</v>
      </c>
      <c r="O521">
        <v>50</v>
      </c>
      <c r="P521">
        <v>0.04</v>
      </c>
      <c r="Q521" s="84" t="e">
        <v>#REF!</v>
      </c>
      <c r="R521" s="85"/>
      <c r="S521" s="85"/>
      <c r="T521" s="86">
        <v>0</v>
      </c>
      <c r="U521" s="84">
        <v>0</v>
      </c>
      <c r="V521" s="84">
        <v>323.39299999999997</v>
      </c>
      <c r="W521" s="84">
        <v>161.69649999999999</v>
      </c>
      <c r="X521" s="82">
        <v>0.35</v>
      </c>
      <c r="Y521" s="82"/>
      <c r="Z521" s="84">
        <v>161.69649999999999</v>
      </c>
      <c r="AA521" s="84">
        <v>323.39299999999997</v>
      </c>
      <c r="AB521" s="88" t="e">
        <v>#DIV/0!</v>
      </c>
      <c r="AC521" t="s">
        <v>2681</v>
      </c>
    </row>
    <row r="522" spans="3:29">
      <c r="C522" t="s">
        <v>2682</v>
      </c>
      <c r="D522" t="s">
        <v>2683</v>
      </c>
      <c r="E522" s="84">
        <v>422.99</v>
      </c>
      <c r="F522" s="84">
        <v>211.495</v>
      </c>
      <c r="G522" t="s">
        <v>2561</v>
      </c>
      <c r="H522" t="s">
        <v>2684</v>
      </c>
      <c r="I522" t="s">
        <v>2685</v>
      </c>
      <c r="J522" t="s">
        <v>2686</v>
      </c>
      <c r="K522" t="s">
        <v>2564</v>
      </c>
      <c r="L522" t="s">
        <v>670</v>
      </c>
      <c r="M522">
        <v>40</v>
      </c>
      <c r="N522">
        <v>10</v>
      </c>
      <c r="O522">
        <v>40</v>
      </c>
      <c r="P522">
        <v>1.6E-2</v>
      </c>
      <c r="Q522" s="84" t="e">
        <v>#REF!</v>
      </c>
      <c r="R522" s="85"/>
      <c r="S522" s="85"/>
      <c r="T522" s="86">
        <v>0</v>
      </c>
      <c r="U522" s="84">
        <v>0</v>
      </c>
      <c r="V522" s="84">
        <v>296.09300000000002</v>
      </c>
      <c r="W522" s="84">
        <v>148.04650000000001</v>
      </c>
      <c r="X522" s="82">
        <v>0.35</v>
      </c>
      <c r="Y522" s="82"/>
      <c r="Z522" s="84">
        <v>148.04650000000001</v>
      </c>
      <c r="AA522" s="84">
        <v>296.09300000000002</v>
      </c>
      <c r="AB522" s="88" t="e">
        <v>#DIV/0!</v>
      </c>
      <c r="AC522" t="s">
        <v>2687</v>
      </c>
    </row>
    <row r="523" spans="3:29">
      <c r="C523" t="s">
        <v>2688</v>
      </c>
      <c r="D523" t="s">
        <v>2689</v>
      </c>
      <c r="E523" s="84">
        <v>88.99</v>
      </c>
      <c r="F523" s="84">
        <v>44.494999999999997</v>
      </c>
      <c r="G523" t="s">
        <v>2561</v>
      </c>
      <c r="H523" t="s">
        <v>2690</v>
      </c>
      <c r="I523" t="s">
        <v>2691</v>
      </c>
      <c r="J523" t="s">
        <v>2692</v>
      </c>
      <c r="K523" t="s">
        <v>2564</v>
      </c>
      <c r="L523" t="s">
        <v>670</v>
      </c>
      <c r="N523">
        <v>12</v>
      </c>
      <c r="O523">
        <v>45</v>
      </c>
      <c r="P523">
        <v>6.4799999999999996E-3</v>
      </c>
      <c r="Q523" s="84" t="e">
        <v>#REF!</v>
      </c>
      <c r="R523" s="85"/>
      <c r="S523" s="85"/>
      <c r="T523" s="86">
        <v>0</v>
      </c>
      <c r="U523" s="84">
        <v>0</v>
      </c>
      <c r="V523" s="84">
        <v>62.292999999999999</v>
      </c>
      <c r="W523" s="84">
        <v>31.1465</v>
      </c>
      <c r="X523" s="82">
        <v>0.35</v>
      </c>
      <c r="Y523" s="82"/>
      <c r="Z523" s="84">
        <v>31.1465</v>
      </c>
      <c r="AA523" s="84">
        <v>62.292999999999999</v>
      </c>
      <c r="AB523" s="88" t="e">
        <v>#DIV/0!</v>
      </c>
      <c r="AC523" t="s">
        <v>2693</v>
      </c>
    </row>
    <row r="524" spans="3:29">
      <c r="C524" t="s">
        <v>2694</v>
      </c>
      <c r="D524" t="s">
        <v>162</v>
      </c>
      <c r="E524" s="84">
        <v>29.99</v>
      </c>
      <c r="F524" s="84">
        <v>14.994999999999999</v>
      </c>
      <c r="G524" t="s">
        <v>2561</v>
      </c>
      <c r="H524" t="s">
        <v>2695</v>
      </c>
      <c r="I524" t="s">
        <v>162</v>
      </c>
      <c r="K524" t="s">
        <v>2696</v>
      </c>
      <c r="L524" t="s">
        <v>50</v>
      </c>
      <c r="P524">
        <v>0</v>
      </c>
      <c r="Q524" s="84" t="e">
        <v>#REF!</v>
      </c>
      <c r="R524" s="85"/>
      <c r="S524" s="85"/>
      <c r="T524" s="86">
        <v>0</v>
      </c>
      <c r="U524" s="84">
        <v>0</v>
      </c>
      <c r="V524" s="84">
        <v>20.992999999999999</v>
      </c>
      <c r="W524" s="84">
        <v>10.496499999999999</v>
      </c>
      <c r="X524" s="82">
        <v>0.35</v>
      </c>
      <c r="Y524" s="82"/>
      <c r="Z524" s="84">
        <v>10.496499999999999</v>
      </c>
      <c r="AA524" s="84">
        <v>20.992999999999999</v>
      </c>
      <c r="AB524" s="88" t="e">
        <v>#DIV/0!</v>
      </c>
      <c r="AC524" t="s">
        <v>2697</v>
      </c>
    </row>
    <row r="525" spans="3:29">
      <c r="C525" t="s">
        <v>2699</v>
      </c>
      <c r="D525" t="s">
        <v>2700</v>
      </c>
      <c r="E525" s="84">
        <v>269.99</v>
      </c>
      <c r="F525" s="84">
        <v>134.995</v>
      </c>
      <c r="G525" t="s">
        <v>2561</v>
      </c>
      <c r="H525" t="s">
        <v>2701</v>
      </c>
      <c r="I525" t="s">
        <v>186</v>
      </c>
      <c r="J525" t="s">
        <v>2702</v>
      </c>
      <c r="K525" t="s">
        <v>2564</v>
      </c>
      <c r="L525" t="s">
        <v>670</v>
      </c>
      <c r="N525">
        <v>25</v>
      </c>
      <c r="O525">
        <v>30</v>
      </c>
      <c r="P525">
        <v>1.8749999999999999E-2</v>
      </c>
      <c r="Q525" s="84" t="e">
        <v>#REF!</v>
      </c>
      <c r="R525" s="85"/>
      <c r="S525" s="85"/>
      <c r="T525" s="86">
        <v>0</v>
      </c>
      <c r="U525" s="84">
        <v>0</v>
      </c>
      <c r="V525" s="84">
        <v>188.99299999999999</v>
      </c>
      <c r="W525" s="84">
        <v>94.496499999999997</v>
      </c>
      <c r="X525" s="82">
        <v>0.35</v>
      </c>
      <c r="Y525" s="82"/>
      <c r="Z525" s="84">
        <v>94.496499999999997</v>
      </c>
      <c r="AA525" s="84">
        <v>188.99299999999999</v>
      </c>
      <c r="AB525" s="88" t="e">
        <v>#DIV/0!</v>
      </c>
      <c r="AC525" t="s">
        <v>2703</v>
      </c>
    </row>
    <row r="526" spans="3:29" ht="45.75">
      <c r="C526" t="s">
        <v>2704</v>
      </c>
      <c r="D526" t="s">
        <v>2700</v>
      </c>
      <c r="E526" s="84"/>
      <c r="F526" s="84">
        <v>0</v>
      </c>
      <c r="G526" t="s">
        <v>2561</v>
      </c>
      <c r="H526" t="s">
        <v>2705</v>
      </c>
      <c r="I526" t="s">
        <v>186</v>
      </c>
      <c r="J526" t="s">
        <v>2706</v>
      </c>
      <c r="K526" s="83" t="s">
        <v>2707</v>
      </c>
      <c r="L526" t="s">
        <v>670</v>
      </c>
      <c r="N526">
        <v>30</v>
      </c>
      <c r="O526">
        <v>35</v>
      </c>
      <c r="P526">
        <v>3.15E-2</v>
      </c>
      <c r="Q526" s="84" t="e">
        <v>#REF!</v>
      </c>
      <c r="R526" s="85"/>
      <c r="S526" s="85"/>
      <c r="T526" s="86">
        <v>0</v>
      </c>
      <c r="U526" s="84">
        <v>0</v>
      </c>
      <c r="V526" s="84">
        <v>0</v>
      </c>
      <c r="W526" s="84">
        <v>0</v>
      </c>
      <c r="X526" s="82" t="e">
        <v>#DIV/0!</v>
      </c>
      <c r="Y526" s="82"/>
      <c r="Z526" s="84">
        <v>0</v>
      </c>
      <c r="AA526" s="84">
        <v>0</v>
      </c>
      <c r="AB526" s="88" t="e">
        <v>#DIV/0!</v>
      </c>
      <c r="AC526" t="s">
        <v>2708</v>
      </c>
    </row>
    <row r="527" spans="3:29">
      <c r="C527" t="s">
        <v>2709</v>
      </c>
      <c r="D527" t="s">
        <v>2710</v>
      </c>
      <c r="E527" s="84">
        <v>42.99</v>
      </c>
      <c r="F527" s="84">
        <v>21.495000000000001</v>
      </c>
      <c r="G527" t="s">
        <v>2561</v>
      </c>
      <c r="H527" t="s">
        <v>2711</v>
      </c>
      <c r="I527" t="s">
        <v>628</v>
      </c>
      <c r="J527" t="s">
        <v>2712</v>
      </c>
      <c r="K527" t="s">
        <v>2637</v>
      </c>
      <c r="L527" t="s">
        <v>670</v>
      </c>
      <c r="N527">
        <v>9</v>
      </c>
      <c r="O527">
        <v>7</v>
      </c>
      <c r="P527">
        <v>5.6700000000000001E-4</v>
      </c>
      <c r="Q527" s="84" t="e">
        <v>#REF!</v>
      </c>
      <c r="R527" s="85"/>
      <c r="S527" s="85"/>
      <c r="T527" s="86">
        <v>0</v>
      </c>
      <c r="U527" s="84">
        <v>0</v>
      </c>
      <c r="V527" s="84">
        <v>30.093</v>
      </c>
      <c r="W527" s="84">
        <v>15.0465</v>
      </c>
      <c r="X527" s="82">
        <v>0.35</v>
      </c>
      <c r="Y527" s="82"/>
      <c r="Z527" s="84">
        <v>15.0465</v>
      </c>
      <c r="AA527" s="84">
        <v>30.093</v>
      </c>
      <c r="AB527" s="88" t="e">
        <v>#DIV/0!</v>
      </c>
      <c r="AC527" t="s">
        <v>2713</v>
      </c>
    </row>
    <row r="528" spans="3:29">
      <c r="C528" t="s">
        <v>2714</v>
      </c>
      <c r="D528" t="s">
        <v>2710</v>
      </c>
      <c r="E528" s="84">
        <v>99.99</v>
      </c>
      <c r="F528" s="84">
        <v>49.994999999999997</v>
      </c>
      <c r="G528" t="s">
        <v>2561</v>
      </c>
      <c r="H528" t="s">
        <v>2715</v>
      </c>
      <c r="I528" t="s">
        <v>628</v>
      </c>
      <c r="J528" t="s">
        <v>2716</v>
      </c>
      <c r="K528" t="s">
        <v>2637</v>
      </c>
      <c r="L528" t="s">
        <v>670</v>
      </c>
      <c r="N528">
        <v>16</v>
      </c>
      <c r="O528">
        <v>12</v>
      </c>
      <c r="P528">
        <v>3.0720000000000001E-3</v>
      </c>
      <c r="Q528" s="84" t="e">
        <v>#REF!</v>
      </c>
      <c r="R528" s="85"/>
      <c r="S528" s="85"/>
      <c r="T528" s="86">
        <v>0</v>
      </c>
      <c r="U528" s="84">
        <v>0</v>
      </c>
      <c r="V528" s="84">
        <v>69.992999999999995</v>
      </c>
      <c r="W528" s="84">
        <v>34.996499999999997</v>
      </c>
      <c r="X528" s="82">
        <v>0.35</v>
      </c>
      <c r="Y528" s="82"/>
      <c r="Z528" s="84">
        <v>34.996499999999997</v>
      </c>
      <c r="AA528" s="84">
        <v>69.992999999999995</v>
      </c>
      <c r="AB528" s="88" t="e">
        <v>#DIV/0!</v>
      </c>
      <c r="AC528" t="s">
        <v>2717</v>
      </c>
    </row>
    <row r="529" spans="3:29">
      <c r="C529" t="s">
        <v>2718</v>
      </c>
      <c r="D529" t="s">
        <v>2710</v>
      </c>
      <c r="E529" s="84">
        <v>271.99</v>
      </c>
      <c r="F529" s="84">
        <v>135.995</v>
      </c>
      <c r="G529" t="s">
        <v>2561</v>
      </c>
      <c r="H529" t="s">
        <v>2719</v>
      </c>
      <c r="I529" t="s">
        <v>628</v>
      </c>
      <c r="J529" t="s">
        <v>2720</v>
      </c>
      <c r="K529" t="s">
        <v>2637</v>
      </c>
      <c r="L529" t="s">
        <v>670</v>
      </c>
      <c r="N529">
        <v>28</v>
      </c>
      <c r="O529">
        <v>22</v>
      </c>
      <c r="P529">
        <v>1.7247999999999999E-2</v>
      </c>
      <c r="Q529" s="84" t="e">
        <v>#REF!</v>
      </c>
      <c r="R529" s="85"/>
      <c r="S529" s="85"/>
      <c r="T529" s="86">
        <v>0</v>
      </c>
      <c r="U529" s="84">
        <v>0</v>
      </c>
      <c r="V529" s="84">
        <v>190.393</v>
      </c>
      <c r="W529" s="84">
        <v>95.1965</v>
      </c>
      <c r="X529" s="82">
        <v>0.35</v>
      </c>
      <c r="Y529" s="82"/>
      <c r="Z529" s="84">
        <v>95.1965</v>
      </c>
      <c r="AA529" s="84">
        <v>190.393</v>
      </c>
      <c r="AB529" s="88" t="e">
        <v>#DIV/0!</v>
      </c>
      <c r="AC529" t="s">
        <v>2717</v>
      </c>
    </row>
    <row r="530" spans="3:29">
      <c r="C530" t="s">
        <v>2721</v>
      </c>
      <c r="D530" t="s">
        <v>2722</v>
      </c>
      <c r="E530" s="84">
        <v>36.99</v>
      </c>
      <c r="F530" s="84">
        <v>18.495000000000001</v>
      </c>
      <c r="G530" t="s">
        <v>2561</v>
      </c>
      <c r="H530" t="s">
        <v>2723</v>
      </c>
      <c r="I530" t="s">
        <v>875</v>
      </c>
      <c r="J530" t="s">
        <v>2724</v>
      </c>
      <c r="K530" t="s">
        <v>2564</v>
      </c>
      <c r="L530" t="s">
        <v>670</v>
      </c>
      <c r="N530">
        <v>9</v>
      </c>
      <c r="O530">
        <v>22</v>
      </c>
      <c r="P530">
        <v>1.7819999999999999E-3</v>
      </c>
      <c r="Q530" s="84" t="e">
        <v>#REF!</v>
      </c>
      <c r="R530" s="85"/>
      <c r="S530" s="85"/>
      <c r="T530" s="86">
        <v>0</v>
      </c>
      <c r="U530" s="84">
        <v>0</v>
      </c>
      <c r="V530" s="84">
        <v>25.893000000000001</v>
      </c>
      <c r="W530" s="84">
        <v>12.9465</v>
      </c>
      <c r="X530" s="82">
        <v>0.35</v>
      </c>
      <c r="Y530" s="82"/>
      <c r="Z530" s="84">
        <v>12.9465</v>
      </c>
      <c r="AA530" s="84">
        <v>25.893000000000001</v>
      </c>
      <c r="AB530" s="88" t="e">
        <v>#DIV/0!</v>
      </c>
      <c r="AC530" t="s">
        <v>2725</v>
      </c>
    </row>
    <row r="531" spans="3:29">
      <c r="C531" t="s">
        <v>2726</v>
      </c>
      <c r="D531" t="s">
        <v>2722</v>
      </c>
      <c r="E531" s="84">
        <v>43.99</v>
      </c>
      <c r="F531" s="84">
        <v>21.995000000000001</v>
      </c>
      <c r="G531" t="s">
        <v>2561</v>
      </c>
      <c r="H531" t="s">
        <v>2727</v>
      </c>
      <c r="I531" t="s">
        <v>875</v>
      </c>
      <c r="J531" t="s">
        <v>2728</v>
      </c>
      <c r="K531" t="s">
        <v>2564</v>
      </c>
      <c r="L531" t="s">
        <v>670</v>
      </c>
      <c r="N531">
        <v>9</v>
      </c>
      <c r="O531">
        <v>25</v>
      </c>
      <c r="P531">
        <v>2.0249999999999999E-3</v>
      </c>
      <c r="Q531" s="84" t="e">
        <v>#REF!</v>
      </c>
      <c r="R531" s="85"/>
      <c r="S531" s="85"/>
      <c r="T531" s="86">
        <v>0</v>
      </c>
      <c r="U531" s="84">
        <v>0</v>
      </c>
      <c r="V531" s="84">
        <v>30.792999999999999</v>
      </c>
      <c r="W531" s="84">
        <v>15.3965</v>
      </c>
      <c r="X531" s="82">
        <v>0.35</v>
      </c>
      <c r="Y531" s="82"/>
      <c r="Z531" s="84">
        <v>15.3965</v>
      </c>
      <c r="AA531" s="84">
        <v>30.792999999999999</v>
      </c>
      <c r="AB531" s="88" t="e">
        <v>#DIV/0!</v>
      </c>
      <c r="AC531" t="s">
        <v>2729</v>
      </c>
    </row>
    <row r="532" spans="3:29">
      <c r="C532" t="s">
        <v>2730</v>
      </c>
      <c r="D532" t="s">
        <v>2722</v>
      </c>
      <c r="E532" s="84">
        <v>50.99</v>
      </c>
      <c r="F532" s="84">
        <v>25.495000000000001</v>
      </c>
      <c r="G532" t="s">
        <v>2561</v>
      </c>
      <c r="H532" t="s">
        <v>2731</v>
      </c>
      <c r="I532" t="s">
        <v>875</v>
      </c>
      <c r="J532" t="s">
        <v>2732</v>
      </c>
      <c r="K532" t="s">
        <v>2564</v>
      </c>
      <c r="L532" t="s">
        <v>670</v>
      </c>
      <c r="N532">
        <v>9</v>
      </c>
      <c r="O532">
        <v>30</v>
      </c>
      <c r="P532">
        <v>2.4299999999999999E-3</v>
      </c>
      <c r="Q532" s="84" t="e">
        <v>#REF!</v>
      </c>
      <c r="R532" s="85"/>
      <c r="S532" s="85"/>
      <c r="T532" s="86">
        <v>0</v>
      </c>
      <c r="U532" s="84">
        <v>0</v>
      </c>
      <c r="V532" s="84">
        <v>35.692999999999998</v>
      </c>
      <c r="W532" s="84">
        <v>17.846499999999999</v>
      </c>
      <c r="X532" s="82">
        <v>0.35</v>
      </c>
      <c r="Y532" s="82"/>
      <c r="Z532" s="84">
        <v>17.846499999999999</v>
      </c>
      <c r="AA532" s="84">
        <v>35.692999999999998</v>
      </c>
      <c r="AB532" s="88" t="e">
        <v>#DIV/0!</v>
      </c>
      <c r="AC532" t="s">
        <v>2733</v>
      </c>
    </row>
    <row r="533" spans="3:29">
      <c r="C533" t="s">
        <v>2734</v>
      </c>
      <c r="D533" t="s">
        <v>2735</v>
      </c>
      <c r="E533" s="84">
        <v>66.989999999999995</v>
      </c>
      <c r="F533" s="84">
        <v>33.494999999999997</v>
      </c>
      <c r="G533" t="s">
        <v>2561</v>
      </c>
      <c r="H533" t="s">
        <v>2736</v>
      </c>
      <c r="I533" t="s">
        <v>472</v>
      </c>
      <c r="J533" t="s">
        <v>2737</v>
      </c>
      <c r="K533" t="s">
        <v>2564</v>
      </c>
      <c r="L533" t="s">
        <v>670</v>
      </c>
      <c r="M533">
        <v>10</v>
      </c>
      <c r="N533">
        <v>10</v>
      </c>
      <c r="O533">
        <v>25</v>
      </c>
      <c r="P533">
        <v>2.5000000000000001E-3</v>
      </c>
      <c r="Q533" s="84" t="e">
        <v>#REF!</v>
      </c>
      <c r="R533" s="85"/>
      <c r="S533" s="85"/>
      <c r="T533" s="86">
        <v>0</v>
      </c>
      <c r="U533" s="84">
        <v>0</v>
      </c>
      <c r="V533" s="84">
        <v>46.893000000000001</v>
      </c>
      <c r="W533" s="84">
        <v>23.4465</v>
      </c>
      <c r="X533" s="82">
        <v>0.35</v>
      </c>
      <c r="Y533" s="82"/>
      <c r="Z533" s="84">
        <v>23.4465</v>
      </c>
      <c r="AA533" s="84">
        <v>46.893000000000001</v>
      </c>
      <c r="AB533" s="88" t="e">
        <v>#DIV/0!</v>
      </c>
      <c r="AC533" t="s">
        <v>2738</v>
      </c>
    </row>
    <row r="534" spans="3:29">
      <c r="C534" t="s">
        <v>2739</v>
      </c>
      <c r="D534" t="s">
        <v>2735</v>
      </c>
      <c r="E534" s="84">
        <v>92.99</v>
      </c>
      <c r="F534" s="84">
        <v>46.494999999999997</v>
      </c>
      <c r="G534" t="s">
        <v>2561</v>
      </c>
      <c r="H534" t="s">
        <v>2740</v>
      </c>
      <c r="I534" t="s">
        <v>472</v>
      </c>
      <c r="J534" t="s">
        <v>2741</v>
      </c>
      <c r="K534" t="s">
        <v>2637</v>
      </c>
      <c r="L534" t="s">
        <v>670</v>
      </c>
      <c r="M534">
        <v>10</v>
      </c>
      <c r="N534">
        <v>10</v>
      </c>
      <c r="O534">
        <v>26</v>
      </c>
      <c r="P534">
        <v>2.5999999999999999E-3</v>
      </c>
      <c r="Q534" s="84" t="e">
        <v>#REF!</v>
      </c>
      <c r="R534" s="85"/>
      <c r="S534" s="85"/>
      <c r="T534" s="86">
        <v>0</v>
      </c>
      <c r="U534" s="84">
        <v>0</v>
      </c>
      <c r="V534" s="84">
        <v>65.093000000000004</v>
      </c>
      <c r="W534" s="84">
        <v>32.546500000000002</v>
      </c>
      <c r="X534" s="82">
        <v>0.35</v>
      </c>
      <c r="Y534" s="82"/>
      <c r="Z534" s="84">
        <v>32.546500000000002</v>
      </c>
      <c r="AA534" s="84">
        <v>65.093000000000004</v>
      </c>
      <c r="AB534" s="88" t="e">
        <v>#DIV/0!</v>
      </c>
      <c r="AC534" t="s">
        <v>2738</v>
      </c>
    </row>
    <row r="535" spans="3:29">
      <c r="C535" t="s">
        <v>2742</v>
      </c>
      <c r="D535" t="s">
        <v>2743</v>
      </c>
      <c r="E535" s="84">
        <v>121.99</v>
      </c>
      <c r="F535" s="84">
        <v>60.994999999999997</v>
      </c>
      <c r="G535" t="s">
        <v>2561</v>
      </c>
      <c r="H535" t="s">
        <v>2744</v>
      </c>
      <c r="I535" t="s">
        <v>323</v>
      </c>
      <c r="J535" t="s">
        <v>2745</v>
      </c>
      <c r="K535" t="s">
        <v>2637</v>
      </c>
      <c r="L535" t="s">
        <v>670</v>
      </c>
      <c r="N535">
        <v>21</v>
      </c>
      <c r="O535">
        <v>20</v>
      </c>
      <c r="P535">
        <v>8.8199999999999997E-3</v>
      </c>
      <c r="Q535" s="84" t="e">
        <v>#REF!</v>
      </c>
      <c r="R535" s="85"/>
      <c r="S535" s="85"/>
      <c r="T535" s="86">
        <v>0</v>
      </c>
      <c r="U535" s="84">
        <v>0</v>
      </c>
      <c r="V535" s="84">
        <v>85.393000000000001</v>
      </c>
      <c r="W535" s="84">
        <v>42.6965</v>
      </c>
      <c r="X535" s="82">
        <v>0.35</v>
      </c>
      <c r="Y535" s="82"/>
      <c r="Z535" s="84">
        <v>42.6965</v>
      </c>
      <c r="AA535" s="84">
        <v>85.393000000000001</v>
      </c>
      <c r="AB535" s="88" t="e">
        <v>#DIV/0!</v>
      </c>
      <c r="AC535" t="s">
        <v>2746</v>
      </c>
    </row>
    <row r="536" spans="3:29">
      <c r="C536" t="s">
        <v>2747</v>
      </c>
      <c r="D536" t="s">
        <v>2743</v>
      </c>
      <c r="E536" s="84">
        <v>151.99</v>
      </c>
      <c r="F536" s="84">
        <v>75.995000000000005</v>
      </c>
      <c r="G536" t="s">
        <v>2561</v>
      </c>
      <c r="H536" t="s">
        <v>2748</v>
      </c>
      <c r="I536" t="s">
        <v>323</v>
      </c>
      <c r="J536" t="s">
        <v>2749</v>
      </c>
      <c r="K536" t="s">
        <v>2637</v>
      </c>
      <c r="L536" t="s">
        <v>670</v>
      </c>
      <c r="N536">
        <v>21</v>
      </c>
      <c r="O536">
        <v>35</v>
      </c>
      <c r="P536">
        <v>1.5435000000000001E-2</v>
      </c>
      <c r="Q536" s="84" t="e">
        <v>#REF!</v>
      </c>
      <c r="R536" s="85"/>
      <c r="S536" s="85"/>
      <c r="T536" s="86">
        <v>0</v>
      </c>
      <c r="U536" s="84">
        <v>0</v>
      </c>
      <c r="V536" s="84">
        <v>106.393</v>
      </c>
      <c r="W536" s="84">
        <v>53.1965</v>
      </c>
      <c r="X536" s="82">
        <v>0.35</v>
      </c>
      <c r="Y536" s="82"/>
      <c r="Z536" s="84">
        <v>53.1965</v>
      </c>
      <c r="AA536" s="84">
        <v>106.393</v>
      </c>
      <c r="AB536" s="88" t="e">
        <v>#DIV/0!</v>
      </c>
      <c r="AC536" t="s">
        <v>2750</v>
      </c>
    </row>
    <row r="537" spans="3:29">
      <c r="C537" t="s">
        <v>2751</v>
      </c>
      <c r="D537" t="s">
        <v>2743</v>
      </c>
      <c r="E537" s="84">
        <v>237.99</v>
      </c>
      <c r="F537" s="84">
        <v>118.995</v>
      </c>
      <c r="G537" t="s">
        <v>2561</v>
      </c>
      <c r="H537" t="s">
        <v>2752</v>
      </c>
      <c r="I537" t="s">
        <v>323</v>
      </c>
      <c r="J537" t="s">
        <v>2753</v>
      </c>
      <c r="K537" t="s">
        <v>2637</v>
      </c>
      <c r="L537" t="s">
        <v>670</v>
      </c>
      <c r="N537">
        <v>27</v>
      </c>
      <c r="O537">
        <v>45</v>
      </c>
      <c r="P537">
        <v>3.2805000000000001E-2</v>
      </c>
      <c r="Q537" s="84" t="e">
        <v>#REF!</v>
      </c>
      <c r="R537" s="85"/>
      <c r="S537" s="85"/>
      <c r="T537" s="86">
        <v>0</v>
      </c>
      <c r="U537" s="84">
        <v>0</v>
      </c>
      <c r="V537" s="84">
        <v>166.59299999999999</v>
      </c>
      <c r="W537" s="84">
        <v>83.296499999999995</v>
      </c>
      <c r="X537" s="82">
        <v>0.35</v>
      </c>
      <c r="Y537" s="82"/>
      <c r="Z537" s="84">
        <v>83.296499999999995</v>
      </c>
      <c r="AA537" s="84">
        <v>166.59299999999999</v>
      </c>
      <c r="AB537" s="88" t="e">
        <v>#DIV/0!</v>
      </c>
      <c r="AC537" t="s">
        <v>2754</v>
      </c>
    </row>
    <row r="538" spans="3:29">
      <c r="C538" t="s">
        <v>2755</v>
      </c>
      <c r="D538" t="s">
        <v>2743</v>
      </c>
      <c r="E538" s="84">
        <v>135.99</v>
      </c>
      <c r="F538" s="84">
        <v>67.995000000000005</v>
      </c>
      <c r="G538" t="s">
        <v>2561</v>
      </c>
      <c r="H538" t="s">
        <v>2744</v>
      </c>
      <c r="I538" t="s">
        <v>323</v>
      </c>
      <c r="J538" t="s">
        <v>2745</v>
      </c>
      <c r="K538" t="s">
        <v>2756</v>
      </c>
      <c r="L538" t="s">
        <v>670</v>
      </c>
      <c r="N538">
        <v>21</v>
      </c>
      <c r="O538">
        <v>20</v>
      </c>
      <c r="P538">
        <v>8.8199999999999997E-3</v>
      </c>
      <c r="Q538" s="84" t="e">
        <v>#REF!</v>
      </c>
      <c r="R538" s="85"/>
      <c r="S538" s="85"/>
      <c r="T538" s="86">
        <v>0</v>
      </c>
      <c r="U538" s="84">
        <v>0</v>
      </c>
      <c r="V538" s="84">
        <v>95.192999999999998</v>
      </c>
      <c r="W538" s="84">
        <v>47.596499999999999</v>
      </c>
      <c r="X538" s="82">
        <v>0.35</v>
      </c>
      <c r="Y538" s="82"/>
      <c r="Z538" s="84">
        <v>47.596499999999999</v>
      </c>
      <c r="AA538" s="84">
        <v>95.192999999999998</v>
      </c>
      <c r="AB538" s="88" t="e">
        <v>#DIV/0!</v>
      </c>
      <c r="AC538" t="s">
        <v>2750</v>
      </c>
    </row>
    <row r="539" spans="3:29">
      <c r="C539" t="s">
        <v>2757</v>
      </c>
      <c r="D539" t="s">
        <v>2743</v>
      </c>
      <c r="E539" s="84">
        <v>167.99</v>
      </c>
      <c r="F539" s="84">
        <v>83.995000000000005</v>
      </c>
      <c r="G539" t="s">
        <v>2561</v>
      </c>
      <c r="H539" t="s">
        <v>2748</v>
      </c>
      <c r="I539" t="s">
        <v>323</v>
      </c>
      <c r="J539" t="s">
        <v>2758</v>
      </c>
      <c r="K539" t="s">
        <v>2756</v>
      </c>
      <c r="L539" t="s">
        <v>670</v>
      </c>
      <c r="N539">
        <v>21</v>
      </c>
      <c r="O539">
        <v>35</v>
      </c>
      <c r="P539">
        <v>1.5435000000000001E-2</v>
      </c>
      <c r="Q539" s="84" t="e">
        <v>#REF!</v>
      </c>
      <c r="R539" s="85"/>
      <c r="S539" s="85"/>
      <c r="T539" s="86">
        <v>0</v>
      </c>
      <c r="U539" s="84">
        <v>0</v>
      </c>
      <c r="V539" s="84">
        <v>117.593</v>
      </c>
      <c r="W539" s="84">
        <v>58.796500000000002</v>
      </c>
      <c r="X539" s="82">
        <v>0.35</v>
      </c>
      <c r="Y539" s="82"/>
      <c r="Z539" s="84">
        <v>58.796500000000002</v>
      </c>
      <c r="AA539" s="84">
        <v>117.593</v>
      </c>
      <c r="AB539" s="88" t="e">
        <v>#DIV/0!</v>
      </c>
      <c r="AC539" t="s">
        <v>2759</v>
      </c>
    </row>
    <row r="540" spans="3:29">
      <c r="C540" t="s">
        <v>2760</v>
      </c>
      <c r="D540" t="s">
        <v>2743</v>
      </c>
      <c r="E540" s="84">
        <v>271.99</v>
      </c>
      <c r="F540" s="84">
        <v>135.995</v>
      </c>
      <c r="G540" t="s">
        <v>2561</v>
      </c>
      <c r="H540" t="s">
        <v>2752</v>
      </c>
      <c r="I540" t="s">
        <v>323</v>
      </c>
      <c r="J540" t="s">
        <v>2753</v>
      </c>
      <c r="K540" t="s">
        <v>2756</v>
      </c>
      <c r="L540" t="s">
        <v>670</v>
      </c>
      <c r="N540">
        <v>27</v>
      </c>
      <c r="O540">
        <v>45</v>
      </c>
      <c r="P540">
        <v>3.2805000000000001E-2</v>
      </c>
      <c r="Q540" s="84" t="e">
        <v>#REF!</v>
      </c>
      <c r="R540" s="85"/>
      <c r="S540" s="85"/>
      <c r="T540" s="86">
        <v>0</v>
      </c>
      <c r="U540" s="84">
        <v>0</v>
      </c>
      <c r="V540" s="84">
        <v>190.393</v>
      </c>
      <c r="W540" s="84">
        <v>95.1965</v>
      </c>
      <c r="X540" s="82">
        <v>0.35</v>
      </c>
      <c r="Y540" s="82"/>
      <c r="Z540" s="84">
        <v>95.1965</v>
      </c>
      <c r="AA540" s="84">
        <v>190.393</v>
      </c>
      <c r="AB540" s="88" t="e">
        <v>#DIV/0!</v>
      </c>
      <c r="AC540" t="s">
        <v>2746</v>
      </c>
    </row>
    <row r="541" spans="3:29">
      <c r="C541" t="s">
        <v>2761</v>
      </c>
      <c r="D541" t="s">
        <v>2762</v>
      </c>
      <c r="E541" s="84">
        <v>188.99</v>
      </c>
      <c r="F541" s="84">
        <v>94.495000000000005</v>
      </c>
      <c r="G541" t="s">
        <v>2561</v>
      </c>
      <c r="H541" t="s">
        <v>2763</v>
      </c>
      <c r="I541" t="s">
        <v>328</v>
      </c>
      <c r="J541" t="s">
        <v>2764</v>
      </c>
      <c r="K541" t="s">
        <v>2765</v>
      </c>
      <c r="L541" t="s">
        <v>670</v>
      </c>
      <c r="N541">
        <v>30</v>
      </c>
      <c r="O541">
        <v>30</v>
      </c>
      <c r="P541">
        <v>2.7E-2</v>
      </c>
      <c r="Q541" s="84" t="e">
        <v>#REF!</v>
      </c>
      <c r="R541" s="85"/>
      <c r="S541" s="85"/>
      <c r="T541" s="86">
        <v>0</v>
      </c>
      <c r="U541" s="84">
        <v>0</v>
      </c>
      <c r="V541" s="84">
        <v>132.29300000000001</v>
      </c>
      <c r="W541" s="84">
        <v>66.146500000000003</v>
      </c>
      <c r="X541" s="82">
        <v>0.35</v>
      </c>
      <c r="Y541" s="82"/>
      <c r="Z541" s="84">
        <v>66.146500000000003</v>
      </c>
      <c r="AA541" s="84">
        <v>132.29300000000001</v>
      </c>
      <c r="AB541" s="88" t="e">
        <v>#DIV/0!</v>
      </c>
      <c r="AC541" t="s">
        <v>2766</v>
      </c>
    </row>
    <row r="542" spans="3:29">
      <c r="C542" t="s">
        <v>2767</v>
      </c>
      <c r="D542" t="s">
        <v>2762</v>
      </c>
      <c r="E542" s="84">
        <v>1352.99</v>
      </c>
      <c r="F542" s="84">
        <v>676.495</v>
      </c>
      <c r="G542" t="s">
        <v>2561</v>
      </c>
      <c r="H542" t="s">
        <v>2768</v>
      </c>
      <c r="I542" t="s">
        <v>328</v>
      </c>
      <c r="J542" t="s">
        <v>2769</v>
      </c>
      <c r="K542" t="s">
        <v>2765</v>
      </c>
      <c r="L542" t="s">
        <v>670</v>
      </c>
      <c r="N542">
        <v>35</v>
      </c>
      <c r="O542">
        <v>60</v>
      </c>
      <c r="P542">
        <v>7.3499999999999996E-2</v>
      </c>
      <c r="Q542" s="84" t="e">
        <v>#REF!</v>
      </c>
      <c r="R542" s="85"/>
      <c r="S542" s="85"/>
      <c r="T542" s="86">
        <v>0</v>
      </c>
      <c r="U542" s="84">
        <v>0</v>
      </c>
      <c r="V542" s="84">
        <v>947.09299999999996</v>
      </c>
      <c r="W542" s="84">
        <v>473.54649999999998</v>
      </c>
      <c r="X542" s="82">
        <v>0.35</v>
      </c>
      <c r="Y542" s="82"/>
      <c r="Z542" s="84">
        <v>473.54649999999998</v>
      </c>
      <c r="AA542" s="84">
        <v>947.09299999999996</v>
      </c>
      <c r="AB542" s="88" t="e">
        <v>#DIV/0!</v>
      </c>
      <c r="AC542" t="s">
        <v>2770</v>
      </c>
    </row>
    <row r="543" spans="3:29">
      <c r="C543" t="s">
        <v>2771</v>
      </c>
      <c r="D543" t="s">
        <v>2772</v>
      </c>
      <c r="E543" s="84">
        <v>113.99</v>
      </c>
      <c r="F543" s="84">
        <v>56.994999999999997</v>
      </c>
      <c r="G543" t="s">
        <v>2561</v>
      </c>
      <c r="H543" t="s">
        <v>2773</v>
      </c>
      <c r="I543" t="s">
        <v>763</v>
      </c>
      <c r="J543" t="s">
        <v>2774</v>
      </c>
      <c r="K543" t="s">
        <v>2564</v>
      </c>
      <c r="L543" t="s">
        <v>670</v>
      </c>
      <c r="N543">
        <v>32</v>
      </c>
      <c r="O543">
        <v>20</v>
      </c>
      <c r="P543">
        <v>2.0480000000000002E-2</v>
      </c>
      <c r="Q543" s="84" t="e">
        <v>#REF!</v>
      </c>
      <c r="R543" s="85"/>
      <c r="S543" s="85"/>
      <c r="T543" s="86">
        <v>0</v>
      </c>
      <c r="U543" s="84">
        <v>0</v>
      </c>
      <c r="V543" s="84">
        <v>79.793000000000006</v>
      </c>
      <c r="W543" s="84">
        <v>39.896500000000003</v>
      </c>
      <c r="X543" s="82">
        <v>0.35</v>
      </c>
      <c r="Y543" s="82"/>
      <c r="Z543" s="84">
        <v>39.896500000000003</v>
      </c>
      <c r="AA543" s="84">
        <v>79.793000000000006</v>
      </c>
      <c r="AB543" s="88" t="e">
        <v>#DIV/0!</v>
      </c>
      <c r="AC543" t="s">
        <v>2775</v>
      </c>
    </row>
    <row r="544" spans="3:29">
      <c r="C544" t="s">
        <v>2776</v>
      </c>
      <c r="D544" t="s">
        <v>2772</v>
      </c>
      <c r="E544" s="84">
        <v>195.99</v>
      </c>
      <c r="F544" s="84">
        <v>97.995000000000005</v>
      </c>
      <c r="G544" t="s">
        <v>2561</v>
      </c>
      <c r="H544" t="s">
        <v>2777</v>
      </c>
      <c r="I544" t="s">
        <v>763</v>
      </c>
      <c r="J544" t="s">
        <v>2778</v>
      </c>
      <c r="K544" t="s">
        <v>2564</v>
      </c>
      <c r="L544" t="s">
        <v>670</v>
      </c>
      <c r="N544">
        <v>37</v>
      </c>
      <c r="O544">
        <v>40</v>
      </c>
      <c r="P544">
        <v>5.4760000000000003E-2</v>
      </c>
      <c r="Q544" s="84" t="e">
        <v>#REF!</v>
      </c>
      <c r="R544" s="85"/>
      <c r="S544" s="85"/>
      <c r="T544" s="86">
        <v>0</v>
      </c>
      <c r="U544" s="84">
        <v>0</v>
      </c>
      <c r="V544" s="84">
        <v>137.19300000000001</v>
      </c>
      <c r="W544" s="84">
        <v>68.596500000000006</v>
      </c>
      <c r="X544" s="82">
        <v>0.35</v>
      </c>
      <c r="Y544" s="82"/>
      <c r="Z544" s="84">
        <v>68.596500000000006</v>
      </c>
      <c r="AA544" s="84">
        <v>137.19300000000001</v>
      </c>
      <c r="AB544" s="88" t="e">
        <v>#DIV/0!</v>
      </c>
      <c r="AC544" t="s">
        <v>2779</v>
      </c>
    </row>
    <row r="545" spans="3:29">
      <c r="C545" t="s">
        <v>2780</v>
      </c>
      <c r="D545" t="s">
        <v>2772</v>
      </c>
      <c r="E545" s="84">
        <v>279.99</v>
      </c>
      <c r="F545" s="84">
        <v>139.995</v>
      </c>
      <c r="G545" t="s">
        <v>2561</v>
      </c>
      <c r="H545" t="s">
        <v>2781</v>
      </c>
      <c r="I545" t="s">
        <v>763</v>
      </c>
      <c r="J545" t="s">
        <v>2782</v>
      </c>
      <c r="K545" t="s">
        <v>2564</v>
      </c>
      <c r="L545" t="s">
        <v>670</v>
      </c>
      <c r="N545">
        <v>40</v>
      </c>
      <c r="O545">
        <v>60</v>
      </c>
      <c r="P545">
        <v>9.6000000000000002E-2</v>
      </c>
      <c r="Q545" s="84" t="e">
        <v>#REF!</v>
      </c>
      <c r="R545" s="85"/>
      <c r="S545" s="85"/>
      <c r="T545" s="86">
        <v>0</v>
      </c>
      <c r="U545" s="84">
        <v>0</v>
      </c>
      <c r="V545" s="84">
        <v>195.99299999999999</v>
      </c>
      <c r="W545" s="84">
        <v>97.996499999999997</v>
      </c>
      <c r="X545" s="82">
        <v>0.35</v>
      </c>
      <c r="Y545" s="82"/>
      <c r="Z545" s="84">
        <v>97.996499999999997</v>
      </c>
      <c r="AA545" s="84">
        <v>195.99299999999999</v>
      </c>
      <c r="AB545" s="88" t="e">
        <v>#DIV/0!</v>
      </c>
      <c r="AC545" t="s">
        <v>2783</v>
      </c>
    </row>
    <row r="546" spans="3:29">
      <c r="C546" t="s">
        <v>2784</v>
      </c>
      <c r="D546" t="s">
        <v>2772</v>
      </c>
      <c r="E546" s="84">
        <v>380.99</v>
      </c>
      <c r="F546" s="84">
        <v>190.495</v>
      </c>
      <c r="G546" t="s">
        <v>2561</v>
      </c>
      <c r="H546" t="s">
        <v>2785</v>
      </c>
      <c r="I546" t="s">
        <v>763</v>
      </c>
      <c r="J546" t="s">
        <v>2786</v>
      </c>
      <c r="K546" t="s">
        <v>2637</v>
      </c>
      <c r="L546" t="s">
        <v>670</v>
      </c>
      <c r="N546">
        <v>40</v>
      </c>
      <c r="O546">
        <v>60</v>
      </c>
      <c r="P546">
        <v>9.6000000000000002E-2</v>
      </c>
      <c r="Q546" s="84" t="e">
        <v>#REF!</v>
      </c>
      <c r="R546" s="85"/>
      <c r="S546" s="85"/>
      <c r="T546" s="86">
        <v>0</v>
      </c>
      <c r="U546" s="84">
        <v>0</v>
      </c>
      <c r="V546" s="84">
        <v>266.69299999999998</v>
      </c>
      <c r="W546" s="84">
        <v>133.34649999999999</v>
      </c>
      <c r="X546" s="82">
        <v>0.35</v>
      </c>
      <c r="Y546" s="82"/>
      <c r="Z546" s="84">
        <v>133.34649999999999</v>
      </c>
      <c r="AA546" s="84">
        <v>266.69299999999998</v>
      </c>
      <c r="AB546" s="88" t="e">
        <v>#DIV/0!</v>
      </c>
      <c r="AC546" t="s">
        <v>2779</v>
      </c>
    </row>
    <row r="547" spans="3:29">
      <c r="C547" t="s">
        <v>2787</v>
      </c>
      <c r="D547" t="s">
        <v>2788</v>
      </c>
      <c r="E547" s="84">
        <v>31.99</v>
      </c>
      <c r="F547" s="84">
        <v>15.994999999999999</v>
      </c>
      <c r="G547" t="s">
        <v>2561</v>
      </c>
      <c r="H547" t="s">
        <v>2789</v>
      </c>
      <c r="I547" t="s">
        <v>801</v>
      </c>
      <c r="J547" t="s">
        <v>2790</v>
      </c>
      <c r="K547" t="s">
        <v>2564</v>
      </c>
      <c r="L547" t="s">
        <v>670</v>
      </c>
      <c r="N547">
        <v>4</v>
      </c>
      <c r="O547">
        <v>20</v>
      </c>
      <c r="P547">
        <v>3.2000000000000003E-4</v>
      </c>
      <c r="Q547" s="84" t="e">
        <v>#REF!</v>
      </c>
      <c r="R547" s="85"/>
      <c r="S547" s="85"/>
      <c r="T547" s="86">
        <v>0</v>
      </c>
      <c r="U547" s="84">
        <v>0</v>
      </c>
      <c r="V547" s="84">
        <v>22.393000000000001</v>
      </c>
      <c r="W547" s="84">
        <v>11.1965</v>
      </c>
      <c r="X547" s="82">
        <v>0.35</v>
      </c>
      <c r="Y547" s="82"/>
      <c r="Z547" s="84">
        <v>11.1965</v>
      </c>
      <c r="AA547" s="84">
        <v>22.393000000000001</v>
      </c>
      <c r="AB547" s="88" t="e">
        <v>#DIV/0!</v>
      </c>
      <c r="AC547" t="s">
        <v>2791</v>
      </c>
    </row>
    <row r="548" spans="3:29">
      <c r="C548" t="s">
        <v>2792</v>
      </c>
      <c r="D548" t="s">
        <v>2788</v>
      </c>
      <c r="E548" s="84">
        <v>57.99</v>
      </c>
      <c r="F548" s="84">
        <v>28.995000000000001</v>
      </c>
      <c r="G548" t="s">
        <v>2561</v>
      </c>
      <c r="H548" t="s">
        <v>2793</v>
      </c>
      <c r="I548" t="s">
        <v>801</v>
      </c>
      <c r="J548" t="s">
        <v>2794</v>
      </c>
      <c r="K548" t="s">
        <v>2564</v>
      </c>
      <c r="L548" t="s">
        <v>670</v>
      </c>
      <c r="N548">
        <v>6</v>
      </c>
      <c r="O548">
        <v>60</v>
      </c>
      <c r="P548">
        <v>2.16E-3</v>
      </c>
      <c r="Q548" s="84" t="e">
        <v>#REF!</v>
      </c>
      <c r="R548" s="85"/>
      <c r="S548" s="85"/>
      <c r="T548" s="86">
        <v>0</v>
      </c>
      <c r="U548" s="84">
        <v>0</v>
      </c>
      <c r="V548" s="84">
        <v>40.593000000000004</v>
      </c>
      <c r="W548" s="84">
        <v>20.296500000000002</v>
      </c>
      <c r="X548" s="82">
        <v>0.35</v>
      </c>
      <c r="Y548" s="82"/>
      <c r="Z548" s="84">
        <v>20.296500000000002</v>
      </c>
      <c r="AA548" s="84">
        <v>40.593000000000004</v>
      </c>
      <c r="AB548" s="88" t="e">
        <v>#DIV/0!</v>
      </c>
      <c r="AC548" t="s">
        <v>2795</v>
      </c>
    </row>
    <row r="549" spans="3:29">
      <c r="C549" t="s">
        <v>2796</v>
      </c>
      <c r="D549" t="s">
        <v>2788</v>
      </c>
      <c r="E549" s="84">
        <v>65.989999999999995</v>
      </c>
      <c r="F549" s="84">
        <v>32.994999999999997</v>
      </c>
      <c r="G549" t="s">
        <v>2561</v>
      </c>
      <c r="H549" t="s">
        <v>2797</v>
      </c>
      <c r="I549" t="s">
        <v>801</v>
      </c>
      <c r="J549" t="s">
        <v>2798</v>
      </c>
      <c r="K549" t="s">
        <v>2564</v>
      </c>
      <c r="L549" t="s">
        <v>670</v>
      </c>
      <c r="N549">
        <v>6</v>
      </c>
      <c r="O549">
        <v>70</v>
      </c>
      <c r="P549">
        <v>2.5200000000000001E-3</v>
      </c>
      <c r="Q549" s="84" t="e">
        <v>#REF!</v>
      </c>
      <c r="R549" s="85"/>
      <c r="S549" s="85"/>
      <c r="T549" s="86">
        <v>0</v>
      </c>
      <c r="U549" s="84">
        <v>0</v>
      </c>
      <c r="V549" s="84">
        <v>46.192999999999998</v>
      </c>
      <c r="W549" s="84">
        <v>23.096499999999999</v>
      </c>
      <c r="X549" s="82">
        <v>0.35</v>
      </c>
      <c r="Y549" s="82"/>
      <c r="Z549" s="84">
        <v>23.096499999999999</v>
      </c>
      <c r="AA549" s="84">
        <v>46.192999999999998</v>
      </c>
      <c r="AB549" s="88" t="e">
        <v>#DIV/0!</v>
      </c>
      <c r="AC549" t="s">
        <v>2799</v>
      </c>
    </row>
    <row r="550" spans="3:29">
      <c r="C550" t="s">
        <v>2800</v>
      </c>
      <c r="D550" t="s">
        <v>2788</v>
      </c>
      <c r="E550" s="84">
        <v>73.989999999999995</v>
      </c>
      <c r="F550" s="84">
        <v>36.994999999999997</v>
      </c>
      <c r="G550" t="s">
        <v>2561</v>
      </c>
      <c r="H550" t="s">
        <v>2801</v>
      </c>
      <c r="I550" t="s">
        <v>801</v>
      </c>
      <c r="J550" t="s">
        <v>2802</v>
      </c>
      <c r="K550" t="s">
        <v>2564</v>
      </c>
      <c r="L550" t="s">
        <v>670</v>
      </c>
      <c r="N550">
        <v>6</v>
      </c>
      <c r="O550">
        <v>80</v>
      </c>
      <c r="P550">
        <v>2.8800000000000002E-3</v>
      </c>
      <c r="Q550" s="84" t="e">
        <v>#REF!</v>
      </c>
      <c r="R550" s="85"/>
      <c r="S550" s="85"/>
      <c r="T550" s="86">
        <v>0</v>
      </c>
      <c r="U550" s="84">
        <v>0</v>
      </c>
      <c r="V550" s="84">
        <v>51.792999999999999</v>
      </c>
      <c r="W550" s="84">
        <v>25.8965</v>
      </c>
      <c r="X550" s="82">
        <v>0.35</v>
      </c>
      <c r="Y550" s="82"/>
      <c r="Z550" s="84">
        <v>25.8965</v>
      </c>
      <c r="AA550" s="84">
        <v>51.792999999999999</v>
      </c>
      <c r="AB550" s="88" t="e">
        <v>#DIV/0!</v>
      </c>
      <c r="AC550" t="s">
        <v>2799</v>
      </c>
    </row>
    <row r="551" spans="3:29">
      <c r="C551" t="s">
        <v>2803</v>
      </c>
      <c r="D551" t="s">
        <v>2788</v>
      </c>
      <c r="E551" s="84">
        <v>76.989999999999995</v>
      </c>
      <c r="F551" s="84">
        <v>38.494999999999997</v>
      </c>
      <c r="G551" t="s">
        <v>2561</v>
      </c>
      <c r="H551" t="s">
        <v>2804</v>
      </c>
      <c r="I551" t="s">
        <v>801</v>
      </c>
      <c r="J551" t="s">
        <v>2805</v>
      </c>
      <c r="K551" t="s">
        <v>2637</v>
      </c>
      <c r="L551" t="s">
        <v>670</v>
      </c>
      <c r="N551">
        <v>6</v>
      </c>
      <c r="O551">
        <v>60</v>
      </c>
      <c r="P551">
        <v>2.16E-3</v>
      </c>
      <c r="Q551" s="84" t="e">
        <v>#REF!</v>
      </c>
      <c r="R551" s="85"/>
      <c r="S551" s="85"/>
      <c r="T551" s="86">
        <v>0</v>
      </c>
      <c r="U551" s="84">
        <v>0</v>
      </c>
      <c r="V551" s="84">
        <v>53.893000000000001</v>
      </c>
      <c r="W551" s="84">
        <v>26.9465</v>
      </c>
      <c r="X551" s="82">
        <v>0.35</v>
      </c>
      <c r="Y551" s="82"/>
      <c r="Z551" s="84">
        <v>26.9465</v>
      </c>
      <c r="AA551" s="84">
        <v>53.893000000000001</v>
      </c>
      <c r="AB551" s="88" t="e">
        <v>#DIV/0!</v>
      </c>
      <c r="AC551" t="s">
        <v>2806</v>
      </c>
    </row>
    <row r="552" spans="3:29">
      <c r="C552" t="s">
        <v>2807</v>
      </c>
      <c r="D552" t="s">
        <v>2788</v>
      </c>
      <c r="E552" s="84">
        <v>88.99</v>
      </c>
      <c r="F552" s="84">
        <v>44.494999999999997</v>
      </c>
      <c r="G552" t="s">
        <v>2561</v>
      </c>
      <c r="H552" t="s">
        <v>2808</v>
      </c>
      <c r="I552" t="s">
        <v>801</v>
      </c>
      <c r="J552" t="s">
        <v>2798</v>
      </c>
      <c r="K552" t="s">
        <v>2637</v>
      </c>
      <c r="L552" t="s">
        <v>670</v>
      </c>
      <c r="N552">
        <v>6</v>
      </c>
      <c r="O552">
        <v>70</v>
      </c>
      <c r="P552">
        <v>2.5200000000000001E-3</v>
      </c>
      <c r="Q552" s="84" t="e">
        <v>#REF!</v>
      </c>
      <c r="R552" s="85"/>
      <c r="S552" s="85"/>
      <c r="T552" s="86">
        <v>0</v>
      </c>
      <c r="U552" s="84">
        <v>0</v>
      </c>
      <c r="V552" s="84">
        <v>62.292999999999999</v>
      </c>
      <c r="W552" s="84">
        <v>31.1465</v>
      </c>
      <c r="X552" s="82">
        <v>0.35</v>
      </c>
      <c r="Y552" s="82"/>
      <c r="Z552" s="84">
        <v>31.1465</v>
      </c>
      <c r="AA552" s="84">
        <v>62.292999999999999</v>
      </c>
      <c r="AB552" s="88" t="e">
        <v>#DIV/0!</v>
      </c>
      <c r="AC552" t="s">
        <v>2799</v>
      </c>
    </row>
    <row r="553" spans="3:29" ht="45.75">
      <c r="C553" t="s">
        <v>2809</v>
      </c>
      <c r="D553" t="s">
        <v>2788</v>
      </c>
      <c r="E553" s="84">
        <v>97.99</v>
      </c>
      <c r="F553" s="84">
        <v>48.994999999999997</v>
      </c>
      <c r="G553" t="s">
        <v>2561</v>
      </c>
      <c r="H553" t="s">
        <v>2810</v>
      </c>
      <c r="I553" t="s">
        <v>801</v>
      </c>
      <c r="J553" s="83" t="s">
        <v>2811</v>
      </c>
      <c r="K553" s="83" t="s">
        <v>2812</v>
      </c>
      <c r="L553" t="s">
        <v>670</v>
      </c>
      <c r="P553">
        <v>0</v>
      </c>
      <c r="Q553" s="84" t="e">
        <v>#REF!</v>
      </c>
      <c r="R553" s="85"/>
      <c r="S553" s="85"/>
      <c r="T553" s="86">
        <v>0</v>
      </c>
      <c r="U553" s="84">
        <v>0</v>
      </c>
      <c r="V553" s="84">
        <v>68.593000000000004</v>
      </c>
      <c r="W553" s="84">
        <v>34.296500000000002</v>
      </c>
      <c r="X553" s="82">
        <v>0.35</v>
      </c>
      <c r="Y553" s="82"/>
      <c r="Z553" s="84">
        <v>34.296500000000002</v>
      </c>
      <c r="AA553" s="84">
        <v>68.593000000000004</v>
      </c>
      <c r="AB553" s="88" t="e">
        <v>#DIV/0!</v>
      </c>
      <c r="AC553" t="s">
        <v>2791</v>
      </c>
    </row>
    <row r="554" spans="3:29">
      <c r="C554" t="s">
        <v>2813</v>
      </c>
      <c r="E554" s="84"/>
      <c r="F554" s="82"/>
      <c r="R554" s="85"/>
      <c r="S554" s="85"/>
      <c r="T554" s="86"/>
      <c r="V554" s="84">
        <v>0</v>
      </c>
      <c r="W554" s="84">
        <v>0</v>
      </c>
      <c r="X554" s="82" t="e">
        <v>#DIV/0!</v>
      </c>
      <c r="Y554" s="82">
        <v>0</v>
      </c>
      <c r="Z554" s="82"/>
      <c r="AA554" s="82"/>
      <c r="AB554" s="88" t="e">
        <v>#DIV/0!</v>
      </c>
    </row>
    <row r="555" spans="3:29">
      <c r="C555" t="s">
        <v>2814</v>
      </c>
      <c r="D555" t="s">
        <v>2815</v>
      </c>
      <c r="E555" s="84">
        <v>399.99</v>
      </c>
      <c r="F555" s="84">
        <v>199.995</v>
      </c>
      <c r="G555" t="s">
        <v>2816</v>
      </c>
      <c r="H555" t="s">
        <v>2817</v>
      </c>
      <c r="I555" t="s">
        <v>2818</v>
      </c>
      <c r="J555" t="s">
        <v>2819</v>
      </c>
      <c r="K555" t="s">
        <v>1125</v>
      </c>
      <c r="L555" t="s">
        <v>670</v>
      </c>
      <c r="M555">
        <v>30</v>
      </c>
      <c r="N555">
        <v>30</v>
      </c>
      <c r="O555">
        <v>60</v>
      </c>
      <c r="P555">
        <v>5.3999999999999999E-2</v>
      </c>
      <c r="Q555" s="84" t="e">
        <v>#REF!</v>
      </c>
      <c r="R555" s="85"/>
      <c r="S555" s="85"/>
      <c r="T555" s="86">
        <v>0</v>
      </c>
      <c r="U555" s="84">
        <v>0</v>
      </c>
      <c r="V555" s="84">
        <v>279.99299999999999</v>
      </c>
      <c r="W555" s="84">
        <v>139.9965</v>
      </c>
      <c r="X555" s="82">
        <v>0.35</v>
      </c>
      <c r="Y555" s="82"/>
      <c r="Z555" s="84">
        <v>139.9965</v>
      </c>
      <c r="AA555" s="84">
        <v>279.99299999999999</v>
      </c>
      <c r="AB555" s="88" t="e">
        <v>#DIV/0!</v>
      </c>
      <c r="AC555" t="s">
        <v>2820</v>
      </c>
    </row>
    <row r="556" spans="3:29">
      <c r="C556" t="s">
        <v>2822</v>
      </c>
      <c r="D556" t="s">
        <v>2823</v>
      </c>
      <c r="E556" s="84">
        <v>299.99</v>
      </c>
      <c r="F556" s="84">
        <v>149.995</v>
      </c>
      <c r="G556" t="s">
        <v>2816</v>
      </c>
      <c r="H556" t="s">
        <v>2824</v>
      </c>
      <c r="I556" t="s">
        <v>2825</v>
      </c>
      <c r="J556" t="s">
        <v>2826</v>
      </c>
      <c r="K556" t="s">
        <v>2827</v>
      </c>
      <c r="L556" t="s">
        <v>670</v>
      </c>
      <c r="M556">
        <v>30</v>
      </c>
      <c r="N556">
        <v>30</v>
      </c>
      <c r="O556">
        <v>30</v>
      </c>
      <c r="P556">
        <v>2.7E-2</v>
      </c>
      <c r="Q556" s="84" t="e">
        <v>#REF!</v>
      </c>
      <c r="R556" s="85">
        <v>223656.122492047</v>
      </c>
      <c r="S556" s="85">
        <v>0</v>
      </c>
      <c r="T556" s="86">
        <v>223656.122492047</v>
      </c>
      <c r="U556" s="84">
        <v>14.9104081661365</v>
      </c>
      <c r="V556" s="84">
        <v>209.99299999999999</v>
      </c>
      <c r="W556" s="84">
        <v>104.9965</v>
      </c>
      <c r="X556" s="82">
        <v>0.35</v>
      </c>
      <c r="Y556" s="82"/>
      <c r="Z556" s="84">
        <v>104.9965</v>
      </c>
      <c r="AA556" s="84">
        <v>209.99299999999999</v>
      </c>
      <c r="AB556" s="88">
        <v>7.0418260070479501</v>
      </c>
      <c r="AC556" t="s">
        <v>2828</v>
      </c>
    </row>
    <row r="557" spans="3:29">
      <c r="C557" t="s">
        <v>2829</v>
      </c>
      <c r="D557" t="s">
        <v>2830</v>
      </c>
      <c r="E557" s="84">
        <v>129.99</v>
      </c>
      <c r="F557" s="84">
        <v>64.995000000000005</v>
      </c>
      <c r="G557" t="s">
        <v>2816</v>
      </c>
      <c r="H557" t="s">
        <v>2831</v>
      </c>
      <c r="I557" t="s">
        <v>234</v>
      </c>
      <c r="J557" t="s">
        <v>2832</v>
      </c>
      <c r="K557" t="s">
        <v>2833</v>
      </c>
      <c r="L557" t="s">
        <v>50</v>
      </c>
      <c r="M557">
        <v>45</v>
      </c>
      <c r="N557">
        <v>10</v>
      </c>
      <c r="O557">
        <v>10</v>
      </c>
      <c r="P557">
        <v>4.4999999999999997E-3</v>
      </c>
      <c r="Q557" s="84" t="e">
        <v>#REF!</v>
      </c>
      <c r="R557" s="85"/>
      <c r="S557" s="85"/>
      <c r="T557" s="86">
        <v>0</v>
      </c>
      <c r="U557" s="84">
        <v>0</v>
      </c>
      <c r="V557" s="84">
        <v>90.992999999999995</v>
      </c>
      <c r="W557" s="84">
        <v>45.496499999999997</v>
      </c>
      <c r="X557" s="82">
        <v>0.35</v>
      </c>
      <c r="Y557" s="82"/>
      <c r="Z557" s="84">
        <v>45.496499999999997</v>
      </c>
      <c r="AA557" s="84">
        <v>90.992999999999995</v>
      </c>
      <c r="AB557" s="88" t="e">
        <v>#DIV/0!</v>
      </c>
      <c r="AC557" t="s">
        <v>2834</v>
      </c>
    </row>
    <row r="558" spans="3:29">
      <c r="C558" t="s">
        <v>2836</v>
      </c>
      <c r="D558" t="s">
        <v>2837</v>
      </c>
      <c r="E558" s="84">
        <v>34.99</v>
      </c>
      <c r="F558" s="84">
        <v>17.495000000000001</v>
      </c>
      <c r="G558" t="s">
        <v>2816</v>
      </c>
      <c r="H558" t="s">
        <v>2838</v>
      </c>
      <c r="I558" t="s">
        <v>2839</v>
      </c>
      <c r="K558" t="s">
        <v>2840</v>
      </c>
      <c r="L558" t="s">
        <v>670</v>
      </c>
      <c r="P558">
        <v>0</v>
      </c>
      <c r="Q558" s="84" t="e">
        <v>#REF!</v>
      </c>
      <c r="R558" s="85"/>
      <c r="S558" s="85"/>
      <c r="T558" s="86">
        <v>0</v>
      </c>
      <c r="U558" s="84">
        <v>0</v>
      </c>
      <c r="V558" s="84">
        <v>24.492999999999999</v>
      </c>
      <c r="W558" s="84">
        <v>12.246499999999999</v>
      </c>
      <c r="X558" s="82">
        <v>0.35</v>
      </c>
      <c r="Y558" s="82"/>
      <c r="Z558" s="84">
        <v>12.246499999999999</v>
      </c>
      <c r="AA558" s="84">
        <v>24.492999999999999</v>
      </c>
      <c r="AB558" s="88" t="e">
        <v>#DIV/0!</v>
      </c>
      <c r="AC558" t="s">
        <v>2841</v>
      </c>
    </row>
    <row r="559" spans="3:29">
      <c r="C559" t="s">
        <v>2842</v>
      </c>
      <c r="D559" t="s">
        <v>2830</v>
      </c>
      <c r="E559" s="84">
        <v>149.99</v>
      </c>
      <c r="F559" s="84">
        <v>74.995000000000005</v>
      </c>
      <c r="G559" t="s">
        <v>2816</v>
      </c>
      <c r="H559" t="s">
        <v>2831</v>
      </c>
      <c r="I559" t="s">
        <v>234</v>
      </c>
      <c r="J559" t="s">
        <v>2832</v>
      </c>
      <c r="K559" t="s">
        <v>2833</v>
      </c>
      <c r="L559" t="s">
        <v>50</v>
      </c>
      <c r="M559">
        <v>45</v>
      </c>
      <c r="N559">
        <v>10</v>
      </c>
      <c r="O559">
        <v>10</v>
      </c>
      <c r="P559">
        <v>4.4999999999999997E-3</v>
      </c>
      <c r="Q559" s="84" t="e">
        <v>#REF!</v>
      </c>
      <c r="R559" s="85"/>
      <c r="S559" s="85"/>
      <c r="T559" s="86">
        <v>0</v>
      </c>
      <c r="U559" s="84">
        <v>0</v>
      </c>
      <c r="V559" s="84">
        <v>104.99299999999999</v>
      </c>
      <c r="W559" s="84">
        <v>52.496499999999997</v>
      </c>
      <c r="X559" s="82">
        <v>0.35</v>
      </c>
      <c r="Y559" s="82"/>
      <c r="Z559" s="84">
        <v>52.496499999999997</v>
      </c>
      <c r="AA559" s="84">
        <v>104.99299999999999</v>
      </c>
      <c r="AB559" s="88" t="e">
        <v>#DIV/0!</v>
      </c>
      <c r="AC559" t="s">
        <v>2843</v>
      </c>
    </row>
    <row r="560" spans="3:29">
      <c r="C560" t="s">
        <v>2844</v>
      </c>
      <c r="D560" t="s">
        <v>2845</v>
      </c>
      <c r="E560" s="84">
        <v>279.99</v>
      </c>
      <c r="F560" s="84">
        <v>139.995</v>
      </c>
      <c r="G560" t="s">
        <v>2816</v>
      </c>
      <c r="H560" t="s">
        <v>2846</v>
      </c>
      <c r="I560" t="s">
        <v>2845</v>
      </c>
      <c r="J560" t="s">
        <v>2847</v>
      </c>
      <c r="K560" t="s">
        <v>2848</v>
      </c>
      <c r="L560" t="s">
        <v>50</v>
      </c>
      <c r="M560">
        <v>30</v>
      </c>
      <c r="N560">
        <v>30</v>
      </c>
      <c r="O560">
        <v>180</v>
      </c>
      <c r="P560">
        <v>0.16200000000000001</v>
      </c>
      <c r="Q560" s="84" t="e">
        <v>#REF!</v>
      </c>
      <c r="R560" s="85"/>
      <c r="S560" s="85"/>
      <c r="T560" s="86">
        <v>0</v>
      </c>
      <c r="U560" s="84">
        <v>0</v>
      </c>
      <c r="V560" s="84">
        <v>195.99299999999999</v>
      </c>
      <c r="W560" s="84">
        <v>97.996499999999997</v>
      </c>
      <c r="X560" s="82">
        <v>0.35</v>
      </c>
      <c r="Y560" s="82"/>
      <c r="Z560" s="84">
        <v>97.996499999999997</v>
      </c>
      <c r="AA560" s="84">
        <v>195.99299999999999</v>
      </c>
      <c r="AB560" s="88" t="e">
        <v>#DIV/0!</v>
      </c>
      <c r="AC560" t="s">
        <v>2849</v>
      </c>
    </row>
    <row r="561" spans="3:29">
      <c r="C561" t="s">
        <v>2850</v>
      </c>
      <c r="D561" t="s">
        <v>2851</v>
      </c>
      <c r="E561" s="84">
        <v>339.99</v>
      </c>
      <c r="F561" s="84">
        <v>169.995</v>
      </c>
      <c r="G561" t="s">
        <v>2816</v>
      </c>
      <c r="H561" t="s">
        <v>2852</v>
      </c>
      <c r="I561" t="s">
        <v>2853</v>
      </c>
      <c r="J561" t="s">
        <v>2854</v>
      </c>
      <c r="K561" t="s">
        <v>2855</v>
      </c>
      <c r="L561" t="s">
        <v>646</v>
      </c>
      <c r="M561">
        <v>60</v>
      </c>
      <c r="N561">
        <v>60</v>
      </c>
      <c r="O561">
        <v>100</v>
      </c>
      <c r="P561">
        <v>0.36</v>
      </c>
      <c r="Q561" s="84" t="e">
        <v>#REF!</v>
      </c>
      <c r="R561" s="85"/>
      <c r="S561" s="85"/>
      <c r="T561" s="86">
        <v>0</v>
      </c>
      <c r="U561" s="84">
        <v>0</v>
      </c>
      <c r="V561" s="84">
        <v>237.99299999999999</v>
      </c>
      <c r="W561" s="84">
        <v>118.9965</v>
      </c>
      <c r="X561" s="82">
        <v>0.35</v>
      </c>
      <c r="Y561" s="82"/>
      <c r="Z561" s="84">
        <v>118.9965</v>
      </c>
      <c r="AA561" s="84">
        <v>237.99299999999999</v>
      </c>
      <c r="AB561" s="88" t="e">
        <v>#DIV/0!</v>
      </c>
      <c r="AC561" t="s">
        <v>2856</v>
      </c>
    </row>
    <row r="562" spans="3:29">
      <c r="C562" t="s">
        <v>2858</v>
      </c>
      <c r="D562" t="s">
        <v>2859</v>
      </c>
      <c r="E562" s="84">
        <v>319.99</v>
      </c>
      <c r="F562" s="84">
        <v>159.995</v>
      </c>
      <c r="G562" t="s">
        <v>2816</v>
      </c>
      <c r="H562" t="s">
        <v>2852</v>
      </c>
      <c r="I562" t="s">
        <v>2860</v>
      </c>
      <c r="J562" t="s">
        <v>2854</v>
      </c>
      <c r="K562" t="s">
        <v>2855</v>
      </c>
      <c r="L562" t="s">
        <v>646</v>
      </c>
      <c r="M562">
        <v>60</v>
      </c>
      <c r="N562">
        <v>60</v>
      </c>
      <c r="O562">
        <v>100</v>
      </c>
      <c r="P562">
        <v>0.36</v>
      </c>
      <c r="Q562" s="84" t="e">
        <v>#REF!</v>
      </c>
      <c r="R562" s="85"/>
      <c r="S562" s="85"/>
      <c r="T562" s="86">
        <v>0</v>
      </c>
      <c r="U562" s="84">
        <v>0</v>
      </c>
      <c r="V562" s="84">
        <v>223.99299999999999</v>
      </c>
      <c r="W562" s="84">
        <v>111.9965</v>
      </c>
      <c r="X562" s="82">
        <v>0.35</v>
      </c>
      <c r="Y562" s="82"/>
      <c r="Z562" s="84">
        <v>111.9965</v>
      </c>
      <c r="AA562" s="84">
        <v>223.99299999999999</v>
      </c>
      <c r="AB562" s="88" t="e">
        <v>#DIV/0!</v>
      </c>
      <c r="AC562" t="s">
        <v>2861</v>
      </c>
    </row>
    <row r="563" spans="3:29">
      <c r="C563" t="s">
        <v>2862</v>
      </c>
      <c r="D563" t="s">
        <v>2863</v>
      </c>
      <c r="E563" s="84">
        <v>29.99</v>
      </c>
      <c r="F563" s="84">
        <v>14.994999999999999</v>
      </c>
      <c r="G563" t="s">
        <v>2816</v>
      </c>
      <c r="H563" t="s">
        <v>2864</v>
      </c>
      <c r="I563" t="s">
        <v>799</v>
      </c>
      <c r="J563" t="s">
        <v>2865</v>
      </c>
      <c r="K563" t="s">
        <v>2866</v>
      </c>
      <c r="L563" t="s">
        <v>670</v>
      </c>
      <c r="M563">
        <v>9</v>
      </c>
      <c r="N563">
        <v>9</v>
      </c>
      <c r="O563">
        <v>20</v>
      </c>
      <c r="P563">
        <v>1.6199999999999999E-3</v>
      </c>
      <c r="Q563" s="84" t="e">
        <v>#REF!</v>
      </c>
      <c r="R563" s="85"/>
      <c r="S563" s="85">
        <v>275000</v>
      </c>
      <c r="T563" s="86">
        <v>275000</v>
      </c>
      <c r="U563" s="84">
        <v>18.3333333333333</v>
      </c>
      <c r="V563" s="84">
        <v>20.992999999999999</v>
      </c>
      <c r="W563" s="84">
        <v>10.496499999999999</v>
      </c>
      <c r="X563" s="82">
        <v>0.35</v>
      </c>
      <c r="Y563" s="87">
        <v>27.5</v>
      </c>
      <c r="Z563" s="84">
        <v>27.5</v>
      </c>
      <c r="AA563" s="84">
        <v>55</v>
      </c>
      <c r="AB563" s="88">
        <v>2</v>
      </c>
      <c r="AC563" t="s">
        <v>2867</v>
      </c>
    </row>
    <row r="564" spans="3:29">
      <c r="C564" t="s">
        <v>2868</v>
      </c>
      <c r="D564" t="s">
        <v>2863</v>
      </c>
      <c r="E564" s="84">
        <v>149.99</v>
      </c>
      <c r="F564" s="84">
        <v>74.995000000000005</v>
      </c>
      <c r="G564" t="s">
        <v>2816</v>
      </c>
      <c r="H564" t="s">
        <v>2869</v>
      </c>
      <c r="I564" t="s">
        <v>799</v>
      </c>
      <c r="J564" t="s">
        <v>2870</v>
      </c>
      <c r="K564" t="s">
        <v>2866</v>
      </c>
      <c r="L564" t="s">
        <v>670</v>
      </c>
      <c r="M564">
        <v>25</v>
      </c>
      <c r="N564">
        <v>25</v>
      </c>
      <c r="O564">
        <v>45</v>
      </c>
      <c r="P564">
        <v>2.8125000000000001E-2</v>
      </c>
      <c r="Q564" s="84" t="e">
        <v>#REF!</v>
      </c>
      <c r="R564" s="85"/>
      <c r="S564" s="85">
        <v>850000</v>
      </c>
      <c r="T564" s="86">
        <v>850000</v>
      </c>
      <c r="U564" s="84">
        <v>56.6666666666667</v>
      </c>
      <c r="V564" s="84">
        <v>104.99299999999999</v>
      </c>
      <c r="W564" s="84">
        <v>52.496499999999997</v>
      </c>
      <c r="X564" s="82">
        <v>0.35</v>
      </c>
      <c r="Y564" s="87">
        <v>85</v>
      </c>
      <c r="Z564" s="84">
        <v>85</v>
      </c>
      <c r="AA564" s="84">
        <v>170</v>
      </c>
      <c r="AB564" s="88">
        <v>2</v>
      </c>
      <c r="AC564" t="s">
        <v>2871</v>
      </c>
    </row>
    <row r="565" spans="3:29">
      <c r="C565" t="s">
        <v>2872</v>
      </c>
      <c r="D565" t="s">
        <v>2863</v>
      </c>
      <c r="E565" s="84">
        <v>441.99</v>
      </c>
      <c r="F565" s="84">
        <v>220.995</v>
      </c>
      <c r="G565" t="s">
        <v>2816</v>
      </c>
      <c r="H565" t="s">
        <v>2873</v>
      </c>
      <c r="I565" t="s">
        <v>799</v>
      </c>
      <c r="J565" t="s">
        <v>2819</v>
      </c>
      <c r="K565" t="s">
        <v>2866</v>
      </c>
      <c r="L565" t="s">
        <v>670</v>
      </c>
      <c r="M565">
        <v>30</v>
      </c>
      <c r="N565">
        <v>30</v>
      </c>
      <c r="O565">
        <v>60</v>
      </c>
      <c r="P565">
        <v>5.3999999999999999E-2</v>
      </c>
      <c r="Q565" s="84" t="e">
        <v>#REF!</v>
      </c>
      <c r="R565" s="85"/>
      <c r="S565" s="85">
        <v>3300000</v>
      </c>
      <c r="T565" s="86">
        <v>3300000</v>
      </c>
      <c r="U565" s="84">
        <v>220</v>
      </c>
      <c r="V565" s="84">
        <v>309.39299999999997</v>
      </c>
      <c r="W565" s="84">
        <v>154.69649999999999</v>
      </c>
      <c r="X565" s="82">
        <v>0.35</v>
      </c>
      <c r="Y565" s="87">
        <v>330</v>
      </c>
      <c r="Z565" s="84">
        <v>330</v>
      </c>
      <c r="AA565" s="84">
        <v>660</v>
      </c>
      <c r="AB565" s="88">
        <v>2</v>
      </c>
      <c r="AC565" t="s">
        <v>2874</v>
      </c>
    </row>
    <row r="566" spans="3:29">
      <c r="C566" t="s">
        <v>2875</v>
      </c>
      <c r="D566" t="s">
        <v>2863</v>
      </c>
      <c r="E566" s="84">
        <v>873.99</v>
      </c>
      <c r="F566" s="84">
        <v>436.995</v>
      </c>
      <c r="G566" t="s">
        <v>2816</v>
      </c>
      <c r="H566" t="s">
        <v>2876</v>
      </c>
      <c r="I566" t="s">
        <v>799</v>
      </c>
      <c r="J566" t="s">
        <v>2877</v>
      </c>
      <c r="K566" t="s">
        <v>2866</v>
      </c>
      <c r="L566" t="s">
        <v>670</v>
      </c>
      <c r="M566">
        <v>45</v>
      </c>
      <c r="N566">
        <v>45</v>
      </c>
      <c r="O566">
        <v>80</v>
      </c>
      <c r="P566">
        <v>0.16200000000000001</v>
      </c>
      <c r="Q566" s="84" t="e">
        <v>#REF!</v>
      </c>
      <c r="R566" s="85"/>
      <c r="S566" s="85"/>
      <c r="T566" s="86">
        <v>0</v>
      </c>
      <c r="U566" s="84">
        <v>0</v>
      </c>
      <c r="V566" s="84">
        <v>611.79300000000001</v>
      </c>
      <c r="W566" s="84">
        <v>305.8965</v>
      </c>
      <c r="X566" s="82">
        <v>0.35</v>
      </c>
      <c r="Y566" s="82"/>
      <c r="Z566" s="84">
        <v>305.8965</v>
      </c>
      <c r="AA566" s="84">
        <v>611.79300000000001</v>
      </c>
      <c r="AB566" s="88" t="e">
        <v>#DIV/0!</v>
      </c>
      <c r="AC566" t="s">
        <v>2867</v>
      </c>
    </row>
    <row r="567" spans="3:29">
      <c r="C567" t="s">
        <v>2878</v>
      </c>
      <c r="D567" t="s">
        <v>2879</v>
      </c>
      <c r="E567" s="84">
        <v>10.99</v>
      </c>
      <c r="F567" s="84">
        <v>5.4950000000000001</v>
      </c>
      <c r="G567" t="s">
        <v>2816</v>
      </c>
      <c r="H567" t="s">
        <v>2880</v>
      </c>
      <c r="I567" t="s">
        <v>2881</v>
      </c>
      <c r="J567" t="s">
        <v>2882</v>
      </c>
      <c r="K567" t="s">
        <v>2866</v>
      </c>
      <c r="L567" t="s">
        <v>670</v>
      </c>
      <c r="M567">
        <v>23</v>
      </c>
      <c r="N567">
        <v>19</v>
      </c>
      <c r="O567">
        <v>7</v>
      </c>
      <c r="P567">
        <v>3.0590000000000001E-3</v>
      </c>
      <c r="Q567" s="84" t="e">
        <v>#REF!</v>
      </c>
      <c r="R567" s="85"/>
      <c r="S567" s="85">
        <v>220000</v>
      </c>
      <c r="T567" s="86">
        <v>220000</v>
      </c>
      <c r="U567" s="84">
        <v>14.6666666666667</v>
      </c>
      <c r="V567" s="84">
        <v>7.6929999999999996</v>
      </c>
      <c r="W567" s="84">
        <v>3.8464999999999998</v>
      </c>
      <c r="X567" s="82">
        <v>0.35</v>
      </c>
      <c r="Y567" s="87">
        <v>22</v>
      </c>
      <c r="Z567" s="84">
        <v>22</v>
      </c>
      <c r="AA567" s="84">
        <v>44</v>
      </c>
      <c r="AB567" s="88">
        <v>2</v>
      </c>
      <c r="AC567" t="s">
        <v>2883</v>
      </c>
    </row>
    <row r="568" spans="3:29">
      <c r="C568" t="s">
        <v>2622</v>
      </c>
      <c r="D568" t="s">
        <v>2884</v>
      </c>
      <c r="E568" s="84">
        <v>204.99</v>
      </c>
      <c r="F568" s="84">
        <v>102.495</v>
      </c>
      <c r="G568" t="s">
        <v>2816</v>
      </c>
      <c r="H568" t="s">
        <v>2885</v>
      </c>
      <c r="I568" t="s">
        <v>178</v>
      </c>
      <c r="J568" t="s">
        <v>2626</v>
      </c>
      <c r="K568" t="s">
        <v>2886</v>
      </c>
      <c r="L568" t="s">
        <v>670</v>
      </c>
      <c r="M568">
        <v>35</v>
      </c>
      <c r="N568">
        <v>20</v>
      </c>
      <c r="O568">
        <v>20</v>
      </c>
      <c r="P568">
        <v>1.4E-2</v>
      </c>
      <c r="Q568" s="84" t="e">
        <v>#REF!</v>
      </c>
      <c r="R568" s="85"/>
      <c r="S568" s="85"/>
      <c r="T568" s="86">
        <v>0</v>
      </c>
      <c r="U568" s="84">
        <v>0</v>
      </c>
      <c r="V568" s="84">
        <v>143.49299999999999</v>
      </c>
      <c r="W568" s="84">
        <v>71.746499999999997</v>
      </c>
      <c r="X568" s="82">
        <v>0.35</v>
      </c>
      <c r="Y568" s="82"/>
      <c r="Z568" s="84">
        <v>71.746499999999997</v>
      </c>
      <c r="AA568" s="84">
        <v>143.49299999999999</v>
      </c>
      <c r="AB568" s="88" t="e">
        <v>#DIV/0!</v>
      </c>
      <c r="AC568" t="s">
        <v>2887</v>
      </c>
    </row>
    <row r="569" spans="3:29">
      <c r="C569" t="s">
        <v>2629</v>
      </c>
      <c r="D569" t="s">
        <v>2884</v>
      </c>
      <c r="E569" s="84">
        <v>59.99</v>
      </c>
      <c r="F569" s="84">
        <v>29.995000000000001</v>
      </c>
      <c r="G569" t="s">
        <v>2816</v>
      </c>
      <c r="H569" t="s">
        <v>2885</v>
      </c>
      <c r="I569" t="s">
        <v>178</v>
      </c>
      <c r="J569" t="s">
        <v>2626</v>
      </c>
      <c r="K569" t="s">
        <v>822</v>
      </c>
      <c r="L569" t="s">
        <v>670</v>
      </c>
      <c r="M569">
        <v>35</v>
      </c>
      <c r="N569">
        <v>20</v>
      </c>
      <c r="O569">
        <v>20</v>
      </c>
      <c r="P569">
        <v>1.4E-2</v>
      </c>
      <c r="Q569" s="84" t="e">
        <v>#REF!</v>
      </c>
      <c r="R569" s="85"/>
      <c r="S569" s="85"/>
      <c r="T569" s="86">
        <v>0</v>
      </c>
      <c r="U569" s="84">
        <v>0</v>
      </c>
      <c r="V569" s="84">
        <v>41.993000000000002</v>
      </c>
      <c r="W569" s="84">
        <v>20.996500000000001</v>
      </c>
      <c r="X569" s="82">
        <v>0.35</v>
      </c>
      <c r="Y569" s="82"/>
      <c r="Z569" s="84">
        <v>20.996500000000001</v>
      </c>
      <c r="AA569" s="84">
        <v>41.993000000000002</v>
      </c>
      <c r="AB569" s="88" t="e">
        <v>#DIV/0!</v>
      </c>
      <c r="AC569" t="s">
        <v>2888</v>
      </c>
    </row>
    <row r="570" spans="3:29">
      <c r="C570" t="s">
        <v>2613</v>
      </c>
      <c r="D570" t="s">
        <v>2889</v>
      </c>
      <c r="E570" s="84">
        <v>57.99</v>
      </c>
      <c r="F570" s="84">
        <v>28.995000000000001</v>
      </c>
      <c r="G570" t="s">
        <v>2816</v>
      </c>
      <c r="H570" t="s">
        <v>2890</v>
      </c>
      <c r="I570" t="s">
        <v>2891</v>
      </c>
      <c r="K570" t="s">
        <v>2840</v>
      </c>
      <c r="L570" t="s">
        <v>670</v>
      </c>
      <c r="P570">
        <v>0</v>
      </c>
      <c r="Q570" s="84" t="e">
        <v>#REF!</v>
      </c>
      <c r="R570" s="85"/>
      <c r="S570" s="85"/>
      <c r="T570" s="86">
        <v>0</v>
      </c>
      <c r="U570" s="84">
        <v>0</v>
      </c>
      <c r="V570" s="84">
        <v>40.593000000000004</v>
      </c>
      <c r="W570" s="84">
        <v>20.296500000000002</v>
      </c>
      <c r="X570" s="82">
        <v>0.35</v>
      </c>
      <c r="Y570" s="82"/>
      <c r="Z570" s="84">
        <v>20.296500000000002</v>
      </c>
      <c r="AA570" s="84">
        <v>40.593000000000004</v>
      </c>
      <c r="AB570" s="88" t="e">
        <v>#DIV/0!</v>
      </c>
      <c r="AC570" t="s">
        <v>2892</v>
      </c>
    </row>
    <row r="571" spans="3:29">
      <c r="C571" t="s">
        <v>2618</v>
      </c>
      <c r="D571" t="s">
        <v>2893</v>
      </c>
      <c r="E571" s="84">
        <v>78.989999999999995</v>
      </c>
      <c r="F571" s="84">
        <v>39.494999999999997</v>
      </c>
      <c r="G571" t="s">
        <v>2816</v>
      </c>
      <c r="H571" t="s">
        <v>2894</v>
      </c>
      <c r="I571" t="s">
        <v>2895</v>
      </c>
      <c r="K571" t="s">
        <v>2840</v>
      </c>
      <c r="L571" t="s">
        <v>670</v>
      </c>
      <c r="P571">
        <v>0</v>
      </c>
      <c r="Q571" s="84" t="e">
        <v>#REF!</v>
      </c>
      <c r="R571" s="85"/>
      <c r="S571" s="85"/>
      <c r="T571" s="86">
        <v>0</v>
      </c>
      <c r="U571" s="84">
        <v>0</v>
      </c>
      <c r="V571" s="84">
        <v>55.292999999999999</v>
      </c>
      <c r="W571" s="84">
        <v>27.6465</v>
      </c>
      <c r="X571" s="82">
        <v>0.35</v>
      </c>
      <c r="Y571" s="82"/>
      <c r="Z571" s="84">
        <v>27.6465</v>
      </c>
      <c r="AA571" s="84">
        <v>55.292999999999999</v>
      </c>
      <c r="AB571" s="88" t="e">
        <v>#DIV/0!</v>
      </c>
      <c r="AC571" t="s">
        <v>2896</v>
      </c>
    </row>
    <row r="572" spans="3:29">
      <c r="C572" t="s">
        <v>2897</v>
      </c>
      <c r="D572" t="s">
        <v>2898</v>
      </c>
      <c r="E572" s="84">
        <v>149.99</v>
      </c>
      <c r="F572" s="84">
        <v>74.995000000000005</v>
      </c>
      <c r="G572" t="s">
        <v>2816</v>
      </c>
      <c r="H572" t="s">
        <v>2899</v>
      </c>
      <c r="I572" t="s">
        <v>488</v>
      </c>
      <c r="J572" t="s">
        <v>2900</v>
      </c>
      <c r="K572" t="s">
        <v>2866</v>
      </c>
      <c r="L572" t="s">
        <v>670</v>
      </c>
      <c r="M572">
        <v>50</v>
      </c>
      <c r="N572">
        <v>50</v>
      </c>
      <c r="O572">
        <v>8</v>
      </c>
      <c r="P572">
        <v>0.02</v>
      </c>
      <c r="Q572" s="84" t="e">
        <v>#REF!</v>
      </c>
      <c r="R572" s="85"/>
      <c r="S572" s="85"/>
      <c r="T572" s="86">
        <v>0</v>
      </c>
      <c r="U572" s="84">
        <v>0</v>
      </c>
      <c r="V572" s="84">
        <v>104.99299999999999</v>
      </c>
      <c r="W572" s="84">
        <v>52.496499999999997</v>
      </c>
      <c r="X572" s="82">
        <v>0.35</v>
      </c>
      <c r="Y572" s="82"/>
      <c r="Z572" s="84">
        <v>52.496499999999997</v>
      </c>
      <c r="AA572" s="84">
        <v>104.99299999999999</v>
      </c>
      <c r="AB572" s="88" t="e">
        <v>#DIV/0!</v>
      </c>
      <c r="AC572" t="s">
        <v>2901</v>
      </c>
    </row>
    <row r="573" spans="3:29">
      <c r="C573" t="s">
        <v>2902</v>
      </c>
      <c r="D573" t="s">
        <v>2898</v>
      </c>
      <c r="E573" s="84">
        <v>189.99</v>
      </c>
      <c r="F573" s="84">
        <v>94.995000000000005</v>
      </c>
      <c r="G573" t="s">
        <v>2816</v>
      </c>
      <c r="H573" t="s">
        <v>2903</v>
      </c>
      <c r="I573" t="s">
        <v>488</v>
      </c>
      <c r="J573" t="s">
        <v>2904</v>
      </c>
      <c r="K573" t="s">
        <v>2866</v>
      </c>
      <c r="L573" t="s">
        <v>670</v>
      </c>
      <c r="M573">
        <v>62</v>
      </c>
      <c r="N573">
        <v>62</v>
      </c>
      <c r="O573">
        <v>8</v>
      </c>
      <c r="P573">
        <v>3.0752000000000002E-2</v>
      </c>
      <c r="Q573" s="84" t="e">
        <v>#REF!</v>
      </c>
      <c r="R573" s="85"/>
      <c r="S573" s="85"/>
      <c r="T573" s="86">
        <v>0</v>
      </c>
      <c r="U573" s="84">
        <v>0</v>
      </c>
      <c r="V573" s="84">
        <v>132.99299999999999</v>
      </c>
      <c r="W573" s="84">
        <v>66.496499999999997</v>
      </c>
      <c r="X573" s="82">
        <v>0.35</v>
      </c>
      <c r="Y573" s="82"/>
      <c r="Z573" s="84">
        <v>66.496499999999997</v>
      </c>
      <c r="AA573" s="84">
        <v>132.99299999999999</v>
      </c>
      <c r="AB573" s="88" t="e">
        <v>#DIV/0!</v>
      </c>
      <c r="AC573" t="s">
        <v>2905</v>
      </c>
    </row>
    <row r="574" spans="3:29" ht="60.75">
      <c r="C574" t="s">
        <v>2906</v>
      </c>
      <c r="D574" t="s">
        <v>2907</v>
      </c>
      <c r="E574" s="84"/>
      <c r="F574" s="84">
        <v>0</v>
      </c>
      <c r="G574" t="s">
        <v>2816</v>
      </c>
      <c r="H574" t="s">
        <v>2908</v>
      </c>
      <c r="I574" t="s">
        <v>2909</v>
      </c>
      <c r="J574" t="s">
        <v>2910</v>
      </c>
      <c r="K574" s="83" t="s">
        <v>2911</v>
      </c>
      <c r="L574" t="s">
        <v>646</v>
      </c>
      <c r="M574">
        <v>15</v>
      </c>
      <c r="N574">
        <v>15</v>
      </c>
      <c r="O574">
        <v>40</v>
      </c>
      <c r="P574">
        <v>8.9999999999999993E-3</v>
      </c>
      <c r="Q574" s="84" t="e">
        <v>#REF!</v>
      </c>
      <c r="R574" s="85"/>
      <c r="S574" s="85"/>
      <c r="T574" s="86">
        <v>0</v>
      </c>
      <c r="U574" s="84">
        <v>0</v>
      </c>
      <c r="V574" s="84">
        <v>0</v>
      </c>
      <c r="W574" s="84">
        <v>0</v>
      </c>
      <c r="X574" s="82" t="e">
        <v>#DIV/0!</v>
      </c>
      <c r="Y574" s="82"/>
      <c r="Z574" s="84">
        <v>0</v>
      </c>
      <c r="AA574" s="84">
        <v>0</v>
      </c>
      <c r="AB574" s="88" t="e">
        <v>#DIV/0!</v>
      </c>
      <c r="AC574" t="s">
        <v>2912</v>
      </c>
    </row>
    <row r="575" spans="3:29">
      <c r="C575" t="s">
        <v>2913</v>
      </c>
      <c r="D575" t="s">
        <v>2914</v>
      </c>
      <c r="E575" s="84">
        <v>30.99</v>
      </c>
      <c r="F575" s="84">
        <v>15.494999999999999</v>
      </c>
      <c r="G575" t="s">
        <v>2816</v>
      </c>
      <c r="H575" t="s">
        <v>2915</v>
      </c>
      <c r="I575" t="s">
        <v>241</v>
      </c>
      <c r="J575" t="s">
        <v>2916</v>
      </c>
      <c r="K575" t="s">
        <v>2866</v>
      </c>
      <c r="L575" t="s">
        <v>670</v>
      </c>
      <c r="N575">
        <v>32</v>
      </c>
      <c r="O575">
        <v>5</v>
      </c>
      <c r="P575">
        <v>5.1200000000000004E-3</v>
      </c>
      <c r="Q575" s="84" t="e">
        <v>#REF!</v>
      </c>
      <c r="R575" s="85"/>
      <c r="S575" s="85"/>
      <c r="T575" s="86">
        <v>0</v>
      </c>
      <c r="U575" s="84">
        <v>0</v>
      </c>
      <c r="V575" s="84">
        <v>21.693000000000001</v>
      </c>
      <c r="W575" s="84">
        <v>10.846500000000001</v>
      </c>
      <c r="X575" s="82">
        <v>0.35</v>
      </c>
      <c r="Y575" s="82"/>
      <c r="Z575" s="84">
        <v>10.846500000000001</v>
      </c>
      <c r="AA575" s="84">
        <v>21.693000000000001</v>
      </c>
      <c r="AB575" s="88" t="e">
        <v>#DIV/0!</v>
      </c>
      <c r="AC575" t="s">
        <v>2917</v>
      </c>
    </row>
    <row r="576" spans="3:29">
      <c r="C576" t="s">
        <v>2918</v>
      </c>
      <c r="D576" t="s">
        <v>2914</v>
      </c>
      <c r="E576" s="84">
        <v>91.99</v>
      </c>
      <c r="F576" s="84">
        <v>45.994999999999997</v>
      </c>
      <c r="G576" t="s">
        <v>2816</v>
      </c>
      <c r="H576" t="s">
        <v>2919</v>
      </c>
      <c r="I576" t="s">
        <v>241</v>
      </c>
      <c r="J576" t="s">
        <v>2920</v>
      </c>
      <c r="K576" t="s">
        <v>2866</v>
      </c>
      <c r="L576" t="s">
        <v>670</v>
      </c>
      <c r="N576">
        <v>42</v>
      </c>
      <c r="O576">
        <v>8</v>
      </c>
      <c r="P576">
        <v>1.4112E-2</v>
      </c>
      <c r="Q576" s="84" t="e">
        <v>#REF!</v>
      </c>
      <c r="R576" s="85"/>
      <c r="S576" s="85"/>
      <c r="T576" s="86">
        <v>0</v>
      </c>
      <c r="U576" s="84">
        <v>0</v>
      </c>
      <c r="V576" s="84">
        <v>64.393000000000001</v>
      </c>
      <c r="W576" s="84">
        <v>32.1965</v>
      </c>
      <c r="X576" s="82">
        <v>0.35</v>
      </c>
      <c r="Y576" s="82"/>
      <c r="Z576" s="84">
        <v>32.1965</v>
      </c>
      <c r="AA576" s="84">
        <v>64.393000000000001</v>
      </c>
      <c r="AB576" s="88" t="e">
        <v>#DIV/0!</v>
      </c>
      <c r="AC576" t="s">
        <v>2917</v>
      </c>
    </row>
    <row r="577" spans="3:29">
      <c r="C577" t="s">
        <v>2921</v>
      </c>
      <c r="D577" t="s">
        <v>2914</v>
      </c>
      <c r="E577" s="84">
        <v>176.99</v>
      </c>
      <c r="F577" s="84">
        <v>88.495000000000005</v>
      </c>
      <c r="G577" t="s">
        <v>2816</v>
      </c>
      <c r="H577" t="s">
        <v>2922</v>
      </c>
      <c r="I577" t="s">
        <v>241</v>
      </c>
      <c r="J577" t="s">
        <v>2923</v>
      </c>
      <c r="K577" t="s">
        <v>2866</v>
      </c>
      <c r="L577" t="s">
        <v>670</v>
      </c>
      <c r="N577">
        <v>52</v>
      </c>
      <c r="O577">
        <v>8</v>
      </c>
      <c r="P577">
        <v>2.1631999999999998E-2</v>
      </c>
      <c r="Q577" s="84" t="e">
        <v>#REF!</v>
      </c>
      <c r="R577" s="85"/>
      <c r="S577" s="85"/>
      <c r="T577" s="86">
        <v>0</v>
      </c>
      <c r="U577" s="84">
        <v>0</v>
      </c>
      <c r="V577" s="84">
        <v>123.893</v>
      </c>
      <c r="W577" s="84">
        <v>61.9465</v>
      </c>
      <c r="X577" s="82">
        <v>0.35</v>
      </c>
      <c r="Y577" s="82"/>
      <c r="Z577" s="84">
        <v>61.9465</v>
      </c>
      <c r="AA577" s="84">
        <v>123.893</v>
      </c>
      <c r="AB577" s="88" t="e">
        <v>#DIV/0!</v>
      </c>
      <c r="AC577" t="s">
        <v>2917</v>
      </c>
    </row>
    <row r="578" spans="3:29">
      <c r="C578" t="s">
        <v>2924</v>
      </c>
      <c r="D578" t="s">
        <v>2914</v>
      </c>
      <c r="E578" s="84">
        <v>205.99</v>
      </c>
      <c r="F578" s="84">
        <v>102.995</v>
      </c>
      <c r="G578" t="s">
        <v>2816</v>
      </c>
      <c r="H578" t="s">
        <v>2925</v>
      </c>
      <c r="I578" t="s">
        <v>241</v>
      </c>
      <c r="J578" t="s">
        <v>2926</v>
      </c>
      <c r="K578" t="s">
        <v>2866</v>
      </c>
      <c r="L578" t="s">
        <v>670</v>
      </c>
      <c r="N578">
        <v>62</v>
      </c>
      <c r="O578">
        <v>8</v>
      </c>
      <c r="P578">
        <v>3.0752000000000002E-2</v>
      </c>
      <c r="Q578" s="84" t="e">
        <v>#REF!</v>
      </c>
      <c r="R578" s="85"/>
      <c r="S578" s="85"/>
      <c r="T578" s="86">
        <v>0</v>
      </c>
      <c r="U578" s="84">
        <v>0</v>
      </c>
      <c r="V578" s="84">
        <v>144.19300000000001</v>
      </c>
      <c r="W578" s="84">
        <v>72.096500000000006</v>
      </c>
      <c r="X578" s="82">
        <v>0.35</v>
      </c>
      <c r="Y578" s="82"/>
      <c r="Z578" s="84">
        <v>72.096500000000006</v>
      </c>
      <c r="AA578" s="84">
        <v>144.19300000000001</v>
      </c>
      <c r="AB578" s="88" t="e">
        <v>#DIV/0!</v>
      </c>
      <c r="AC578" t="s">
        <v>2927</v>
      </c>
    </row>
    <row r="579" spans="3:29">
      <c r="C579" t="s">
        <v>2928</v>
      </c>
      <c r="D579" t="s">
        <v>2914</v>
      </c>
      <c r="E579" s="84">
        <v>291.99</v>
      </c>
      <c r="F579" s="84">
        <v>145.995</v>
      </c>
      <c r="G579" t="s">
        <v>2816</v>
      </c>
      <c r="H579" t="s">
        <v>2929</v>
      </c>
      <c r="I579" t="s">
        <v>241</v>
      </c>
      <c r="J579" t="s">
        <v>2930</v>
      </c>
      <c r="K579" t="s">
        <v>2866</v>
      </c>
      <c r="L579" t="s">
        <v>670</v>
      </c>
      <c r="N579">
        <v>72</v>
      </c>
      <c r="O579">
        <v>8</v>
      </c>
      <c r="P579">
        <v>4.1472000000000002E-2</v>
      </c>
      <c r="Q579" s="84" t="e">
        <v>#REF!</v>
      </c>
      <c r="R579" s="85"/>
      <c r="S579" s="85"/>
      <c r="T579" s="86">
        <v>0</v>
      </c>
      <c r="U579" s="84">
        <v>0</v>
      </c>
      <c r="V579" s="84">
        <v>204.393</v>
      </c>
      <c r="W579" s="84">
        <v>102.1965</v>
      </c>
      <c r="X579" s="82">
        <v>0.35</v>
      </c>
      <c r="Y579" s="82"/>
      <c r="Z579" s="84">
        <v>102.1965</v>
      </c>
      <c r="AA579" s="84">
        <v>204.393</v>
      </c>
      <c r="AB579" s="88" t="e">
        <v>#DIV/0!</v>
      </c>
      <c r="AC579" t="s">
        <v>2931</v>
      </c>
    </row>
    <row r="580" spans="3:29">
      <c r="C580" t="s">
        <v>2932</v>
      </c>
      <c r="D580" t="s">
        <v>2933</v>
      </c>
      <c r="E580" s="84">
        <v>44.99</v>
      </c>
      <c r="F580" s="84">
        <v>22.495000000000001</v>
      </c>
      <c r="G580" t="s">
        <v>2816</v>
      </c>
      <c r="H580" t="s">
        <v>2934</v>
      </c>
      <c r="I580" t="s">
        <v>2935</v>
      </c>
      <c r="J580" t="s">
        <v>2936</v>
      </c>
      <c r="K580" t="s">
        <v>2866</v>
      </c>
      <c r="L580" t="s">
        <v>670</v>
      </c>
      <c r="M580">
        <v>15</v>
      </c>
      <c r="N580">
        <v>15</v>
      </c>
      <c r="O580">
        <v>20</v>
      </c>
      <c r="P580">
        <v>4.4999999999999997E-3</v>
      </c>
      <c r="Q580" s="84" t="e">
        <v>#REF!</v>
      </c>
      <c r="R580" s="85"/>
      <c r="S580" s="85">
        <v>350000</v>
      </c>
      <c r="T580" s="86">
        <v>350000</v>
      </c>
      <c r="U580" s="84">
        <v>23.3333333333333</v>
      </c>
      <c r="V580" s="84">
        <v>31.492999999999999</v>
      </c>
      <c r="W580" s="84">
        <v>15.746499999999999</v>
      </c>
      <c r="X580" s="82">
        <v>0.35</v>
      </c>
      <c r="Y580" s="87">
        <v>35</v>
      </c>
      <c r="Z580" s="84">
        <v>35</v>
      </c>
      <c r="AA580" s="84">
        <v>70</v>
      </c>
      <c r="AB580" s="88">
        <v>2</v>
      </c>
      <c r="AC580" t="s">
        <v>2937</v>
      </c>
    </row>
    <row r="581" spans="3:29">
      <c r="C581" t="s">
        <v>2938</v>
      </c>
      <c r="D581" t="s">
        <v>2939</v>
      </c>
      <c r="E581" s="84">
        <v>60.99</v>
      </c>
      <c r="F581" s="84">
        <v>30.495000000000001</v>
      </c>
      <c r="G581" t="s">
        <v>2816</v>
      </c>
      <c r="H581" t="s">
        <v>2940</v>
      </c>
      <c r="I581" t="s">
        <v>2941</v>
      </c>
      <c r="J581" t="s">
        <v>2942</v>
      </c>
      <c r="K581" t="s">
        <v>2943</v>
      </c>
      <c r="L581" t="s">
        <v>646</v>
      </c>
      <c r="M581">
        <v>15</v>
      </c>
      <c r="N581">
        <v>20</v>
      </c>
      <c r="O581">
        <v>50</v>
      </c>
      <c r="P581">
        <v>1.4999999999999999E-2</v>
      </c>
      <c r="Q581" s="84" t="e">
        <v>#REF!</v>
      </c>
      <c r="R581" s="85"/>
      <c r="S581" s="85"/>
      <c r="T581" s="86">
        <v>0</v>
      </c>
      <c r="U581" s="84">
        <v>0</v>
      </c>
      <c r="V581" s="84">
        <v>42.692999999999998</v>
      </c>
      <c r="W581" s="84">
        <v>21.346499999999999</v>
      </c>
      <c r="X581" s="82">
        <v>0.35</v>
      </c>
      <c r="Y581" s="82"/>
      <c r="Z581" s="84">
        <v>21.346499999999999</v>
      </c>
      <c r="AA581" s="84">
        <v>42.692999999999998</v>
      </c>
      <c r="AB581" s="88" t="e">
        <v>#DIV/0!</v>
      </c>
      <c r="AC581" t="s">
        <v>2944</v>
      </c>
    </row>
    <row r="582" spans="3:29">
      <c r="C582" t="s">
        <v>2945</v>
      </c>
      <c r="D582" t="s">
        <v>2946</v>
      </c>
      <c r="E582" s="84"/>
      <c r="F582" s="84">
        <v>0</v>
      </c>
      <c r="G582" t="s">
        <v>2816</v>
      </c>
      <c r="H582" t="s">
        <v>2947</v>
      </c>
      <c r="I582" t="s">
        <v>2948</v>
      </c>
      <c r="J582" t="s">
        <v>2949</v>
      </c>
      <c r="K582" t="s">
        <v>2950</v>
      </c>
      <c r="L582" t="s">
        <v>646</v>
      </c>
      <c r="M582">
        <v>65</v>
      </c>
      <c r="N582">
        <v>80</v>
      </c>
      <c r="O582">
        <v>157</v>
      </c>
      <c r="P582">
        <v>0.81640000000000001</v>
      </c>
      <c r="Q582" s="84" t="e">
        <v>#REF!</v>
      </c>
      <c r="R582" s="85">
        <v>73029.412748667004</v>
      </c>
      <c r="S582" s="85">
        <v>200000</v>
      </c>
      <c r="T582" s="86">
        <v>273029.412748667</v>
      </c>
      <c r="U582" s="84">
        <v>18.201960849911099</v>
      </c>
      <c r="V582" s="84">
        <v>0</v>
      </c>
      <c r="W582" s="84">
        <v>0</v>
      </c>
      <c r="X582" s="82" t="e">
        <v>#DIV/0!</v>
      </c>
      <c r="Y582" s="87">
        <v>36.403921699822298</v>
      </c>
      <c r="Z582" s="84">
        <v>36.403921699822298</v>
      </c>
      <c r="AA582" s="84">
        <v>72.807843399644497</v>
      </c>
      <c r="AB582" s="88">
        <v>2</v>
      </c>
      <c r="AC582" t="s">
        <v>2951</v>
      </c>
    </row>
    <row r="583" spans="3:29" ht="45.75">
      <c r="C583" t="s">
        <v>2952</v>
      </c>
      <c r="D583" t="s">
        <v>2953</v>
      </c>
      <c r="E583" s="84"/>
      <c r="F583" s="84">
        <v>0</v>
      </c>
      <c r="G583" t="s">
        <v>2816</v>
      </c>
      <c r="H583" t="s">
        <v>2947</v>
      </c>
      <c r="I583" t="s">
        <v>2954</v>
      </c>
      <c r="J583" t="s">
        <v>2949</v>
      </c>
      <c r="K583" s="83" t="s">
        <v>2955</v>
      </c>
      <c r="L583" t="s">
        <v>646</v>
      </c>
      <c r="M583">
        <v>65</v>
      </c>
      <c r="N583">
        <v>80</v>
      </c>
      <c r="O583">
        <v>157</v>
      </c>
      <c r="P583">
        <v>0.81640000000000001</v>
      </c>
      <c r="Q583" s="84" t="e">
        <v>#REF!</v>
      </c>
      <c r="R583" s="85"/>
      <c r="S583" s="85"/>
      <c r="T583" s="86">
        <v>0</v>
      </c>
      <c r="U583" s="84">
        <v>0</v>
      </c>
      <c r="V583" s="84">
        <v>0</v>
      </c>
      <c r="W583" s="84">
        <v>0</v>
      </c>
      <c r="X583" s="82" t="e">
        <v>#DIV/0!</v>
      </c>
      <c r="Y583" s="82"/>
      <c r="Z583" s="84">
        <v>0</v>
      </c>
      <c r="AA583" s="84">
        <v>0</v>
      </c>
      <c r="AB583" s="88" t="e">
        <v>#DIV/0!</v>
      </c>
      <c r="AC583" t="s">
        <v>2956</v>
      </c>
    </row>
    <row r="584" spans="3:29">
      <c r="C584" t="s">
        <v>2957</v>
      </c>
      <c r="D584" t="s">
        <v>2958</v>
      </c>
      <c r="E584" s="84">
        <v>179.99</v>
      </c>
      <c r="F584" s="84">
        <v>89.995000000000005</v>
      </c>
      <c r="G584" t="s">
        <v>2816</v>
      </c>
      <c r="H584" t="s">
        <v>2959</v>
      </c>
      <c r="I584" t="s">
        <v>2960</v>
      </c>
      <c r="J584" t="s">
        <v>2961</v>
      </c>
      <c r="K584" t="s">
        <v>2950</v>
      </c>
      <c r="L584" t="s">
        <v>646</v>
      </c>
      <c r="M584">
        <v>40</v>
      </c>
      <c r="N584">
        <v>40</v>
      </c>
      <c r="O584">
        <v>17</v>
      </c>
      <c r="P584">
        <v>2.7199999999999998E-2</v>
      </c>
      <c r="Q584" s="84" t="e">
        <v>#REF!</v>
      </c>
      <c r="R584" s="85"/>
      <c r="S584" s="85"/>
      <c r="T584" s="86">
        <v>0</v>
      </c>
      <c r="U584" s="84">
        <v>0</v>
      </c>
      <c r="V584" s="84">
        <v>125.99299999999999</v>
      </c>
      <c r="W584" s="84">
        <v>62.996499999999997</v>
      </c>
      <c r="X584" s="82">
        <v>0.35</v>
      </c>
      <c r="Y584" s="82"/>
      <c r="Z584" s="84">
        <v>62.996499999999997</v>
      </c>
      <c r="AA584" s="84">
        <v>125.99299999999999</v>
      </c>
      <c r="AB584" s="88" t="e">
        <v>#DIV/0!</v>
      </c>
      <c r="AC584" t="s">
        <v>2962</v>
      </c>
    </row>
    <row r="585" spans="3:29">
      <c r="C585" t="s">
        <v>2963</v>
      </c>
      <c r="D585" t="s">
        <v>2964</v>
      </c>
      <c r="E585" s="84">
        <v>206.99</v>
      </c>
      <c r="F585" s="84">
        <v>103.495</v>
      </c>
      <c r="G585" t="s">
        <v>2816</v>
      </c>
      <c r="H585" t="s">
        <v>2965</v>
      </c>
      <c r="I585" t="s">
        <v>2966</v>
      </c>
      <c r="J585" t="s">
        <v>2967</v>
      </c>
      <c r="K585" t="s">
        <v>2407</v>
      </c>
      <c r="L585" t="s">
        <v>646</v>
      </c>
      <c r="N585">
        <v>30</v>
      </c>
      <c r="O585">
        <v>200</v>
      </c>
      <c r="P585">
        <v>0.18</v>
      </c>
      <c r="Q585" s="84" t="e">
        <v>#REF!</v>
      </c>
      <c r="R585" s="85"/>
      <c r="S585" s="85"/>
      <c r="T585" s="86">
        <v>0</v>
      </c>
      <c r="U585" s="84">
        <v>0</v>
      </c>
      <c r="V585" s="84">
        <v>144.893</v>
      </c>
      <c r="W585" s="84">
        <v>72.4465</v>
      </c>
      <c r="X585" s="82">
        <v>0.35</v>
      </c>
      <c r="Y585" s="82"/>
      <c r="Z585" s="84">
        <v>72.4465</v>
      </c>
      <c r="AA585" s="84">
        <v>144.893</v>
      </c>
      <c r="AB585" s="88" t="e">
        <v>#DIV/0!</v>
      </c>
      <c r="AC585" t="s">
        <v>2968</v>
      </c>
    </row>
    <row r="586" spans="3:29">
      <c r="C586" t="s">
        <v>2969</v>
      </c>
      <c r="D586" t="s">
        <v>2970</v>
      </c>
      <c r="E586" s="84">
        <v>174.99</v>
      </c>
      <c r="F586" s="84">
        <v>87.495000000000005</v>
      </c>
      <c r="G586" t="s">
        <v>2816</v>
      </c>
      <c r="H586" t="s">
        <v>2971</v>
      </c>
      <c r="I586" t="s">
        <v>112</v>
      </c>
      <c r="J586" t="s">
        <v>2972</v>
      </c>
      <c r="K586" t="s">
        <v>2973</v>
      </c>
      <c r="L586" t="s">
        <v>646</v>
      </c>
      <c r="M586">
        <v>70</v>
      </c>
      <c r="N586">
        <v>70</v>
      </c>
      <c r="O586">
        <v>6</v>
      </c>
      <c r="P586">
        <v>2.9399999999999999E-2</v>
      </c>
      <c r="Q586" s="84" t="e">
        <v>#REF!</v>
      </c>
      <c r="R586" s="85"/>
      <c r="S586" s="85"/>
      <c r="T586" s="86">
        <v>0</v>
      </c>
      <c r="U586" s="84">
        <v>0</v>
      </c>
      <c r="V586" s="84">
        <v>122.49299999999999</v>
      </c>
      <c r="W586" s="84">
        <v>61.246499999999997</v>
      </c>
      <c r="X586" s="82">
        <v>0.35</v>
      </c>
      <c r="Y586" s="82"/>
      <c r="Z586" s="84">
        <v>61.246499999999997</v>
      </c>
      <c r="AA586" s="84">
        <v>122.49299999999999</v>
      </c>
      <c r="AB586" s="88" t="e">
        <v>#DIV/0!</v>
      </c>
      <c r="AC586" t="s">
        <v>2974</v>
      </c>
    </row>
    <row r="587" spans="3:29">
      <c r="C587" t="s">
        <v>2975</v>
      </c>
      <c r="D587" t="s">
        <v>2970</v>
      </c>
      <c r="E587" s="84">
        <v>178.99</v>
      </c>
      <c r="F587" s="84">
        <v>89.495000000000005</v>
      </c>
      <c r="G587" t="s">
        <v>2816</v>
      </c>
      <c r="H587" t="s">
        <v>2976</v>
      </c>
      <c r="I587" t="s">
        <v>112</v>
      </c>
      <c r="J587" t="s">
        <v>2977</v>
      </c>
      <c r="K587" t="s">
        <v>2973</v>
      </c>
      <c r="L587" t="s">
        <v>646</v>
      </c>
      <c r="M587">
        <v>50</v>
      </c>
      <c r="N587">
        <v>50</v>
      </c>
      <c r="O587">
        <v>6</v>
      </c>
      <c r="P587">
        <v>1.4999999999999999E-2</v>
      </c>
      <c r="Q587" s="84" t="e">
        <v>#REF!</v>
      </c>
      <c r="R587" s="85"/>
      <c r="S587" s="85"/>
      <c r="T587" s="86">
        <v>0</v>
      </c>
      <c r="U587" s="84">
        <v>0</v>
      </c>
      <c r="V587" s="84">
        <v>125.29300000000001</v>
      </c>
      <c r="W587" s="84">
        <v>62.646500000000003</v>
      </c>
      <c r="X587" s="82">
        <v>0.35</v>
      </c>
      <c r="Y587" s="82"/>
      <c r="Z587" s="84">
        <v>62.646500000000003</v>
      </c>
      <c r="AA587" s="84">
        <v>125.29300000000001</v>
      </c>
      <c r="AB587" s="88" t="e">
        <v>#DIV/0!</v>
      </c>
      <c r="AC587" t="s">
        <v>2978</v>
      </c>
    </row>
    <row r="588" spans="3:29">
      <c r="C588" t="s">
        <v>2979</v>
      </c>
      <c r="D588" t="s">
        <v>2980</v>
      </c>
      <c r="E588" s="84">
        <v>39.99</v>
      </c>
      <c r="F588" s="84">
        <v>19.995000000000001</v>
      </c>
      <c r="G588" t="s">
        <v>2816</v>
      </c>
      <c r="H588" t="s">
        <v>2981</v>
      </c>
      <c r="I588" t="s">
        <v>526</v>
      </c>
      <c r="J588" t="s">
        <v>2982</v>
      </c>
      <c r="K588" t="s">
        <v>2983</v>
      </c>
      <c r="L588" t="s">
        <v>670</v>
      </c>
      <c r="M588">
        <v>6</v>
      </c>
      <c r="N588">
        <v>3</v>
      </c>
      <c r="O588">
        <v>7</v>
      </c>
      <c r="P588">
        <v>1.26E-4</v>
      </c>
      <c r="Q588" s="84" t="e">
        <v>#REF!</v>
      </c>
      <c r="R588" s="85">
        <v>25000</v>
      </c>
      <c r="S588" s="85">
        <v>250000</v>
      </c>
      <c r="T588" s="86">
        <v>275000</v>
      </c>
      <c r="U588" s="84">
        <v>18.3333333333333</v>
      </c>
      <c r="V588" s="84">
        <v>27.992999999999999</v>
      </c>
      <c r="W588" s="84">
        <v>13.996499999999999</v>
      </c>
      <c r="X588" s="82">
        <v>0.35</v>
      </c>
      <c r="Y588" s="87">
        <v>27.5</v>
      </c>
      <c r="Z588" s="84">
        <v>27.5</v>
      </c>
      <c r="AA588" s="84">
        <v>55</v>
      </c>
      <c r="AB588" s="88">
        <v>2</v>
      </c>
      <c r="AC588" t="s">
        <v>2984</v>
      </c>
    </row>
    <row r="589" spans="3:29">
      <c r="C589" t="s">
        <v>2985</v>
      </c>
      <c r="D589" t="s">
        <v>2980</v>
      </c>
      <c r="E589" s="84">
        <v>39.99</v>
      </c>
      <c r="F589" s="84">
        <v>19.995000000000001</v>
      </c>
      <c r="G589" t="s">
        <v>2816</v>
      </c>
      <c r="H589" t="s">
        <v>2986</v>
      </c>
      <c r="I589" t="s">
        <v>526</v>
      </c>
      <c r="J589" t="s">
        <v>2987</v>
      </c>
      <c r="K589" t="s">
        <v>2395</v>
      </c>
      <c r="L589" t="s">
        <v>646</v>
      </c>
      <c r="M589">
        <v>52</v>
      </c>
      <c r="N589">
        <v>7</v>
      </c>
      <c r="O589">
        <v>7</v>
      </c>
      <c r="P589">
        <v>2.5479999999999999E-3</v>
      </c>
      <c r="Q589" s="84" t="e">
        <v>#REF!</v>
      </c>
      <c r="R589" s="85"/>
      <c r="S589" s="85"/>
      <c r="T589" s="86">
        <v>0</v>
      </c>
      <c r="U589" s="84">
        <v>0</v>
      </c>
      <c r="V589" s="84">
        <v>27.992999999999999</v>
      </c>
      <c r="W589" s="84">
        <v>13.996499999999999</v>
      </c>
      <c r="X589" s="82">
        <v>0.35</v>
      </c>
      <c r="Y589" s="82"/>
      <c r="Z589" s="84">
        <v>13.996499999999999</v>
      </c>
      <c r="AA589" s="84">
        <v>27.992999999999999</v>
      </c>
      <c r="AB589" s="88" t="e">
        <v>#DIV/0!</v>
      </c>
      <c r="AC589" t="s">
        <v>2988</v>
      </c>
    </row>
    <row r="590" spans="3:29">
      <c r="C590" t="s">
        <v>2989</v>
      </c>
      <c r="D590" t="s">
        <v>2990</v>
      </c>
      <c r="E590" s="84">
        <v>319.99</v>
      </c>
      <c r="F590" s="84">
        <v>159.995</v>
      </c>
      <c r="G590" t="s">
        <v>2816</v>
      </c>
      <c r="H590" t="s">
        <v>2991</v>
      </c>
      <c r="I590" t="s">
        <v>2992</v>
      </c>
      <c r="J590" t="s">
        <v>2993</v>
      </c>
      <c r="K590" t="s">
        <v>2994</v>
      </c>
      <c r="L590" t="s">
        <v>50</v>
      </c>
      <c r="M590">
        <v>40</v>
      </c>
      <c r="N590">
        <v>30</v>
      </c>
      <c r="O590">
        <v>195</v>
      </c>
      <c r="P590">
        <v>0.23400000000000001</v>
      </c>
      <c r="Q590" s="84" t="e">
        <v>#REF!</v>
      </c>
      <c r="R590" s="85"/>
      <c r="S590" s="85"/>
      <c r="T590" s="86">
        <v>0</v>
      </c>
      <c r="U590" s="84">
        <v>0</v>
      </c>
      <c r="V590" s="84">
        <v>223.99299999999999</v>
      </c>
      <c r="W590" s="84">
        <v>111.9965</v>
      </c>
      <c r="X590" s="82">
        <v>0.35</v>
      </c>
      <c r="Y590" s="82"/>
      <c r="Z590" s="84">
        <v>111.9965</v>
      </c>
      <c r="AA590" s="84">
        <v>223.99299999999999</v>
      </c>
      <c r="AB590" s="88" t="e">
        <v>#DIV/0!</v>
      </c>
      <c r="AC590" t="s">
        <v>2995</v>
      </c>
    </row>
    <row r="591" spans="3:29">
      <c r="C591" t="s">
        <v>2996</v>
      </c>
      <c r="D591" t="s">
        <v>2997</v>
      </c>
      <c r="E591" s="84">
        <v>3.99</v>
      </c>
      <c r="F591" s="84">
        <v>1.9950000000000001</v>
      </c>
      <c r="G591" t="s">
        <v>2816</v>
      </c>
      <c r="H591" t="s">
        <v>2998</v>
      </c>
      <c r="I591" t="s">
        <v>923</v>
      </c>
      <c r="J591" t="s">
        <v>2999</v>
      </c>
      <c r="K591" t="s">
        <v>2973</v>
      </c>
      <c r="L591" t="s">
        <v>646</v>
      </c>
      <c r="N591">
        <v>7</v>
      </c>
      <c r="O591">
        <v>10</v>
      </c>
      <c r="P591">
        <v>4.8999999999999998E-4</v>
      </c>
      <c r="Q591" s="84" t="e">
        <v>#REF!</v>
      </c>
      <c r="R591" s="85"/>
      <c r="S591" s="85"/>
      <c r="T591" s="86">
        <v>0</v>
      </c>
      <c r="U591" s="84">
        <v>0</v>
      </c>
      <c r="V591" s="84">
        <v>2.7930000000000001</v>
      </c>
      <c r="W591" s="84">
        <v>1.3965000000000001</v>
      </c>
      <c r="X591" s="82">
        <v>0.35</v>
      </c>
      <c r="Y591" s="82"/>
      <c r="Z591" s="84">
        <v>1.3965000000000001</v>
      </c>
      <c r="AA591" s="84">
        <v>2.7930000000000001</v>
      </c>
      <c r="AB591" s="88" t="e">
        <v>#DIV/0!</v>
      </c>
      <c r="AC591" t="s">
        <v>3000</v>
      </c>
    </row>
    <row r="592" spans="3:29">
      <c r="C592" t="s">
        <v>3001</v>
      </c>
      <c r="D592" t="s">
        <v>2997</v>
      </c>
      <c r="E592" s="84">
        <v>7.99</v>
      </c>
      <c r="F592" s="84">
        <v>3.9950000000000001</v>
      </c>
      <c r="G592" t="s">
        <v>2816</v>
      </c>
      <c r="H592" t="s">
        <v>3002</v>
      </c>
      <c r="I592" t="s">
        <v>923</v>
      </c>
      <c r="J592" t="s">
        <v>3003</v>
      </c>
      <c r="K592" t="s">
        <v>2973</v>
      </c>
      <c r="L592" t="s">
        <v>646</v>
      </c>
      <c r="N592">
        <v>12</v>
      </c>
      <c r="O592">
        <v>8</v>
      </c>
      <c r="P592">
        <v>1.152E-3</v>
      </c>
      <c r="Q592" s="84" t="e">
        <v>#REF!</v>
      </c>
      <c r="R592" s="85"/>
      <c r="S592" s="85"/>
      <c r="T592" s="86">
        <v>0</v>
      </c>
      <c r="U592" s="84">
        <v>0</v>
      </c>
      <c r="V592" s="84">
        <v>5.593</v>
      </c>
      <c r="W592" s="84">
        <v>2.7965</v>
      </c>
      <c r="X592" s="82">
        <v>0.35</v>
      </c>
      <c r="Y592" s="82"/>
      <c r="Z592" s="84">
        <v>2.7965</v>
      </c>
      <c r="AA592" s="84">
        <v>5.593</v>
      </c>
      <c r="AB592" s="88" t="e">
        <v>#DIV/0!</v>
      </c>
      <c r="AC592" t="s">
        <v>3004</v>
      </c>
    </row>
    <row r="593" spans="3:29">
      <c r="C593" t="s">
        <v>3005</v>
      </c>
      <c r="D593" t="s">
        <v>2997</v>
      </c>
      <c r="E593" s="84">
        <v>23.99</v>
      </c>
      <c r="F593" s="84">
        <v>11.994999999999999</v>
      </c>
      <c r="G593" t="s">
        <v>2816</v>
      </c>
      <c r="H593" t="s">
        <v>3006</v>
      </c>
      <c r="I593" t="s">
        <v>923</v>
      </c>
      <c r="J593" t="s">
        <v>3007</v>
      </c>
      <c r="K593" t="s">
        <v>2973</v>
      </c>
      <c r="L593" t="s">
        <v>646</v>
      </c>
      <c r="N593">
        <v>20</v>
      </c>
      <c r="O593">
        <v>18</v>
      </c>
      <c r="P593">
        <v>7.1999999999999998E-3</v>
      </c>
      <c r="Q593" s="84" t="e">
        <v>#REF!</v>
      </c>
      <c r="R593" s="85"/>
      <c r="S593" s="85"/>
      <c r="T593" s="86">
        <v>0</v>
      </c>
      <c r="U593" s="84">
        <v>0</v>
      </c>
      <c r="V593" s="84">
        <v>16.792999999999999</v>
      </c>
      <c r="W593" s="84">
        <v>8.3964999999999996</v>
      </c>
      <c r="X593" s="82">
        <v>0.35</v>
      </c>
      <c r="Y593" s="82"/>
      <c r="Z593" s="84">
        <v>8.3964999999999996</v>
      </c>
      <c r="AA593" s="84">
        <v>16.792999999999999</v>
      </c>
      <c r="AB593" s="88" t="e">
        <v>#DIV/0!</v>
      </c>
      <c r="AC593" t="s">
        <v>3000</v>
      </c>
    </row>
    <row r="594" spans="3:29">
      <c r="C594" t="s">
        <v>3008</v>
      </c>
      <c r="D594" t="s">
        <v>2997</v>
      </c>
      <c r="E594" s="84">
        <v>32.99</v>
      </c>
      <c r="F594" s="84">
        <v>16.495000000000001</v>
      </c>
      <c r="G594" t="s">
        <v>2816</v>
      </c>
      <c r="H594" t="s">
        <v>3009</v>
      </c>
      <c r="I594" t="s">
        <v>923</v>
      </c>
      <c r="J594" t="s">
        <v>3010</v>
      </c>
      <c r="K594" t="s">
        <v>2973</v>
      </c>
      <c r="L594" t="s">
        <v>646</v>
      </c>
      <c r="N594">
        <v>30</v>
      </c>
      <c r="O594">
        <v>18</v>
      </c>
      <c r="P594">
        <v>1.6199999999999999E-2</v>
      </c>
      <c r="Q594" s="84" t="e">
        <v>#REF!</v>
      </c>
      <c r="R594" s="85"/>
      <c r="S594" s="85"/>
      <c r="T594" s="86">
        <v>0</v>
      </c>
      <c r="U594" s="84">
        <v>0</v>
      </c>
      <c r="V594" s="84">
        <v>23.093</v>
      </c>
      <c r="W594" s="84">
        <v>11.5465</v>
      </c>
      <c r="X594" s="82">
        <v>0.35</v>
      </c>
      <c r="Y594" s="82"/>
      <c r="Z594" s="84">
        <v>11.5465</v>
      </c>
      <c r="AA594" s="84">
        <v>23.093</v>
      </c>
      <c r="AB594" s="88" t="e">
        <v>#DIV/0!</v>
      </c>
      <c r="AC594" t="s">
        <v>3011</v>
      </c>
    </row>
    <row r="595" spans="3:29" ht="45.75">
      <c r="C595" t="s">
        <v>3012</v>
      </c>
      <c r="D595" t="s">
        <v>3013</v>
      </c>
      <c r="E595" s="84">
        <v>24.99</v>
      </c>
      <c r="F595" s="84">
        <v>12.494999999999999</v>
      </c>
      <c r="G595" t="s">
        <v>2816</v>
      </c>
      <c r="H595" t="s">
        <v>3014</v>
      </c>
      <c r="I595" t="s">
        <v>3015</v>
      </c>
      <c r="J595" t="s">
        <v>3016</v>
      </c>
      <c r="K595" s="83" t="s">
        <v>2955</v>
      </c>
      <c r="L595" t="s">
        <v>646</v>
      </c>
      <c r="M595">
        <v>40</v>
      </c>
      <c r="N595">
        <v>2.4</v>
      </c>
      <c r="P595">
        <v>0</v>
      </c>
      <c r="Q595" s="84" t="e">
        <v>#REF!</v>
      </c>
      <c r="R595" s="85"/>
      <c r="S595" s="85"/>
      <c r="T595" s="86">
        <v>0</v>
      </c>
      <c r="U595" s="84">
        <v>0</v>
      </c>
      <c r="V595" s="84">
        <v>17.492999999999999</v>
      </c>
      <c r="W595" s="84">
        <v>8.7464999999999993</v>
      </c>
      <c r="X595" s="82">
        <v>0.35</v>
      </c>
      <c r="Y595" s="82"/>
      <c r="Z595" s="84">
        <v>8.7464999999999993</v>
      </c>
      <c r="AA595" s="84">
        <v>17.492999999999999</v>
      </c>
      <c r="AB595" s="88" t="e">
        <v>#DIV/0!</v>
      </c>
      <c r="AC595" t="s">
        <v>3017</v>
      </c>
    </row>
    <row r="596" spans="3:29">
      <c r="C596" t="s">
        <v>3018</v>
      </c>
      <c r="D596" t="s">
        <v>3019</v>
      </c>
      <c r="E596" s="84">
        <v>44.99</v>
      </c>
      <c r="F596" s="84">
        <v>22.495000000000001</v>
      </c>
      <c r="G596" t="s">
        <v>2816</v>
      </c>
      <c r="H596" t="s">
        <v>3020</v>
      </c>
      <c r="I596" t="s">
        <v>3021</v>
      </c>
      <c r="J596" t="s">
        <v>3022</v>
      </c>
      <c r="K596" t="s">
        <v>2950</v>
      </c>
      <c r="L596" t="s">
        <v>646</v>
      </c>
      <c r="M596">
        <v>47</v>
      </c>
      <c r="N596">
        <v>2.4</v>
      </c>
      <c r="O596">
        <v>23</v>
      </c>
      <c r="P596">
        <v>2.5944000000000002E-3</v>
      </c>
      <c r="Q596" s="84" t="e">
        <v>#REF!</v>
      </c>
      <c r="R596" s="85"/>
      <c r="S596" s="85"/>
      <c r="T596" s="86">
        <v>0</v>
      </c>
      <c r="U596" s="84">
        <v>0</v>
      </c>
      <c r="V596" s="84">
        <v>31.492999999999999</v>
      </c>
      <c r="W596" s="84">
        <v>15.746499999999999</v>
      </c>
      <c r="X596" s="82">
        <v>0.35</v>
      </c>
      <c r="Y596" s="82"/>
      <c r="Z596" s="84">
        <v>15.746499999999999</v>
      </c>
      <c r="AA596" s="84">
        <v>31.492999999999999</v>
      </c>
      <c r="AB596" s="88" t="e">
        <v>#DIV/0!</v>
      </c>
      <c r="AC596" t="s">
        <v>3023</v>
      </c>
    </row>
    <row r="597" spans="3:29">
      <c r="C597" t="s">
        <v>3024</v>
      </c>
      <c r="D597" t="s">
        <v>3025</v>
      </c>
      <c r="E597" s="84">
        <v>139.99</v>
      </c>
      <c r="F597" s="84">
        <v>69.995000000000005</v>
      </c>
      <c r="G597" t="s">
        <v>2816</v>
      </c>
      <c r="H597" t="s">
        <v>3026</v>
      </c>
      <c r="I597" t="s">
        <v>3027</v>
      </c>
      <c r="J597" t="s">
        <v>3028</v>
      </c>
      <c r="K597" t="s">
        <v>2950</v>
      </c>
      <c r="L597" t="s">
        <v>646</v>
      </c>
      <c r="M597">
        <v>150</v>
      </c>
      <c r="N597">
        <v>7</v>
      </c>
      <c r="O597">
        <v>7</v>
      </c>
      <c r="P597">
        <v>7.3499999999999998E-3</v>
      </c>
      <c r="Q597" s="84" t="e">
        <v>#REF!</v>
      </c>
      <c r="R597" s="85"/>
      <c r="S597" s="85"/>
      <c r="T597" s="86">
        <v>0</v>
      </c>
      <c r="U597" s="84">
        <v>0</v>
      </c>
      <c r="V597" s="84">
        <v>97.992999999999995</v>
      </c>
      <c r="W597" s="84">
        <v>48.996499999999997</v>
      </c>
      <c r="X597" s="82">
        <v>0.35</v>
      </c>
      <c r="Y597" s="82"/>
      <c r="Z597" s="84">
        <v>48.996499999999997</v>
      </c>
      <c r="AA597" s="84">
        <v>97.992999999999995</v>
      </c>
      <c r="AB597" s="88" t="e">
        <v>#DIV/0!</v>
      </c>
      <c r="AC597" t="s">
        <v>3029</v>
      </c>
    </row>
    <row r="598" spans="3:29">
      <c r="C598" t="s">
        <v>3030</v>
      </c>
      <c r="D598" t="s">
        <v>3031</v>
      </c>
      <c r="E598" s="84">
        <v>392.99</v>
      </c>
      <c r="F598" s="84">
        <v>196.495</v>
      </c>
      <c r="G598" t="s">
        <v>2816</v>
      </c>
      <c r="H598" t="s">
        <v>3032</v>
      </c>
      <c r="I598" t="s">
        <v>3033</v>
      </c>
      <c r="J598" t="s">
        <v>3034</v>
      </c>
      <c r="K598" t="s">
        <v>3035</v>
      </c>
      <c r="L598" t="s">
        <v>670</v>
      </c>
      <c r="M598">
        <v>80</v>
      </c>
      <c r="N598">
        <v>60</v>
      </c>
      <c r="O598">
        <v>35</v>
      </c>
      <c r="P598">
        <v>0.16800000000000001</v>
      </c>
      <c r="Q598" s="84" t="e">
        <v>#REF!</v>
      </c>
      <c r="R598" s="85"/>
      <c r="S598" s="85"/>
      <c r="T598" s="86">
        <v>0</v>
      </c>
      <c r="U598" s="84">
        <v>0</v>
      </c>
      <c r="V598" s="84">
        <v>275.09300000000002</v>
      </c>
      <c r="W598" s="84">
        <v>137.54650000000001</v>
      </c>
      <c r="X598" s="82">
        <v>0.35</v>
      </c>
      <c r="Y598" s="82"/>
      <c r="Z598" s="84">
        <v>137.54650000000001</v>
      </c>
      <c r="AA598" s="84">
        <v>275.09300000000002</v>
      </c>
      <c r="AB598" s="88" t="e">
        <v>#DIV/0!</v>
      </c>
      <c r="AC598" t="s">
        <v>3036</v>
      </c>
    </row>
    <row r="599" spans="3:29">
      <c r="C599" t="s">
        <v>3037</v>
      </c>
      <c r="D599" t="s">
        <v>3038</v>
      </c>
      <c r="E599" s="84">
        <v>269.99</v>
      </c>
      <c r="F599" s="84">
        <v>134.995</v>
      </c>
      <c r="G599" t="s">
        <v>2816</v>
      </c>
      <c r="H599" t="s">
        <v>3039</v>
      </c>
      <c r="I599" t="s">
        <v>3040</v>
      </c>
      <c r="J599" t="s">
        <v>3041</v>
      </c>
      <c r="K599" t="s">
        <v>3042</v>
      </c>
      <c r="L599" t="s">
        <v>50</v>
      </c>
      <c r="M599">
        <v>53</v>
      </c>
      <c r="N599">
        <v>23</v>
      </c>
      <c r="O599">
        <v>5</v>
      </c>
      <c r="P599">
        <v>6.0949999999999997E-3</v>
      </c>
      <c r="Q599" s="84" t="e">
        <v>#REF!</v>
      </c>
      <c r="R599" s="85">
        <v>385689.20961504499</v>
      </c>
      <c r="S599" s="85">
        <v>0</v>
      </c>
      <c r="T599" s="86">
        <v>385689.20961504499</v>
      </c>
      <c r="U599" s="84">
        <v>25.7126139743363</v>
      </c>
      <c r="V599" s="84">
        <v>188.99299999999999</v>
      </c>
      <c r="W599" s="84">
        <v>94.496499999999997</v>
      </c>
      <c r="X599" s="82">
        <v>0.35</v>
      </c>
      <c r="Y599" s="82"/>
      <c r="Z599" s="84">
        <v>94.496499999999997</v>
      </c>
      <c r="AA599" s="84">
        <v>188.99299999999999</v>
      </c>
      <c r="AB599" s="88">
        <v>3.67510281507422</v>
      </c>
      <c r="AC599" t="s">
        <v>3043</v>
      </c>
    </row>
    <row r="600" spans="3:29">
      <c r="C600" t="s">
        <v>3045</v>
      </c>
      <c r="D600" t="s">
        <v>3046</v>
      </c>
      <c r="E600" s="84">
        <v>14965.99</v>
      </c>
      <c r="F600" s="84">
        <v>7482.9949999999999</v>
      </c>
      <c r="G600" t="s">
        <v>2816</v>
      </c>
      <c r="H600" t="s">
        <v>3047</v>
      </c>
      <c r="I600" t="s">
        <v>3048</v>
      </c>
      <c r="J600" t="s">
        <v>3049</v>
      </c>
      <c r="K600" t="s">
        <v>3035</v>
      </c>
      <c r="L600" t="s">
        <v>670</v>
      </c>
      <c r="M600">
        <v>184</v>
      </c>
      <c r="N600">
        <v>126</v>
      </c>
      <c r="O600">
        <v>85</v>
      </c>
      <c r="P600">
        <v>1.9706399999999999</v>
      </c>
      <c r="Q600" s="84" t="e">
        <v>#REF!</v>
      </c>
      <c r="R600" s="85"/>
      <c r="S600" s="85"/>
      <c r="T600" s="86">
        <v>0</v>
      </c>
      <c r="U600" s="84">
        <v>0</v>
      </c>
      <c r="V600" s="84">
        <v>10476.192999999999</v>
      </c>
      <c r="W600" s="84">
        <v>5238.0964999999997</v>
      </c>
      <c r="X600" s="82">
        <v>0.35</v>
      </c>
      <c r="Y600" s="82"/>
      <c r="Z600" s="84">
        <v>5238.0964999999997</v>
      </c>
      <c r="AA600" s="84">
        <v>10476.192999999999</v>
      </c>
      <c r="AB600" s="88" t="e">
        <v>#DIV/0!</v>
      </c>
      <c r="AC600" t="s">
        <v>3050</v>
      </c>
    </row>
    <row r="601" spans="3:29">
      <c r="C601" t="s">
        <v>3051</v>
      </c>
      <c r="D601" t="s">
        <v>3052</v>
      </c>
      <c r="E601" s="84">
        <v>1565.99</v>
      </c>
      <c r="F601" s="84">
        <v>782.995</v>
      </c>
      <c r="G601" t="s">
        <v>2816</v>
      </c>
      <c r="H601" t="s">
        <v>3053</v>
      </c>
      <c r="I601" t="s">
        <v>3054</v>
      </c>
      <c r="J601" t="s">
        <v>3055</v>
      </c>
      <c r="K601" t="s">
        <v>3035</v>
      </c>
      <c r="L601" t="s">
        <v>670</v>
      </c>
      <c r="M601">
        <v>85</v>
      </c>
      <c r="N601">
        <v>75</v>
      </c>
      <c r="O601">
        <v>40</v>
      </c>
      <c r="P601">
        <v>0.255</v>
      </c>
      <c r="Q601" s="84" t="e">
        <v>#REF!</v>
      </c>
      <c r="R601" s="85">
        <v>61559.470074629899</v>
      </c>
      <c r="S601" s="85">
        <v>3850000</v>
      </c>
      <c r="T601" s="86">
        <v>3911559.4700746299</v>
      </c>
      <c r="U601" s="84">
        <v>260.77063133830899</v>
      </c>
      <c r="V601" s="84">
        <v>1096.193</v>
      </c>
      <c r="W601" s="84">
        <v>548.09649999999999</v>
      </c>
      <c r="X601" s="82">
        <v>0.35</v>
      </c>
      <c r="Y601" s="82"/>
      <c r="Z601" s="84">
        <v>548.09649999999999</v>
      </c>
      <c r="AA601" s="84">
        <v>1096.193</v>
      </c>
      <c r="AB601" s="88">
        <v>2.10183369648299</v>
      </c>
      <c r="AC601" t="s">
        <v>3056</v>
      </c>
    </row>
    <row r="602" spans="3:29">
      <c r="C602" t="s">
        <v>3057</v>
      </c>
      <c r="D602" t="s">
        <v>3058</v>
      </c>
      <c r="E602" s="84">
        <v>661.99</v>
      </c>
      <c r="F602" s="84">
        <v>330.995</v>
      </c>
      <c r="G602" t="s">
        <v>2816</v>
      </c>
      <c r="H602" t="s">
        <v>3059</v>
      </c>
      <c r="I602" t="s">
        <v>3060</v>
      </c>
      <c r="J602" t="s">
        <v>3061</v>
      </c>
      <c r="K602" t="s">
        <v>3035</v>
      </c>
      <c r="L602" t="s">
        <v>670</v>
      </c>
      <c r="N602">
        <v>80</v>
      </c>
      <c r="O602">
        <v>30</v>
      </c>
      <c r="P602">
        <v>0.192</v>
      </c>
      <c r="Q602" s="84" t="e">
        <v>#REF!</v>
      </c>
      <c r="R602" s="85">
        <v>46350.659820899797</v>
      </c>
      <c r="S602" s="85">
        <v>2200000</v>
      </c>
      <c r="T602" s="86">
        <v>2246350.6598208998</v>
      </c>
      <c r="U602" s="84">
        <v>149.75671065472699</v>
      </c>
      <c r="V602" s="84">
        <v>463.39299999999997</v>
      </c>
      <c r="W602" s="84">
        <v>231.69649999999999</v>
      </c>
      <c r="X602" s="82">
        <v>0.35</v>
      </c>
      <c r="Y602" s="87">
        <v>269.56207917850799</v>
      </c>
      <c r="Z602" s="84">
        <v>269.56207917850799</v>
      </c>
      <c r="AA602" s="84">
        <v>539.12415835701597</v>
      </c>
      <c r="AB602" s="88">
        <v>2</v>
      </c>
      <c r="AC602" t="s">
        <v>3062</v>
      </c>
    </row>
    <row r="603" spans="3:29">
      <c r="C603" t="s">
        <v>3063</v>
      </c>
      <c r="D603" t="s">
        <v>3064</v>
      </c>
      <c r="E603" s="84">
        <v>19.989999999999998</v>
      </c>
      <c r="F603" s="84">
        <v>9.9949999999999992</v>
      </c>
      <c r="G603" t="s">
        <v>2816</v>
      </c>
      <c r="H603" t="s">
        <v>3065</v>
      </c>
      <c r="I603" t="s">
        <v>3066</v>
      </c>
      <c r="J603" t="s">
        <v>3067</v>
      </c>
      <c r="K603" t="s">
        <v>3068</v>
      </c>
      <c r="L603" t="s">
        <v>50</v>
      </c>
      <c r="N603">
        <v>8</v>
      </c>
      <c r="O603">
        <v>1.5</v>
      </c>
      <c r="P603">
        <v>9.6000000000000002E-5</v>
      </c>
      <c r="Q603" s="84" t="e">
        <v>#REF!</v>
      </c>
      <c r="R603" s="85"/>
      <c r="S603" s="85"/>
      <c r="T603" s="86">
        <v>0</v>
      </c>
      <c r="U603" s="84">
        <v>0</v>
      </c>
      <c r="V603" s="84">
        <v>13.993</v>
      </c>
      <c r="W603" s="84">
        <v>6.9965000000000002</v>
      </c>
      <c r="X603" s="82">
        <v>0.35</v>
      </c>
      <c r="Y603" s="82"/>
      <c r="Z603" s="84">
        <v>6.9965000000000002</v>
      </c>
      <c r="AA603" s="84">
        <v>13.993</v>
      </c>
      <c r="AB603" s="88" t="e">
        <v>#DIV/0!</v>
      </c>
      <c r="AC603" t="s">
        <v>3069</v>
      </c>
    </row>
    <row r="604" spans="3:29">
      <c r="C604" t="s">
        <v>3070</v>
      </c>
      <c r="D604" t="s">
        <v>3071</v>
      </c>
      <c r="E604" s="84">
        <v>50.99</v>
      </c>
      <c r="F604" s="84">
        <v>25.495000000000001</v>
      </c>
      <c r="G604" t="s">
        <v>2816</v>
      </c>
      <c r="H604" t="s">
        <v>3072</v>
      </c>
      <c r="I604" t="s">
        <v>3073</v>
      </c>
      <c r="J604" t="s">
        <v>3074</v>
      </c>
      <c r="K604" t="s">
        <v>3075</v>
      </c>
      <c r="L604" t="s">
        <v>670</v>
      </c>
      <c r="N604">
        <v>20</v>
      </c>
      <c r="O604">
        <v>12</v>
      </c>
      <c r="P604">
        <v>4.7999999999999996E-3</v>
      </c>
      <c r="Q604" s="84" t="e">
        <v>#REF!</v>
      </c>
      <c r="R604" s="85">
        <v>3259.0307686569899</v>
      </c>
      <c r="S604" s="85">
        <v>220000</v>
      </c>
      <c r="T604" s="86">
        <v>223259.03076865699</v>
      </c>
      <c r="U604" s="84">
        <v>14.8839353845771</v>
      </c>
      <c r="V604" s="84">
        <v>35.692999999999998</v>
      </c>
      <c r="W604" s="84">
        <v>17.846499999999999</v>
      </c>
      <c r="X604" s="82">
        <v>0.35</v>
      </c>
      <c r="Y604" s="87">
        <v>23.8142966153234</v>
      </c>
      <c r="Z604" s="84">
        <v>23.8142966153234</v>
      </c>
      <c r="AA604" s="84">
        <v>47.6285932306468</v>
      </c>
      <c r="AB604" s="88">
        <v>2</v>
      </c>
      <c r="AC604" t="s">
        <v>3076</v>
      </c>
    </row>
    <row r="605" spans="3:29">
      <c r="C605" t="s">
        <v>3077</v>
      </c>
      <c r="D605" t="s">
        <v>3078</v>
      </c>
      <c r="E605" s="84">
        <v>159.99</v>
      </c>
      <c r="F605" s="84">
        <v>79.995000000000005</v>
      </c>
      <c r="G605" t="s">
        <v>2816</v>
      </c>
      <c r="H605" t="s">
        <v>3079</v>
      </c>
      <c r="I605" t="s">
        <v>3080</v>
      </c>
      <c r="J605" t="s">
        <v>3081</v>
      </c>
      <c r="K605" t="s">
        <v>3082</v>
      </c>
      <c r="L605" t="s">
        <v>670</v>
      </c>
      <c r="M605">
        <v>27</v>
      </c>
      <c r="N605">
        <v>8</v>
      </c>
      <c r="O605">
        <v>35</v>
      </c>
      <c r="P605">
        <v>7.5599999999999999E-3</v>
      </c>
      <c r="Q605" s="84" t="e">
        <v>#REF!</v>
      </c>
      <c r="R605" s="85"/>
      <c r="S605" s="85"/>
      <c r="T605" s="86">
        <v>0</v>
      </c>
      <c r="U605" s="84">
        <v>0</v>
      </c>
      <c r="V605" s="84">
        <v>111.99299999999999</v>
      </c>
      <c r="W605" s="84">
        <v>55.996499999999997</v>
      </c>
      <c r="X605" s="82">
        <v>0.35</v>
      </c>
      <c r="Y605" s="82"/>
      <c r="Z605" s="84">
        <v>55.996499999999997</v>
      </c>
      <c r="AA605" s="84">
        <v>111.99299999999999</v>
      </c>
      <c r="AB605" s="88" t="e">
        <v>#DIV/0!</v>
      </c>
      <c r="AC605" t="s">
        <v>3083</v>
      </c>
    </row>
    <row r="606" spans="3:29">
      <c r="C606" t="s">
        <v>3084</v>
      </c>
      <c r="E606" s="84"/>
      <c r="F606" s="82"/>
      <c r="R606" s="85"/>
      <c r="S606" s="85"/>
      <c r="T606" s="86"/>
      <c r="V606" s="84">
        <v>0</v>
      </c>
      <c r="W606" s="84">
        <v>0</v>
      </c>
      <c r="X606" s="82" t="e">
        <v>#DIV/0!</v>
      </c>
      <c r="Y606" s="82">
        <v>0</v>
      </c>
      <c r="Z606" s="82"/>
      <c r="AA606" s="82"/>
      <c r="AB606" s="88" t="e">
        <v>#DIV/0!</v>
      </c>
    </row>
    <row r="607" spans="3:29">
      <c r="C607" t="s">
        <v>3085</v>
      </c>
      <c r="D607" t="s">
        <v>3086</v>
      </c>
      <c r="E607" s="84"/>
      <c r="F607" s="84">
        <v>0</v>
      </c>
      <c r="G607" t="s">
        <v>3087</v>
      </c>
      <c r="H607" t="s">
        <v>3088</v>
      </c>
      <c r="I607" t="s">
        <v>338</v>
      </c>
      <c r="J607" t="s">
        <v>3089</v>
      </c>
      <c r="K607" t="s">
        <v>3090</v>
      </c>
      <c r="L607" t="s">
        <v>670</v>
      </c>
      <c r="M607">
        <v>18</v>
      </c>
      <c r="N607">
        <v>8</v>
      </c>
      <c r="O607">
        <v>100</v>
      </c>
      <c r="P607">
        <v>1.44E-2</v>
      </c>
      <c r="Q607" s="84" t="e">
        <v>#REF!</v>
      </c>
      <c r="R607" s="85">
        <v>217813.799486567</v>
      </c>
      <c r="S607" s="85">
        <v>0</v>
      </c>
      <c r="T607" s="86">
        <v>217813.799486567</v>
      </c>
      <c r="U607" s="84">
        <v>14.5209199657711</v>
      </c>
      <c r="V607" s="84">
        <v>0</v>
      </c>
      <c r="W607" s="84">
        <v>0</v>
      </c>
      <c r="X607" s="82" t="e">
        <v>#DIV/0!</v>
      </c>
      <c r="Y607" s="87">
        <v>43.562759897313398</v>
      </c>
      <c r="Z607" s="84">
        <v>43.562759897313398</v>
      </c>
      <c r="AA607" s="84">
        <v>87.125519794626896</v>
      </c>
      <c r="AB607" s="88">
        <v>2</v>
      </c>
      <c r="AC607" t="s">
        <v>3091</v>
      </c>
    </row>
    <row r="608" spans="3:29">
      <c r="C608" t="s">
        <v>3093</v>
      </c>
      <c r="D608" t="s">
        <v>3086</v>
      </c>
      <c r="E608" s="84">
        <v>199.99</v>
      </c>
      <c r="F608" s="84">
        <v>99.995000000000005</v>
      </c>
      <c r="G608" t="s">
        <v>3087</v>
      </c>
      <c r="H608" t="s">
        <v>3088</v>
      </c>
      <c r="I608" t="s">
        <v>338</v>
      </c>
      <c r="J608" t="s">
        <v>3094</v>
      </c>
      <c r="K608" t="s">
        <v>3090</v>
      </c>
      <c r="L608" t="s">
        <v>670</v>
      </c>
      <c r="M608">
        <v>18</v>
      </c>
      <c r="N608">
        <v>8</v>
      </c>
      <c r="O608">
        <v>100</v>
      </c>
      <c r="P608">
        <v>1.44E-2</v>
      </c>
      <c r="Q608" s="84" t="e">
        <v>#REF!</v>
      </c>
      <c r="R608" s="85">
        <v>217813.799486567</v>
      </c>
      <c r="S608" s="85">
        <v>0</v>
      </c>
      <c r="T608" s="86">
        <v>217813.799486567</v>
      </c>
      <c r="U608" s="84">
        <v>14.5209199657711</v>
      </c>
      <c r="V608" s="84">
        <v>139.99299999999999</v>
      </c>
      <c r="W608" s="84">
        <v>69.996499999999997</v>
      </c>
      <c r="X608" s="82">
        <v>0.35</v>
      </c>
      <c r="Y608" s="82"/>
      <c r="Z608" s="84">
        <v>69.996499999999997</v>
      </c>
      <c r="AA608" s="84">
        <v>139.99299999999999</v>
      </c>
      <c r="AB608" s="88">
        <v>4.82039017947874</v>
      </c>
      <c r="AC608" t="s">
        <v>3091</v>
      </c>
    </row>
    <row r="609" spans="3:29">
      <c r="C609" t="s">
        <v>3095</v>
      </c>
      <c r="D609" t="s">
        <v>3086</v>
      </c>
      <c r="E609" s="84">
        <v>199.99</v>
      </c>
      <c r="F609" s="84">
        <v>99.995000000000005</v>
      </c>
      <c r="G609" t="s">
        <v>3087</v>
      </c>
      <c r="H609" t="s">
        <v>3088</v>
      </c>
      <c r="I609" t="s">
        <v>338</v>
      </c>
      <c r="J609" t="s">
        <v>3096</v>
      </c>
      <c r="K609" t="s">
        <v>3090</v>
      </c>
      <c r="L609" t="s">
        <v>50</v>
      </c>
      <c r="M609">
        <v>18</v>
      </c>
      <c r="N609">
        <v>8</v>
      </c>
      <c r="O609">
        <v>100</v>
      </c>
      <c r="P609">
        <v>1.44E-2</v>
      </c>
      <c r="Q609" s="84" t="e">
        <v>#REF!</v>
      </c>
      <c r="R609" s="85">
        <v>217813.799486567</v>
      </c>
      <c r="S609" s="85">
        <v>0</v>
      </c>
      <c r="T609" s="86">
        <v>217813.799486567</v>
      </c>
      <c r="U609" s="84">
        <v>14.5209199657711</v>
      </c>
      <c r="V609" s="84">
        <v>139.99299999999999</v>
      </c>
      <c r="W609" s="84">
        <v>69.996499999999997</v>
      </c>
      <c r="X609" s="82">
        <v>0.35</v>
      </c>
      <c r="Y609" s="82"/>
      <c r="Z609" s="84">
        <v>69.996499999999997</v>
      </c>
      <c r="AA609" s="84">
        <v>139.99299999999999</v>
      </c>
      <c r="AB609" s="88">
        <v>4.82039017947874</v>
      </c>
      <c r="AC609" t="s">
        <v>3097</v>
      </c>
    </row>
    <row r="610" spans="3:29">
      <c r="C610" t="s">
        <v>3098</v>
      </c>
      <c r="D610" t="s">
        <v>3099</v>
      </c>
      <c r="E610" s="84">
        <v>129.99</v>
      </c>
      <c r="F610" s="84">
        <v>64.995000000000005</v>
      </c>
      <c r="G610" t="s">
        <v>3087</v>
      </c>
      <c r="H610" t="s">
        <v>3100</v>
      </c>
      <c r="I610" t="s">
        <v>445</v>
      </c>
      <c r="J610" t="s">
        <v>3101</v>
      </c>
      <c r="K610" t="s">
        <v>3090</v>
      </c>
      <c r="L610" t="s">
        <v>50</v>
      </c>
      <c r="M610">
        <v>40</v>
      </c>
      <c r="N610">
        <v>40</v>
      </c>
      <c r="O610">
        <v>3</v>
      </c>
      <c r="P610">
        <v>4.7999999999999996E-3</v>
      </c>
      <c r="Q610" s="84" t="e">
        <v>#REF!</v>
      </c>
      <c r="R610" s="85">
        <v>144160.266495522</v>
      </c>
      <c r="S610" s="85">
        <v>0</v>
      </c>
      <c r="T610" s="86">
        <v>144160.266495522</v>
      </c>
      <c r="U610" s="84">
        <v>9.6106844330348302</v>
      </c>
      <c r="V610" s="84">
        <v>90.992999999999995</v>
      </c>
      <c r="W610" s="84">
        <v>45.496499999999997</v>
      </c>
      <c r="X610" s="82">
        <v>0.35</v>
      </c>
      <c r="Y610" s="82"/>
      <c r="Z610" s="84">
        <v>45.496499999999997</v>
      </c>
      <c r="AA610" s="84">
        <v>90.992999999999995</v>
      </c>
      <c r="AB610" s="88">
        <v>4.7339500445581999</v>
      </c>
      <c r="AC610" t="s">
        <v>3102</v>
      </c>
    </row>
    <row r="611" spans="3:29">
      <c r="C611" t="s">
        <v>3103</v>
      </c>
      <c r="D611" t="s">
        <v>3099</v>
      </c>
      <c r="E611" s="84">
        <v>199.99</v>
      </c>
      <c r="F611" s="84">
        <v>99.995000000000005</v>
      </c>
      <c r="G611" t="s">
        <v>3087</v>
      </c>
      <c r="H611" t="s">
        <v>3104</v>
      </c>
      <c r="I611" t="s">
        <v>445</v>
      </c>
      <c r="J611" t="s">
        <v>3105</v>
      </c>
      <c r="K611" t="s">
        <v>3090</v>
      </c>
      <c r="L611" t="s">
        <v>50</v>
      </c>
      <c r="M611">
        <v>60</v>
      </c>
      <c r="N611">
        <v>60</v>
      </c>
      <c r="O611">
        <v>3</v>
      </c>
      <c r="P611">
        <v>1.0800000000000001E-2</v>
      </c>
      <c r="Q611" s="84" t="e">
        <v>#REF!</v>
      </c>
      <c r="R611" s="85">
        <v>254295.964614925</v>
      </c>
      <c r="S611" s="85">
        <v>0</v>
      </c>
      <c r="T611" s="86">
        <v>254295.964614925</v>
      </c>
      <c r="U611" s="84">
        <v>16.953064307661698</v>
      </c>
      <c r="V611" s="84">
        <v>139.99299999999999</v>
      </c>
      <c r="W611" s="84">
        <v>69.996499999999997</v>
      </c>
      <c r="X611" s="82">
        <v>0.35</v>
      </c>
      <c r="Y611" s="82"/>
      <c r="Z611" s="84">
        <v>69.996499999999997</v>
      </c>
      <c r="AA611" s="84">
        <v>139.99299999999999</v>
      </c>
      <c r="AB611" s="88">
        <v>4.1288405877376499</v>
      </c>
      <c r="AC611" t="s">
        <v>3106</v>
      </c>
    </row>
    <row r="612" spans="3:29">
      <c r="C612" t="s">
        <v>3107</v>
      </c>
      <c r="D612" t="s">
        <v>3099</v>
      </c>
      <c r="E612" s="84">
        <v>659.99</v>
      </c>
      <c r="F612" s="84">
        <v>329.995</v>
      </c>
      <c r="G612" t="s">
        <v>3087</v>
      </c>
      <c r="H612" t="s">
        <v>3108</v>
      </c>
      <c r="I612" t="s">
        <v>445</v>
      </c>
      <c r="J612" t="s">
        <v>3109</v>
      </c>
      <c r="K612" t="s">
        <v>3090</v>
      </c>
      <c r="L612" t="s">
        <v>50</v>
      </c>
      <c r="M612">
        <v>220</v>
      </c>
      <c r="N612">
        <v>80</v>
      </c>
      <c r="O612">
        <v>3</v>
      </c>
      <c r="P612">
        <v>5.28E-2</v>
      </c>
      <c r="Q612" s="84" t="e">
        <v>#REF!</v>
      </c>
      <c r="R612" s="85">
        <v>757830.93145074602</v>
      </c>
      <c r="S612" s="85">
        <v>0</v>
      </c>
      <c r="T612" s="86">
        <v>757830.93145074602</v>
      </c>
      <c r="U612" s="84">
        <v>50.522062096716397</v>
      </c>
      <c r="V612" s="84">
        <v>461.99299999999999</v>
      </c>
      <c r="W612" s="84">
        <v>230.9965</v>
      </c>
      <c r="X612" s="82">
        <v>0.35</v>
      </c>
      <c r="Y612" s="82"/>
      <c r="Z612" s="84">
        <v>230.9965</v>
      </c>
      <c r="AA612" s="84">
        <v>461.99299999999999</v>
      </c>
      <c r="AB612" s="88">
        <v>4.5721906512405202</v>
      </c>
      <c r="AC612" t="s">
        <v>3110</v>
      </c>
    </row>
    <row r="613" spans="3:29">
      <c r="C613" t="s">
        <v>3111</v>
      </c>
      <c r="D613" t="s">
        <v>3112</v>
      </c>
      <c r="E613" s="84">
        <v>339.99</v>
      </c>
      <c r="F613" s="84">
        <v>169.995</v>
      </c>
      <c r="G613" t="s">
        <v>3087</v>
      </c>
      <c r="H613" t="s">
        <v>3113</v>
      </c>
      <c r="I613" t="s">
        <v>792</v>
      </c>
      <c r="J613" t="s">
        <v>3114</v>
      </c>
      <c r="K613" t="s">
        <v>3090</v>
      </c>
      <c r="L613" t="s">
        <v>50</v>
      </c>
      <c r="M613">
        <v>18</v>
      </c>
      <c r="N613">
        <v>8</v>
      </c>
      <c r="O613">
        <v>180</v>
      </c>
      <c r="P613">
        <v>2.5919999999999999E-2</v>
      </c>
      <c r="Q613" s="84" t="e">
        <v>#REF!</v>
      </c>
      <c r="R613" s="85">
        <v>299420.83907582099</v>
      </c>
      <c r="S613" s="85">
        <v>0</v>
      </c>
      <c r="T613" s="86">
        <v>299420.83907582099</v>
      </c>
      <c r="U613" s="84">
        <v>19.961389271721401</v>
      </c>
      <c r="V613" s="84">
        <v>237.99299999999999</v>
      </c>
      <c r="W613" s="84">
        <v>118.9965</v>
      </c>
      <c r="X613" s="82">
        <v>0.35</v>
      </c>
      <c r="Y613" s="82"/>
      <c r="Z613" s="84">
        <v>118.9965</v>
      </c>
      <c r="AA613" s="84">
        <v>237.99299999999999</v>
      </c>
      <c r="AB613" s="88">
        <v>5.9613335715354303</v>
      </c>
      <c r="AC613" t="s">
        <v>3115</v>
      </c>
    </row>
    <row r="614" spans="3:29">
      <c r="C614" t="s">
        <v>3116</v>
      </c>
      <c r="D614" t="s">
        <v>3112</v>
      </c>
      <c r="E614" s="84">
        <v>339.99</v>
      </c>
      <c r="F614" s="84">
        <v>169.995</v>
      </c>
      <c r="G614" t="s">
        <v>3087</v>
      </c>
      <c r="H614" t="s">
        <v>3117</v>
      </c>
      <c r="I614" t="s">
        <v>792</v>
      </c>
      <c r="J614" t="s">
        <v>3118</v>
      </c>
      <c r="K614" t="s">
        <v>3090</v>
      </c>
      <c r="L614" t="s">
        <v>50</v>
      </c>
      <c r="M614">
        <v>18</v>
      </c>
      <c r="N614">
        <v>8</v>
      </c>
      <c r="O614">
        <v>170</v>
      </c>
      <c r="P614">
        <v>2.4479999999999998E-2</v>
      </c>
      <c r="Q614" s="84" t="e">
        <v>#REF!</v>
      </c>
      <c r="R614" s="85"/>
      <c r="S614" s="85"/>
      <c r="T614" s="86">
        <v>0</v>
      </c>
      <c r="U614" s="84">
        <v>0</v>
      </c>
      <c r="V614" s="84">
        <v>237.99299999999999</v>
      </c>
      <c r="W614" s="84">
        <v>118.9965</v>
      </c>
      <c r="X614" s="82">
        <v>0.35</v>
      </c>
      <c r="Y614" s="82"/>
      <c r="Z614" s="84">
        <v>118.9965</v>
      </c>
      <c r="AA614" s="84">
        <v>237.99299999999999</v>
      </c>
      <c r="AB614" s="88" t="e">
        <v>#DIV/0!</v>
      </c>
      <c r="AC614" t="s">
        <v>3115</v>
      </c>
    </row>
    <row r="615" spans="3:29">
      <c r="C615" t="s">
        <v>3119</v>
      </c>
      <c r="D615" t="s">
        <v>3112</v>
      </c>
      <c r="E615" s="84">
        <v>339.99</v>
      </c>
      <c r="F615" s="84">
        <v>169.995</v>
      </c>
      <c r="G615" t="s">
        <v>3087</v>
      </c>
      <c r="H615" t="s">
        <v>3117</v>
      </c>
      <c r="I615" t="s">
        <v>792</v>
      </c>
      <c r="J615" t="s">
        <v>3120</v>
      </c>
      <c r="K615" t="s">
        <v>3090</v>
      </c>
      <c r="L615" t="s">
        <v>50</v>
      </c>
      <c r="M615">
        <v>18</v>
      </c>
      <c r="N615">
        <v>8</v>
      </c>
      <c r="O615">
        <v>170</v>
      </c>
      <c r="P615">
        <v>2.4479999999999998E-2</v>
      </c>
      <c r="Q615" s="84" t="e">
        <v>#REF!</v>
      </c>
      <c r="R615" s="85"/>
      <c r="S615" s="85"/>
      <c r="T615" s="86">
        <v>0</v>
      </c>
      <c r="U615" s="84">
        <v>0</v>
      </c>
      <c r="V615" s="84">
        <v>237.99299999999999</v>
      </c>
      <c r="W615" s="84">
        <v>118.9965</v>
      </c>
      <c r="X615" s="82">
        <v>0.35</v>
      </c>
      <c r="Y615" s="82"/>
      <c r="Z615" s="84">
        <v>118.9965</v>
      </c>
      <c r="AA615" s="84">
        <v>237.99299999999999</v>
      </c>
      <c r="AB615" s="88" t="e">
        <v>#DIV/0!</v>
      </c>
      <c r="AC615" t="s">
        <v>3121</v>
      </c>
    </row>
    <row r="616" spans="3:29">
      <c r="C616" t="s">
        <v>3122</v>
      </c>
      <c r="E616" s="84"/>
      <c r="F616" s="82"/>
      <c r="R616" s="85"/>
      <c r="S616" s="85"/>
      <c r="T616" s="86"/>
      <c r="V616" s="84">
        <v>0</v>
      </c>
      <c r="W616" s="84">
        <v>0</v>
      </c>
      <c r="X616" s="82" t="e">
        <v>#DIV/0!</v>
      </c>
      <c r="Y616" s="82"/>
      <c r="Z616" s="82"/>
      <c r="AA616" s="82"/>
      <c r="AB616" s="88" t="e">
        <v>#DIV/0!</v>
      </c>
    </row>
    <row r="617" spans="3:29">
      <c r="C617" t="s">
        <v>3123</v>
      </c>
      <c r="D617" t="s">
        <v>3124</v>
      </c>
      <c r="E617" s="84">
        <v>1479.99</v>
      </c>
      <c r="F617" s="84">
        <v>739.995</v>
      </c>
      <c r="G617" t="s">
        <v>3125</v>
      </c>
      <c r="H617" t="s">
        <v>3126</v>
      </c>
      <c r="I617" t="s">
        <v>3127</v>
      </c>
      <c r="J617" t="s">
        <v>3128</v>
      </c>
      <c r="K617" t="s">
        <v>1046</v>
      </c>
      <c r="L617" t="s">
        <v>670</v>
      </c>
      <c r="M617">
        <v>150</v>
      </c>
      <c r="N617">
        <v>200</v>
      </c>
      <c r="O617">
        <v>8</v>
      </c>
      <c r="P617">
        <v>0.24</v>
      </c>
      <c r="Q617" s="84" t="e">
        <v>#REF!</v>
      </c>
      <c r="R617" s="85"/>
      <c r="S617" s="85"/>
      <c r="T617" s="86">
        <v>0</v>
      </c>
      <c r="U617" s="84">
        <v>0</v>
      </c>
      <c r="V617" s="84">
        <v>1035.9929999999999</v>
      </c>
      <c r="W617" s="84">
        <v>517.99649999999997</v>
      </c>
      <c r="X617" s="82">
        <v>0.35</v>
      </c>
      <c r="Y617" s="82"/>
      <c r="Z617" s="84">
        <v>517.99649999999997</v>
      </c>
      <c r="AA617" s="84">
        <v>1035.9929999999999</v>
      </c>
      <c r="AB617" s="88" t="e">
        <v>#DIV/0!</v>
      </c>
      <c r="AC617" t="s">
        <v>3129</v>
      </c>
    </row>
    <row r="618" spans="3:29">
      <c r="C618" t="s">
        <v>3130</v>
      </c>
      <c r="D618" t="s">
        <v>3124</v>
      </c>
      <c r="E618" s="84">
        <v>1019.99</v>
      </c>
      <c r="F618" s="84">
        <v>509.995</v>
      </c>
      <c r="G618" t="s">
        <v>3125</v>
      </c>
      <c r="H618" t="s">
        <v>3131</v>
      </c>
      <c r="I618" t="s">
        <v>120</v>
      </c>
      <c r="J618" t="s">
        <v>3132</v>
      </c>
      <c r="K618" t="s">
        <v>1046</v>
      </c>
      <c r="L618" t="s">
        <v>670</v>
      </c>
      <c r="M618">
        <v>80</v>
      </c>
      <c r="N618">
        <v>180</v>
      </c>
      <c r="O618">
        <v>8</v>
      </c>
      <c r="P618">
        <v>0.1152</v>
      </c>
      <c r="Q618" s="84" t="e">
        <v>#REF!</v>
      </c>
      <c r="R618" s="85">
        <v>1083166.6759522399</v>
      </c>
      <c r="S618" s="85">
        <v>0</v>
      </c>
      <c r="T618" s="86">
        <v>1083166.6759522399</v>
      </c>
      <c r="U618" s="84">
        <v>72.211111730149298</v>
      </c>
      <c r="V618" s="84">
        <v>713.99300000000005</v>
      </c>
      <c r="W618" s="84">
        <v>356.99650000000003</v>
      </c>
      <c r="X618" s="82">
        <v>0.35</v>
      </c>
      <c r="Y618" s="82"/>
      <c r="Z618" s="84">
        <v>356.99650000000003</v>
      </c>
      <c r="AA618" s="84">
        <v>713.99300000000005</v>
      </c>
      <c r="AB618" s="88">
        <v>4.9437890020871702</v>
      </c>
      <c r="AC618" t="s">
        <v>3133</v>
      </c>
    </row>
    <row r="619" spans="3:29">
      <c r="C619" t="s">
        <v>3134</v>
      </c>
      <c r="D619" t="s">
        <v>3124</v>
      </c>
      <c r="E619" s="84">
        <v>1129.99</v>
      </c>
      <c r="F619" s="84">
        <v>564.995</v>
      </c>
      <c r="G619" t="s">
        <v>3125</v>
      </c>
      <c r="H619" t="s">
        <v>3135</v>
      </c>
      <c r="I619" t="s">
        <v>120</v>
      </c>
      <c r="J619" t="s">
        <v>3136</v>
      </c>
      <c r="K619" t="s">
        <v>1046</v>
      </c>
      <c r="L619" t="s">
        <v>50</v>
      </c>
      <c r="M619">
        <v>80</v>
      </c>
      <c r="N619">
        <v>180</v>
      </c>
      <c r="O619">
        <v>8</v>
      </c>
      <c r="P619">
        <v>0.1152</v>
      </c>
      <c r="Q619" s="84" t="e">
        <v>#REF!</v>
      </c>
      <c r="R619" s="85"/>
      <c r="S619" s="85"/>
      <c r="T619" s="86">
        <v>0</v>
      </c>
      <c r="U619" s="84">
        <v>0</v>
      </c>
      <c r="V619" s="84">
        <v>790.99300000000005</v>
      </c>
      <c r="W619" s="84">
        <v>395.49650000000003</v>
      </c>
      <c r="X619" s="82">
        <v>0.35</v>
      </c>
      <c r="Y619" s="82"/>
      <c r="Z619" s="84">
        <v>395.49650000000003</v>
      </c>
      <c r="AA619" s="84">
        <v>790.99300000000005</v>
      </c>
      <c r="AB619" s="88" t="e">
        <v>#DIV/0!</v>
      </c>
      <c r="AC619" t="s">
        <v>3137</v>
      </c>
    </row>
    <row r="620" spans="3:29">
      <c r="C620" t="s">
        <v>3138</v>
      </c>
      <c r="D620" t="s">
        <v>3124</v>
      </c>
      <c r="E620" s="84">
        <v>1389.99</v>
      </c>
      <c r="F620" s="84">
        <v>694.995</v>
      </c>
      <c r="G620" t="s">
        <v>3125</v>
      </c>
      <c r="H620" t="s">
        <v>3135</v>
      </c>
      <c r="I620" t="s">
        <v>120</v>
      </c>
      <c r="J620" t="s">
        <v>3139</v>
      </c>
      <c r="K620" t="s">
        <v>1046</v>
      </c>
      <c r="L620" t="s">
        <v>50</v>
      </c>
      <c r="M620">
        <v>80</v>
      </c>
      <c r="N620">
        <v>180</v>
      </c>
      <c r="O620">
        <v>8</v>
      </c>
      <c r="P620">
        <v>0.1152</v>
      </c>
      <c r="Q620" s="84" t="e">
        <v>#REF!</v>
      </c>
      <c r="R620" s="85"/>
      <c r="S620" s="85"/>
      <c r="T620" s="86">
        <v>0</v>
      </c>
      <c r="U620" s="84">
        <v>0</v>
      </c>
      <c r="V620" s="84">
        <v>972.99300000000005</v>
      </c>
      <c r="W620" s="84">
        <v>486.49650000000003</v>
      </c>
      <c r="X620" s="82">
        <v>0.35</v>
      </c>
      <c r="Y620" s="82"/>
      <c r="Z620" s="84">
        <v>486.49650000000003</v>
      </c>
      <c r="AA620" s="84">
        <v>972.99300000000005</v>
      </c>
      <c r="AB620" s="88" t="e">
        <v>#DIV/0!</v>
      </c>
      <c r="AC620" t="s">
        <v>3140</v>
      </c>
    </row>
    <row r="621" spans="3:29">
      <c r="C621" t="s">
        <v>3141</v>
      </c>
      <c r="D621" t="s">
        <v>3124</v>
      </c>
      <c r="E621" s="84">
        <v>659.99</v>
      </c>
      <c r="F621" s="84">
        <v>329.995</v>
      </c>
      <c r="G621" t="s">
        <v>3125</v>
      </c>
      <c r="H621" t="s">
        <v>3142</v>
      </c>
      <c r="I621" t="s">
        <v>3143</v>
      </c>
      <c r="J621" t="s">
        <v>3144</v>
      </c>
      <c r="K621" t="s">
        <v>1046</v>
      </c>
      <c r="L621" t="s">
        <v>50</v>
      </c>
      <c r="M621">
        <v>80</v>
      </c>
      <c r="N621">
        <v>80</v>
      </c>
      <c r="O621">
        <v>8</v>
      </c>
      <c r="P621">
        <v>5.1200000000000002E-2</v>
      </c>
      <c r="Q621" s="84" t="e">
        <v>#REF!</v>
      </c>
      <c r="R621" s="85">
        <v>941082.30095223896</v>
      </c>
      <c r="S621" s="85">
        <v>0</v>
      </c>
      <c r="T621" s="86">
        <v>941082.30095223896</v>
      </c>
      <c r="U621" s="84">
        <v>62.738820063482599</v>
      </c>
      <c r="V621" s="84">
        <v>461.99299999999999</v>
      </c>
      <c r="W621" s="84">
        <v>230.9965</v>
      </c>
      <c r="X621" s="82">
        <v>0.35</v>
      </c>
      <c r="Y621" s="82"/>
      <c r="Z621" s="84">
        <v>230.9965</v>
      </c>
      <c r="AA621" s="84">
        <v>461.99299999999999</v>
      </c>
      <c r="AB621" s="88">
        <v>3.6818751096412901</v>
      </c>
      <c r="AC621" t="s">
        <v>3133</v>
      </c>
    </row>
    <row r="622" spans="3:29">
      <c r="C622" t="s">
        <v>3145</v>
      </c>
      <c r="D622" t="s">
        <v>3146</v>
      </c>
      <c r="E622" s="84">
        <v>1169.99</v>
      </c>
      <c r="F622" s="84">
        <v>584.995</v>
      </c>
      <c r="G622" t="s">
        <v>3125</v>
      </c>
      <c r="H622" t="s">
        <v>3147</v>
      </c>
      <c r="I622" t="s">
        <v>3146</v>
      </c>
      <c r="J622" t="s">
        <v>3148</v>
      </c>
      <c r="K622" t="s">
        <v>3149</v>
      </c>
      <c r="L622" t="s">
        <v>646</v>
      </c>
      <c r="M622">
        <v>80</v>
      </c>
      <c r="N622">
        <v>5</v>
      </c>
      <c r="O622">
        <v>80</v>
      </c>
      <c r="P622">
        <v>3.2000000000000001E-2</v>
      </c>
      <c r="Q622" s="84" t="e">
        <v>#REF!</v>
      </c>
      <c r="R622" s="85"/>
      <c r="S622" s="85"/>
      <c r="T622" s="86">
        <v>0</v>
      </c>
      <c r="U622" s="84">
        <v>0</v>
      </c>
      <c r="V622" s="84">
        <v>818.99300000000005</v>
      </c>
      <c r="W622" s="84">
        <v>409.49650000000003</v>
      </c>
      <c r="X622" s="82">
        <v>0.35</v>
      </c>
      <c r="Y622" s="82"/>
      <c r="Z622" s="84">
        <v>409.49650000000003</v>
      </c>
      <c r="AA622" s="84">
        <v>818.99300000000005</v>
      </c>
      <c r="AB622" s="88" t="e">
        <v>#DIV/0!</v>
      </c>
      <c r="AC622" t="s">
        <v>3150</v>
      </c>
    </row>
    <row r="623" spans="3:29">
      <c r="C623" t="s">
        <v>3152</v>
      </c>
      <c r="D623" t="s">
        <v>3153</v>
      </c>
      <c r="E623" s="84">
        <v>459.99</v>
      </c>
      <c r="F623" s="84">
        <v>229.995</v>
      </c>
      <c r="G623" t="s">
        <v>3125</v>
      </c>
      <c r="H623" t="s">
        <v>3154</v>
      </c>
      <c r="I623" t="s">
        <v>3155</v>
      </c>
      <c r="J623" t="s">
        <v>3148</v>
      </c>
      <c r="K623" t="s">
        <v>1125</v>
      </c>
      <c r="L623" t="s">
        <v>50</v>
      </c>
      <c r="M623">
        <v>80</v>
      </c>
      <c r="N623">
        <v>5</v>
      </c>
      <c r="O623">
        <v>80</v>
      </c>
      <c r="P623">
        <v>3.2000000000000001E-2</v>
      </c>
      <c r="Q623" s="84" t="e">
        <v>#REF!</v>
      </c>
      <c r="R623" s="85"/>
      <c r="S623" s="85"/>
      <c r="T623" s="86">
        <v>0</v>
      </c>
      <c r="U623" s="84">
        <v>0</v>
      </c>
      <c r="V623" s="84">
        <v>321.99299999999999</v>
      </c>
      <c r="W623" s="84">
        <v>160.9965</v>
      </c>
      <c r="X623" s="82">
        <v>0.35</v>
      </c>
      <c r="Y623" s="82"/>
      <c r="Z623" s="84">
        <v>160.9965</v>
      </c>
      <c r="AA623" s="84">
        <v>321.99299999999999</v>
      </c>
      <c r="AB623" s="88" t="e">
        <v>#DIV/0!</v>
      </c>
      <c r="AC623" t="s">
        <v>3156</v>
      </c>
    </row>
    <row r="624" spans="3:29">
      <c r="C624" t="s">
        <v>3157</v>
      </c>
      <c r="D624" t="s">
        <v>3158</v>
      </c>
      <c r="E624" s="84">
        <v>499.99</v>
      </c>
      <c r="F624" s="84">
        <v>249.995</v>
      </c>
      <c r="G624" t="s">
        <v>3125</v>
      </c>
      <c r="H624" t="s">
        <v>3154</v>
      </c>
      <c r="I624" t="s">
        <v>208</v>
      </c>
      <c r="J624" t="s">
        <v>3148</v>
      </c>
      <c r="K624" t="s">
        <v>3159</v>
      </c>
      <c r="L624" t="s">
        <v>853</v>
      </c>
      <c r="M624">
        <v>80</v>
      </c>
      <c r="N624">
        <v>5</v>
      </c>
      <c r="O624">
        <v>80</v>
      </c>
      <c r="P624">
        <v>3.2000000000000001E-2</v>
      </c>
      <c r="Q624" s="84" t="e">
        <v>#REF!</v>
      </c>
      <c r="R624" s="85"/>
      <c r="S624" s="85"/>
      <c r="T624" s="86">
        <v>0</v>
      </c>
      <c r="U624" s="84">
        <v>0</v>
      </c>
      <c r="V624" s="84">
        <v>349.99299999999999</v>
      </c>
      <c r="W624" s="84">
        <v>174.9965</v>
      </c>
      <c r="X624" s="82">
        <v>0.35</v>
      </c>
      <c r="Y624" s="82"/>
      <c r="Z624" s="84">
        <v>174.9965</v>
      </c>
      <c r="AA624" s="84">
        <v>349.99299999999999</v>
      </c>
      <c r="AB624" s="88" t="e">
        <v>#DIV/0!</v>
      </c>
      <c r="AC624" t="s">
        <v>3160</v>
      </c>
    </row>
    <row r="625" spans="3:29" ht="45.75">
      <c r="C625" t="s">
        <v>3161</v>
      </c>
      <c r="D625" t="s">
        <v>3158</v>
      </c>
      <c r="E625" s="84"/>
      <c r="F625" s="84">
        <v>0</v>
      </c>
      <c r="G625" t="s">
        <v>3125</v>
      </c>
      <c r="H625" t="s">
        <v>3162</v>
      </c>
      <c r="I625" t="s">
        <v>208</v>
      </c>
      <c r="J625" t="s">
        <v>3163</v>
      </c>
      <c r="K625" s="83" t="s">
        <v>3164</v>
      </c>
      <c r="L625" t="s">
        <v>853</v>
      </c>
      <c r="M625">
        <v>80</v>
      </c>
      <c r="N625">
        <v>10</v>
      </c>
      <c r="O625">
        <v>80</v>
      </c>
      <c r="P625">
        <v>6.4000000000000001E-2</v>
      </c>
      <c r="Q625" s="84" t="e">
        <v>#REF!</v>
      </c>
      <c r="R625" s="85"/>
      <c r="S625" s="85"/>
      <c r="T625" s="86">
        <v>0</v>
      </c>
      <c r="U625" s="84">
        <v>0</v>
      </c>
      <c r="V625" s="84">
        <v>0</v>
      </c>
      <c r="W625" s="84">
        <v>0</v>
      </c>
      <c r="X625" s="82" t="e">
        <v>#DIV/0!</v>
      </c>
      <c r="Y625" s="82"/>
      <c r="Z625" s="84">
        <v>0</v>
      </c>
      <c r="AA625" s="84">
        <v>0</v>
      </c>
      <c r="AB625" s="88" t="e">
        <v>#DIV/0!</v>
      </c>
      <c r="AC625" t="s">
        <v>3165</v>
      </c>
    </row>
    <row r="626" spans="3:29">
      <c r="C626" t="s">
        <v>3166</v>
      </c>
      <c r="D626" t="s">
        <v>3158</v>
      </c>
      <c r="E626" s="84">
        <v>829.99</v>
      </c>
      <c r="F626" s="84">
        <v>414.995</v>
      </c>
      <c r="G626" t="s">
        <v>3125</v>
      </c>
      <c r="H626" t="s">
        <v>3167</v>
      </c>
      <c r="I626" t="s">
        <v>208</v>
      </c>
      <c r="J626" t="s">
        <v>3168</v>
      </c>
      <c r="K626" t="s">
        <v>3159</v>
      </c>
      <c r="L626" t="s">
        <v>853</v>
      </c>
      <c r="M626">
        <v>180</v>
      </c>
      <c r="N626">
        <v>5</v>
      </c>
      <c r="O626">
        <v>80</v>
      </c>
      <c r="P626">
        <v>7.1999999999999995E-2</v>
      </c>
      <c r="Q626" s="84" t="e">
        <v>#REF!</v>
      </c>
      <c r="R626" s="85"/>
      <c r="S626" s="85"/>
      <c r="T626" s="86">
        <v>0</v>
      </c>
      <c r="U626" s="84">
        <v>0</v>
      </c>
      <c r="V626" s="84">
        <v>580.99300000000005</v>
      </c>
      <c r="W626" s="84">
        <v>290.49650000000003</v>
      </c>
      <c r="X626" s="82">
        <v>0.35</v>
      </c>
      <c r="Y626" s="82"/>
      <c r="Z626" s="84">
        <v>290.49650000000003</v>
      </c>
      <c r="AA626" s="84">
        <v>580.99300000000005</v>
      </c>
      <c r="AB626" s="88" t="e">
        <v>#DIV/0!</v>
      </c>
      <c r="AC626" t="s">
        <v>3169</v>
      </c>
    </row>
    <row r="627" spans="3:29">
      <c r="C627" t="s">
        <v>3170</v>
      </c>
      <c r="D627" t="s">
        <v>3158</v>
      </c>
      <c r="E627" s="84">
        <v>1269.99</v>
      </c>
      <c r="F627" s="84">
        <v>634.995</v>
      </c>
      <c r="G627" t="s">
        <v>3125</v>
      </c>
      <c r="H627" t="s">
        <v>3171</v>
      </c>
      <c r="I627" t="s">
        <v>208</v>
      </c>
      <c r="J627" t="s">
        <v>3172</v>
      </c>
      <c r="K627" t="s">
        <v>3159</v>
      </c>
      <c r="L627" t="s">
        <v>853</v>
      </c>
      <c r="M627">
        <v>180</v>
      </c>
      <c r="N627">
        <v>10</v>
      </c>
      <c r="O627">
        <v>80</v>
      </c>
      <c r="P627">
        <v>0.14399999999999999</v>
      </c>
      <c r="Q627" s="84" t="e">
        <v>#REF!</v>
      </c>
      <c r="R627" s="85"/>
      <c r="S627" s="85"/>
      <c r="T627" s="86">
        <v>0</v>
      </c>
      <c r="U627" s="84">
        <v>0</v>
      </c>
      <c r="V627" s="84">
        <v>888.99300000000005</v>
      </c>
      <c r="W627" s="84">
        <v>444.49650000000003</v>
      </c>
      <c r="X627" s="82">
        <v>0.35</v>
      </c>
      <c r="Y627" s="82"/>
      <c r="Z627" s="84">
        <v>444.49650000000003</v>
      </c>
      <c r="AA627" s="84">
        <v>888.99300000000005</v>
      </c>
      <c r="AB627" s="88" t="e">
        <v>#DIV/0!</v>
      </c>
      <c r="AC627" t="s">
        <v>3169</v>
      </c>
    </row>
    <row r="628" spans="3:29">
      <c r="C628" t="s">
        <v>3173</v>
      </c>
      <c r="D628" t="s">
        <v>3174</v>
      </c>
      <c r="E628" s="84">
        <v>249.99</v>
      </c>
      <c r="F628" s="84">
        <v>124.995</v>
      </c>
      <c r="G628" t="s">
        <v>3125</v>
      </c>
      <c r="H628" t="s">
        <v>3175</v>
      </c>
      <c r="I628" t="s">
        <v>519</v>
      </c>
      <c r="J628" t="s">
        <v>3176</v>
      </c>
      <c r="K628" t="s">
        <v>846</v>
      </c>
      <c r="L628" t="s">
        <v>50</v>
      </c>
      <c r="N628">
        <v>50</v>
      </c>
      <c r="O628">
        <v>4</v>
      </c>
      <c r="P628">
        <v>0.01</v>
      </c>
      <c r="Q628" s="84" t="e">
        <v>#REF!</v>
      </c>
      <c r="R628" s="85"/>
      <c r="S628" s="85"/>
      <c r="T628" s="86">
        <v>0</v>
      </c>
      <c r="U628" s="84">
        <v>0</v>
      </c>
      <c r="V628" s="84">
        <v>174.99299999999999</v>
      </c>
      <c r="W628" s="84">
        <v>87.496499999999997</v>
      </c>
      <c r="X628" s="82">
        <v>0.35</v>
      </c>
      <c r="Y628" s="82"/>
      <c r="Z628" s="84">
        <v>87.496499999999997</v>
      </c>
      <c r="AA628" s="84">
        <v>174.99299999999999</v>
      </c>
      <c r="AB628" s="88" t="e">
        <v>#DIV/0!</v>
      </c>
      <c r="AC628" t="s">
        <v>3177</v>
      </c>
    </row>
    <row r="629" spans="3:29">
      <c r="C629" t="s">
        <v>3178</v>
      </c>
      <c r="D629" t="s">
        <v>3174</v>
      </c>
      <c r="E629" s="84">
        <v>319.99</v>
      </c>
      <c r="F629" s="84">
        <v>159.995</v>
      </c>
      <c r="G629" t="s">
        <v>3125</v>
      </c>
      <c r="H629" t="s">
        <v>3179</v>
      </c>
      <c r="I629" t="s">
        <v>519</v>
      </c>
      <c r="J629" t="s">
        <v>3180</v>
      </c>
      <c r="K629" t="s">
        <v>846</v>
      </c>
      <c r="L629" t="s">
        <v>50</v>
      </c>
      <c r="N629">
        <v>70</v>
      </c>
      <c r="O629">
        <v>4</v>
      </c>
      <c r="P629">
        <v>1.9599999999999999E-2</v>
      </c>
      <c r="Q629" s="84" t="e">
        <v>#REF!</v>
      </c>
      <c r="R629" s="85"/>
      <c r="S629" s="85"/>
      <c r="T629" s="86">
        <v>0</v>
      </c>
      <c r="U629" s="84">
        <v>0</v>
      </c>
      <c r="V629" s="84">
        <v>223.99299999999999</v>
      </c>
      <c r="W629" s="84">
        <v>111.9965</v>
      </c>
      <c r="X629" s="82">
        <v>0.35</v>
      </c>
      <c r="Y629" s="82"/>
      <c r="Z629" s="84">
        <v>111.9965</v>
      </c>
      <c r="AA629" s="84">
        <v>223.99299999999999</v>
      </c>
      <c r="AB629" s="88" t="e">
        <v>#DIV/0!</v>
      </c>
      <c r="AC629" t="s">
        <v>3181</v>
      </c>
    </row>
    <row r="630" spans="3:29">
      <c r="C630" t="s">
        <v>3182</v>
      </c>
      <c r="D630" t="s">
        <v>3174</v>
      </c>
      <c r="E630" s="84">
        <v>489.99</v>
      </c>
      <c r="F630" s="84">
        <v>244.995</v>
      </c>
      <c r="G630" t="s">
        <v>3125</v>
      </c>
      <c r="H630" t="s">
        <v>3183</v>
      </c>
      <c r="I630" t="s">
        <v>519</v>
      </c>
      <c r="J630" t="s">
        <v>3184</v>
      </c>
      <c r="K630" t="s">
        <v>846</v>
      </c>
      <c r="L630" t="s">
        <v>50</v>
      </c>
      <c r="N630">
        <v>90</v>
      </c>
      <c r="O630">
        <v>4</v>
      </c>
      <c r="P630">
        <v>3.2399999999999998E-2</v>
      </c>
      <c r="Q630" s="84" t="e">
        <v>#REF!</v>
      </c>
      <c r="R630" s="85">
        <v>1050827.01682396</v>
      </c>
      <c r="S630" s="85">
        <v>0</v>
      </c>
      <c r="T630" s="86">
        <v>1050827.01682396</v>
      </c>
      <c r="U630" s="84">
        <v>70.055134454930297</v>
      </c>
      <c r="V630" s="84">
        <v>342.99299999999999</v>
      </c>
      <c r="W630" s="84">
        <v>171.4965</v>
      </c>
      <c r="X630" s="82">
        <v>0.35</v>
      </c>
      <c r="Y630" s="82"/>
      <c r="Z630" s="84">
        <v>171.4965</v>
      </c>
      <c r="AA630" s="84">
        <v>342.99299999999999</v>
      </c>
      <c r="AB630" s="88">
        <v>2.4480218521360699</v>
      </c>
      <c r="AC630" t="s">
        <v>3185</v>
      </c>
    </row>
    <row r="631" spans="3:29" ht="30.75">
      <c r="C631" t="s">
        <v>3186</v>
      </c>
      <c r="D631" t="s">
        <v>3174</v>
      </c>
      <c r="E631" s="84"/>
      <c r="F631" s="84">
        <v>0</v>
      </c>
      <c r="G631" t="s">
        <v>3125</v>
      </c>
      <c r="H631" t="s">
        <v>3187</v>
      </c>
      <c r="I631" t="s">
        <v>519</v>
      </c>
      <c r="J631" t="s">
        <v>3188</v>
      </c>
      <c r="K631" s="83" t="s">
        <v>3189</v>
      </c>
      <c r="L631" t="s">
        <v>50</v>
      </c>
      <c r="N631">
        <v>105</v>
      </c>
      <c r="O631">
        <v>4</v>
      </c>
      <c r="P631">
        <v>4.41E-2</v>
      </c>
      <c r="Q631" s="84" t="e">
        <v>#REF!</v>
      </c>
      <c r="R631" s="85"/>
      <c r="S631" s="85"/>
      <c r="T631" s="86">
        <v>0</v>
      </c>
      <c r="U631" s="84">
        <v>0</v>
      </c>
      <c r="V631" s="84">
        <v>0</v>
      </c>
      <c r="W631" s="84">
        <v>0</v>
      </c>
      <c r="X631" s="82" t="e">
        <v>#DIV/0!</v>
      </c>
      <c r="Y631" s="82"/>
      <c r="Z631" s="84">
        <v>0</v>
      </c>
      <c r="AA631" s="84">
        <v>0</v>
      </c>
      <c r="AB631" s="88" t="e">
        <v>#DIV/0!</v>
      </c>
      <c r="AC631" t="s">
        <v>3177</v>
      </c>
    </row>
    <row r="632" spans="3:29">
      <c r="C632" t="s">
        <v>3190</v>
      </c>
      <c r="D632" t="s">
        <v>3191</v>
      </c>
      <c r="E632" s="84">
        <v>1998.99</v>
      </c>
      <c r="F632" s="84">
        <v>999.495</v>
      </c>
      <c r="G632" t="s">
        <v>3125</v>
      </c>
      <c r="H632" t="s">
        <v>3192</v>
      </c>
      <c r="I632" t="s">
        <v>3193</v>
      </c>
      <c r="J632" t="s">
        <v>3194</v>
      </c>
      <c r="K632" t="s">
        <v>3195</v>
      </c>
      <c r="L632" t="s">
        <v>646</v>
      </c>
      <c r="M632">
        <v>85</v>
      </c>
      <c r="N632">
        <v>5</v>
      </c>
      <c r="O632">
        <v>78</v>
      </c>
      <c r="P632">
        <v>3.3149999999999999E-2</v>
      </c>
      <c r="Q632" s="84" t="e">
        <v>#REF!</v>
      </c>
      <c r="R632" s="85"/>
      <c r="S632" s="85"/>
      <c r="T632" s="86">
        <v>0</v>
      </c>
      <c r="U632" s="84">
        <v>0</v>
      </c>
      <c r="V632" s="84">
        <v>1399.2929999999999</v>
      </c>
      <c r="W632" s="84">
        <v>699.64649999999995</v>
      </c>
      <c r="X632" s="82">
        <v>0.35</v>
      </c>
      <c r="Y632" s="82"/>
      <c r="Z632" s="84">
        <v>699.64649999999995</v>
      </c>
      <c r="AA632" s="84">
        <v>1399.2929999999999</v>
      </c>
      <c r="AB632" s="88" t="e">
        <v>#DIV/0!</v>
      </c>
      <c r="AC632" t="s">
        <v>3196</v>
      </c>
    </row>
    <row r="633" spans="3:29">
      <c r="C633" t="s">
        <v>3198</v>
      </c>
      <c r="E633" s="84"/>
      <c r="F633" s="82"/>
      <c r="R633" s="85"/>
      <c r="S633" s="85"/>
      <c r="T633" s="86"/>
      <c r="V633" s="84">
        <v>0</v>
      </c>
      <c r="W633" s="84">
        <v>0</v>
      </c>
      <c r="X633" s="82" t="e">
        <v>#DIV/0!</v>
      </c>
      <c r="Y633" s="82"/>
      <c r="Z633" s="82"/>
      <c r="AA633" s="82"/>
      <c r="AB633" s="88" t="e">
        <v>#DIV/0!</v>
      </c>
    </row>
    <row r="634" spans="3:29">
      <c r="C634" t="s">
        <v>3199</v>
      </c>
      <c r="D634" t="s">
        <v>3200</v>
      </c>
      <c r="E634" s="84">
        <v>459.99</v>
      </c>
      <c r="F634" s="84">
        <v>229.995</v>
      </c>
      <c r="G634" t="s">
        <v>3201</v>
      </c>
      <c r="H634" t="s">
        <v>3202</v>
      </c>
      <c r="I634" t="s">
        <v>3200</v>
      </c>
      <c r="J634" t="s">
        <v>3203</v>
      </c>
      <c r="K634" t="s">
        <v>2848</v>
      </c>
      <c r="L634" t="s">
        <v>670</v>
      </c>
      <c r="M634">
        <v>60</v>
      </c>
      <c r="N634">
        <v>20</v>
      </c>
      <c r="O634">
        <v>180</v>
      </c>
      <c r="P634">
        <v>0.216</v>
      </c>
      <c r="Q634" s="84" t="e">
        <v>#REF!</v>
      </c>
      <c r="R634" s="85">
        <v>147848.49229851001</v>
      </c>
      <c r="S634" s="85">
        <v>1000000</v>
      </c>
      <c r="T634" s="86">
        <v>1147848.4922985099</v>
      </c>
      <c r="U634" s="84">
        <v>76.523232819900699</v>
      </c>
      <c r="V634" s="84">
        <v>321.99299999999999</v>
      </c>
      <c r="W634" s="84">
        <v>160.9965</v>
      </c>
      <c r="X634" s="82">
        <v>0.35</v>
      </c>
      <c r="Y634" s="82"/>
      <c r="Z634" s="84">
        <v>160.9965</v>
      </c>
      <c r="AA634" s="84">
        <v>321.99299999999999</v>
      </c>
      <c r="AB634" s="88">
        <v>2.1038904665581701</v>
      </c>
      <c r="AC634" t="s">
        <v>3204</v>
      </c>
    </row>
    <row r="635" spans="3:29">
      <c r="C635" t="s">
        <v>3206</v>
      </c>
      <c r="D635" t="s">
        <v>3207</v>
      </c>
      <c r="E635" s="84">
        <v>649.99</v>
      </c>
      <c r="F635" s="84">
        <v>324.995</v>
      </c>
      <c r="G635" t="s">
        <v>3201</v>
      </c>
      <c r="H635" t="s">
        <v>3208</v>
      </c>
      <c r="I635" t="s">
        <v>3207</v>
      </c>
      <c r="J635" t="s">
        <v>3209</v>
      </c>
      <c r="K635" t="s">
        <v>2848</v>
      </c>
      <c r="L635" t="s">
        <v>670</v>
      </c>
      <c r="M635">
        <v>100</v>
      </c>
      <c r="N635">
        <v>20</v>
      </c>
      <c r="O635">
        <v>220</v>
      </c>
      <c r="P635">
        <v>0.44</v>
      </c>
      <c r="Q635" s="84" t="e">
        <v>#REF!</v>
      </c>
      <c r="R635" s="85">
        <v>216429.04820968001</v>
      </c>
      <c r="S635" s="85">
        <v>1320000</v>
      </c>
      <c r="T635" s="86">
        <v>1536429.04820968</v>
      </c>
      <c r="U635" s="84">
        <v>102.428603213979</v>
      </c>
      <c r="V635" s="84">
        <v>454.99299999999999</v>
      </c>
      <c r="W635" s="84">
        <v>227.4965</v>
      </c>
      <c r="X635" s="82">
        <v>0.35</v>
      </c>
      <c r="Y635" s="82"/>
      <c r="Z635" s="84">
        <v>227.4965</v>
      </c>
      <c r="AA635" s="84">
        <v>454.99299999999999</v>
      </c>
      <c r="AB635" s="88">
        <v>2.2210251127289902</v>
      </c>
      <c r="AC635" t="s">
        <v>3210</v>
      </c>
    </row>
    <row r="636" spans="3:29">
      <c r="C636" t="s">
        <v>3211</v>
      </c>
      <c r="D636" t="s">
        <v>3212</v>
      </c>
      <c r="E636" s="84">
        <v>574.99</v>
      </c>
      <c r="F636" s="84">
        <v>287.495</v>
      </c>
      <c r="G636" t="s">
        <v>3201</v>
      </c>
      <c r="H636" t="s">
        <v>3213</v>
      </c>
      <c r="I636" t="s">
        <v>3212</v>
      </c>
      <c r="J636" t="s">
        <v>3214</v>
      </c>
      <c r="K636" t="s">
        <v>2950</v>
      </c>
      <c r="L636" t="s">
        <v>646</v>
      </c>
      <c r="M636">
        <v>78</v>
      </c>
      <c r="N636">
        <v>38</v>
      </c>
      <c r="O636">
        <v>200</v>
      </c>
      <c r="P636">
        <v>0.59279999999999999</v>
      </c>
      <c r="Q636" s="84" t="e">
        <v>#REF!</v>
      </c>
      <c r="R636" s="85">
        <v>229545.40688646</v>
      </c>
      <c r="S636" s="85">
        <v>1000000</v>
      </c>
      <c r="T636" s="86">
        <v>1229545.40688646</v>
      </c>
      <c r="U636" s="84">
        <v>81.969693792430704</v>
      </c>
      <c r="V636" s="84">
        <v>402.49299999999999</v>
      </c>
      <c r="W636" s="84">
        <v>201.2465</v>
      </c>
      <c r="X636" s="82">
        <v>0.35</v>
      </c>
      <c r="Y636" s="82"/>
      <c r="Z636" s="84">
        <v>201.2465</v>
      </c>
      <c r="AA636" s="84">
        <v>402.49299999999999</v>
      </c>
      <c r="AB636" s="88">
        <v>2.4551329971978499</v>
      </c>
      <c r="AC636" t="s">
        <v>3215</v>
      </c>
    </row>
    <row r="637" spans="3:29">
      <c r="C637" t="s">
        <v>3216</v>
      </c>
      <c r="D637" t="s">
        <v>3217</v>
      </c>
      <c r="E637" s="84">
        <v>679.99</v>
      </c>
      <c r="F637" s="84">
        <v>339.995</v>
      </c>
      <c r="G637" t="s">
        <v>3201</v>
      </c>
      <c r="H637" t="s">
        <v>3218</v>
      </c>
      <c r="I637" t="s">
        <v>700</v>
      </c>
      <c r="J637" t="s">
        <v>3203</v>
      </c>
      <c r="K637" t="s">
        <v>2833</v>
      </c>
      <c r="L637" t="s">
        <v>2193</v>
      </c>
      <c r="M637">
        <v>60</v>
      </c>
      <c r="N637">
        <v>20</v>
      </c>
      <c r="O637">
        <v>180</v>
      </c>
      <c r="P637">
        <v>0.216</v>
      </c>
      <c r="Q637" s="84" t="e">
        <v>#REF!</v>
      </c>
      <c r="R637" s="85"/>
      <c r="S637" s="85"/>
      <c r="T637" s="86">
        <v>0</v>
      </c>
      <c r="U637" s="84">
        <v>0</v>
      </c>
      <c r="V637" s="84">
        <v>475.99299999999999</v>
      </c>
      <c r="W637" s="84">
        <v>237.9965</v>
      </c>
      <c r="X637" s="82">
        <v>0.35</v>
      </c>
      <c r="Y637" s="82"/>
      <c r="Z637" s="84">
        <v>237.9965</v>
      </c>
      <c r="AA637" s="84">
        <v>475.99299999999999</v>
      </c>
      <c r="AB637" s="88" t="e">
        <v>#DIV/0!</v>
      </c>
      <c r="AC637" t="s">
        <v>3219</v>
      </c>
    </row>
    <row r="638" spans="3:29">
      <c r="C638" t="s">
        <v>3220</v>
      </c>
      <c r="D638" t="s">
        <v>3217</v>
      </c>
      <c r="E638" s="84">
        <v>1179.99</v>
      </c>
      <c r="F638" s="84">
        <v>589.995</v>
      </c>
      <c r="G638" t="s">
        <v>3201</v>
      </c>
      <c r="H638" t="s">
        <v>3221</v>
      </c>
      <c r="I638" t="s">
        <v>700</v>
      </c>
      <c r="J638" t="s">
        <v>3222</v>
      </c>
      <c r="K638" t="s">
        <v>2833</v>
      </c>
      <c r="L638" t="s">
        <v>2193</v>
      </c>
      <c r="M638">
        <v>100</v>
      </c>
      <c r="N638">
        <v>23</v>
      </c>
      <c r="O638">
        <v>230</v>
      </c>
      <c r="P638">
        <v>0.52900000000000003</v>
      </c>
      <c r="Q638" s="84" t="e">
        <v>#REF!</v>
      </c>
      <c r="R638" s="85"/>
      <c r="S638" s="85"/>
      <c r="T638" s="86">
        <v>0</v>
      </c>
      <c r="U638" s="84">
        <v>0</v>
      </c>
      <c r="V638" s="84">
        <v>825.99300000000005</v>
      </c>
      <c r="W638" s="84">
        <v>412.99650000000003</v>
      </c>
      <c r="X638" s="82">
        <v>0.35</v>
      </c>
      <c r="Y638" s="82"/>
      <c r="Z638" s="84">
        <v>412.99650000000003</v>
      </c>
      <c r="AA638" s="84">
        <v>825.99300000000005</v>
      </c>
      <c r="AB638" s="88" t="e">
        <v>#DIV/0!</v>
      </c>
      <c r="AC638" t="s">
        <v>3219</v>
      </c>
    </row>
    <row r="639" spans="3:29">
      <c r="C639" t="s">
        <v>3223</v>
      </c>
      <c r="D639" t="s">
        <v>3224</v>
      </c>
      <c r="E639" s="84">
        <v>214.99</v>
      </c>
      <c r="F639" s="84">
        <v>107.495</v>
      </c>
      <c r="G639" t="s">
        <v>3201</v>
      </c>
      <c r="H639" t="s">
        <v>3225</v>
      </c>
      <c r="I639" t="s">
        <v>261</v>
      </c>
      <c r="J639" t="s">
        <v>3226</v>
      </c>
      <c r="K639" t="s">
        <v>3227</v>
      </c>
      <c r="L639" t="s">
        <v>646</v>
      </c>
      <c r="M639">
        <v>120</v>
      </c>
      <c r="N639">
        <v>4</v>
      </c>
      <c r="O639">
        <v>100</v>
      </c>
      <c r="P639">
        <v>4.8000000000000001E-2</v>
      </c>
      <c r="Q639" s="84" t="e">
        <v>#REF!</v>
      </c>
      <c r="R639" s="85"/>
      <c r="S639" s="85"/>
      <c r="T639" s="86">
        <v>0</v>
      </c>
      <c r="U639" s="84">
        <v>0</v>
      </c>
      <c r="V639" s="84">
        <v>150.49299999999999</v>
      </c>
      <c r="W639" s="84">
        <v>75.246499999999997</v>
      </c>
      <c r="X639" s="82">
        <v>0.35</v>
      </c>
      <c r="Y639" s="82"/>
      <c r="Z639" s="84">
        <v>75.246499999999997</v>
      </c>
      <c r="AA639" s="84">
        <v>150.49299999999999</v>
      </c>
      <c r="AB639" s="88" t="e">
        <v>#DIV/0!</v>
      </c>
      <c r="AC639" t="s">
        <v>3228</v>
      </c>
    </row>
    <row r="640" spans="3:29">
      <c r="C640" t="s">
        <v>3229</v>
      </c>
      <c r="D640" t="s">
        <v>3224</v>
      </c>
      <c r="E640" s="84">
        <v>364.99</v>
      </c>
      <c r="F640" s="84">
        <v>182.495</v>
      </c>
      <c r="G640" t="s">
        <v>3201</v>
      </c>
      <c r="H640" t="s">
        <v>3230</v>
      </c>
      <c r="I640" t="s">
        <v>261</v>
      </c>
      <c r="J640" t="s">
        <v>3231</v>
      </c>
      <c r="K640" t="s">
        <v>3227</v>
      </c>
      <c r="L640" t="s">
        <v>646</v>
      </c>
      <c r="M640">
        <v>220</v>
      </c>
      <c r="N640">
        <v>1</v>
      </c>
      <c r="O640">
        <v>150</v>
      </c>
      <c r="P640">
        <v>3.3000000000000002E-2</v>
      </c>
      <c r="Q640" s="84" t="e">
        <v>#REF!</v>
      </c>
      <c r="R640" s="85"/>
      <c r="S640" s="85"/>
      <c r="T640" s="86">
        <v>0</v>
      </c>
      <c r="U640" s="84">
        <v>0</v>
      </c>
      <c r="V640" s="84">
        <v>255.49299999999999</v>
      </c>
      <c r="W640" s="84">
        <v>127.7465</v>
      </c>
      <c r="X640" s="82">
        <v>0.35</v>
      </c>
      <c r="Y640" s="82"/>
      <c r="Z640" s="84">
        <v>127.7465</v>
      </c>
      <c r="AA640" s="84">
        <v>255.49299999999999</v>
      </c>
      <c r="AB640" s="88" t="e">
        <v>#DIV/0!</v>
      </c>
      <c r="AC640" t="s">
        <v>3232</v>
      </c>
    </row>
    <row r="641" spans="3:29">
      <c r="C641" t="s">
        <v>3233</v>
      </c>
      <c r="D641" t="s">
        <v>3234</v>
      </c>
      <c r="E641" s="84">
        <v>254.99</v>
      </c>
      <c r="F641" s="84">
        <v>127.495</v>
      </c>
      <c r="G641" t="s">
        <v>3201</v>
      </c>
      <c r="H641" t="s">
        <v>3225</v>
      </c>
      <c r="I641" t="s">
        <v>264</v>
      </c>
      <c r="J641" t="s">
        <v>3226</v>
      </c>
      <c r="K641" t="s">
        <v>3227</v>
      </c>
      <c r="L641" t="s">
        <v>646</v>
      </c>
      <c r="M641">
        <v>120</v>
      </c>
      <c r="N641">
        <v>4</v>
      </c>
      <c r="O641">
        <v>100</v>
      </c>
      <c r="P641">
        <v>4.8000000000000001E-2</v>
      </c>
      <c r="Q641" s="84" t="e">
        <v>#REF!</v>
      </c>
      <c r="R641" s="85"/>
      <c r="S641" s="85"/>
      <c r="T641" s="86">
        <v>0</v>
      </c>
      <c r="U641" s="84">
        <v>0</v>
      </c>
      <c r="V641" s="84">
        <v>178.49299999999999</v>
      </c>
      <c r="W641" s="84">
        <v>89.246499999999997</v>
      </c>
      <c r="X641" s="82">
        <v>0.35</v>
      </c>
      <c r="Y641" s="82"/>
      <c r="Z641" s="84">
        <v>89.246499999999997</v>
      </c>
      <c r="AA641" s="84">
        <v>178.49299999999999</v>
      </c>
      <c r="AB641" s="88" t="e">
        <v>#DIV/0!</v>
      </c>
      <c r="AC641" t="s">
        <v>3235</v>
      </c>
    </row>
    <row r="642" spans="3:29">
      <c r="C642" t="s">
        <v>3236</v>
      </c>
      <c r="D642" t="s">
        <v>3234</v>
      </c>
      <c r="E642" s="84">
        <v>414.99</v>
      </c>
      <c r="F642" s="84">
        <v>207.495</v>
      </c>
      <c r="G642" t="s">
        <v>3201</v>
      </c>
      <c r="H642" t="s">
        <v>3230</v>
      </c>
      <c r="I642" t="s">
        <v>264</v>
      </c>
      <c r="J642" t="s">
        <v>3231</v>
      </c>
      <c r="K642" t="s">
        <v>3227</v>
      </c>
      <c r="L642" t="s">
        <v>646</v>
      </c>
      <c r="M642">
        <v>220</v>
      </c>
      <c r="N642">
        <v>1</v>
      </c>
      <c r="O642">
        <v>150</v>
      </c>
      <c r="P642">
        <v>3.3000000000000002E-2</v>
      </c>
      <c r="Q642" s="84" t="e">
        <v>#REF!</v>
      </c>
      <c r="R642" s="85"/>
      <c r="S642" s="85"/>
      <c r="T642" s="86">
        <v>0</v>
      </c>
      <c r="U642" s="84">
        <v>0</v>
      </c>
      <c r="V642" s="84">
        <v>290.49299999999999</v>
      </c>
      <c r="W642" s="84">
        <v>145.2465</v>
      </c>
      <c r="X642" s="82">
        <v>0.35</v>
      </c>
      <c r="Y642" s="82"/>
      <c r="Z642" s="84">
        <v>145.2465</v>
      </c>
      <c r="AA642" s="84">
        <v>290.49299999999999</v>
      </c>
      <c r="AB642" s="88" t="e">
        <v>#DIV/0!</v>
      </c>
      <c r="AC642" t="s">
        <v>3237</v>
      </c>
    </row>
    <row r="643" spans="3:29">
      <c r="C643" t="s">
        <v>3238</v>
      </c>
      <c r="E643" s="84"/>
      <c r="F643" s="82"/>
      <c r="R643" s="85"/>
      <c r="S643" s="85"/>
      <c r="T643" s="86"/>
      <c r="V643" s="84">
        <v>0</v>
      </c>
      <c r="W643" s="84">
        <v>0</v>
      </c>
      <c r="X643" s="82" t="e">
        <v>#DIV/0!</v>
      </c>
      <c r="Y643" s="82">
        <v>0</v>
      </c>
      <c r="Z643" s="82"/>
      <c r="AA643" s="82"/>
      <c r="AB643" s="88" t="e">
        <v>#DIV/0!</v>
      </c>
    </row>
    <row r="644" spans="3:29">
      <c r="C644">
        <v>30249</v>
      </c>
      <c r="D644" t="s">
        <v>3239</v>
      </c>
      <c r="E644" s="84">
        <v>15.99</v>
      </c>
      <c r="F644" s="84">
        <v>7.9950000000000001</v>
      </c>
      <c r="G644" t="s">
        <v>3240</v>
      </c>
      <c r="H644" t="s">
        <v>3241</v>
      </c>
      <c r="I644" t="s">
        <v>3242</v>
      </c>
      <c r="J644" t="s">
        <v>3243</v>
      </c>
      <c r="K644" t="s">
        <v>3244</v>
      </c>
      <c r="L644" t="s">
        <v>670</v>
      </c>
      <c r="M644">
        <v>28</v>
      </c>
      <c r="N644">
        <v>28</v>
      </c>
      <c r="O644">
        <v>33</v>
      </c>
      <c r="P644">
        <v>2.5871999999999999E-2</v>
      </c>
      <c r="Q644" s="84" t="e">
        <v>#REF!</v>
      </c>
      <c r="R644" s="85">
        <v>6245.7514108660098</v>
      </c>
      <c r="S644" s="85">
        <v>170000</v>
      </c>
      <c r="T644" s="86">
        <v>176245.75141086601</v>
      </c>
      <c r="U644" s="84">
        <v>11.7497167607244</v>
      </c>
      <c r="V644" s="84">
        <v>11.193</v>
      </c>
      <c r="W644" s="84">
        <v>5.5964999999999998</v>
      </c>
      <c r="X644" s="82">
        <v>0.35</v>
      </c>
      <c r="Y644" s="87">
        <v>23.4994335214488</v>
      </c>
      <c r="Z644" s="84">
        <v>23.4994335214488</v>
      </c>
      <c r="AA644" s="84">
        <v>46.998867042897601</v>
      </c>
      <c r="AB644" s="88">
        <v>2</v>
      </c>
      <c r="AC644" t="s">
        <v>3245</v>
      </c>
    </row>
    <row r="645" spans="3:29">
      <c r="C645" t="s">
        <v>3247</v>
      </c>
      <c r="D645" t="s">
        <v>3248</v>
      </c>
      <c r="E645" s="84">
        <v>117.99</v>
      </c>
      <c r="F645" s="84">
        <v>58.994999999999997</v>
      </c>
      <c r="G645" t="s">
        <v>3240</v>
      </c>
      <c r="H645" t="s">
        <v>3249</v>
      </c>
      <c r="I645" t="s">
        <v>3250</v>
      </c>
      <c r="J645" t="s">
        <v>3251</v>
      </c>
      <c r="K645" t="s">
        <v>3244</v>
      </c>
      <c r="L645" t="s">
        <v>670</v>
      </c>
      <c r="M645">
        <v>40</v>
      </c>
      <c r="N645">
        <v>30</v>
      </c>
      <c r="O645">
        <v>29</v>
      </c>
      <c r="P645">
        <v>3.4799999999999998E-2</v>
      </c>
      <c r="Q645" s="84" t="e">
        <v>#REF!</v>
      </c>
      <c r="R645" s="85"/>
      <c r="S645" s="85"/>
      <c r="T645" s="86">
        <v>0</v>
      </c>
      <c r="U645" s="84">
        <v>0</v>
      </c>
      <c r="V645" s="84">
        <v>82.593000000000004</v>
      </c>
      <c r="W645" s="84">
        <v>41.296500000000002</v>
      </c>
      <c r="X645" s="82">
        <v>0.35</v>
      </c>
      <c r="Y645" s="82"/>
      <c r="Z645" s="84">
        <v>41.296500000000002</v>
      </c>
      <c r="AA645" s="84">
        <v>82.593000000000004</v>
      </c>
      <c r="AB645" s="88" t="e">
        <v>#DIV/0!</v>
      </c>
      <c r="AC645" t="s">
        <v>3252</v>
      </c>
    </row>
    <row r="646" spans="3:29">
      <c r="C646" t="s">
        <v>3253</v>
      </c>
      <c r="D646" t="s">
        <v>3254</v>
      </c>
      <c r="E646" s="84">
        <v>97.99</v>
      </c>
      <c r="F646" s="84">
        <v>48.994999999999997</v>
      </c>
      <c r="G646" t="s">
        <v>3240</v>
      </c>
      <c r="H646" t="s">
        <v>3249</v>
      </c>
      <c r="I646" t="s">
        <v>3255</v>
      </c>
      <c r="J646" t="s">
        <v>3256</v>
      </c>
      <c r="K646" t="s">
        <v>3244</v>
      </c>
      <c r="L646" t="s">
        <v>670</v>
      </c>
      <c r="M646">
        <v>30</v>
      </c>
      <c r="N646">
        <v>30</v>
      </c>
      <c r="O646">
        <v>20</v>
      </c>
      <c r="P646">
        <v>1.7999999999999999E-2</v>
      </c>
      <c r="Q646" s="84" t="e">
        <v>#REF!</v>
      </c>
      <c r="R646" s="85"/>
      <c r="S646" s="85"/>
      <c r="T646" s="86">
        <v>0</v>
      </c>
      <c r="U646" s="84">
        <v>0</v>
      </c>
      <c r="V646" s="84">
        <v>68.593000000000004</v>
      </c>
      <c r="W646" s="84">
        <v>34.296500000000002</v>
      </c>
      <c r="X646" s="82">
        <v>0.35</v>
      </c>
      <c r="Y646" s="82"/>
      <c r="Z646" s="84">
        <v>34.296500000000002</v>
      </c>
      <c r="AA646" s="84">
        <v>68.593000000000004</v>
      </c>
      <c r="AB646" s="88" t="e">
        <v>#DIV/0!</v>
      </c>
      <c r="AC646" t="s">
        <v>3257</v>
      </c>
    </row>
    <row r="647" spans="3:29">
      <c r="C647">
        <v>999051</v>
      </c>
      <c r="D647" t="s">
        <v>3258</v>
      </c>
      <c r="E647" s="84">
        <v>172.99</v>
      </c>
      <c r="F647" s="84">
        <v>86.495000000000005</v>
      </c>
      <c r="G647" t="s">
        <v>3240</v>
      </c>
      <c r="H647" t="s">
        <v>3259</v>
      </c>
      <c r="I647" t="s">
        <v>3260</v>
      </c>
      <c r="J647" t="s">
        <v>3261</v>
      </c>
      <c r="K647" t="s">
        <v>3244</v>
      </c>
      <c r="L647" t="s">
        <v>670</v>
      </c>
      <c r="M647">
        <v>31</v>
      </c>
      <c r="N647">
        <v>21</v>
      </c>
      <c r="O647">
        <v>17</v>
      </c>
      <c r="P647">
        <v>1.1067E-2</v>
      </c>
      <c r="Q647" s="84" t="e">
        <v>#REF!</v>
      </c>
      <c r="R647" s="85"/>
      <c r="S647" s="85"/>
      <c r="T647" s="86">
        <v>0</v>
      </c>
      <c r="U647" s="84">
        <v>0</v>
      </c>
      <c r="V647" s="84">
        <v>121.093</v>
      </c>
      <c r="W647" s="84">
        <v>60.546500000000002</v>
      </c>
      <c r="X647" s="82">
        <v>0.35</v>
      </c>
      <c r="Y647" s="82"/>
      <c r="Z647" s="84">
        <v>60.546500000000002</v>
      </c>
      <c r="AA647" s="84">
        <v>121.093</v>
      </c>
      <c r="AB647" s="88" t="e">
        <v>#DIV/0!</v>
      </c>
      <c r="AC647" t="s">
        <v>3262</v>
      </c>
    </row>
    <row r="648" spans="3:29">
      <c r="C648" t="s">
        <v>3263</v>
      </c>
      <c r="D648" t="s">
        <v>3264</v>
      </c>
      <c r="E648" s="84">
        <v>174.99</v>
      </c>
      <c r="F648" s="84">
        <v>87.495000000000005</v>
      </c>
      <c r="G648" t="s">
        <v>3240</v>
      </c>
      <c r="H648" t="s">
        <v>3265</v>
      </c>
      <c r="I648" t="s">
        <v>3266</v>
      </c>
      <c r="J648" t="s">
        <v>3267</v>
      </c>
      <c r="K648" t="s">
        <v>3244</v>
      </c>
      <c r="L648" t="s">
        <v>670</v>
      </c>
      <c r="M648">
        <v>32</v>
      </c>
      <c r="N648">
        <v>32</v>
      </c>
      <c r="O648">
        <v>51</v>
      </c>
      <c r="P648">
        <v>5.2224E-2</v>
      </c>
      <c r="Q648" s="84" t="e">
        <v>#REF!</v>
      </c>
      <c r="R648" s="85">
        <v>41408.037898119001</v>
      </c>
      <c r="S648" s="85">
        <v>495000</v>
      </c>
      <c r="T648" s="86">
        <v>536408.03789811896</v>
      </c>
      <c r="U648" s="84">
        <v>35.760535859874601</v>
      </c>
      <c r="V648" s="84">
        <v>122.49299999999999</v>
      </c>
      <c r="W648" s="84">
        <v>61.246499999999997</v>
      </c>
      <c r="X648" s="82">
        <v>0.35</v>
      </c>
      <c r="Y648" s="87">
        <v>71.521071719749202</v>
      </c>
      <c r="Z648" s="84">
        <v>71.521071719749202</v>
      </c>
      <c r="AA648" s="84">
        <v>143.04214343949801</v>
      </c>
      <c r="AB648" s="88">
        <v>2</v>
      </c>
      <c r="AC648" t="s">
        <v>3268</v>
      </c>
    </row>
    <row r="649" spans="3:29">
      <c r="C649" t="s">
        <v>3269</v>
      </c>
      <c r="D649" t="s">
        <v>3270</v>
      </c>
      <c r="E649" s="84">
        <v>58.99</v>
      </c>
      <c r="F649" s="84">
        <v>29.495000000000001</v>
      </c>
      <c r="G649" t="s">
        <v>3240</v>
      </c>
      <c r="H649" t="s">
        <v>3271</v>
      </c>
      <c r="I649" t="s">
        <v>3272</v>
      </c>
      <c r="J649" t="s">
        <v>3273</v>
      </c>
      <c r="K649" t="s">
        <v>3244</v>
      </c>
      <c r="L649" t="s">
        <v>670</v>
      </c>
      <c r="M649">
        <v>55</v>
      </c>
      <c r="N649">
        <v>15</v>
      </c>
      <c r="O649">
        <v>57</v>
      </c>
      <c r="P649">
        <v>4.7024999999999997E-2</v>
      </c>
      <c r="Q649" s="84" t="e">
        <v>#REF!</v>
      </c>
      <c r="R649" s="85">
        <v>0</v>
      </c>
      <c r="S649" s="85">
        <v>150000</v>
      </c>
      <c r="T649" s="86">
        <v>150000</v>
      </c>
      <c r="U649" s="84">
        <v>10</v>
      </c>
      <c r="V649" s="84">
        <v>41.292999999999999</v>
      </c>
      <c r="W649" s="84">
        <v>20.6465</v>
      </c>
      <c r="X649" s="82">
        <v>0.35</v>
      </c>
      <c r="Y649" s="87">
        <v>23</v>
      </c>
      <c r="Z649" s="84">
        <v>23</v>
      </c>
      <c r="AA649" s="84">
        <v>46</v>
      </c>
      <c r="AB649" s="88">
        <v>2</v>
      </c>
      <c r="AC649" t="s">
        <v>3274</v>
      </c>
    </row>
    <row r="650" spans="3:29">
      <c r="C650" t="s">
        <v>3275</v>
      </c>
      <c r="D650" t="s">
        <v>3276</v>
      </c>
      <c r="E650" s="84">
        <v>237.99</v>
      </c>
      <c r="F650" s="84">
        <v>118.995</v>
      </c>
      <c r="G650" t="s">
        <v>3240</v>
      </c>
      <c r="H650" t="s">
        <v>3277</v>
      </c>
      <c r="I650" t="s">
        <v>3278</v>
      </c>
      <c r="J650" t="s">
        <v>3279</v>
      </c>
      <c r="K650" t="s">
        <v>3244</v>
      </c>
      <c r="L650" t="s">
        <v>670</v>
      </c>
      <c r="M650">
        <v>70</v>
      </c>
      <c r="N650">
        <v>40</v>
      </c>
      <c r="O650">
        <v>48</v>
      </c>
      <c r="P650">
        <v>0.13439999999999999</v>
      </c>
      <c r="Q650" s="84" t="e">
        <v>#REF!</v>
      </c>
      <c r="R650" s="85"/>
      <c r="S650" s="85"/>
      <c r="T650" s="86">
        <v>0</v>
      </c>
      <c r="U650" s="84">
        <v>0</v>
      </c>
      <c r="V650" s="84">
        <v>166.59299999999999</v>
      </c>
      <c r="W650" s="84">
        <v>83.296499999999995</v>
      </c>
      <c r="X650" s="82">
        <v>0.35</v>
      </c>
      <c r="Y650" s="82"/>
      <c r="Z650" s="84">
        <v>83.296499999999995</v>
      </c>
      <c r="AA650" s="84">
        <v>166.59299999999999</v>
      </c>
      <c r="AB650" s="88" t="e">
        <v>#DIV/0!</v>
      </c>
      <c r="AC650" t="s">
        <v>3280</v>
      </c>
    </row>
    <row r="651" spans="3:29">
      <c r="C651" t="s">
        <v>3281</v>
      </c>
      <c r="D651" t="s">
        <v>3282</v>
      </c>
      <c r="E651" s="84">
        <v>56.99</v>
      </c>
      <c r="F651" s="84">
        <v>28.495000000000001</v>
      </c>
      <c r="G651" t="s">
        <v>3240</v>
      </c>
      <c r="H651" t="s">
        <v>3283</v>
      </c>
      <c r="I651" t="s">
        <v>132</v>
      </c>
      <c r="J651" t="s">
        <v>3284</v>
      </c>
      <c r="K651" t="s">
        <v>3244</v>
      </c>
      <c r="L651" t="s">
        <v>670</v>
      </c>
      <c r="N651">
        <v>38</v>
      </c>
      <c r="O651">
        <v>47</v>
      </c>
      <c r="P651">
        <v>6.7867999999999998E-2</v>
      </c>
      <c r="Q651" s="84" t="e">
        <v>#REF!</v>
      </c>
      <c r="R651" s="85">
        <v>-16383.992607940299</v>
      </c>
      <c r="S651" s="85">
        <v>211383.99260793999</v>
      </c>
      <c r="T651" s="86">
        <v>195000</v>
      </c>
      <c r="U651" s="84">
        <v>13</v>
      </c>
      <c r="V651" s="84">
        <v>39.893000000000001</v>
      </c>
      <c r="W651" s="84">
        <v>19.9465</v>
      </c>
      <c r="X651" s="82">
        <v>0.35</v>
      </c>
      <c r="Y651" s="87">
        <v>26</v>
      </c>
      <c r="Z651" s="84">
        <v>26</v>
      </c>
      <c r="AA651" s="84">
        <v>52</v>
      </c>
      <c r="AB651" s="88">
        <v>2</v>
      </c>
      <c r="AC651" t="s">
        <v>3285</v>
      </c>
    </row>
    <row r="652" spans="3:29">
      <c r="C652" t="s">
        <v>3286</v>
      </c>
      <c r="D652" t="s">
        <v>3282</v>
      </c>
      <c r="E652" s="84">
        <v>93.99</v>
      </c>
      <c r="F652" s="84">
        <v>46.994999999999997</v>
      </c>
      <c r="G652" t="s">
        <v>3240</v>
      </c>
      <c r="H652" t="s">
        <v>3287</v>
      </c>
      <c r="I652" t="s">
        <v>132</v>
      </c>
      <c r="J652" t="s">
        <v>3288</v>
      </c>
      <c r="K652" t="s">
        <v>3244</v>
      </c>
      <c r="L652" t="s">
        <v>670</v>
      </c>
      <c r="N652">
        <v>60</v>
      </c>
      <c r="O652">
        <v>60</v>
      </c>
      <c r="P652">
        <v>0.216</v>
      </c>
      <c r="Q652" s="84" t="e">
        <v>#REF!</v>
      </c>
      <c r="R652" s="85">
        <v>0</v>
      </c>
      <c r="S652" s="85">
        <v>250000</v>
      </c>
      <c r="T652" s="86">
        <v>250000</v>
      </c>
      <c r="U652" s="84">
        <v>16.6666666666667</v>
      </c>
      <c r="V652" s="84">
        <v>65.793000000000006</v>
      </c>
      <c r="W652" s="84">
        <v>32.896500000000003</v>
      </c>
      <c r="X652" s="82">
        <v>0.35</v>
      </c>
      <c r="Y652" s="87">
        <v>36.6666666666667</v>
      </c>
      <c r="Z652" s="84">
        <v>36.6666666666667</v>
      </c>
      <c r="AA652" s="84">
        <v>73.3333333333333</v>
      </c>
      <c r="AB652" s="88">
        <v>2</v>
      </c>
      <c r="AC652" t="s">
        <v>3285</v>
      </c>
    </row>
    <row r="653" spans="3:29">
      <c r="C653" t="s">
        <v>3289</v>
      </c>
      <c r="D653" t="s">
        <v>3282</v>
      </c>
      <c r="E653" s="84">
        <v>129.99</v>
      </c>
      <c r="F653" s="84">
        <v>64.995000000000005</v>
      </c>
      <c r="G653" t="s">
        <v>3240</v>
      </c>
      <c r="H653" t="s">
        <v>3290</v>
      </c>
      <c r="I653" t="s">
        <v>132</v>
      </c>
      <c r="J653" t="s">
        <v>3291</v>
      </c>
      <c r="K653" t="s">
        <v>3244</v>
      </c>
      <c r="L653" t="s">
        <v>670</v>
      </c>
      <c r="N653">
        <v>48</v>
      </c>
      <c r="O653">
        <v>57</v>
      </c>
      <c r="P653">
        <v>0.131328</v>
      </c>
      <c r="Q653" s="84" t="e">
        <v>#REF!</v>
      </c>
      <c r="R653" s="85">
        <v>31703.851317493001</v>
      </c>
      <c r="S653" s="85">
        <v>215000</v>
      </c>
      <c r="T653" s="86">
        <v>246703.85131749301</v>
      </c>
      <c r="U653" s="84">
        <v>16.446923421166201</v>
      </c>
      <c r="V653" s="84">
        <v>90.992999999999995</v>
      </c>
      <c r="W653" s="84">
        <v>45.496499999999997</v>
      </c>
      <c r="X653" s="82">
        <v>0.35</v>
      </c>
      <c r="Y653" s="82"/>
      <c r="Z653" s="84">
        <v>45.496499999999997</v>
      </c>
      <c r="AA653" s="84">
        <v>90.992999999999995</v>
      </c>
      <c r="AB653" s="88">
        <v>2.7662620439667598</v>
      </c>
      <c r="AC653" t="s">
        <v>3292</v>
      </c>
    </row>
    <row r="654" spans="3:29">
      <c r="C654">
        <v>28918</v>
      </c>
      <c r="D654" t="s">
        <v>3293</v>
      </c>
      <c r="E654" s="84">
        <v>95.99</v>
      </c>
      <c r="F654" s="84">
        <v>47.994999999999997</v>
      </c>
      <c r="G654" t="s">
        <v>3240</v>
      </c>
      <c r="H654" t="s">
        <v>3294</v>
      </c>
      <c r="I654" t="s">
        <v>3295</v>
      </c>
      <c r="J654" t="s">
        <v>3296</v>
      </c>
      <c r="K654" t="s">
        <v>3297</v>
      </c>
      <c r="L654" t="s">
        <v>670</v>
      </c>
      <c r="N654">
        <v>43</v>
      </c>
      <c r="O654">
        <v>39</v>
      </c>
      <c r="P654">
        <v>7.2110999999999995E-2</v>
      </c>
      <c r="Q654" s="84" t="e">
        <v>#REF!</v>
      </c>
      <c r="R654" s="85">
        <v>37950</v>
      </c>
      <c r="S654" s="85">
        <v>345000</v>
      </c>
      <c r="T654" s="86">
        <v>382950</v>
      </c>
      <c r="U654" s="84">
        <v>25.53</v>
      </c>
      <c r="V654" s="84">
        <v>67.192999999999998</v>
      </c>
      <c r="W654" s="84">
        <v>33.596499999999999</v>
      </c>
      <c r="X654" s="82">
        <v>0.35</v>
      </c>
      <c r="Y654" s="87">
        <v>42.124499999999998</v>
      </c>
      <c r="Z654" s="84">
        <v>42.124499999999998</v>
      </c>
      <c r="AA654" s="84">
        <v>84.248999999999995</v>
      </c>
      <c r="AB654" s="88">
        <v>2</v>
      </c>
      <c r="AC654" t="s">
        <v>3298</v>
      </c>
    </row>
    <row r="655" spans="3:29">
      <c r="C655">
        <v>33007</v>
      </c>
      <c r="D655" t="s">
        <v>3299</v>
      </c>
      <c r="E655" s="84">
        <v>96.99</v>
      </c>
      <c r="F655" s="84">
        <v>48.494999999999997</v>
      </c>
      <c r="G655" t="s">
        <v>3240</v>
      </c>
      <c r="H655" t="s">
        <v>3300</v>
      </c>
      <c r="I655" t="s">
        <v>3301</v>
      </c>
      <c r="J655" t="s">
        <v>3302</v>
      </c>
      <c r="K655" t="s">
        <v>3244</v>
      </c>
      <c r="L655" t="s">
        <v>670</v>
      </c>
      <c r="M655">
        <v>60</v>
      </c>
      <c r="N655">
        <v>40</v>
      </c>
      <c r="O655">
        <v>30</v>
      </c>
      <c r="P655">
        <v>7.1999999999999995E-2</v>
      </c>
      <c r="Q655" s="84" t="e">
        <v>#REF!</v>
      </c>
      <c r="R655" s="85"/>
      <c r="S655" s="85"/>
      <c r="T655" s="86">
        <v>0</v>
      </c>
      <c r="U655" s="84">
        <v>0</v>
      </c>
      <c r="V655" s="84">
        <v>67.893000000000001</v>
      </c>
      <c r="W655" s="84">
        <v>33.9465</v>
      </c>
      <c r="X655" s="82">
        <v>0.35</v>
      </c>
      <c r="Y655" s="82"/>
      <c r="Z655" s="84">
        <v>33.9465</v>
      </c>
      <c r="AA655" s="84">
        <v>67.893000000000001</v>
      </c>
      <c r="AB655" s="88" t="e">
        <v>#DIV/0!</v>
      </c>
      <c r="AC655" t="s">
        <v>3303</v>
      </c>
    </row>
    <row r="656" spans="3:29">
      <c r="C656">
        <v>33016</v>
      </c>
      <c r="D656" t="s">
        <v>3304</v>
      </c>
      <c r="E656" s="84">
        <v>51.99</v>
      </c>
      <c r="F656" s="84">
        <v>25.995000000000001</v>
      </c>
      <c r="G656" t="s">
        <v>3240</v>
      </c>
      <c r="H656" t="s">
        <v>3305</v>
      </c>
      <c r="I656" t="s">
        <v>3306</v>
      </c>
      <c r="J656" t="s">
        <v>3307</v>
      </c>
      <c r="K656" t="s">
        <v>3244</v>
      </c>
      <c r="L656" t="s">
        <v>670</v>
      </c>
      <c r="M656">
        <v>45</v>
      </c>
      <c r="N656">
        <v>35</v>
      </c>
      <c r="O656">
        <v>50</v>
      </c>
      <c r="P656">
        <v>7.8750000000000001E-2</v>
      </c>
      <c r="Q656" s="84" t="e">
        <v>#REF!</v>
      </c>
      <c r="R656" s="85"/>
      <c r="S656" s="85"/>
      <c r="T656" s="86">
        <v>0</v>
      </c>
      <c r="U656" s="84">
        <v>0</v>
      </c>
      <c r="V656" s="84">
        <v>36.393000000000001</v>
      </c>
      <c r="W656" s="84">
        <v>18.1965</v>
      </c>
      <c r="X656" s="82">
        <v>0.35</v>
      </c>
      <c r="Y656" s="82"/>
      <c r="Z656" s="84">
        <v>18.1965</v>
      </c>
      <c r="AA656" s="84">
        <v>36.393000000000001</v>
      </c>
      <c r="AB656" s="88" t="e">
        <v>#DIV/0!</v>
      </c>
      <c r="AC656" t="s">
        <v>3308</v>
      </c>
    </row>
    <row r="657" spans="3:29">
      <c r="C657">
        <v>33017</v>
      </c>
      <c r="D657" t="s">
        <v>3309</v>
      </c>
      <c r="E657" s="84">
        <v>72.989999999999995</v>
      </c>
      <c r="F657" s="84">
        <v>36.494999999999997</v>
      </c>
      <c r="G657" t="s">
        <v>3240</v>
      </c>
      <c r="H657" t="s">
        <v>3310</v>
      </c>
      <c r="I657" t="s">
        <v>3311</v>
      </c>
      <c r="J657" t="s">
        <v>3312</v>
      </c>
      <c r="K657" t="s">
        <v>3244</v>
      </c>
      <c r="L657" t="s">
        <v>670</v>
      </c>
      <c r="M657">
        <v>45</v>
      </c>
      <c r="N657">
        <v>20</v>
      </c>
      <c r="O657">
        <v>45</v>
      </c>
      <c r="P657">
        <v>4.0500000000000001E-2</v>
      </c>
      <c r="Q657" s="84" t="e">
        <v>#REF!</v>
      </c>
      <c r="R657" s="85"/>
      <c r="S657" s="85"/>
      <c r="T657" s="86">
        <v>0</v>
      </c>
      <c r="U657" s="84">
        <v>0</v>
      </c>
      <c r="V657" s="84">
        <v>51.093000000000004</v>
      </c>
      <c r="W657" s="84">
        <v>25.546500000000002</v>
      </c>
      <c r="X657" s="82">
        <v>0.35</v>
      </c>
      <c r="Y657" s="82"/>
      <c r="Z657" s="84">
        <v>25.546500000000002</v>
      </c>
      <c r="AA657" s="84">
        <v>51.093000000000004</v>
      </c>
      <c r="AB657" s="88" t="e">
        <v>#DIV/0!</v>
      </c>
      <c r="AC657" t="s">
        <v>3313</v>
      </c>
    </row>
    <row r="658" spans="3:29">
      <c r="C658" t="s">
        <v>3314</v>
      </c>
      <c r="D658" t="s">
        <v>3315</v>
      </c>
      <c r="E658" s="84">
        <v>52.99</v>
      </c>
      <c r="F658" s="84">
        <v>26.495000000000001</v>
      </c>
      <c r="G658" t="s">
        <v>3240</v>
      </c>
      <c r="H658" t="s">
        <v>3316</v>
      </c>
      <c r="I658" t="s">
        <v>529</v>
      </c>
      <c r="J658" t="s">
        <v>3317</v>
      </c>
      <c r="K658" t="s">
        <v>3318</v>
      </c>
      <c r="L658" t="s">
        <v>670</v>
      </c>
      <c r="N658">
        <v>25</v>
      </c>
      <c r="O658">
        <v>25</v>
      </c>
      <c r="P658">
        <v>1.5625E-2</v>
      </c>
      <c r="Q658" s="84" t="e">
        <v>#REF!</v>
      </c>
      <c r="R658" s="85"/>
      <c r="S658" s="85"/>
      <c r="T658" s="86">
        <v>0</v>
      </c>
      <c r="U658" s="84">
        <v>0</v>
      </c>
      <c r="V658" s="84">
        <v>37.093000000000004</v>
      </c>
      <c r="W658" s="84">
        <v>18.546500000000002</v>
      </c>
      <c r="X658" s="82">
        <v>0.35</v>
      </c>
      <c r="Y658" s="82"/>
      <c r="Z658" s="84">
        <v>18.546500000000002</v>
      </c>
      <c r="AA658" s="84">
        <v>37.093000000000004</v>
      </c>
      <c r="AB658" s="88" t="e">
        <v>#DIV/0!</v>
      </c>
      <c r="AC658" t="s">
        <v>3319</v>
      </c>
    </row>
    <row r="659" spans="3:29">
      <c r="C659" t="s">
        <v>3320</v>
      </c>
      <c r="D659" t="s">
        <v>3315</v>
      </c>
      <c r="E659" s="84">
        <v>62.99</v>
      </c>
      <c r="F659" s="84">
        <v>31.495000000000001</v>
      </c>
      <c r="G659" t="s">
        <v>3240</v>
      </c>
      <c r="H659" t="s">
        <v>3321</v>
      </c>
      <c r="I659" t="s">
        <v>529</v>
      </c>
      <c r="J659" t="s">
        <v>3322</v>
      </c>
      <c r="K659" t="s">
        <v>3318</v>
      </c>
      <c r="L659" t="s">
        <v>670</v>
      </c>
      <c r="N659">
        <v>30</v>
      </c>
      <c r="O659">
        <v>30</v>
      </c>
      <c r="P659">
        <v>2.7E-2</v>
      </c>
      <c r="Q659" s="84" t="e">
        <v>#REF!</v>
      </c>
      <c r="R659" s="85">
        <v>6518.0615373129804</v>
      </c>
      <c r="S659" s="85">
        <v>345000</v>
      </c>
      <c r="T659" s="86">
        <v>150000</v>
      </c>
      <c r="U659" s="84">
        <v>10</v>
      </c>
      <c r="V659" s="84">
        <v>44.093000000000004</v>
      </c>
      <c r="W659" s="84">
        <v>22.046500000000002</v>
      </c>
      <c r="X659" s="82">
        <v>0.35</v>
      </c>
      <c r="Y659" s="87">
        <v>20</v>
      </c>
      <c r="Z659" s="84">
        <v>20</v>
      </c>
      <c r="AA659" s="84">
        <v>40</v>
      </c>
      <c r="AB659" s="88">
        <v>2</v>
      </c>
      <c r="AC659" t="s">
        <v>3323</v>
      </c>
    </row>
    <row r="660" spans="3:29">
      <c r="C660" t="s">
        <v>3324</v>
      </c>
      <c r="E660" s="84"/>
      <c r="F660" s="82"/>
      <c r="R660" s="85"/>
      <c r="S660" s="85"/>
      <c r="T660" s="86"/>
      <c r="V660" s="84">
        <v>0</v>
      </c>
      <c r="W660" s="84">
        <v>0</v>
      </c>
      <c r="X660" s="82" t="e">
        <v>#DIV/0!</v>
      </c>
      <c r="Y660" s="82">
        <v>0</v>
      </c>
      <c r="Z660" s="82"/>
      <c r="AA660" s="82"/>
      <c r="AB660" s="88" t="e">
        <v>#DIV/0!</v>
      </c>
    </row>
    <row r="661" spans="3:29">
      <c r="C661" t="s">
        <v>3325</v>
      </c>
      <c r="D661" t="s">
        <v>3326</v>
      </c>
      <c r="E661" s="84">
        <v>114.99</v>
      </c>
      <c r="F661" s="84">
        <v>57.494999999999997</v>
      </c>
      <c r="G661" t="s">
        <v>3327</v>
      </c>
      <c r="H661" t="s">
        <v>3328</v>
      </c>
      <c r="I661" t="s">
        <v>900</v>
      </c>
      <c r="J661" t="s">
        <v>3329</v>
      </c>
      <c r="K661" t="s">
        <v>2950</v>
      </c>
      <c r="L661" t="s">
        <v>670</v>
      </c>
      <c r="M661">
        <v>45</v>
      </c>
      <c r="N661">
        <v>40</v>
      </c>
      <c r="O661">
        <v>100</v>
      </c>
      <c r="P661">
        <v>0.18</v>
      </c>
      <c r="Q661" s="84" t="e">
        <v>#REF!</v>
      </c>
      <c r="R661" s="85"/>
      <c r="S661" s="85"/>
      <c r="T661" s="86">
        <v>0</v>
      </c>
      <c r="U661" s="84">
        <v>0</v>
      </c>
      <c r="V661" s="84">
        <v>80.492999999999995</v>
      </c>
      <c r="W661" s="84">
        <v>40.246499999999997</v>
      </c>
      <c r="X661" s="82">
        <v>0.35</v>
      </c>
      <c r="Y661" s="82"/>
      <c r="Z661" s="84">
        <v>40.246499999999997</v>
      </c>
      <c r="AA661" s="84">
        <v>80.492999999999995</v>
      </c>
      <c r="AB661" s="88" t="e">
        <v>#DIV/0!</v>
      </c>
      <c r="AC661" t="s">
        <v>3330</v>
      </c>
    </row>
    <row r="662" spans="3:29">
      <c r="C662" t="s">
        <v>3332</v>
      </c>
      <c r="D662" t="s">
        <v>3326</v>
      </c>
      <c r="E662" s="84">
        <v>154.99</v>
      </c>
      <c r="F662" s="84">
        <v>77.495000000000005</v>
      </c>
      <c r="G662" t="s">
        <v>3327</v>
      </c>
      <c r="H662" t="s">
        <v>3333</v>
      </c>
      <c r="I662" t="s">
        <v>900</v>
      </c>
      <c r="J662" t="s">
        <v>3334</v>
      </c>
      <c r="K662" t="s">
        <v>2950</v>
      </c>
      <c r="L662" t="s">
        <v>670</v>
      </c>
      <c r="M662">
        <v>70</v>
      </c>
      <c r="N662">
        <v>40</v>
      </c>
      <c r="O662">
        <v>100</v>
      </c>
      <c r="P662">
        <v>0.28000000000000003</v>
      </c>
      <c r="Q662" s="84" t="e">
        <v>#REF!</v>
      </c>
      <c r="R662" s="85"/>
      <c r="S662" s="85"/>
      <c r="T662" s="86">
        <v>0</v>
      </c>
      <c r="U662" s="84">
        <v>0</v>
      </c>
      <c r="V662" s="84">
        <v>108.49299999999999</v>
      </c>
      <c r="W662" s="84">
        <v>54.246499999999997</v>
      </c>
      <c r="X662" s="82">
        <v>0.35</v>
      </c>
      <c r="Y662" s="82"/>
      <c r="Z662" s="84">
        <v>54.246499999999997</v>
      </c>
      <c r="AA662" s="84">
        <v>108.49299999999999</v>
      </c>
      <c r="AB662" s="88" t="e">
        <v>#DIV/0!</v>
      </c>
      <c r="AC662" t="s">
        <v>3335</v>
      </c>
    </row>
    <row r="663" spans="3:29">
      <c r="C663" t="s">
        <v>3336</v>
      </c>
      <c r="D663" t="s">
        <v>3326</v>
      </c>
      <c r="E663" s="84">
        <v>184.99</v>
      </c>
      <c r="F663" s="84">
        <v>92.495000000000005</v>
      </c>
      <c r="G663" t="s">
        <v>3327</v>
      </c>
      <c r="H663" t="s">
        <v>3337</v>
      </c>
      <c r="I663" t="s">
        <v>900</v>
      </c>
      <c r="J663" t="s">
        <v>3338</v>
      </c>
      <c r="K663" t="s">
        <v>2950</v>
      </c>
      <c r="L663" t="s">
        <v>646</v>
      </c>
      <c r="M663">
        <v>100</v>
      </c>
      <c r="N663">
        <v>40</v>
      </c>
      <c r="O663">
        <v>100</v>
      </c>
      <c r="P663">
        <v>0.4</v>
      </c>
      <c r="Q663" s="84" t="e">
        <v>#REF!</v>
      </c>
      <c r="R663" s="85">
        <v>142002.03296019899</v>
      </c>
      <c r="S663" s="85">
        <v>246000</v>
      </c>
      <c r="T663" s="86">
        <v>388002.03296019899</v>
      </c>
      <c r="U663" s="84">
        <v>25.866802197346601</v>
      </c>
      <c r="V663" s="84">
        <v>129.49299999999999</v>
      </c>
      <c r="W663" s="84">
        <v>64.746499999999997</v>
      </c>
      <c r="X663" s="82">
        <v>0.35</v>
      </c>
      <c r="Y663" s="82"/>
      <c r="Z663" s="84">
        <v>64.746499999999997</v>
      </c>
      <c r="AA663" s="84">
        <v>129.49299999999999</v>
      </c>
      <c r="AB663" s="88">
        <v>2.5030732251334</v>
      </c>
      <c r="AC663" t="s">
        <v>3339</v>
      </c>
    </row>
    <row r="664" spans="3:29">
      <c r="C664" t="s">
        <v>3340</v>
      </c>
      <c r="D664" t="s">
        <v>3341</v>
      </c>
      <c r="E664" s="84">
        <v>259.99</v>
      </c>
      <c r="F664" s="84">
        <v>129.995</v>
      </c>
      <c r="G664" t="s">
        <v>3327</v>
      </c>
      <c r="H664" t="s">
        <v>3337</v>
      </c>
      <c r="I664" t="s">
        <v>3342</v>
      </c>
      <c r="J664" t="s">
        <v>3343</v>
      </c>
      <c r="K664" t="s">
        <v>2950</v>
      </c>
      <c r="L664" t="s">
        <v>646</v>
      </c>
      <c r="M664">
        <v>100</v>
      </c>
      <c r="N664">
        <v>40</v>
      </c>
      <c r="O664">
        <v>100</v>
      </c>
      <c r="P664">
        <v>0.4</v>
      </c>
      <c r="Q664" s="84" t="e">
        <v>#REF!</v>
      </c>
      <c r="R664" s="85"/>
      <c r="S664" s="85"/>
      <c r="T664" s="86">
        <v>0</v>
      </c>
      <c r="U664" s="84">
        <v>0</v>
      </c>
      <c r="V664" s="84">
        <v>181.99299999999999</v>
      </c>
      <c r="W664" s="84">
        <v>90.996499999999997</v>
      </c>
      <c r="X664" s="82">
        <v>0.35</v>
      </c>
      <c r="Y664" s="82"/>
      <c r="Z664" s="84">
        <v>90.996499999999997</v>
      </c>
      <c r="AA664" s="84">
        <v>181.99299999999999</v>
      </c>
      <c r="AB664" s="88" t="e">
        <v>#DIV/0!</v>
      </c>
      <c r="AC664" t="s">
        <v>3344</v>
      </c>
    </row>
    <row r="665" spans="3:29">
      <c r="C665" t="s">
        <v>3345</v>
      </c>
      <c r="D665" t="s">
        <v>3346</v>
      </c>
      <c r="E665" s="84">
        <v>269.99</v>
      </c>
      <c r="F665" s="84">
        <v>134.995</v>
      </c>
      <c r="G665" t="s">
        <v>3327</v>
      </c>
      <c r="H665" t="s">
        <v>3347</v>
      </c>
      <c r="I665" t="s">
        <v>3348</v>
      </c>
      <c r="J665" t="s">
        <v>3349</v>
      </c>
      <c r="K665" t="s">
        <v>2950</v>
      </c>
      <c r="L665" t="s">
        <v>646</v>
      </c>
      <c r="M665">
        <v>104</v>
      </c>
      <c r="N665">
        <v>20</v>
      </c>
      <c r="O665">
        <v>120</v>
      </c>
      <c r="P665">
        <v>0.24959999999999999</v>
      </c>
      <c r="Q665" s="84" t="e">
        <v>#REF!</v>
      </c>
      <c r="R665" s="85"/>
      <c r="S665" s="85"/>
      <c r="T665" s="86">
        <v>0</v>
      </c>
      <c r="U665" s="84">
        <v>0</v>
      </c>
      <c r="V665" s="84">
        <v>188.99299999999999</v>
      </c>
      <c r="W665" s="84">
        <v>94.496499999999997</v>
      </c>
      <c r="X665" s="82">
        <v>0.35</v>
      </c>
      <c r="Y665" s="82"/>
      <c r="Z665" s="84">
        <v>94.496499999999997</v>
      </c>
      <c r="AA665" s="84">
        <v>188.99299999999999</v>
      </c>
      <c r="AB665" s="88" t="e">
        <v>#DIV/0!</v>
      </c>
      <c r="AC665" t="s">
        <v>3350</v>
      </c>
    </row>
    <row r="666" spans="3:29">
      <c r="C666" t="s">
        <v>3351</v>
      </c>
      <c r="D666" t="s">
        <v>3352</v>
      </c>
      <c r="E666" s="84">
        <v>189.99</v>
      </c>
      <c r="F666" s="84">
        <v>94.995000000000005</v>
      </c>
      <c r="G666" t="s">
        <v>3327</v>
      </c>
      <c r="H666" t="s">
        <v>3353</v>
      </c>
      <c r="I666" t="s">
        <v>3354</v>
      </c>
      <c r="J666" t="s">
        <v>3355</v>
      </c>
      <c r="K666" t="s">
        <v>2950</v>
      </c>
      <c r="L666" t="s">
        <v>646</v>
      </c>
      <c r="M666">
        <v>104</v>
      </c>
      <c r="N666">
        <v>6</v>
      </c>
      <c r="O666">
        <v>120</v>
      </c>
      <c r="P666">
        <v>7.4880000000000002E-2</v>
      </c>
      <c r="Q666" s="84" t="e">
        <v>#REF!</v>
      </c>
      <c r="R666" s="85"/>
      <c r="S666" s="85"/>
      <c r="T666" s="86">
        <v>0</v>
      </c>
      <c r="U666" s="84">
        <v>0</v>
      </c>
      <c r="V666" s="84">
        <v>132.99299999999999</v>
      </c>
      <c r="W666" s="84">
        <v>66.496499999999997</v>
      </c>
      <c r="X666" s="82">
        <v>0.35</v>
      </c>
      <c r="Y666" s="82"/>
      <c r="Z666" s="84">
        <v>66.496499999999997</v>
      </c>
      <c r="AA666" s="84">
        <v>132.99299999999999</v>
      </c>
      <c r="AB666" s="88" t="e">
        <v>#DIV/0!</v>
      </c>
      <c r="AC666" t="s">
        <v>3356</v>
      </c>
    </row>
    <row r="667" spans="3:29">
      <c r="C667" t="s">
        <v>3024</v>
      </c>
      <c r="D667" t="s">
        <v>3025</v>
      </c>
      <c r="E667" s="84">
        <v>139.99</v>
      </c>
      <c r="F667" s="84">
        <v>69.995000000000005</v>
      </c>
      <c r="G667" t="s">
        <v>3327</v>
      </c>
      <c r="H667" t="s">
        <v>3357</v>
      </c>
      <c r="I667" t="s">
        <v>3025</v>
      </c>
      <c r="J667" t="s">
        <v>3358</v>
      </c>
      <c r="K667" t="s">
        <v>2950</v>
      </c>
      <c r="L667" t="s">
        <v>646</v>
      </c>
      <c r="M667">
        <v>150</v>
      </c>
      <c r="N667">
        <v>7</v>
      </c>
      <c r="O667">
        <v>7</v>
      </c>
      <c r="P667">
        <v>7.3499999999999998E-3</v>
      </c>
      <c r="Q667" s="84" t="e">
        <v>#REF!</v>
      </c>
      <c r="R667" s="85"/>
      <c r="S667" s="85"/>
      <c r="T667" s="86">
        <v>0</v>
      </c>
      <c r="U667" s="84">
        <v>0</v>
      </c>
      <c r="V667" s="84">
        <v>97.992999999999995</v>
      </c>
      <c r="W667" s="84">
        <v>48.996499999999997</v>
      </c>
      <c r="X667" s="82">
        <v>0.35</v>
      </c>
      <c r="Y667" s="82"/>
      <c r="Z667" s="84">
        <v>48.996499999999997</v>
      </c>
      <c r="AA667" s="84">
        <v>97.992999999999995</v>
      </c>
      <c r="AB667" s="88" t="e">
        <v>#DIV/0!</v>
      </c>
      <c r="AC667" t="s">
        <v>3359</v>
      </c>
    </row>
    <row r="668" spans="3:29">
      <c r="C668">
        <v>42471</v>
      </c>
      <c r="D668" t="s">
        <v>3360</v>
      </c>
      <c r="E668" s="84">
        <v>32.99</v>
      </c>
      <c r="F668" s="84">
        <v>16.495000000000001</v>
      </c>
      <c r="G668" t="s">
        <v>3327</v>
      </c>
      <c r="H668" t="s">
        <v>3361</v>
      </c>
      <c r="I668" t="s">
        <v>3362</v>
      </c>
      <c r="J668" t="s">
        <v>3363</v>
      </c>
      <c r="K668" t="s">
        <v>3244</v>
      </c>
      <c r="L668" t="s">
        <v>670</v>
      </c>
      <c r="N668">
        <v>22</v>
      </c>
      <c r="O668">
        <v>50</v>
      </c>
      <c r="P668">
        <v>2.4199999999999999E-2</v>
      </c>
      <c r="Q668" s="84" t="e">
        <v>#REF!</v>
      </c>
      <c r="R668" s="85"/>
      <c r="S668" s="85"/>
      <c r="T668" s="86">
        <v>0</v>
      </c>
      <c r="U668" s="84">
        <v>0</v>
      </c>
      <c r="V668" s="84">
        <v>23.093</v>
      </c>
      <c r="W668" s="84">
        <v>11.5465</v>
      </c>
      <c r="X668" s="82">
        <v>0.35</v>
      </c>
      <c r="Y668" s="82"/>
      <c r="Z668" s="84">
        <v>11.5465</v>
      </c>
      <c r="AA668" s="84">
        <v>23.093</v>
      </c>
      <c r="AB668" s="88" t="e">
        <v>#DIV/0!</v>
      </c>
      <c r="AC668" t="s">
        <v>3364</v>
      </c>
    </row>
    <row r="669" spans="3:29">
      <c r="C669" t="s">
        <v>3365</v>
      </c>
      <c r="D669" t="s">
        <v>3366</v>
      </c>
      <c r="E669" s="84">
        <v>24.99</v>
      </c>
      <c r="F669" s="84">
        <v>12.494999999999999</v>
      </c>
      <c r="G669" t="s">
        <v>3327</v>
      </c>
      <c r="H669" t="s">
        <v>3367</v>
      </c>
      <c r="I669" t="s">
        <v>3368</v>
      </c>
      <c r="J669" t="s">
        <v>3369</v>
      </c>
      <c r="K669" t="s">
        <v>2950</v>
      </c>
      <c r="L669" t="s">
        <v>646</v>
      </c>
      <c r="M669">
        <v>30</v>
      </c>
      <c r="N669">
        <v>8</v>
      </c>
      <c r="O669">
        <v>20</v>
      </c>
      <c r="P669">
        <v>4.7999999999999996E-3</v>
      </c>
      <c r="Q669" s="84" t="e">
        <v>#REF!</v>
      </c>
      <c r="R669" s="85"/>
      <c r="S669" s="85"/>
      <c r="T669" s="86">
        <v>0</v>
      </c>
      <c r="U669" s="84">
        <v>0</v>
      </c>
      <c r="V669" s="84">
        <v>17.492999999999999</v>
      </c>
      <c r="W669" s="84">
        <v>8.7464999999999993</v>
      </c>
      <c r="X669" s="82">
        <v>0.35</v>
      </c>
      <c r="Y669" s="82"/>
      <c r="Z669" s="84">
        <v>8.7464999999999993</v>
      </c>
      <c r="AA669" s="84">
        <v>17.492999999999999</v>
      </c>
      <c r="AB669" s="88" t="e">
        <v>#DIV/0!</v>
      </c>
      <c r="AC669" t="s">
        <v>3370</v>
      </c>
    </row>
    <row r="670" spans="3:29">
      <c r="C670" t="s">
        <v>3371</v>
      </c>
      <c r="D670" t="s">
        <v>3372</v>
      </c>
      <c r="E670" s="84">
        <v>44.99</v>
      </c>
      <c r="F670" s="84">
        <v>22.495000000000001</v>
      </c>
      <c r="G670" t="s">
        <v>3327</v>
      </c>
      <c r="H670" t="s">
        <v>3373</v>
      </c>
      <c r="I670" t="s">
        <v>3374</v>
      </c>
      <c r="J670" t="s">
        <v>3375</v>
      </c>
      <c r="K670" t="s">
        <v>2950</v>
      </c>
      <c r="L670" t="s">
        <v>646</v>
      </c>
      <c r="M670">
        <v>45</v>
      </c>
      <c r="N670">
        <v>20</v>
      </c>
      <c r="O670">
        <v>60</v>
      </c>
      <c r="P670">
        <v>5.3999999999999999E-2</v>
      </c>
      <c r="Q670" s="84" t="e">
        <v>#REF!</v>
      </c>
      <c r="R670" s="85"/>
      <c r="S670" s="85"/>
      <c r="T670" s="86">
        <v>0</v>
      </c>
      <c r="U670" s="84">
        <v>0</v>
      </c>
      <c r="V670" s="84">
        <v>31.492999999999999</v>
      </c>
      <c r="W670" s="84">
        <v>15.746499999999999</v>
      </c>
      <c r="X670" s="82">
        <v>0.35</v>
      </c>
      <c r="Y670" s="82"/>
      <c r="Z670" s="84">
        <v>15.746499999999999</v>
      </c>
      <c r="AA670" s="84">
        <v>31.492999999999999</v>
      </c>
      <c r="AB670" s="88" t="e">
        <v>#DIV/0!</v>
      </c>
      <c r="AC670" t="s">
        <v>3376</v>
      </c>
    </row>
    <row r="671" spans="3:29">
      <c r="C671" t="s">
        <v>3377</v>
      </c>
      <c r="D671" t="s">
        <v>2946</v>
      </c>
      <c r="E671" s="84">
        <v>124.99</v>
      </c>
      <c r="F671" s="84">
        <v>62.494999999999997</v>
      </c>
      <c r="G671" t="s">
        <v>3327</v>
      </c>
      <c r="H671" t="s">
        <v>3378</v>
      </c>
      <c r="I671" t="s">
        <v>3379</v>
      </c>
      <c r="J671" t="s">
        <v>3380</v>
      </c>
      <c r="K671" t="s">
        <v>2950</v>
      </c>
      <c r="L671" t="s">
        <v>646</v>
      </c>
      <c r="M671">
        <v>65</v>
      </c>
      <c r="N671">
        <v>80</v>
      </c>
      <c r="O671">
        <v>157</v>
      </c>
      <c r="P671">
        <v>0.81640000000000001</v>
      </c>
      <c r="Q671" s="84" t="e">
        <v>#REF!</v>
      </c>
      <c r="R671" s="85"/>
      <c r="S671" s="85"/>
      <c r="T671" s="86">
        <v>0</v>
      </c>
      <c r="U671" s="84">
        <v>0</v>
      </c>
      <c r="V671" s="84">
        <v>87.492999999999995</v>
      </c>
      <c r="W671" s="84">
        <v>43.746499999999997</v>
      </c>
      <c r="X671" s="82">
        <v>0.35</v>
      </c>
      <c r="Y671" s="82"/>
      <c r="Z671" s="84">
        <v>43.746499999999997</v>
      </c>
      <c r="AA671" s="84">
        <v>87.492999999999995</v>
      </c>
      <c r="AB671" s="88" t="e">
        <v>#DIV/0!</v>
      </c>
      <c r="AC671" t="s">
        <v>3381</v>
      </c>
    </row>
    <row r="672" spans="3:29">
      <c r="C672" t="s">
        <v>3382</v>
      </c>
      <c r="D672" t="s">
        <v>2953</v>
      </c>
      <c r="E672" s="84">
        <v>124.99</v>
      </c>
      <c r="F672" s="84">
        <v>62.494999999999997</v>
      </c>
      <c r="G672" t="s">
        <v>3327</v>
      </c>
      <c r="H672" t="s">
        <v>3383</v>
      </c>
      <c r="I672" t="s">
        <v>3384</v>
      </c>
      <c r="J672" t="s">
        <v>2949</v>
      </c>
      <c r="K672" t="s">
        <v>2950</v>
      </c>
      <c r="L672" t="s">
        <v>646</v>
      </c>
      <c r="M672">
        <v>65</v>
      </c>
      <c r="N672">
        <v>80</v>
      </c>
      <c r="O672">
        <v>157</v>
      </c>
      <c r="P672">
        <v>0.81640000000000001</v>
      </c>
      <c r="Q672" s="84" t="e">
        <v>#REF!</v>
      </c>
      <c r="R672" s="85">
        <v>73029.412748667004</v>
      </c>
      <c r="S672" s="85">
        <v>200000</v>
      </c>
      <c r="T672" s="86">
        <v>273029.412748667</v>
      </c>
      <c r="U672" s="84">
        <v>18.201960849911099</v>
      </c>
      <c r="V672" s="84">
        <v>87.492999999999995</v>
      </c>
      <c r="W672" s="84">
        <v>43.746499999999997</v>
      </c>
      <c r="X672" s="82">
        <v>0.35</v>
      </c>
      <c r="Y672" s="82"/>
      <c r="Z672" s="84">
        <v>43.746499999999997</v>
      </c>
      <c r="AA672" s="84">
        <v>87.492999999999995</v>
      </c>
      <c r="AB672" s="88">
        <v>2.40339490677531</v>
      </c>
      <c r="AC672" t="s">
        <v>3385</v>
      </c>
    </row>
    <row r="673" spans="3:29" ht="45.75">
      <c r="C673" t="s">
        <v>3012</v>
      </c>
      <c r="D673" t="s">
        <v>3013</v>
      </c>
      <c r="E673" s="84">
        <v>24.99</v>
      </c>
      <c r="F673" s="84">
        <v>12.494999999999999</v>
      </c>
      <c r="G673" t="s">
        <v>3327</v>
      </c>
      <c r="H673" t="s">
        <v>3386</v>
      </c>
      <c r="I673" t="s">
        <v>3387</v>
      </c>
      <c r="J673" t="s">
        <v>3016</v>
      </c>
      <c r="K673" s="83" t="s">
        <v>2955</v>
      </c>
      <c r="L673" t="s">
        <v>646</v>
      </c>
      <c r="M673">
        <v>40</v>
      </c>
      <c r="N673">
        <v>2.4</v>
      </c>
      <c r="P673">
        <v>0</v>
      </c>
      <c r="Q673" s="84" t="e">
        <v>#REF!</v>
      </c>
      <c r="R673" s="85"/>
      <c r="S673" s="85"/>
      <c r="T673" s="86">
        <v>0</v>
      </c>
      <c r="U673" s="84">
        <v>0</v>
      </c>
      <c r="V673" s="84">
        <v>17.492999999999999</v>
      </c>
      <c r="W673" s="84">
        <v>8.7464999999999993</v>
      </c>
      <c r="X673" s="82">
        <v>0.35</v>
      </c>
      <c r="Y673" s="82"/>
      <c r="Z673" s="84">
        <v>8.7464999999999993</v>
      </c>
      <c r="AA673" s="84">
        <v>17.492999999999999</v>
      </c>
      <c r="AB673" s="88" t="e">
        <v>#DIV/0!</v>
      </c>
      <c r="AC673" t="s">
        <v>3388</v>
      </c>
    </row>
    <row r="674" spans="3:29">
      <c r="C674" t="s">
        <v>3018</v>
      </c>
      <c r="D674" t="s">
        <v>3019</v>
      </c>
      <c r="E674" s="84">
        <v>44.99</v>
      </c>
      <c r="F674" s="84">
        <v>22.495000000000001</v>
      </c>
      <c r="G674" t="s">
        <v>3327</v>
      </c>
      <c r="H674" t="s">
        <v>3389</v>
      </c>
      <c r="I674" t="s">
        <v>3390</v>
      </c>
      <c r="J674" t="s">
        <v>3022</v>
      </c>
      <c r="K674" t="s">
        <v>2950</v>
      </c>
      <c r="L674" t="s">
        <v>646</v>
      </c>
      <c r="M674">
        <v>47</v>
      </c>
      <c r="N674">
        <v>2.4</v>
      </c>
      <c r="O674">
        <v>23</v>
      </c>
      <c r="P674">
        <v>2.5944000000000002E-3</v>
      </c>
      <c r="Q674" s="84" t="e">
        <v>#REF!</v>
      </c>
      <c r="R674" s="85"/>
      <c r="S674" s="85"/>
      <c r="T674" s="86">
        <v>0</v>
      </c>
      <c r="U674" s="84">
        <v>0</v>
      </c>
      <c r="V674" s="84">
        <v>31.492999999999999</v>
      </c>
      <c r="W674" s="84">
        <v>15.746499999999999</v>
      </c>
      <c r="X674" s="82">
        <v>0.35</v>
      </c>
      <c r="Y674" s="82"/>
      <c r="Z674" s="84">
        <v>15.746499999999999</v>
      </c>
      <c r="AA674" s="84">
        <v>31.492999999999999</v>
      </c>
      <c r="AB674" s="88" t="e">
        <v>#DIV/0!</v>
      </c>
      <c r="AC674" t="s">
        <v>3391</v>
      </c>
    </row>
    <row r="675" spans="3:29">
      <c r="C675">
        <v>33019</v>
      </c>
      <c r="D675" t="s">
        <v>3392</v>
      </c>
      <c r="E675" s="84">
        <v>5.99</v>
      </c>
      <c r="F675" s="84">
        <v>2.9950000000000001</v>
      </c>
      <c r="G675" t="s">
        <v>3327</v>
      </c>
      <c r="H675" t="s">
        <v>3393</v>
      </c>
      <c r="I675" t="s">
        <v>3394</v>
      </c>
      <c r="J675" t="s">
        <v>3395</v>
      </c>
      <c r="K675" t="s">
        <v>3396</v>
      </c>
      <c r="L675" t="s">
        <v>646</v>
      </c>
      <c r="M675">
        <v>44</v>
      </c>
      <c r="N675">
        <v>2</v>
      </c>
      <c r="O675">
        <v>23</v>
      </c>
      <c r="P675">
        <v>2.0240000000000002E-3</v>
      </c>
      <c r="Q675" s="84" t="e">
        <v>#REF!</v>
      </c>
      <c r="R675" s="85"/>
      <c r="S675" s="85"/>
      <c r="T675" s="86">
        <v>0</v>
      </c>
      <c r="U675" s="84">
        <v>0</v>
      </c>
      <c r="V675" s="84">
        <v>4.1929999999999996</v>
      </c>
      <c r="W675" s="84">
        <v>2.0964999999999998</v>
      </c>
      <c r="X675" s="82">
        <v>0.35</v>
      </c>
      <c r="Y675" s="82"/>
      <c r="Z675" s="84">
        <v>2.0964999999999998</v>
      </c>
      <c r="AA675" s="84">
        <v>4.1929999999999996</v>
      </c>
      <c r="AB675" s="88" t="e">
        <v>#DIV/0!</v>
      </c>
      <c r="AC675" t="s">
        <v>3397</v>
      </c>
    </row>
    <row r="676" spans="3:29">
      <c r="C676" t="s">
        <v>2957</v>
      </c>
      <c r="D676" t="s">
        <v>2958</v>
      </c>
      <c r="E676" s="84">
        <v>179.99</v>
      </c>
      <c r="F676" s="84">
        <v>89.995000000000005</v>
      </c>
      <c r="G676" t="s">
        <v>3327</v>
      </c>
      <c r="H676" t="s">
        <v>3399</v>
      </c>
      <c r="I676" t="s">
        <v>3400</v>
      </c>
      <c r="J676" t="s">
        <v>3401</v>
      </c>
      <c r="K676" t="s">
        <v>2950</v>
      </c>
      <c r="L676" t="s">
        <v>646</v>
      </c>
      <c r="M676">
        <v>40</v>
      </c>
      <c r="N676">
        <v>40</v>
      </c>
      <c r="O676">
        <v>176</v>
      </c>
      <c r="P676">
        <v>0.28160000000000002</v>
      </c>
      <c r="Q676" s="84" t="e">
        <v>#REF!</v>
      </c>
      <c r="R676" s="85"/>
      <c r="S676" s="85"/>
      <c r="T676" s="86">
        <v>0</v>
      </c>
      <c r="U676" s="84">
        <v>0</v>
      </c>
      <c r="V676" s="84">
        <v>125.99299999999999</v>
      </c>
      <c r="W676" s="84">
        <v>62.996499999999997</v>
      </c>
      <c r="X676" s="82">
        <v>0.35</v>
      </c>
      <c r="Y676" s="82"/>
      <c r="Z676" s="84">
        <v>62.996499999999997</v>
      </c>
      <c r="AA676" s="84">
        <v>125.99299999999999</v>
      </c>
      <c r="AB676" s="88" t="e">
        <v>#DIV/0!</v>
      </c>
      <c r="AC676" t="s">
        <v>3402</v>
      </c>
    </row>
    <row r="677" spans="3:29">
      <c r="C677" t="s">
        <v>2963</v>
      </c>
      <c r="D677" t="s">
        <v>2964</v>
      </c>
      <c r="E677" s="84">
        <v>206.99</v>
      </c>
      <c r="F677" s="84">
        <v>103.495</v>
      </c>
      <c r="G677" t="s">
        <v>3327</v>
      </c>
      <c r="H677" t="s">
        <v>3403</v>
      </c>
      <c r="I677" t="s">
        <v>3404</v>
      </c>
      <c r="J677" t="s">
        <v>2967</v>
      </c>
      <c r="K677" t="s">
        <v>2407</v>
      </c>
      <c r="L677" t="s">
        <v>646</v>
      </c>
      <c r="N677">
        <v>30</v>
      </c>
      <c r="O677">
        <v>200</v>
      </c>
      <c r="P677">
        <v>0.18</v>
      </c>
      <c r="Q677" s="84" t="e">
        <v>#REF!</v>
      </c>
      <c r="R677" s="85"/>
      <c r="S677" s="85"/>
      <c r="T677" s="86">
        <v>0</v>
      </c>
      <c r="U677" s="84">
        <v>0</v>
      </c>
      <c r="V677" s="84">
        <v>144.893</v>
      </c>
      <c r="W677" s="84">
        <v>72.4465</v>
      </c>
      <c r="X677" s="82">
        <v>0.35</v>
      </c>
      <c r="Y677" s="82"/>
      <c r="Z677" s="84">
        <v>72.4465</v>
      </c>
      <c r="AA677" s="84">
        <v>144.893</v>
      </c>
      <c r="AB677" s="88" t="e">
        <v>#DIV/0!</v>
      </c>
      <c r="AC677" t="s">
        <v>3405</v>
      </c>
    </row>
    <row r="678" spans="3:29">
      <c r="C678" t="s">
        <v>2989</v>
      </c>
      <c r="D678" t="s">
        <v>2990</v>
      </c>
      <c r="E678" s="84">
        <v>319.99</v>
      </c>
      <c r="F678" s="84">
        <v>159.995</v>
      </c>
      <c r="G678" t="s">
        <v>3327</v>
      </c>
      <c r="H678" t="s">
        <v>3406</v>
      </c>
      <c r="I678" t="s">
        <v>3407</v>
      </c>
      <c r="J678" t="s">
        <v>2993</v>
      </c>
      <c r="K678" t="s">
        <v>2994</v>
      </c>
      <c r="L678" t="s">
        <v>3408</v>
      </c>
      <c r="M678">
        <v>40</v>
      </c>
      <c r="N678">
        <v>30</v>
      </c>
      <c r="O678">
        <v>195</v>
      </c>
      <c r="P678">
        <v>0.23400000000000001</v>
      </c>
      <c r="Q678" s="84" t="e">
        <v>#REF!</v>
      </c>
      <c r="R678" s="85"/>
      <c r="S678" s="85"/>
      <c r="T678" s="86">
        <v>0</v>
      </c>
      <c r="U678" s="84">
        <v>0</v>
      </c>
      <c r="V678" s="84">
        <v>223.99299999999999</v>
      </c>
      <c r="W678" s="84">
        <v>111.9965</v>
      </c>
      <c r="X678" s="82">
        <v>0.35</v>
      </c>
      <c r="Y678" s="82"/>
      <c r="Z678" s="84">
        <v>111.9965</v>
      </c>
      <c r="AA678" s="84">
        <v>223.99299999999999</v>
      </c>
      <c r="AB678" s="88" t="e">
        <v>#DIV/0!</v>
      </c>
      <c r="AC678" t="s">
        <v>3409</v>
      </c>
    </row>
    <row r="679" spans="3:29">
      <c r="C679" t="s">
        <v>969</v>
      </c>
      <c r="D679" t="s">
        <v>3410</v>
      </c>
      <c r="E679" s="84">
        <v>328.99</v>
      </c>
      <c r="F679" s="84">
        <v>164.495</v>
      </c>
      <c r="G679" t="s">
        <v>3327</v>
      </c>
      <c r="H679" t="s">
        <v>3411</v>
      </c>
      <c r="I679" t="s">
        <v>3412</v>
      </c>
      <c r="J679" t="s">
        <v>972</v>
      </c>
      <c r="K679" t="s">
        <v>3413</v>
      </c>
      <c r="L679" t="s">
        <v>670</v>
      </c>
      <c r="M679">
        <v>45</v>
      </c>
      <c r="N679">
        <v>36</v>
      </c>
      <c r="O679">
        <v>15</v>
      </c>
      <c r="P679">
        <v>2.4299999999999999E-2</v>
      </c>
      <c r="Q679" s="84" t="e">
        <v>#REF!</v>
      </c>
      <c r="R679" s="85">
        <v>5866.2553835799899</v>
      </c>
      <c r="S679" s="85">
        <v>1100000</v>
      </c>
      <c r="T679" s="86">
        <v>1105866.25538358</v>
      </c>
      <c r="U679" s="84">
        <v>73.724417025571995</v>
      </c>
      <c r="V679" s="84">
        <v>230.29300000000001</v>
      </c>
      <c r="W679" s="84">
        <v>115.1465</v>
      </c>
      <c r="X679" s="82">
        <v>0.35</v>
      </c>
      <c r="Y679" s="87">
        <v>147.44883405114399</v>
      </c>
      <c r="Z679" s="84">
        <v>147.44883405114399</v>
      </c>
      <c r="AA679" s="84">
        <v>294.89766810228798</v>
      </c>
      <c r="AB679" s="88">
        <v>2</v>
      </c>
      <c r="AC679" t="s">
        <v>3414</v>
      </c>
    </row>
    <row r="680" spans="3:29">
      <c r="C680" t="s">
        <v>3415</v>
      </c>
      <c r="D680" t="s">
        <v>3416</v>
      </c>
      <c r="E680" s="84">
        <v>481.99</v>
      </c>
      <c r="F680" s="84">
        <v>240.995</v>
      </c>
      <c r="G680" t="s">
        <v>3327</v>
      </c>
      <c r="H680" t="s">
        <v>3417</v>
      </c>
      <c r="I680" t="s">
        <v>3418</v>
      </c>
      <c r="J680" t="s">
        <v>3419</v>
      </c>
      <c r="K680" t="s">
        <v>3413</v>
      </c>
      <c r="L680" t="s">
        <v>670</v>
      </c>
      <c r="M680">
        <v>70</v>
      </c>
      <c r="N680">
        <v>55</v>
      </c>
      <c r="O680">
        <v>20</v>
      </c>
      <c r="P680">
        <v>7.6999999999999999E-2</v>
      </c>
      <c r="Q680" s="84" t="e">
        <v>#REF!</v>
      </c>
      <c r="R680" s="85">
        <v>18588.545865670101</v>
      </c>
      <c r="S680" s="85">
        <v>1210000</v>
      </c>
      <c r="T680" s="86">
        <v>1228588.5458656701</v>
      </c>
      <c r="U680" s="84">
        <v>81.905903057711299</v>
      </c>
      <c r="V680" s="84">
        <v>337.39299999999997</v>
      </c>
      <c r="W680" s="84">
        <v>168.69649999999999</v>
      </c>
      <c r="X680" s="82">
        <v>0.35</v>
      </c>
      <c r="Y680" s="82"/>
      <c r="Z680" s="84">
        <v>168.69649999999999</v>
      </c>
      <c r="AA680" s="84">
        <v>337.39299999999997</v>
      </c>
      <c r="AB680" s="88">
        <v>2.05963787348924</v>
      </c>
      <c r="AC680" t="s">
        <v>3420</v>
      </c>
    </row>
    <row r="681" spans="3:29">
      <c r="C681" t="s">
        <v>3421</v>
      </c>
      <c r="D681" t="s">
        <v>3422</v>
      </c>
      <c r="E681" s="84">
        <v>4789.99</v>
      </c>
      <c r="F681" s="84">
        <v>2394.9949999999999</v>
      </c>
      <c r="G681" t="s">
        <v>3327</v>
      </c>
      <c r="H681" t="s">
        <v>3423</v>
      </c>
      <c r="I681" t="s">
        <v>3424</v>
      </c>
      <c r="J681" t="s">
        <v>3425</v>
      </c>
      <c r="K681" t="s">
        <v>3426</v>
      </c>
      <c r="L681" t="s">
        <v>670</v>
      </c>
      <c r="M681">
        <v>70</v>
      </c>
      <c r="N681">
        <v>40</v>
      </c>
      <c r="O681">
        <v>15</v>
      </c>
      <c r="P681">
        <v>4.2000000000000003E-2</v>
      </c>
      <c r="Q681" s="84" t="e">
        <v>#REF!</v>
      </c>
      <c r="R681" s="85">
        <v>260139.20683581999</v>
      </c>
      <c r="S681" s="85">
        <v>1375000</v>
      </c>
      <c r="T681" s="86">
        <v>1635139.2068358201</v>
      </c>
      <c r="U681" s="84">
        <v>109.009280455721</v>
      </c>
      <c r="V681" s="84">
        <v>3352.9929999999999</v>
      </c>
      <c r="W681" s="84">
        <v>1676.4965</v>
      </c>
      <c r="X681" s="82">
        <v>0.35</v>
      </c>
      <c r="Y681" s="82"/>
      <c r="Z681" s="84">
        <v>1676.4965</v>
      </c>
      <c r="AA681" s="84">
        <v>3352.9929999999999</v>
      </c>
      <c r="AB681" s="88">
        <v>15.379392405777599</v>
      </c>
      <c r="AC681" t="s">
        <v>3427</v>
      </c>
    </row>
    <row r="682" spans="3:29">
      <c r="C682">
        <v>33011</v>
      </c>
      <c r="D682" t="s">
        <v>3428</v>
      </c>
      <c r="E682" s="84">
        <v>19.989999999999998</v>
      </c>
      <c r="F682" s="84">
        <v>9.9949999999999992</v>
      </c>
      <c r="G682" t="s">
        <v>3327</v>
      </c>
      <c r="H682" t="s">
        <v>3429</v>
      </c>
      <c r="I682" t="s">
        <v>190</v>
      </c>
      <c r="J682" t="s">
        <v>3430</v>
      </c>
      <c r="K682" t="s">
        <v>3431</v>
      </c>
      <c r="L682" t="s">
        <v>670</v>
      </c>
      <c r="M682">
        <v>15</v>
      </c>
      <c r="N682">
        <v>15</v>
      </c>
      <c r="O682">
        <v>15</v>
      </c>
      <c r="P682">
        <v>3.375E-3</v>
      </c>
      <c r="Q682" s="84" t="e">
        <v>#REF!</v>
      </c>
      <c r="R682" s="85">
        <v>814.75769216420304</v>
      </c>
      <c r="S682" s="85">
        <v>70000</v>
      </c>
      <c r="T682" s="86">
        <v>70814.757692164203</v>
      </c>
      <c r="U682" s="84">
        <v>4.7209838461442803</v>
      </c>
      <c r="V682" s="84">
        <v>13.993</v>
      </c>
      <c r="W682" s="84">
        <v>6.9965000000000002</v>
      </c>
      <c r="X682" s="82">
        <v>0.35</v>
      </c>
      <c r="Y682" s="87">
        <v>9.4419676922885607</v>
      </c>
      <c r="Z682" s="84">
        <v>9.4419676922885607</v>
      </c>
      <c r="AA682" s="84">
        <v>18.8839353845771</v>
      </c>
      <c r="AB682" s="88">
        <v>2</v>
      </c>
      <c r="AC682" t="s">
        <v>3432</v>
      </c>
    </row>
    <row r="683" spans="3:29">
      <c r="C683">
        <v>33010</v>
      </c>
      <c r="D683" t="s">
        <v>3428</v>
      </c>
      <c r="E683" s="84">
        <v>20.99</v>
      </c>
      <c r="F683" s="84">
        <v>10.494999999999999</v>
      </c>
      <c r="G683" t="s">
        <v>3327</v>
      </c>
      <c r="H683" t="s">
        <v>3433</v>
      </c>
      <c r="I683" t="s">
        <v>190</v>
      </c>
      <c r="J683" t="s">
        <v>3434</v>
      </c>
      <c r="K683" t="s">
        <v>3075</v>
      </c>
      <c r="L683" t="s">
        <v>670</v>
      </c>
      <c r="M683">
        <v>15</v>
      </c>
      <c r="N683">
        <v>25</v>
      </c>
      <c r="O683">
        <v>8</v>
      </c>
      <c r="P683">
        <v>3.0000000000000001E-3</v>
      </c>
      <c r="Q683" s="84" t="e">
        <v>#REF!</v>
      </c>
      <c r="R683" s="85"/>
      <c r="S683" s="85"/>
      <c r="T683" s="86">
        <v>0</v>
      </c>
      <c r="U683" s="84">
        <v>0</v>
      </c>
      <c r="V683" s="84">
        <v>14.693</v>
      </c>
      <c r="W683" s="84">
        <v>7.3464999999999998</v>
      </c>
      <c r="X683" s="82">
        <v>0.35</v>
      </c>
      <c r="Y683" s="82"/>
      <c r="Z683" s="84">
        <v>7.3464999999999998</v>
      </c>
      <c r="AA683" s="84">
        <v>14.693</v>
      </c>
      <c r="AB683" s="88" t="e">
        <v>#DIV/0!</v>
      </c>
      <c r="AC683" t="s">
        <v>3435</v>
      </c>
    </row>
    <row r="684" spans="3:29">
      <c r="C684">
        <v>33018</v>
      </c>
      <c r="D684" t="s">
        <v>3436</v>
      </c>
      <c r="E684" s="84">
        <v>140.99</v>
      </c>
      <c r="F684" s="84">
        <v>70.495000000000005</v>
      </c>
      <c r="G684" t="s">
        <v>3327</v>
      </c>
      <c r="H684" t="s">
        <v>3437</v>
      </c>
      <c r="I684" t="s">
        <v>3438</v>
      </c>
      <c r="J684" t="s">
        <v>3439</v>
      </c>
      <c r="K684" t="s">
        <v>3440</v>
      </c>
      <c r="L684" t="s">
        <v>670</v>
      </c>
      <c r="M684">
        <v>100</v>
      </c>
      <c r="N684">
        <v>5</v>
      </c>
      <c r="O684">
        <v>180</v>
      </c>
      <c r="P684">
        <v>0.09</v>
      </c>
      <c r="Q684" s="84" t="e">
        <v>#REF!</v>
      </c>
      <c r="R684" s="85"/>
      <c r="S684" s="85"/>
      <c r="T684" s="86">
        <v>0</v>
      </c>
      <c r="U684" s="84">
        <v>0</v>
      </c>
      <c r="V684" s="84">
        <v>98.692999999999998</v>
      </c>
      <c r="W684" s="84">
        <v>49.346499999999999</v>
      </c>
      <c r="X684" s="82">
        <v>0.35</v>
      </c>
      <c r="Y684" s="82"/>
      <c r="Z684" s="84">
        <v>49.346499999999999</v>
      </c>
      <c r="AA684" s="84">
        <v>98.692999999999998</v>
      </c>
      <c r="AB684" s="88" t="e">
        <v>#DIV/0!</v>
      </c>
      <c r="AC684" t="s">
        <v>3441</v>
      </c>
    </row>
    <row r="685" spans="3:29">
      <c r="C685" t="s">
        <v>3442</v>
      </c>
      <c r="D685" t="s">
        <v>3443</v>
      </c>
      <c r="E685" s="84">
        <v>34.99</v>
      </c>
      <c r="F685" s="84">
        <v>17.495000000000001</v>
      </c>
      <c r="G685" t="s">
        <v>3327</v>
      </c>
      <c r="H685" t="s">
        <v>3444</v>
      </c>
      <c r="I685" t="s">
        <v>3445</v>
      </c>
      <c r="J685" t="s">
        <v>3446</v>
      </c>
      <c r="K685" t="s">
        <v>3447</v>
      </c>
      <c r="L685" t="s">
        <v>670</v>
      </c>
      <c r="N685">
        <v>24</v>
      </c>
      <c r="O685">
        <v>28</v>
      </c>
      <c r="P685">
        <v>1.6128E-2</v>
      </c>
      <c r="Q685" s="84" t="e">
        <v>#REF!</v>
      </c>
      <c r="R685" s="85"/>
      <c r="S685" s="85"/>
      <c r="T685" s="86">
        <v>0</v>
      </c>
      <c r="U685" s="84">
        <v>0</v>
      </c>
      <c r="V685" s="84">
        <v>24.492999999999999</v>
      </c>
      <c r="W685" s="84">
        <v>12.246499999999999</v>
      </c>
      <c r="X685" s="82">
        <v>0.35</v>
      </c>
      <c r="Y685" s="82"/>
      <c r="Z685" s="84">
        <v>12.246499999999999</v>
      </c>
      <c r="AA685" s="84">
        <v>24.492999999999999</v>
      </c>
      <c r="AB685" s="88" t="e">
        <v>#DIV/0!</v>
      </c>
      <c r="AC685" t="s">
        <v>3448</v>
      </c>
    </row>
    <row r="686" spans="3:29">
      <c r="C686" t="s">
        <v>3449</v>
      </c>
      <c r="D686" t="s">
        <v>3450</v>
      </c>
      <c r="E686" s="84">
        <v>19.989999999999998</v>
      </c>
      <c r="F686" s="84">
        <v>9.9949999999999992</v>
      </c>
      <c r="G686" t="s">
        <v>3327</v>
      </c>
      <c r="H686" t="s">
        <v>3451</v>
      </c>
      <c r="I686" t="s">
        <v>3452</v>
      </c>
      <c r="J686" t="s">
        <v>3446</v>
      </c>
      <c r="K686" t="s">
        <v>3318</v>
      </c>
      <c r="L686" t="s">
        <v>670</v>
      </c>
      <c r="N686">
        <v>24</v>
      </c>
      <c r="O686">
        <v>28</v>
      </c>
      <c r="P686">
        <v>1.6128E-2</v>
      </c>
      <c r="Q686" s="84" t="e">
        <v>#REF!</v>
      </c>
      <c r="R686" s="85"/>
      <c r="S686" s="85"/>
      <c r="T686" s="86">
        <v>0</v>
      </c>
      <c r="U686" s="84">
        <v>0</v>
      </c>
      <c r="V686" s="84">
        <v>13.993</v>
      </c>
      <c r="W686" s="84">
        <v>6.9965000000000002</v>
      </c>
      <c r="X686" s="82">
        <v>0.35</v>
      </c>
      <c r="Y686" s="82"/>
      <c r="Z686" s="84">
        <v>6.9965000000000002</v>
      </c>
      <c r="AA686" s="84">
        <v>13.993</v>
      </c>
      <c r="AB686" s="88" t="e">
        <v>#DIV/0!</v>
      </c>
      <c r="AC686" t="s">
        <v>3453</v>
      </c>
    </row>
    <row r="687" spans="3:29">
      <c r="C687" t="s">
        <v>3454</v>
      </c>
      <c r="E687" s="84"/>
      <c r="F687" s="82"/>
      <c r="R687" s="85"/>
      <c r="S687" s="85"/>
      <c r="T687" s="86"/>
      <c r="V687" s="84"/>
      <c r="W687" s="84"/>
      <c r="X687" s="82"/>
      <c r="Y687" s="82"/>
      <c r="Z687" s="82"/>
      <c r="AA687" s="82"/>
      <c r="AB687" s="88"/>
    </row>
    <row r="688" spans="3:29">
      <c r="C688" t="s">
        <v>3455</v>
      </c>
      <c r="D688" t="s">
        <v>3456</v>
      </c>
      <c r="E688" s="84">
        <v>629.99</v>
      </c>
      <c r="F688" s="84">
        <v>314.995</v>
      </c>
      <c r="G688" t="s">
        <v>3457</v>
      </c>
      <c r="H688" t="s">
        <v>3458</v>
      </c>
      <c r="I688" t="s">
        <v>3459</v>
      </c>
      <c r="J688" t="s">
        <v>3460</v>
      </c>
      <c r="K688" t="s">
        <v>3461</v>
      </c>
      <c r="L688" t="s">
        <v>670</v>
      </c>
      <c r="N688">
        <v>68</v>
      </c>
      <c r="O688">
        <v>60</v>
      </c>
      <c r="P688">
        <v>0.27744000000000002</v>
      </c>
      <c r="Q688" s="84" t="e">
        <v>#REF!</v>
      </c>
      <c r="R688" s="85"/>
      <c r="S688" s="85"/>
      <c r="T688" s="86">
        <v>0</v>
      </c>
      <c r="U688" s="84">
        <v>0</v>
      </c>
      <c r="V688" s="84">
        <v>440.99299999999999</v>
      </c>
      <c r="W688" s="84">
        <v>220.4965</v>
      </c>
      <c r="X688" s="82">
        <v>0.35</v>
      </c>
      <c r="Y688" s="82"/>
      <c r="Z688" s="84">
        <v>220.4965</v>
      </c>
      <c r="AA688" s="84">
        <v>440.99299999999999</v>
      </c>
      <c r="AB688" s="88" t="e">
        <v>#DIV/0!</v>
      </c>
      <c r="AC688" t="s">
        <v>3462</v>
      </c>
    </row>
    <row r="689" spans="3:29">
      <c r="C689" t="s">
        <v>3464</v>
      </c>
      <c r="D689" t="s">
        <v>3456</v>
      </c>
      <c r="E689" s="84">
        <v>729.99</v>
      </c>
      <c r="F689" s="84">
        <v>364.995</v>
      </c>
      <c r="G689" t="s">
        <v>3457</v>
      </c>
      <c r="H689" t="s">
        <v>3465</v>
      </c>
      <c r="I689" t="s">
        <v>3466</v>
      </c>
      <c r="J689" t="s">
        <v>3467</v>
      </c>
      <c r="K689" t="s">
        <v>3461</v>
      </c>
      <c r="L689" t="s">
        <v>670</v>
      </c>
      <c r="N689">
        <v>60</v>
      </c>
      <c r="O689">
        <v>100</v>
      </c>
      <c r="P689">
        <v>0.36</v>
      </c>
      <c r="Q689" s="84" t="e">
        <v>#REF!</v>
      </c>
      <c r="R689" s="85"/>
      <c r="S689" s="85"/>
      <c r="T689" s="86">
        <v>0</v>
      </c>
      <c r="U689" s="84">
        <v>0</v>
      </c>
      <c r="V689" s="84">
        <v>510.99299999999999</v>
      </c>
      <c r="W689" s="84">
        <v>255.4965</v>
      </c>
      <c r="X689" s="82">
        <v>0.35</v>
      </c>
      <c r="Y689" s="82"/>
      <c r="Z689" s="84">
        <v>255.4965</v>
      </c>
      <c r="AA689" s="84">
        <v>510.99299999999999</v>
      </c>
      <c r="AB689" s="88" t="e">
        <v>#DIV/0!</v>
      </c>
      <c r="AC689" t="s">
        <v>3468</v>
      </c>
    </row>
    <row r="690" spans="3:29" ht="30.75">
      <c r="C690" t="s">
        <v>3469</v>
      </c>
      <c r="D690" t="s">
        <v>3456</v>
      </c>
      <c r="E690" s="84">
        <v>0</v>
      </c>
      <c r="F690" s="84">
        <v>0</v>
      </c>
      <c r="G690" t="s">
        <v>3457</v>
      </c>
      <c r="H690" t="s">
        <v>3470</v>
      </c>
      <c r="I690" t="s">
        <v>3471</v>
      </c>
      <c r="J690" t="s">
        <v>3472</v>
      </c>
      <c r="K690" s="83" t="s">
        <v>3473</v>
      </c>
      <c r="L690" t="s">
        <v>670</v>
      </c>
      <c r="N690">
        <v>40</v>
      </c>
      <c r="O690">
        <v>120</v>
      </c>
      <c r="P690">
        <v>0.192</v>
      </c>
      <c r="Q690" s="84" t="e">
        <v>#REF!</v>
      </c>
      <c r="R690" s="85"/>
      <c r="S690" s="85"/>
      <c r="T690" s="86">
        <v>0</v>
      </c>
      <c r="U690" s="84">
        <v>0</v>
      </c>
      <c r="V690" s="84">
        <v>0</v>
      </c>
      <c r="W690" s="84">
        <v>0</v>
      </c>
      <c r="X690" s="82" t="e">
        <v>#DIV/0!</v>
      </c>
      <c r="Y690" s="82"/>
      <c r="Z690" s="84">
        <v>0</v>
      </c>
      <c r="AA690" s="84">
        <v>0</v>
      </c>
      <c r="AB690" s="88" t="e">
        <v>#DIV/0!</v>
      </c>
      <c r="AC690" t="s">
        <v>3474</v>
      </c>
    </row>
    <row r="691" spans="3:29">
      <c r="C691" t="s">
        <v>3475</v>
      </c>
      <c r="D691" t="s">
        <v>3476</v>
      </c>
      <c r="E691" s="84">
        <v>939.99</v>
      </c>
      <c r="F691" s="84">
        <v>469.995</v>
      </c>
      <c r="G691" t="s">
        <v>3457</v>
      </c>
      <c r="H691" t="s">
        <v>3477</v>
      </c>
      <c r="I691" t="s">
        <v>3478</v>
      </c>
      <c r="J691" t="s">
        <v>3479</v>
      </c>
      <c r="K691" t="s">
        <v>3461</v>
      </c>
      <c r="L691" t="s">
        <v>670</v>
      </c>
      <c r="N691">
        <v>50</v>
      </c>
      <c r="O691">
        <v>180</v>
      </c>
      <c r="P691">
        <v>0.45</v>
      </c>
      <c r="Q691" s="84" t="e">
        <v>#REF!</v>
      </c>
      <c r="R691" s="85"/>
      <c r="S691" s="85"/>
      <c r="T691" s="86">
        <v>0</v>
      </c>
      <c r="U691" s="84">
        <v>0</v>
      </c>
      <c r="V691" s="84">
        <v>657.99300000000005</v>
      </c>
      <c r="W691" s="84">
        <v>328.99650000000003</v>
      </c>
      <c r="X691" s="82">
        <v>0.35</v>
      </c>
      <c r="Y691" s="82"/>
      <c r="Z691" s="84">
        <v>328.99650000000003</v>
      </c>
      <c r="AA691" s="84">
        <v>657.99300000000005</v>
      </c>
      <c r="AB691" s="88" t="e">
        <v>#DIV/0!</v>
      </c>
      <c r="AC691" t="s">
        <v>3462</v>
      </c>
    </row>
    <row r="692" spans="3:29">
      <c r="C692" t="s">
        <v>3480</v>
      </c>
      <c r="D692" t="s">
        <v>3481</v>
      </c>
      <c r="E692" s="84">
        <v>589.99</v>
      </c>
      <c r="F692" s="84">
        <v>294.995</v>
      </c>
      <c r="G692" t="s">
        <v>3457</v>
      </c>
      <c r="H692" t="s">
        <v>3482</v>
      </c>
      <c r="I692" t="s">
        <v>3483</v>
      </c>
      <c r="J692" t="s">
        <v>3460</v>
      </c>
      <c r="K692" t="s">
        <v>3461</v>
      </c>
      <c r="L692" t="s">
        <v>670</v>
      </c>
      <c r="N692">
        <v>68</v>
      </c>
      <c r="O692">
        <v>60</v>
      </c>
      <c r="P692">
        <v>0.27744000000000002</v>
      </c>
      <c r="Q692" s="84" t="e">
        <v>#REF!</v>
      </c>
      <c r="R692" s="85"/>
      <c r="S692" s="85"/>
      <c r="T692" s="86">
        <v>0</v>
      </c>
      <c r="U692" s="84">
        <v>0</v>
      </c>
      <c r="V692" s="84">
        <v>412.99299999999999</v>
      </c>
      <c r="W692" s="84">
        <v>206.4965</v>
      </c>
      <c r="X692" s="82">
        <v>0.35</v>
      </c>
      <c r="Y692" s="82"/>
      <c r="Z692" s="84">
        <v>206.4965</v>
      </c>
      <c r="AA692" s="84">
        <v>412.99299999999999</v>
      </c>
      <c r="AB692" s="88" t="e">
        <v>#DIV/0!</v>
      </c>
      <c r="AC692" t="s">
        <v>3484</v>
      </c>
    </row>
    <row r="693" spans="3:29">
      <c r="C693" t="s">
        <v>3485</v>
      </c>
      <c r="D693" t="s">
        <v>3486</v>
      </c>
      <c r="E693" s="84">
        <v>729.99</v>
      </c>
      <c r="F693" s="84">
        <v>364.995</v>
      </c>
      <c r="G693" t="s">
        <v>3457</v>
      </c>
      <c r="H693" t="s">
        <v>3487</v>
      </c>
      <c r="I693" t="s">
        <v>3488</v>
      </c>
      <c r="J693" t="s">
        <v>3467</v>
      </c>
      <c r="K693" t="s">
        <v>3461</v>
      </c>
      <c r="L693" t="s">
        <v>670</v>
      </c>
      <c r="N693">
        <v>60</v>
      </c>
      <c r="O693">
        <v>100</v>
      </c>
      <c r="P693">
        <v>0.36</v>
      </c>
      <c r="Q693" s="84" t="e">
        <v>#REF!</v>
      </c>
      <c r="R693" s="85"/>
      <c r="S693" s="85"/>
      <c r="T693" s="86">
        <v>0</v>
      </c>
      <c r="U693" s="84">
        <v>0</v>
      </c>
      <c r="V693" s="84">
        <v>510.99299999999999</v>
      </c>
      <c r="W693" s="84">
        <v>255.4965</v>
      </c>
      <c r="X693" s="82">
        <v>0.35</v>
      </c>
      <c r="Y693" s="82"/>
      <c r="Z693" s="84">
        <v>255.4965</v>
      </c>
      <c r="AA693" s="84">
        <v>510.99299999999999</v>
      </c>
      <c r="AB693" s="88" t="e">
        <v>#DIV/0!</v>
      </c>
      <c r="AC693" t="s">
        <v>3489</v>
      </c>
    </row>
    <row r="694" spans="3:29">
      <c r="C694">
        <v>9120</v>
      </c>
      <c r="D694" t="s">
        <v>3490</v>
      </c>
      <c r="E694" s="84">
        <v>409.99</v>
      </c>
      <c r="F694" s="84">
        <v>204.995</v>
      </c>
      <c r="G694" t="s">
        <v>3457</v>
      </c>
      <c r="H694" t="s">
        <v>3491</v>
      </c>
      <c r="I694" t="s">
        <v>3492</v>
      </c>
      <c r="J694" t="s">
        <v>3472</v>
      </c>
      <c r="K694" t="s">
        <v>3461</v>
      </c>
      <c r="L694" t="s">
        <v>670</v>
      </c>
      <c r="N694">
        <v>40</v>
      </c>
      <c r="O694">
        <v>120</v>
      </c>
      <c r="P694">
        <v>0.192</v>
      </c>
      <c r="Q694" s="84" t="e">
        <v>#REF!</v>
      </c>
      <c r="R694" s="85"/>
      <c r="S694" s="85"/>
      <c r="T694" s="86">
        <v>0</v>
      </c>
      <c r="U694" s="84">
        <v>0</v>
      </c>
      <c r="V694" s="84">
        <v>286.99299999999999</v>
      </c>
      <c r="W694" s="84">
        <v>143.4965</v>
      </c>
      <c r="X694" s="82">
        <v>0.35</v>
      </c>
      <c r="Y694" s="82"/>
      <c r="Z694" s="84">
        <v>143.4965</v>
      </c>
      <c r="AA694" s="84">
        <v>286.99299999999999</v>
      </c>
      <c r="AB694" s="88" t="e">
        <v>#DIV/0!</v>
      </c>
      <c r="AC694" t="s">
        <v>3493</v>
      </c>
    </row>
    <row r="695" spans="3:29">
      <c r="C695" t="s">
        <v>3494</v>
      </c>
      <c r="D695" t="s">
        <v>3495</v>
      </c>
      <c r="E695" s="84">
        <v>869.99</v>
      </c>
      <c r="F695" s="84">
        <v>434.995</v>
      </c>
      <c r="G695" t="s">
        <v>3457</v>
      </c>
      <c r="H695" t="s">
        <v>3496</v>
      </c>
      <c r="I695" t="s">
        <v>3497</v>
      </c>
      <c r="J695" t="s">
        <v>3472</v>
      </c>
      <c r="K695" t="s">
        <v>3461</v>
      </c>
      <c r="L695" t="s">
        <v>670</v>
      </c>
      <c r="N695">
        <v>40</v>
      </c>
      <c r="O695">
        <v>120</v>
      </c>
      <c r="P695">
        <v>0.192</v>
      </c>
      <c r="Q695" s="84" t="e">
        <v>#REF!</v>
      </c>
      <c r="R695" s="85"/>
      <c r="S695" s="85"/>
      <c r="T695" s="86">
        <v>0</v>
      </c>
      <c r="U695" s="84">
        <v>0</v>
      </c>
      <c r="V695" s="84">
        <v>608.99300000000005</v>
      </c>
      <c r="W695" s="84">
        <v>304.49650000000003</v>
      </c>
      <c r="X695" s="82">
        <v>0.35</v>
      </c>
      <c r="Y695" s="82"/>
      <c r="Z695" s="84">
        <v>304.49650000000003</v>
      </c>
      <c r="AA695" s="84">
        <v>608.99300000000005</v>
      </c>
      <c r="AB695" s="88" t="e">
        <v>#DIV/0!</v>
      </c>
      <c r="AC695" t="s">
        <v>3498</v>
      </c>
    </row>
    <row r="696" spans="3:29">
      <c r="C696" t="s">
        <v>3499</v>
      </c>
      <c r="D696" t="s">
        <v>3500</v>
      </c>
      <c r="E696" s="84">
        <v>589.99</v>
      </c>
      <c r="F696" s="84">
        <v>294.995</v>
      </c>
      <c r="G696" t="s">
        <v>3457</v>
      </c>
      <c r="H696" t="s">
        <v>3501</v>
      </c>
      <c r="I696" t="s">
        <v>3502</v>
      </c>
      <c r="J696" t="s">
        <v>3472</v>
      </c>
      <c r="K696" t="s">
        <v>3461</v>
      </c>
      <c r="L696" t="s">
        <v>670</v>
      </c>
      <c r="N696">
        <v>40</v>
      </c>
      <c r="O696">
        <v>120</v>
      </c>
      <c r="P696">
        <v>0.192</v>
      </c>
      <c r="Q696" s="84" t="e">
        <v>#REF!</v>
      </c>
      <c r="R696" s="85"/>
      <c r="S696" s="85"/>
      <c r="T696" s="86">
        <v>0</v>
      </c>
      <c r="U696" s="84">
        <v>0</v>
      </c>
      <c r="V696" s="84">
        <v>412.99299999999999</v>
      </c>
      <c r="W696" s="84">
        <v>206.4965</v>
      </c>
      <c r="X696" s="82">
        <v>0.35</v>
      </c>
      <c r="Y696" s="82"/>
      <c r="Z696" s="84">
        <v>206.4965</v>
      </c>
      <c r="AA696" s="84">
        <v>412.99299999999999</v>
      </c>
      <c r="AB696" s="88" t="e">
        <v>#DIV/0!</v>
      </c>
      <c r="AC696" t="s">
        <v>3503</v>
      </c>
    </row>
    <row r="697" spans="3:29">
      <c r="C697" t="s">
        <v>3504</v>
      </c>
      <c r="D697" t="s">
        <v>3505</v>
      </c>
      <c r="E697" s="84">
        <v>589.99</v>
      </c>
      <c r="F697" s="84">
        <v>294.995</v>
      </c>
      <c r="G697" t="s">
        <v>3457</v>
      </c>
      <c r="H697" t="s">
        <v>3506</v>
      </c>
      <c r="I697" t="s">
        <v>3507</v>
      </c>
      <c r="J697" t="s">
        <v>3472</v>
      </c>
      <c r="K697" t="s">
        <v>3461</v>
      </c>
      <c r="L697" t="s">
        <v>670</v>
      </c>
      <c r="N697">
        <v>40</v>
      </c>
      <c r="O697">
        <v>120</v>
      </c>
      <c r="P697">
        <v>0.192</v>
      </c>
      <c r="Q697" s="84" t="e">
        <v>#REF!</v>
      </c>
      <c r="R697" s="85"/>
      <c r="S697" s="85"/>
      <c r="T697" s="86">
        <v>0</v>
      </c>
      <c r="U697" s="84">
        <v>0</v>
      </c>
      <c r="V697" s="84">
        <v>412.99299999999999</v>
      </c>
      <c r="W697" s="84">
        <v>206.4965</v>
      </c>
      <c r="X697" s="82">
        <v>0.35</v>
      </c>
      <c r="Y697" s="82"/>
      <c r="Z697" s="84">
        <v>206.4965</v>
      </c>
      <c r="AA697" s="84">
        <v>412.99299999999999</v>
      </c>
      <c r="AB697" s="88" t="e">
        <v>#DIV/0!</v>
      </c>
      <c r="AC697" t="s">
        <v>3508</v>
      </c>
    </row>
    <row r="698" spans="3:29">
      <c r="C698">
        <v>9180</v>
      </c>
      <c r="D698" t="s">
        <v>3509</v>
      </c>
      <c r="E698" s="84">
        <v>989.99</v>
      </c>
      <c r="F698" s="84">
        <v>494.995</v>
      </c>
      <c r="G698" t="s">
        <v>3457</v>
      </c>
      <c r="H698" t="s">
        <v>3510</v>
      </c>
      <c r="I698" t="s">
        <v>3511</v>
      </c>
      <c r="J698" t="s">
        <v>3479</v>
      </c>
      <c r="K698" t="s">
        <v>3461</v>
      </c>
      <c r="L698" t="s">
        <v>670</v>
      </c>
      <c r="N698">
        <v>50</v>
      </c>
      <c r="O698">
        <v>180</v>
      </c>
      <c r="P698">
        <v>0.45</v>
      </c>
      <c r="Q698" s="84" t="e">
        <v>#REF!</v>
      </c>
      <c r="R698" s="85"/>
      <c r="S698" s="85"/>
      <c r="T698" s="86">
        <v>0</v>
      </c>
      <c r="U698" s="84">
        <v>0</v>
      </c>
      <c r="V698" s="84">
        <v>692.99300000000005</v>
      </c>
      <c r="W698" s="84">
        <v>346.49650000000003</v>
      </c>
      <c r="X698" s="82">
        <v>0.35</v>
      </c>
      <c r="Y698" s="82"/>
      <c r="Z698" s="84">
        <v>346.49650000000003</v>
      </c>
      <c r="AA698" s="84">
        <v>692.99300000000005</v>
      </c>
      <c r="AB698" s="88" t="e">
        <v>#DIV/0!</v>
      </c>
      <c r="AC698" t="s">
        <v>3512</v>
      </c>
    </row>
    <row r="699" spans="3:29">
      <c r="C699" t="s">
        <v>3513</v>
      </c>
      <c r="D699" t="s">
        <v>3514</v>
      </c>
      <c r="E699" s="84">
        <v>1459.99</v>
      </c>
      <c r="F699" s="84">
        <v>729.995</v>
      </c>
      <c r="G699" t="s">
        <v>3457</v>
      </c>
      <c r="H699" t="s">
        <v>3515</v>
      </c>
      <c r="I699" t="s">
        <v>3516</v>
      </c>
      <c r="J699" t="s">
        <v>3479</v>
      </c>
      <c r="K699" t="s">
        <v>3461</v>
      </c>
      <c r="L699" t="s">
        <v>670</v>
      </c>
      <c r="N699">
        <v>50</v>
      </c>
      <c r="O699">
        <v>180</v>
      </c>
      <c r="P699">
        <v>0.45</v>
      </c>
      <c r="Q699" s="84" t="e">
        <v>#REF!</v>
      </c>
      <c r="R699" s="85"/>
      <c r="S699" s="85"/>
      <c r="T699" s="86">
        <v>0</v>
      </c>
      <c r="U699" s="84">
        <v>0</v>
      </c>
      <c r="V699" s="84">
        <v>1021.9930000000001</v>
      </c>
      <c r="W699" s="84">
        <v>510.99650000000003</v>
      </c>
      <c r="X699" s="82">
        <v>0.35</v>
      </c>
      <c r="Y699" s="82"/>
      <c r="Z699" s="84">
        <v>510.99650000000003</v>
      </c>
      <c r="AA699" s="84">
        <v>1021.9930000000001</v>
      </c>
      <c r="AB699" s="88" t="e">
        <v>#DIV/0!</v>
      </c>
      <c r="AC699" t="s">
        <v>3517</v>
      </c>
    </row>
    <row r="700" spans="3:29">
      <c r="C700" t="s">
        <v>3518</v>
      </c>
      <c r="D700" t="s">
        <v>3519</v>
      </c>
      <c r="E700" s="84">
        <v>1109.99</v>
      </c>
      <c r="F700" s="84">
        <v>554.995</v>
      </c>
      <c r="G700" t="s">
        <v>3457</v>
      </c>
      <c r="H700" t="s">
        <v>3520</v>
      </c>
      <c r="I700" t="s">
        <v>3521</v>
      </c>
      <c r="J700" t="s">
        <v>3479</v>
      </c>
      <c r="K700" t="s">
        <v>3461</v>
      </c>
      <c r="L700" t="s">
        <v>670</v>
      </c>
      <c r="N700">
        <v>50</v>
      </c>
      <c r="O700">
        <v>180</v>
      </c>
      <c r="P700">
        <v>0.45</v>
      </c>
      <c r="Q700" s="84" t="e">
        <v>#REF!</v>
      </c>
      <c r="R700" s="85"/>
      <c r="S700" s="85"/>
      <c r="T700" s="86">
        <v>0</v>
      </c>
      <c r="U700" s="84">
        <v>0</v>
      </c>
      <c r="V700" s="84">
        <v>776.99300000000005</v>
      </c>
      <c r="W700" s="84">
        <v>388.49650000000003</v>
      </c>
      <c r="X700" s="82">
        <v>0.35</v>
      </c>
      <c r="Y700" s="82"/>
      <c r="Z700" s="84">
        <v>388.49650000000003</v>
      </c>
      <c r="AA700" s="84">
        <v>776.99300000000005</v>
      </c>
      <c r="AB700" s="88" t="e">
        <v>#DIV/0!</v>
      </c>
      <c r="AC700" t="s">
        <v>3522</v>
      </c>
    </row>
    <row r="701" spans="3:29">
      <c r="C701" t="s">
        <v>3523</v>
      </c>
      <c r="D701" t="s">
        <v>3524</v>
      </c>
      <c r="E701" s="84">
        <v>1109.99</v>
      </c>
      <c r="F701" s="84">
        <v>554.995</v>
      </c>
      <c r="G701" t="s">
        <v>3457</v>
      </c>
      <c r="H701" t="s">
        <v>3525</v>
      </c>
      <c r="I701" t="s">
        <v>3526</v>
      </c>
      <c r="J701" t="s">
        <v>3479</v>
      </c>
      <c r="K701" t="s">
        <v>3461</v>
      </c>
      <c r="L701" t="s">
        <v>670</v>
      </c>
      <c r="N701">
        <v>50</v>
      </c>
      <c r="O701">
        <v>180</v>
      </c>
      <c r="P701">
        <v>0.45</v>
      </c>
      <c r="Q701" s="84" t="e">
        <v>#REF!</v>
      </c>
      <c r="R701" s="85"/>
      <c r="S701" s="85"/>
      <c r="T701" s="86">
        <v>0</v>
      </c>
      <c r="U701" s="84">
        <v>0</v>
      </c>
      <c r="V701" s="84">
        <v>776.99300000000005</v>
      </c>
      <c r="W701" s="84">
        <v>388.49650000000003</v>
      </c>
      <c r="X701" s="82">
        <v>0.35</v>
      </c>
      <c r="Y701" s="82"/>
      <c r="Z701" s="84">
        <v>388.49650000000003</v>
      </c>
      <c r="AA701" s="84">
        <v>776.99300000000005</v>
      </c>
      <c r="AB701" s="88" t="e">
        <v>#DIV/0!</v>
      </c>
      <c r="AC701" t="s">
        <v>3527</v>
      </c>
    </row>
    <row r="702" spans="3:29">
      <c r="C702" t="s">
        <v>3528</v>
      </c>
      <c r="D702" t="s">
        <v>3529</v>
      </c>
      <c r="E702" s="84">
        <v>859.99</v>
      </c>
      <c r="F702" s="84">
        <v>429.995</v>
      </c>
      <c r="G702" t="s">
        <v>3457</v>
      </c>
      <c r="H702" t="s">
        <v>3530</v>
      </c>
      <c r="I702" t="s">
        <v>428</v>
      </c>
      <c r="J702" t="s">
        <v>3531</v>
      </c>
      <c r="K702" t="s">
        <v>3532</v>
      </c>
      <c r="L702" t="s">
        <v>646</v>
      </c>
      <c r="N702">
        <v>40</v>
      </c>
      <c r="O702">
        <v>34</v>
      </c>
      <c r="P702">
        <v>5.4399999999999997E-2</v>
      </c>
      <c r="Q702" s="84" t="e">
        <v>#REF!</v>
      </c>
      <c r="R702" s="85"/>
      <c r="S702" s="85"/>
      <c r="T702" s="86">
        <v>0</v>
      </c>
      <c r="U702" s="84">
        <v>0</v>
      </c>
      <c r="V702" s="84">
        <v>601.99300000000005</v>
      </c>
      <c r="W702" s="84">
        <v>300.99650000000003</v>
      </c>
      <c r="X702" s="82">
        <v>0.35</v>
      </c>
      <c r="Y702" s="82"/>
      <c r="Z702" s="84">
        <v>300.99650000000003</v>
      </c>
      <c r="AA702" s="84">
        <v>601.99300000000005</v>
      </c>
      <c r="AB702" s="88" t="e">
        <v>#DIV/0!</v>
      </c>
      <c r="AC702" t="s">
        <v>3533</v>
      </c>
    </row>
    <row r="703" spans="3:29">
      <c r="C703" t="s">
        <v>3534</v>
      </c>
      <c r="D703" t="s">
        <v>3529</v>
      </c>
      <c r="E703" s="84">
        <v>2279.9899999999998</v>
      </c>
      <c r="F703" s="84">
        <v>1139.9949999999999</v>
      </c>
      <c r="G703" t="s">
        <v>3457</v>
      </c>
      <c r="H703" t="s">
        <v>3535</v>
      </c>
      <c r="I703" t="s">
        <v>428</v>
      </c>
      <c r="J703" t="s">
        <v>3536</v>
      </c>
      <c r="K703" t="s">
        <v>3532</v>
      </c>
      <c r="L703" t="s">
        <v>646</v>
      </c>
      <c r="N703">
        <v>80</v>
      </c>
      <c r="O703">
        <v>69</v>
      </c>
      <c r="P703">
        <v>0.44159999999999999</v>
      </c>
      <c r="Q703" s="84" t="e">
        <v>#REF!</v>
      </c>
      <c r="R703" s="85"/>
      <c r="S703" s="85"/>
      <c r="T703" s="86">
        <v>0</v>
      </c>
      <c r="U703" s="84">
        <v>0</v>
      </c>
      <c r="V703" s="84">
        <v>1595.9929999999999</v>
      </c>
      <c r="W703" s="84">
        <v>797.99649999999997</v>
      </c>
      <c r="X703" s="82">
        <v>0.35</v>
      </c>
      <c r="Y703" s="82"/>
      <c r="Z703" s="84">
        <v>797.99649999999997</v>
      </c>
      <c r="AA703" s="84">
        <v>1595.9929999999999</v>
      </c>
      <c r="AB703" s="88" t="e">
        <v>#DIV/0!</v>
      </c>
      <c r="AC703" t="s">
        <v>3537</v>
      </c>
    </row>
    <row r="704" spans="3:29">
      <c r="C704" t="s">
        <v>3538</v>
      </c>
      <c r="D704" t="s">
        <v>3529</v>
      </c>
      <c r="E704" s="84">
        <v>4769.99</v>
      </c>
      <c r="F704" s="84">
        <v>2384.9949999999999</v>
      </c>
      <c r="G704" t="s">
        <v>3457</v>
      </c>
      <c r="H704" t="s">
        <v>3539</v>
      </c>
      <c r="I704" t="s">
        <v>428</v>
      </c>
      <c r="J704" t="s">
        <v>3540</v>
      </c>
      <c r="K704" t="s">
        <v>3532</v>
      </c>
      <c r="L704" t="s">
        <v>646</v>
      </c>
      <c r="N704">
        <v>120</v>
      </c>
      <c r="O704">
        <v>104</v>
      </c>
      <c r="P704">
        <v>1.4976</v>
      </c>
      <c r="Q704" s="84" t="e">
        <v>#REF!</v>
      </c>
      <c r="R704" s="85"/>
      <c r="S704" s="85"/>
      <c r="T704" s="86">
        <v>0</v>
      </c>
      <c r="U704" s="84">
        <v>0</v>
      </c>
      <c r="V704" s="84">
        <v>3338.9929999999999</v>
      </c>
      <c r="W704" s="84">
        <v>1669.4965</v>
      </c>
      <c r="X704" s="82">
        <v>0.35</v>
      </c>
      <c r="Y704" s="82"/>
      <c r="Z704" s="84">
        <v>1669.4965</v>
      </c>
      <c r="AA704" s="84">
        <v>3338.9929999999999</v>
      </c>
      <c r="AB704" s="88" t="e">
        <v>#DIV/0!</v>
      </c>
      <c r="AC704" t="s">
        <v>3537</v>
      </c>
    </row>
    <row r="705" spans="3:29">
      <c r="C705" t="s">
        <v>3541</v>
      </c>
      <c r="D705" t="s">
        <v>3542</v>
      </c>
      <c r="E705" s="84">
        <v>8.99</v>
      </c>
      <c r="F705" s="84">
        <v>4.4950000000000001</v>
      </c>
      <c r="G705" t="s">
        <v>3457</v>
      </c>
      <c r="H705" t="s">
        <v>3543</v>
      </c>
      <c r="I705" t="s">
        <v>539</v>
      </c>
      <c r="J705" t="s">
        <v>3544</v>
      </c>
      <c r="K705" t="s">
        <v>2943</v>
      </c>
      <c r="L705" t="s">
        <v>646</v>
      </c>
      <c r="M705">
        <v>15</v>
      </c>
      <c r="N705">
        <v>15</v>
      </c>
      <c r="O705">
        <v>6</v>
      </c>
      <c r="P705">
        <v>1.3500000000000001E-3</v>
      </c>
      <c r="Q705" s="84" t="e">
        <v>#REF!</v>
      </c>
      <c r="R705" s="85"/>
      <c r="S705" s="85"/>
      <c r="T705" s="86">
        <v>0</v>
      </c>
      <c r="U705" s="84">
        <v>0</v>
      </c>
      <c r="V705" s="84">
        <v>6.2930000000000001</v>
      </c>
      <c r="W705" s="84">
        <v>3.1465000000000001</v>
      </c>
      <c r="X705" s="82">
        <v>0.35</v>
      </c>
      <c r="Y705" s="82"/>
      <c r="Z705" s="84">
        <v>3.1465000000000001</v>
      </c>
      <c r="AA705" s="84">
        <v>6.2930000000000001</v>
      </c>
      <c r="AB705" s="88" t="e">
        <v>#DIV/0!</v>
      </c>
      <c r="AC705" t="s">
        <v>3545</v>
      </c>
    </row>
    <row r="706" spans="3:29">
      <c r="C706" t="s">
        <v>3546</v>
      </c>
      <c r="D706" t="s">
        <v>3542</v>
      </c>
      <c r="E706" s="84">
        <v>11.99</v>
      </c>
      <c r="F706" s="84">
        <v>5.9950000000000001</v>
      </c>
      <c r="G706" t="s">
        <v>3457</v>
      </c>
      <c r="H706" t="s">
        <v>3547</v>
      </c>
      <c r="I706" t="s">
        <v>539</v>
      </c>
      <c r="J706" t="s">
        <v>3548</v>
      </c>
      <c r="K706" t="s">
        <v>2943</v>
      </c>
      <c r="L706" t="s">
        <v>646</v>
      </c>
      <c r="M706">
        <v>15</v>
      </c>
      <c r="N706">
        <v>15</v>
      </c>
      <c r="O706">
        <v>11</v>
      </c>
      <c r="P706">
        <v>2.4750000000000002E-3</v>
      </c>
      <c r="Q706" s="84" t="e">
        <v>#REF!</v>
      </c>
      <c r="R706" s="85"/>
      <c r="S706" s="85"/>
      <c r="T706" s="86">
        <v>0</v>
      </c>
      <c r="U706" s="84">
        <v>0</v>
      </c>
      <c r="V706" s="84">
        <v>8.3930000000000007</v>
      </c>
      <c r="W706" s="84">
        <v>4.1965000000000003</v>
      </c>
      <c r="X706" s="82">
        <v>0.35</v>
      </c>
      <c r="Y706" s="82"/>
      <c r="Z706" s="84">
        <v>4.1965000000000003</v>
      </c>
      <c r="AA706" s="84">
        <v>8.3930000000000007</v>
      </c>
      <c r="AB706" s="88" t="e">
        <v>#DIV/0!</v>
      </c>
      <c r="AC706" t="s">
        <v>3549</v>
      </c>
    </row>
    <row r="707" spans="3:29">
      <c r="C707" t="s">
        <v>3550</v>
      </c>
      <c r="D707" t="s">
        <v>3542</v>
      </c>
      <c r="E707" s="84">
        <v>21.99</v>
      </c>
      <c r="F707" s="84">
        <v>10.994999999999999</v>
      </c>
      <c r="G707" t="s">
        <v>3457</v>
      </c>
      <c r="H707" t="s">
        <v>3551</v>
      </c>
      <c r="I707" t="s">
        <v>539</v>
      </c>
      <c r="J707" t="s">
        <v>3552</v>
      </c>
      <c r="K707" t="s">
        <v>2943</v>
      </c>
      <c r="L707" t="s">
        <v>646</v>
      </c>
      <c r="M707">
        <v>40</v>
      </c>
      <c r="N707">
        <v>15</v>
      </c>
      <c r="O707">
        <v>11</v>
      </c>
      <c r="P707">
        <v>6.6E-3</v>
      </c>
      <c r="Q707" s="84" t="e">
        <v>#REF!</v>
      </c>
      <c r="R707" s="85"/>
      <c r="S707" s="85"/>
      <c r="T707" s="86">
        <v>0</v>
      </c>
      <c r="U707" s="84">
        <v>0</v>
      </c>
      <c r="V707" s="84">
        <v>15.393000000000001</v>
      </c>
      <c r="W707" s="84">
        <v>7.6965000000000003</v>
      </c>
      <c r="X707" s="82">
        <v>0.35</v>
      </c>
      <c r="Y707" s="82"/>
      <c r="Z707" s="84">
        <v>7.6965000000000003</v>
      </c>
      <c r="AA707" s="84">
        <v>15.393000000000001</v>
      </c>
      <c r="AB707" s="88" t="e">
        <v>#DIV/0!</v>
      </c>
      <c r="AC707" t="s">
        <v>3553</v>
      </c>
    </row>
    <row r="708" spans="3:29">
      <c r="C708" t="s">
        <v>3554</v>
      </c>
      <c r="D708" t="s">
        <v>3542</v>
      </c>
      <c r="E708" s="84">
        <v>20.99</v>
      </c>
      <c r="F708" s="84">
        <v>10.494999999999999</v>
      </c>
      <c r="G708" t="s">
        <v>3457</v>
      </c>
      <c r="H708" t="s">
        <v>3555</v>
      </c>
      <c r="I708" t="s">
        <v>539</v>
      </c>
      <c r="J708" t="s">
        <v>3556</v>
      </c>
      <c r="K708" t="s">
        <v>2943</v>
      </c>
      <c r="L708" t="s">
        <v>646</v>
      </c>
      <c r="M708">
        <v>50</v>
      </c>
      <c r="N708">
        <v>15</v>
      </c>
      <c r="O708">
        <v>6</v>
      </c>
      <c r="P708">
        <v>4.4999999999999997E-3</v>
      </c>
      <c r="Q708" s="84" t="e">
        <v>#REF!</v>
      </c>
      <c r="R708" s="85"/>
      <c r="S708" s="85"/>
      <c r="T708" s="86">
        <v>0</v>
      </c>
      <c r="U708" s="84">
        <v>0</v>
      </c>
      <c r="V708" s="84">
        <v>14.693</v>
      </c>
      <c r="W708" s="84">
        <v>7.3464999999999998</v>
      </c>
      <c r="X708" s="82">
        <v>0.35</v>
      </c>
      <c r="Y708" s="82"/>
      <c r="Z708" s="84">
        <v>7.3464999999999998</v>
      </c>
      <c r="AA708" s="84">
        <v>14.693</v>
      </c>
      <c r="AB708" s="88" t="e">
        <v>#DIV/0!</v>
      </c>
      <c r="AC708" t="s">
        <v>3553</v>
      </c>
    </row>
    <row r="709" spans="3:29">
      <c r="C709" t="s">
        <v>3557</v>
      </c>
      <c r="D709" t="s">
        <v>3542</v>
      </c>
      <c r="E709" s="84">
        <v>28.99</v>
      </c>
      <c r="F709" s="84">
        <v>14.494999999999999</v>
      </c>
      <c r="G709" t="s">
        <v>3457</v>
      </c>
      <c r="H709" t="s">
        <v>3558</v>
      </c>
      <c r="I709" t="s">
        <v>539</v>
      </c>
      <c r="J709" t="s">
        <v>3559</v>
      </c>
      <c r="K709" t="s">
        <v>2943</v>
      </c>
      <c r="L709" t="s">
        <v>646</v>
      </c>
      <c r="M709">
        <v>50</v>
      </c>
      <c r="N709">
        <v>20</v>
      </c>
      <c r="O709">
        <v>11</v>
      </c>
      <c r="P709">
        <v>1.0999999999999999E-2</v>
      </c>
      <c r="Q709" s="84" t="e">
        <v>#REF!</v>
      </c>
      <c r="R709" s="85"/>
      <c r="S709" s="85"/>
      <c r="T709" s="86">
        <v>0</v>
      </c>
      <c r="U709" s="84">
        <v>0</v>
      </c>
      <c r="V709" s="84">
        <v>20.292999999999999</v>
      </c>
      <c r="W709" s="84">
        <v>10.1465</v>
      </c>
      <c r="X709" s="82">
        <v>0.35</v>
      </c>
      <c r="Y709" s="82"/>
      <c r="Z709" s="84">
        <v>10.1465</v>
      </c>
      <c r="AA709" s="84">
        <v>20.292999999999999</v>
      </c>
      <c r="AB709" s="88" t="e">
        <v>#DIV/0!</v>
      </c>
      <c r="AC709" t="s">
        <v>3560</v>
      </c>
    </row>
    <row r="710" spans="3:29">
      <c r="C710" t="s">
        <v>3561</v>
      </c>
      <c r="D710" t="s">
        <v>3542</v>
      </c>
      <c r="E710" s="84">
        <v>24.99</v>
      </c>
      <c r="F710" s="84">
        <v>12.494999999999999</v>
      </c>
      <c r="G710" t="s">
        <v>3457</v>
      </c>
      <c r="H710" t="s">
        <v>3562</v>
      </c>
      <c r="I710" t="s">
        <v>539</v>
      </c>
      <c r="J710" t="s">
        <v>3563</v>
      </c>
      <c r="K710" t="s">
        <v>2943</v>
      </c>
      <c r="L710" t="s">
        <v>646</v>
      </c>
      <c r="M710">
        <v>50</v>
      </c>
      <c r="N710">
        <v>22</v>
      </c>
      <c r="O710">
        <v>6</v>
      </c>
      <c r="P710">
        <v>6.6E-3</v>
      </c>
      <c r="Q710" s="84" t="e">
        <v>#REF!</v>
      </c>
      <c r="R710" s="85"/>
      <c r="S710" s="85"/>
      <c r="T710" s="86">
        <v>0</v>
      </c>
      <c r="U710" s="84">
        <v>0</v>
      </c>
      <c r="V710" s="84">
        <v>17.492999999999999</v>
      </c>
      <c r="W710" s="84">
        <v>8.7464999999999993</v>
      </c>
      <c r="X710" s="82">
        <v>0.35</v>
      </c>
      <c r="Y710" s="82"/>
      <c r="Z710" s="84">
        <v>8.7464999999999993</v>
      </c>
      <c r="AA710" s="84">
        <v>17.492999999999999</v>
      </c>
      <c r="AB710" s="88" t="e">
        <v>#DIV/0!</v>
      </c>
      <c r="AC710" t="s">
        <v>3553</v>
      </c>
    </row>
    <row r="711" spans="3:29">
      <c r="C711" t="s">
        <v>3564</v>
      </c>
      <c r="D711" t="s">
        <v>3542</v>
      </c>
      <c r="E711" s="84">
        <v>24.99</v>
      </c>
      <c r="F711" s="84">
        <v>12.494999999999999</v>
      </c>
      <c r="G711" t="s">
        <v>3457</v>
      </c>
      <c r="H711" t="s">
        <v>3565</v>
      </c>
      <c r="I711" t="s">
        <v>539</v>
      </c>
      <c r="J711" t="s">
        <v>3566</v>
      </c>
      <c r="K711" t="s">
        <v>2943</v>
      </c>
      <c r="L711" t="s">
        <v>646</v>
      </c>
      <c r="M711">
        <v>50</v>
      </c>
      <c r="N711">
        <v>22</v>
      </c>
      <c r="O711">
        <v>11</v>
      </c>
      <c r="P711">
        <v>1.21E-2</v>
      </c>
      <c r="Q711" s="84" t="e">
        <v>#REF!</v>
      </c>
      <c r="R711" s="85"/>
      <c r="S711" s="85"/>
      <c r="T711" s="86">
        <v>0</v>
      </c>
      <c r="U711" s="84">
        <v>0</v>
      </c>
      <c r="V711" s="84">
        <v>17.492999999999999</v>
      </c>
      <c r="W711" s="84">
        <v>8.7464999999999993</v>
      </c>
      <c r="X711" s="82">
        <v>0.35</v>
      </c>
      <c r="Y711" s="82"/>
      <c r="Z711" s="84">
        <v>8.7464999999999993</v>
      </c>
      <c r="AA711" s="84">
        <v>17.492999999999999</v>
      </c>
      <c r="AB711" s="88" t="e">
        <v>#DIV/0!</v>
      </c>
      <c r="AC711" t="s">
        <v>3545</v>
      </c>
    </row>
    <row r="712" spans="3:29">
      <c r="C712" t="s">
        <v>3567</v>
      </c>
      <c r="D712" t="s">
        <v>3542</v>
      </c>
      <c r="E712" s="84">
        <v>42.99</v>
      </c>
      <c r="F712" s="84">
        <v>21.495000000000001</v>
      </c>
      <c r="G712" t="s">
        <v>3457</v>
      </c>
      <c r="H712" t="s">
        <v>3568</v>
      </c>
      <c r="I712" t="s">
        <v>539</v>
      </c>
      <c r="J712" t="s">
        <v>3569</v>
      </c>
      <c r="K712" t="s">
        <v>2943</v>
      </c>
      <c r="L712" t="s">
        <v>646</v>
      </c>
      <c r="M712">
        <v>50</v>
      </c>
      <c r="N712">
        <v>47</v>
      </c>
      <c r="O712">
        <v>11</v>
      </c>
      <c r="P712">
        <v>2.5850000000000001E-2</v>
      </c>
      <c r="Q712" s="84" t="e">
        <v>#REF!</v>
      </c>
      <c r="R712" s="85"/>
      <c r="S712" s="85"/>
      <c r="T712" s="86">
        <v>0</v>
      </c>
      <c r="U712" s="84">
        <v>0</v>
      </c>
      <c r="V712" s="84">
        <v>30.093</v>
      </c>
      <c r="W712" s="84">
        <v>15.0465</v>
      </c>
      <c r="X712" s="82">
        <v>0.35</v>
      </c>
      <c r="Y712" s="82"/>
      <c r="Z712" s="84">
        <v>15.0465</v>
      </c>
      <c r="AA712" s="84">
        <v>30.093</v>
      </c>
      <c r="AB712" s="88" t="e">
        <v>#DIV/0!</v>
      </c>
      <c r="AC712" t="s">
        <v>3553</v>
      </c>
    </row>
    <row r="713" spans="3:29">
      <c r="C713">
        <v>21917</v>
      </c>
      <c r="D713" t="s">
        <v>3570</v>
      </c>
      <c r="E713" s="84">
        <v>168.99</v>
      </c>
      <c r="F713" s="84">
        <v>84.495000000000005</v>
      </c>
      <c r="G713" t="s">
        <v>3457</v>
      </c>
      <c r="H713" t="s">
        <v>3571</v>
      </c>
      <c r="I713" t="s">
        <v>3572</v>
      </c>
      <c r="J713" t="s">
        <v>3288</v>
      </c>
      <c r="K713" t="s">
        <v>3573</v>
      </c>
      <c r="L713" t="s">
        <v>670</v>
      </c>
      <c r="N713">
        <v>60</v>
      </c>
      <c r="O713">
        <v>60</v>
      </c>
      <c r="P713">
        <v>0.216</v>
      </c>
      <c r="Q713" s="84" t="e">
        <v>#REF!</v>
      </c>
      <c r="R713" s="85"/>
      <c r="S713" s="85"/>
      <c r="T713" s="86">
        <v>0</v>
      </c>
      <c r="U713" s="84">
        <v>0</v>
      </c>
      <c r="V713" s="84">
        <v>118.29300000000001</v>
      </c>
      <c r="W713" s="84">
        <v>59.146500000000003</v>
      </c>
      <c r="X713" s="82">
        <v>0.35</v>
      </c>
      <c r="Y713" s="82"/>
      <c r="Z713" s="84">
        <v>59.146500000000003</v>
      </c>
      <c r="AA713" s="84">
        <v>118.29300000000001</v>
      </c>
      <c r="AB713" s="88" t="e">
        <v>#DIV/0!</v>
      </c>
      <c r="AC713" t="s">
        <v>3574</v>
      </c>
    </row>
    <row r="714" spans="3:29">
      <c r="C714">
        <v>21959</v>
      </c>
      <c r="D714" t="s">
        <v>3575</v>
      </c>
      <c r="E714" s="84">
        <v>47.99</v>
      </c>
      <c r="F714" s="84">
        <v>23.995000000000001</v>
      </c>
      <c r="G714" t="s">
        <v>3457</v>
      </c>
      <c r="H714" t="s">
        <v>3576</v>
      </c>
      <c r="I714" t="s">
        <v>245</v>
      </c>
      <c r="J714" t="s">
        <v>3577</v>
      </c>
      <c r="K714" t="s">
        <v>3578</v>
      </c>
      <c r="L714" t="s">
        <v>670</v>
      </c>
      <c r="N714">
        <v>20</v>
      </c>
      <c r="O714">
        <v>18</v>
      </c>
      <c r="P714">
        <v>7.1999999999999998E-3</v>
      </c>
      <c r="Q714" s="84" t="e">
        <v>#REF!</v>
      </c>
      <c r="R714" s="85"/>
      <c r="S714" s="85"/>
      <c r="T714" s="86">
        <v>0</v>
      </c>
      <c r="U714" s="84">
        <v>0</v>
      </c>
      <c r="V714" s="84">
        <v>33.593000000000004</v>
      </c>
      <c r="W714" s="84">
        <v>16.796500000000002</v>
      </c>
      <c r="X714" s="82">
        <v>0.35</v>
      </c>
      <c r="Y714" s="82"/>
      <c r="Z714" s="84">
        <v>16.796500000000002</v>
      </c>
      <c r="AA714" s="84">
        <v>33.593000000000004</v>
      </c>
      <c r="AB714" s="88" t="e">
        <v>#DIV/0!</v>
      </c>
      <c r="AC714" t="s">
        <v>3579</v>
      </c>
    </row>
    <row r="715" spans="3:29">
      <c r="C715">
        <v>21958</v>
      </c>
      <c r="D715" t="s">
        <v>3575</v>
      </c>
      <c r="E715" s="84">
        <v>94.99</v>
      </c>
      <c r="F715" s="84">
        <v>47.494999999999997</v>
      </c>
      <c r="G715" t="s">
        <v>3457</v>
      </c>
      <c r="H715" t="s">
        <v>3580</v>
      </c>
      <c r="I715" t="s">
        <v>245</v>
      </c>
      <c r="J715" t="s">
        <v>3581</v>
      </c>
      <c r="K715" t="s">
        <v>3578</v>
      </c>
      <c r="L715" t="s">
        <v>670</v>
      </c>
      <c r="N715">
        <v>32</v>
      </c>
      <c r="O715">
        <v>28</v>
      </c>
      <c r="P715">
        <v>2.8672E-2</v>
      </c>
      <c r="Q715" s="84" t="e">
        <v>#REF!</v>
      </c>
      <c r="R715" s="85"/>
      <c r="S715" s="85"/>
      <c r="T715" s="86">
        <v>0</v>
      </c>
      <c r="U715" s="84">
        <v>0</v>
      </c>
      <c r="V715" s="84">
        <v>66.492999999999995</v>
      </c>
      <c r="W715" s="84">
        <v>33.246499999999997</v>
      </c>
      <c r="X715" s="82">
        <v>0.35</v>
      </c>
      <c r="Y715" s="82"/>
      <c r="Z715" s="84">
        <v>33.246499999999997</v>
      </c>
      <c r="AA715" s="84">
        <v>66.492999999999995</v>
      </c>
      <c r="AB715" s="88" t="e">
        <v>#DIV/0!</v>
      </c>
      <c r="AC715" t="s">
        <v>3582</v>
      </c>
    </row>
    <row r="716" spans="3:29">
      <c r="C716">
        <v>21957</v>
      </c>
      <c r="D716" t="s">
        <v>3575</v>
      </c>
      <c r="E716" s="84">
        <v>176.99</v>
      </c>
      <c r="F716" s="84">
        <v>88.495000000000005</v>
      </c>
      <c r="G716" t="s">
        <v>3457</v>
      </c>
      <c r="H716" t="s">
        <v>3583</v>
      </c>
      <c r="I716" t="s">
        <v>245</v>
      </c>
      <c r="J716" t="s">
        <v>3584</v>
      </c>
      <c r="K716" t="s">
        <v>3578</v>
      </c>
      <c r="L716" t="s">
        <v>670</v>
      </c>
      <c r="N716">
        <v>45</v>
      </c>
      <c r="O716">
        <v>39</v>
      </c>
      <c r="P716">
        <v>7.8975000000000004E-2</v>
      </c>
      <c r="Q716" s="84" t="e">
        <v>#REF!</v>
      </c>
      <c r="R716" s="85"/>
      <c r="S716" s="85"/>
      <c r="T716" s="86">
        <v>0</v>
      </c>
      <c r="U716" s="84">
        <v>0</v>
      </c>
      <c r="V716" s="84">
        <v>123.893</v>
      </c>
      <c r="W716" s="84">
        <v>61.9465</v>
      </c>
      <c r="X716" s="82">
        <v>0.35</v>
      </c>
      <c r="Y716" s="82"/>
      <c r="Z716" s="84">
        <v>61.9465</v>
      </c>
      <c r="AA716" s="84">
        <v>123.893</v>
      </c>
      <c r="AB716" s="88" t="e">
        <v>#DIV/0!</v>
      </c>
      <c r="AC716" t="s">
        <v>3585</v>
      </c>
    </row>
    <row r="717" spans="3:29">
      <c r="C717">
        <v>21953</v>
      </c>
      <c r="D717" t="s">
        <v>3575</v>
      </c>
      <c r="E717" s="84">
        <v>201.99</v>
      </c>
      <c r="F717" s="84">
        <v>100.995</v>
      </c>
      <c r="G717" t="s">
        <v>3457</v>
      </c>
      <c r="H717" t="s">
        <v>3586</v>
      </c>
      <c r="I717" t="s">
        <v>245</v>
      </c>
      <c r="J717" t="s">
        <v>3587</v>
      </c>
      <c r="K717" t="s">
        <v>3578</v>
      </c>
      <c r="L717" t="s">
        <v>670</v>
      </c>
      <c r="N717">
        <v>50</v>
      </c>
      <c r="O717">
        <v>43</v>
      </c>
      <c r="P717">
        <v>0.1075</v>
      </c>
      <c r="Q717" s="84" t="e">
        <v>#REF!</v>
      </c>
      <c r="R717" s="85"/>
      <c r="S717" s="85"/>
      <c r="T717" s="86">
        <v>0</v>
      </c>
      <c r="U717" s="84">
        <v>0</v>
      </c>
      <c r="V717" s="84">
        <v>141.393</v>
      </c>
      <c r="W717" s="84">
        <v>70.6965</v>
      </c>
      <c r="X717" s="82">
        <v>0.35</v>
      </c>
      <c r="Y717" s="82"/>
      <c r="Z717" s="84">
        <v>70.6965</v>
      </c>
      <c r="AA717" s="84">
        <v>141.393</v>
      </c>
      <c r="AB717" s="88" t="e">
        <v>#DIV/0!</v>
      </c>
      <c r="AC717" t="s">
        <v>3588</v>
      </c>
    </row>
    <row r="718" spans="3:29">
      <c r="C718">
        <v>21956</v>
      </c>
      <c r="D718" t="s">
        <v>3575</v>
      </c>
      <c r="E718" s="84">
        <v>318.99</v>
      </c>
      <c r="F718" s="84">
        <v>159.495</v>
      </c>
      <c r="G718" t="s">
        <v>3457</v>
      </c>
      <c r="H718" t="s">
        <v>3589</v>
      </c>
      <c r="I718" t="s">
        <v>245</v>
      </c>
      <c r="J718" t="s">
        <v>3590</v>
      </c>
      <c r="K718" t="s">
        <v>3578</v>
      </c>
      <c r="L718" t="s">
        <v>670</v>
      </c>
      <c r="N718">
        <v>60</v>
      </c>
      <c r="O718">
        <v>52</v>
      </c>
      <c r="P718">
        <v>0.18720000000000001</v>
      </c>
      <c r="Q718" s="84" t="e">
        <v>#REF!</v>
      </c>
      <c r="R718" s="85"/>
      <c r="S718" s="85"/>
      <c r="T718" s="86">
        <v>0</v>
      </c>
      <c r="U718" s="84">
        <v>0</v>
      </c>
      <c r="V718" s="84">
        <v>223.29300000000001</v>
      </c>
      <c r="W718" s="84">
        <v>111.6465</v>
      </c>
      <c r="X718" s="82">
        <v>0.35</v>
      </c>
      <c r="Y718" s="82"/>
      <c r="Z718" s="84">
        <v>111.6465</v>
      </c>
      <c r="AA718" s="84">
        <v>223.29300000000001</v>
      </c>
      <c r="AB718" s="88" t="e">
        <v>#DIV/0!</v>
      </c>
      <c r="AC718" t="s">
        <v>3582</v>
      </c>
    </row>
    <row r="719" spans="3:29">
      <c r="C719">
        <v>21952</v>
      </c>
      <c r="D719" t="s">
        <v>3575</v>
      </c>
      <c r="E719" s="84">
        <v>468.99</v>
      </c>
      <c r="F719" s="84">
        <v>234.495</v>
      </c>
      <c r="G719" t="s">
        <v>3457</v>
      </c>
      <c r="H719" t="s">
        <v>3591</v>
      </c>
      <c r="I719" t="s">
        <v>245</v>
      </c>
      <c r="J719" t="s">
        <v>3592</v>
      </c>
      <c r="K719" t="s">
        <v>3578</v>
      </c>
      <c r="L719" t="s">
        <v>670</v>
      </c>
      <c r="N719">
        <v>80</v>
      </c>
      <c r="O719">
        <v>69</v>
      </c>
      <c r="P719">
        <v>0.44159999999999999</v>
      </c>
      <c r="Q719" s="84" t="e">
        <v>#REF!</v>
      </c>
      <c r="R719" s="85"/>
      <c r="S719" s="85"/>
      <c r="T719" s="86">
        <v>0</v>
      </c>
      <c r="U719" s="84">
        <v>0</v>
      </c>
      <c r="V719" s="84">
        <v>328.29300000000001</v>
      </c>
      <c r="W719" s="84">
        <v>164.1465</v>
      </c>
      <c r="X719" s="82">
        <v>0.35</v>
      </c>
      <c r="Y719" s="82"/>
      <c r="Z719" s="84">
        <v>164.1465</v>
      </c>
      <c r="AA719" s="84">
        <v>328.29300000000001</v>
      </c>
      <c r="AB719" s="88" t="e">
        <v>#DIV/0!</v>
      </c>
      <c r="AC719" t="s">
        <v>3585</v>
      </c>
    </row>
    <row r="720" spans="3:29">
      <c r="C720">
        <v>21954</v>
      </c>
      <c r="D720" t="s">
        <v>3575</v>
      </c>
      <c r="E720" s="84">
        <v>692.99</v>
      </c>
      <c r="F720" s="84">
        <v>346.495</v>
      </c>
      <c r="G720" t="s">
        <v>3457</v>
      </c>
      <c r="H720" t="s">
        <v>3593</v>
      </c>
      <c r="I720" t="s">
        <v>245</v>
      </c>
      <c r="J720" t="s">
        <v>3594</v>
      </c>
      <c r="K720" t="s">
        <v>3578</v>
      </c>
      <c r="L720" t="s">
        <v>670</v>
      </c>
      <c r="N720">
        <v>100</v>
      </c>
      <c r="O720">
        <v>86</v>
      </c>
      <c r="P720">
        <v>0.86</v>
      </c>
      <c r="Q720" s="84" t="e">
        <v>#REF!</v>
      </c>
      <c r="R720" s="85"/>
      <c r="S720" s="85"/>
      <c r="T720" s="86">
        <v>0</v>
      </c>
      <c r="U720" s="84">
        <v>0</v>
      </c>
      <c r="V720" s="84">
        <v>485.09300000000002</v>
      </c>
      <c r="W720" s="84">
        <v>242.54650000000001</v>
      </c>
      <c r="X720" s="82">
        <v>0.35</v>
      </c>
      <c r="Y720" s="82"/>
      <c r="Z720" s="84">
        <v>242.54650000000001</v>
      </c>
      <c r="AA720" s="84">
        <v>485.09300000000002</v>
      </c>
      <c r="AB720" s="88" t="e">
        <v>#DIV/0!</v>
      </c>
      <c r="AC720" t="s">
        <v>3588</v>
      </c>
    </row>
    <row r="721" spans="3:29">
      <c r="C721">
        <v>21955</v>
      </c>
      <c r="D721" t="s">
        <v>3575</v>
      </c>
      <c r="E721" s="84">
        <v>1039.99</v>
      </c>
      <c r="F721" s="84">
        <v>519.995</v>
      </c>
      <c r="G721" t="s">
        <v>3457</v>
      </c>
      <c r="H721" t="s">
        <v>3595</v>
      </c>
      <c r="I721" t="s">
        <v>245</v>
      </c>
      <c r="J721" t="s">
        <v>3596</v>
      </c>
      <c r="K721" t="s">
        <v>3578</v>
      </c>
      <c r="L721" t="s">
        <v>670</v>
      </c>
      <c r="N721">
        <v>120</v>
      </c>
      <c r="O721">
        <v>103</v>
      </c>
      <c r="P721">
        <v>1.4832000000000001</v>
      </c>
      <c r="Q721" s="84" t="e">
        <v>#REF!</v>
      </c>
      <c r="R721" s="85"/>
      <c r="S721" s="85"/>
      <c r="T721" s="86">
        <v>0</v>
      </c>
      <c r="U721" s="84">
        <v>0</v>
      </c>
      <c r="V721" s="84">
        <v>727.99300000000005</v>
      </c>
      <c r="W721" s="84">
        <v>363.99650000000003</v>
      </c>
      <c r="X721" s="82">
        <v>0.35</v>
      </c>
      <c r="Y721" s="82"/>
      <c r="Z721" s="84">
        <v>363.99650000000003</v>
      </c>
      <c r="AA721" s="84">
        <v>727.99300000000005</v>
      </c>
      <c r="AB721" s="88" t="e">
        <v>#DIV/0!</v>
      </c>
      <c r="AC721" t="s">
        <v>3597</v>
      </c>
    </row>
    <row r="722" spans="3:29">
      <c r="C722" t="s">
        <v>3281</v>
      </c>
      <c r="D722" t="s">
        <v>3282</v>
      </c>
      <c r="E722" s="84">
        <v>56.99</v>
      </c>
      <c r="F722" s="84">
        <v>28.495000000000001</v>
      </c>
      <c r="G722" t="s">
        <v>3457</v>
      </c>
      <c r="H722" t="s">
        <v>3598</v>
      </c>
      <c r="I722" t="s">
        <v>256</v>
      </c>
      <c r="J722" t="s">
        <v>3284</v>
      </c>
      <c r="K722" t="s">
        <v>3244</v>
      </c>
      <c r="L722" t="s">
        <v>670</v>
      </c>
      <c r="N722">
        <v>38</v>
      </c>
      <c r="O722">
        <v>47</v>
      </c>
      <c r="P722">
        <v>6.7867999999999998E-2</v>
      </c>
      <c r="Q722" s="84" t="e">
        <v>#REF!</v>
      </c>
      <c r="R722" s="85"/>
      <c r="S722" s="85"/>
      <c r="T722" s="86">
        <v>0</v>
      </c>
      <c r="U722" s="84">
        <v>0</v>
      </c>
      <c r="V722" s="84">
        <v>39.893000000000001</v>
      </c>
      <c r="W722" s="84">
        <v>19.9465</v>
      </c>
      <c r="X722" s="82">
        <v>0.35</v>
      </c>
      <c r="Y722" s="82"/>
      <c r="Z722" s="84">
        <v>19.9465</v>
      </c>
      <c r="AA722" s="84">
        <v>39.893000000000001</v>
      </c>
      <c r="AB722" s="88" t="e">
        <v>#DIV/0!</v>
      </c>
      <c r="AC722" t="s">
        <v>3599</v>
      </c>
    </row>
    <row r="723" spans="3:29">
      <c r="C723" t="s">
        <v>3286</v>
      </c>
      <c r="D723" t="s">
        <v>3282</v>
      </c>
      <c r="E723" s="84">
        <v>93.99</v>
      </c>
      <c r="F723" s="84">
        <v>46.994999999999997</v>
      </c>
      <c r="G723" t="s">
        <v>3457</v>
      </c>
      <c r="H723" t="s">
        <v>3600</v>
      </c>
      <c r="I723" t="s">
        <v>256</v>
      </c>
      <c r="J723" t="s">
        <v>3601</v>
      </c>
      <c r="K723" t="s">
        <v>3244</v>
      </c>
      <c r="L723" t="s">
        <v>670</v>
      </c>
      <c r="N723">
        <v>47</v>
      </c>
      <c r="O723">
        <v>54</v>
      </c>
      <c r="P723">
        <v>0.119286</v>
      </c>
      <c r="Q723" s="84" t="e">
        <v>#REF!</v>
      </c>
      <c r="R723" s="85"/>
      <c r="S723" s="85"/>
      <c r="T723" s="86">
        <v>0</v>
      </c>
      <c r="U723" s="84">
        <v>0</v>
      </c>
      <c r="V723" s="84">
        <v>65.793000000000006</v>
      </c>
      <c r="W723" s="84">
        <v>32.896500000000003</v>
      </c>
      <c r="X723" s="82">
        <v>0.35</v>
      </c>
      <c r="Y723" s="82"/>
      <c r="Z723" s="84">
        <v>32.896500000000003</v>
      </c>
      <c r="AA723" s="84">
        <v>65.793000000000006</v>
      </c>
      <c r="AB723" s="88" t="e">
        <v>#DIV/0!</v>
      </c>
      <c r="AC723" t="s">
        <v>3602</v>
      </c>
    </row>
    <row r="724" spans="3:29">
      <c r="C724" t="s">
        <v>3289</v>
      </c>
      <c r="D724" t="s">
        <v>3282</v>
      </c>
      <c r="E724" s="84">
        <v>129.99</v>
      </c>
      <c r="F724" s="84">
        <v>64.995000000000005</v>
      </c>
      <c r="G724" t="s">
        <v>3457</v>
      </c>
      <c r="H724" t="s">
        <v>3603</v>
      </c>
      <c r="I724" t="s">
        <v>256</v>
      </c>
      <c r="J724" t="s">
        <v>3604</v>
      </c>
      <c r="K724" t="s">
        <v>3244</v>
      </c>
      <c r="L724" t="s">
        <v>670</v>
      </c>
      <c r="N724">
        <v>60</v>
      </c>
      <c r="O724">
        <v>60</v>
      </c>
      <c r="P724">
        <v>0.216</v>
      </c>
      <c r="Q724" s="84" t="e">
        <v>#REF!</v>
      </c>
      <c r="R724" s="85"/>
      <c r="S724" s="85"/>
      <c r="T724" s="86">
        <v>0</v>
      </c>
      <c r="U724" s="84">
        <v>0</v>
      </c>
      <c r="V724" s="84">
        <v>90.992999999999995</v>
      </c>
      <c r="W724" s="84">
        <v>45.496499999999997</v>
      </c>
      <c r="X724" s="82">
        <v>0.35</v>
      </c>
      <c r="Y724" s="82"/>
      <c r="Z724" s="84">
        <v>45.496499999999997</v>
      </c>
      <c r="AA724" s="84">
        <v>90.992999999999995</v>
      </c>
      <c r="AB724" s="88" t="e">
        <v>#DIV/0!</v>
      </c>
      <c r="AC724" t="s">
        <v>3599</v>
      </c>
    </row>
    <row r="725" spans="3:29">
      <c r="C725" t="s">
        <v>3275</v>
      </c>
      <c r="D725" t="s">
        <v>3605</v>
      </c>
      <c r="E725" s="84">
        <v>237.99</v>
      </c>
      <c r="F725" s="84">
        <v>118.995</v>
      </c>
      <c r="G725" t="s">
        <v>3457</v>
      </c>
      <c r="H725" t="s">
        <v>3606</v>
      </c>
      <c r="I725" t="s">
        <v>3607</v>
      </c>
      <c r="J725" t="s">
        <v>3608</v>
      </c>
      <c r="K725" t="s">
        <v>3609</v>
      </c>
      <c r="L725" t="s">
        <v>670</v>
      </c>
      <c r="M725">
        <v>70</v>
      </c>
      <c r="N725">
        <v>40</v>
      </c>
      <c r="O725">
        <v>48</v>
      </c>
      <c r="P725">
        <v>0.13439999999999999</v>
      </c>
      <c r="Q725" s="84" t="e">
        <v>#REF!</v>
      </c>
      <c r="R725" s="85">
        <v>84589.954173134101</v>
      </c>
      <c r="S725" s="85">
        <v>497000</v>
      </c>
      <c r="T725" s="86">
        <v>581589.95417313406</v>
      </c>
      <c r="U725" s="84">
        <v>38.772663611542299</v>
      </c>
      <c r="V725" s="84">
        <v>166.59299999999999</v>
      </c>
      <c r="W725" s="84">
        <v>83.296499999999995</v>
      </c>
      <c r="X725" s="82">
        <v>0.35</v>
      </c>
      <c r="Y725" s="82"/>
      <c r="Z725" s="84">
        <v>83.296499999999995</v>
      </c>
      <c r="AA725" s="84">
        <v>166.59299999999999</v>
      </c>
      <c r="AB725" s="88">
        <v>2.1483306082485201</v>
      </c>
      <c r="AC725" t="s">
        <v>3610</v>
      </c>
    </row>
    <row r="726" spans="3:29">
      <c r="C726" t="s">
        <v>3611</v>
      </c>
      <c r="D726" t="s">
        <v>3612</v>
      </c>
      <c r="E726" s="84">
        <v>139.99</v>
      </c>
      <c r="F726" s="84">
        <v>69.995000000000005</v>
      </c>
      <c r="G726" t="s">
        <v>3457</v>
      </c>
      <c r="H726" t="s">
        <v>3613</v>
      </c>
      <c r="I726" t="s">
        <v>77</v>
      </c>
      <c r="J726" t="s">
        <v>3614</v>
      </c>
      <c r="K726" t="s">
        <v>3615</v>
      </c>
      <c r="L726" t="s">
        <v>50</v>
      </c>
      <c r="N726">
        <v>25</v>
      </c>
      <c r="O726">
        <v>32</v>
      </c>
      <c r="P726">
        <v>0.02</v>
      </c>
      <c r="Q726" s="84" t="e">
        <v>#REF!</v>
      </c>
      <c r="R726" s="85">
        <v>137151.318731343</v>
      </c>
      <c r="S726" s="85">
        <v>0</v>
      </c>
      <c r="T726" s="86">
        <v>137151.318731343</v>
      </c>
      <c r="U726" s="84">
        <v>9.1434212487562192</v>
      </c>
      <c r="V726" s="84">
        <v>97.992999999999995</v>
      </c>
      <c r="W726" s="84">
        <v>48.996499999999997</v>
      </c>
      <c r="X726" s="82">
        <v>0.35</v>
      </c>
      <c r="Y726" s="82"/>
      <c r="Z726" s="84">
        <v>48.996499999999997</v>
      </c>
      <c r="AA726" s="84">
        <v>97.992999999999995</v>
      </c>
      <c r="AB726" s="88">
        <v>5.3586615629969998</v>
      </c>
      <c r="AC726" t="s">
        <v>3616</v>
      </c>
    </row>
    <row r="727" spans="3:29">
      <c r="C727" t="s">
        <v>3617</v>
      </c>
      <c r="D727" t="s">
        <v>3612</v>
      </c>
      <c r="E727" s="84">
        <v>149.99</v>
      </c>
      <c r="F727" s="84">
        <v>74.995000000000005</v>
      </c>
      <c r="G727" t="s">
        <v>3457</v>
      </c>
      <c r="H727" t="s">
        <v>3618</v>
      </c>
      <c r="I727" t="s">
        <v>77</v>
      </c>
      <c r="J727" t="s">
        <v>3619</v>
      </c>
      <c r="K727" t="s">
        <v>3615</v>
      </c>
      <c r="L727" t="s">
        <v>50</v>
      </c>
      <c r="N727">
        <v>35</v>
      </c>
      <c r="O727">
        <v>42</v>
      </c>
      <c r="P727">
        <v>5.1450000000000003E-2</v>
      </c>
      <c r="Q727" s="84" t="e">
        <v>#REF!</v>
      </c>
      <c r="R727" s="85">
        <v>186301.59087388101</v>
      </c>
      <c r="S727" s="85">
        <v>0</v>
      </c>
      <c r="T727" s="86">
        <v>186301.59087388101</v>
      </c>
      <c r="U727" s="84">
        <v>12.4201060582587</v>
      </c>
      <c r="V727" s="84">
        <v>104.99299999999999</v>
      </c>
      <c r="W727" s="84">
        <v>52.496499999999997</v>
      </c>
      <c r="X727" s="82">
        <v>0.35</v>
      </c>
      <c r="Y727" s="82"/>
      <c r="Z727" s="84">
        <v>52.496499999999997</v>
      </c>
      <c r="AA727" s="84">
        <v>104.99299999999999</v>
      </c>
      <c r="AB727" s="88">
        <v>4.2267352431417198</v>
      </c>
      <c r="AC727" t="s">
        <v>3616</v>
      </c>
    </row>
    <row r="728" spans="3:29">
      <c r="C728" t="s">
        <v>3620</v>
      </c>
      <c r="D728" t="s">
        <v>3612</v>
      </c>
      <c r="E728" s="84">
        <v>169.99</v>
      </c>
      <c r="F728" s="84">
        <v>84.995000000000005</v>
      </c>
      <c r="G728" t="s">
        <v>3457</v>
      </c>
      <c r="H728" t="s">
        <v>3621</v>
      </c>
      <c r="I728" t="s">
        <v>77</v>
      </c>
      <c r="J728" t="s">
        <v>3622</v>
      </c>
      <c r="K728" t="s">
        <v>3615</v>
      </c>
      <c r="L728" t="s">
        <v>50</v>
      </c>
      <c r="N728">
        <v>45</v>
      </c>
      <c r="O728">
        <v>52</v>
      </c>
      <c r="P728">
        <v>0.1053</v>
      </c>
      <c r="Q728" s="84" t="e">
        <v>#REF!</v>
      </c>
      <c r="R728" s="85"/>
      <c r="S728" s="85"/>
      <c r="T728" s="86">
        <v>0</v>
      </c>
      <c r="U728" s="84">
        <v>0</v>
      </c>
      <c r="V728" s="84">
        <v>118.99299999999999</v>
      </c>
      <c r="W728" s="84">
        <v>59.496499999999997</v>
      </c>
      <c r="X728" s="82">
        <v>0.35</v>
      </c>
      <c r="Y728" s="82"/>
      <c r="Z728" s="84">
        <v>59.496499999999997</v>
      </c>
      <c r="AA728" s="84">
        <v>118.99299999999999</v>
      </c>
      <c r="AB728" s="88" t="e">
        <v>#DIV/0!</v>
      </c>
      <c r="AC728" t="s">
        <v>3623</v>
      </c>
    </row>
    <row r="729" spans="3:29">
      <c r="C729" t="s">
        <v>3624</v>
      </c>
      <c r="D729" t="s">
        <v>3625</v>
      </c>
      <c r="E729" s="84">
        <v>1459.99</v>
      </c>
      <c r="F729" s="84">
        <v>729.995</v>
      </c>
      <c r="G729" t="s">
        <v>3457</v>
      </c>
      <c r="H729" t="s">
        <v>3626</v>
      </c>
      <c r="I729" t="s">
        <v>588</v>
      </c>
      <c r="J729" t="s">
        <v>3627</v>
      </c>
      <c r="K729" t="s">
        <v>3615</v>
      </c>
      <c r="L729" t="s">
        <v>50</v>
      </c>
      <c r="M729">
        <v>500</v>
      </c>
      <c r="N729">
        <v>60</v>
      </c>
      <c r="O729">
        <v>42</v>
      </c>
      <c r="P729">
        <v>1.26</v>
      </c>
      <c r="Q729" s="84" t="e">
        <v>#REF!</v>
      </c>
      <c r="R729" s="85"/>
      <c r="S729" s="85"/>
      <c r="T729" s="86">
        <v>0</v>
      </c>
      <c r="U729" s="84">
        <v>0</v>
      </c>
      <c r="V729" s="84">
        <v>1021.9930000000001</v>
      </c>
      <c r="W729" s="84">
        <v>510.99650000000003</v>
      </c>
      <c r="X729" s="82">
        <v>0.35</v>
      </c>
      <c r="Y729" s="82"/>
      <c r="Z729" s="84">
        <v>510.99650000000003</v>
      </c>
      <c r="AA729" s="84">
        <v>1021.9930000000001</v>
      </c>
      <c r="AB729" s="88" t="e">
        <v>#DIV/0!</v>
      </c>
      <c r="AC729" t="s">
        <v>3628</v>
      </c>
    </row>
    <row r="730" spans="3:29">
      <c r="C730" t="s">
        <v>3629</v>
      </c>
      <c r="D730" t="s">
        <v>3630</v>
      </c>
      <c r="E730" s="84">
        <v>1604.99</v>
      </c>
      <c r="F730" s="84">
        <v>802.495</v>
      </c>
      <c r="G730" t="s">
        <v>3457</v>
      </c>
      <c r="H730" t="s">
        <v>3631</v>
      </c>
      <c r="I730" t="s">
        <v>588</v>
      </c>
      <c r="J730" t="s">
        <v>3632</v>
      </c>
      <c r="K730" t="s">
        <v>3615</v>
      </c>
      <c r="L730" t="s">
        <v>50</v>
      </c>
      <c r="M730">
        <v>635</v>
      </c>
      <c r="N730">
        <v>60</v>
      </c>
      <c r="O730">
        <v>42</v>
      </c>
      <c r="P730">
        <v>1.6002000000000001</v>
      </c>
      <c r="Q730" s="84" t="e">
        <v>#REF!</v>
      </c>
      <c r="R730" s="85"/>
      <c r="S730" s="85"/>
      <c r="T730" s="86">
        <v>0</v>
      </c>
      <c r="U730" s="84">
        <v>0</v>
      </c>
      <c r="V730" s="84">
        <v>1123.4929999999999</v>
      </c>
      <c r="W730" s="84">
        <v>561.74649999999997</v>
      </c>
      <c r="X730" s="82">
        <v>0.35</v>
      </c>
      <c r="Y730" s="82"/>
      <c r="Z730" s="84">
        <v>561.74649999999997</v>
      </c>
      <c r="AA730" s="84">
        <v>1123.4929999999999</v>
      </c>
      <c r="AB730" s="88" t="e">
        <v>#DIV/0!</v>
      </c>
      <c r="AC730" t="s">
        <v>3633</v>
      </c>
    </row>
    <row r="731" spans="3:29">
      <c r="C731" t="s">
        <v>3634</v>
      </c>
      <c r="D731" t="s">
        <v>3635</v>
      </c>
      <c r="E731" s="84">
        <v>65.989999999999995</v>
      </c>
      <c r="F731" s="84">
        <v>32.994999999999997</v>
      </c>
      <c r="G731" t="s">
        <v>3457</v>
      </c>
      <c r="H731" t="s">
        <v>3636</v>
      </c>
      <c r="I731" t="s">
        <v>252</v>
      </c>
      <c r="J731" t="s">
        <v>3637</v>
      </c>
      <c r="K731" t="s">
        <v>3413</v>
      </c>
      <c r="L731" t="s">
        <v>670</v>
      </c>
      <c r="N731">
        <v>16</v>
      </c>
      <c r="O731">
        <v>15</v>
      </c>
      <c r="P731">
        <v>3.8400000000000001E-3</v>
      </c>
      <c r="Q731" s="84" t="e">
        <v>#REF!</v>
      </c>
      <c r="R731" s="85"/>
      <c r="S731" s="85"/>
      <c r="T731" s="86">
        <v>0</v>
      </c>
      <c r="U731" s="84">
        <v>0</v>
      </c>
      <c r="V731" s="84">
        <v>46.192999999999998</v>
      </c>
      <c r="W731" s="84">
        <v>23.096499999999999</v>
      </c>
      <c r="X731" s="82">
        <v>0.35</v>
      </c>
      <c r="Y731" s="82"/>
      <c r="Z731" s="84">
        <v>23.096499999999999</v>
      </c>
      <c r="AA731" s="84">
        <v>46.192999999999998</v>
      </c>
      <c r="AB731" s="88" t="e">
        <v>#DIV/0!</v>
      </c>
      <c r="AC731" t="s">
        <v>3638</v>
      </c>
    </row>
    <row r="732" spans="3:29">
      <c r="C732" t="s">
        <v>3639</v>
      </c>
      <c r="D732" t="s">
        <v>3635</v>
      </c>
      <c r="E732" s="84">
        <v>172.99</v>
      </c>
      <c r="F732" s="84">
        <v>86.495000000000005</v>
      </c>
      <c r="G732" t="s">
        <v>3457</v>
      </c>
      <c r="H732" t="s">
        <v>3640</v>
      </c>
      <c r="I732" t="s">
        <v>252</v>
      </c>
      <c r="J732" t="s">
        <v>3641</v>
      </c>
      <c r="K732" t="s">
        <v>3413</v>
      </c>
      <c r="L732" t="s">
        <v>670</v>
      </c>
      <c r="N732">
        <v>30</v>
      </c>
      <c r="O732">
        <v>26</v>
      </c>
      <c r="P732">
        <v>2.3400000000000001E-2</v>
      </c>
      <c r="Q732" s="84" t="e">
        <v>#REF!</v>
      </c>
      <c r="R732" s="85"/>
      <c r="S732" s="85"/>
      <c r="T732" s="86">
        <v>0</v>
      </c>
      <c r="U732" s="84">
        <v>0</v>
      </c>
      <c r="V732" s="84">
        <v>121.093</v>
      </c>
      <c r="W732" s="84">
        <v>60.546500000000002</v>
      </c>
      <c r="X732" s="82">
        <v>0.35</v>
      </c>
      <c r="Y732" s="82"/>
      <c r="Z732" s="84">
        <v>60.546500000000002</v>
      </c>
      <c r="AA732" s="84">
        <v>121.093</v>
      </c>
      <c r="AB732" s="88" t="e">
        <v>#DIV/0!</v>
      </c>
      <c r="AC732" t="s">
        <v>3642</v>
      </c>
    </row>
    <row r="733" spans="3:29">
      <c r="C733" t="s">
        <v>3643</v>
      </c>
      <c r="D733" t="s">
        <v>3635</v>
      </c>
      <c r="E733" s="84">
        <v>322.99</v>
      </c>
      <c r="F733" s="84">
        <v>161.495</v>
      </c>
      <c r="G733" t="s">
        <v>3457</v>
      </c>
      <c r="H733" t="s">
        <v>3644</v>
      </c>
      <c r="I733" t="s">
        <v>252</v>
      </c>
      <c r="J733" t="s">
        <v>3645</v>
      </c>
      <c r="K733" t="s">
        <v>3413</v>
      </c>
      <c r="L733" t="s">
        <v>670</v>
      </c>
      <c r="N733">
        <v>40</v>
      </c>
      <c r="O733">
        <v>35</v>
      </c>
      <c r="P733">
        <v>5.6000000000000001E-2</v>
      </c>
      <c r="Q733" s="84" t="e">
        <v>#REF!</v>
      </c>
      <c r="R733" s="85"/>
      <c r="S733" s="85"/>
      <c r="T733" s="86">
        <v>0</v>
      </c>
      <c r="U733" s="84">
        <v>0</v>
      </c>
      <c r="V733" s="84">
        <v>226.09299999999999</v>
      </c>
      <c r="W733" s="84">
        <v>113.04649999999999</v>
      </c>
      <c r="X733" s="82">
        <v>0.35</v>
      </c>
      <c r="Y733" s="82"/>
      <c r="Z733" s="84">
        <v>113.04649999999999</v>
      </c>
      <c r="AA733" s="84">
        <v>226.09299999999999</v>
      </c>
      <c r="AB733" s="88" t="e">
        <v>#DIV/0!</v>
      </c>
      <c r="AC733" t="s">
        <v>3638</v>
      </c>
    </row>
    <row r="734" spans="3:29" ht="45.75">
      <c r="C734" t="s">
        <v>3646</v>
      </c>
      <c r="D734" t="s">
        <v>3635</v>
      </c>
      <c r="E734" s="84">
        <v>1715.99</v>
      </c>
      <c r="F734" s="84">
        <v>857.995</v>
      </c>
      <c r="G734" t="s">
        <v>3457</v>
      </c>
      <c r="H734" t="s">
        <v>3647</v>
      </c>
      <c r="I734" t="s">
        <v>252</v>
      </c>
      <c r="J734" s="83" t="s">
        <v>3648</v>
      </c>
      <c r="K734" t="s">
        <v>3413</v>
      </c>
      <c r="L734" t="s">
        <v>670</v>
      </c>
      <c r="N734">
        <v>60</v>
      </c>
      <c r="O734">
        <v>55</v>
      </c>
      <c r="P734">
        <v>0.19800000000000001</v>
      </c>
      <c r="Q734" s="84" t="e">
        <v>#REF!</v>
      </c>
      <c r="R734" s="85"/>
      <c r="S734" s="85"/>
      <c r="T734" s="86">
        <v>0</v>
      </c>
      <c r="U734" s="84">
        <v>0</v>
      </c>
      <c r="V734" s="84">
        <v>1201.193</v>
      </c>
      <c r="W734" s="84">
        <v>600.59649999999999</v>
      </c>
      <c r="X734" s="82">
        <v>0.35</v>
      </c>
      <c r="Y734" s="82"/>
      <c r="Z734" s="84">
        <v>600.59649999999999</v>
      </c>
      <c r="AA734" s="84">
        <v>1201.193</v>
      </c>
      <c r="AB734" s="88" t="e">
        <v>#DIV/0!</v>
      </c>
      <c r="AC734" t="s">
        <v>3642</v>
      </c>
    </row>
    <row r="735" spans="3:29">
      <c r="C735" t="s">
        <v>3649</v>
      </c>
      <c r="E735" s="84"/>
      <c r="F735" s="82"/>
      <c r="R735" s="85"/>
      <c r="S735" s="85"/>
      <c r="T735" s="86"/>
      <c r="V735" s="84">
        <v>0</v>
      </c>
      <c r="W735" s="84">
        <v>0</v>
      </c>
      <c r="X735" s="82" t="e">
        <v>#DIV/0!</v>
      </c>
      <c r="Y735" s="82"/>
      <c r="Z735" s="82"/>
      <c r="AA735" s="82"/>
      <c r="AB735" s="88" t="e">
        <v>#DIV/0!</v>
      </c>
    </row>
    <row r="736" spans="3:29">
      <c r="C736" t="s">
        <v>3650</v>
      </c>
      <c r="D736" t="s">
        <v>3651</v>
      </c>
      <c r="E736" s="84">
        <v>879.99</v>
      </c>
      <c r="F736" s="84">
        <v>439.995</v>
      </c>
      <c r="G736" t="s">
        <v>3652</v>
      </c>
      <c r="H736" t="s">
        <v>3653</v>
      </c>
      <c r="I736" t="s">
        <v>1049</v>
      </c>
      <c r="J736" t="s">
        <v>3654</v>
      </c>
      <c r="K736" t="s">
        <v>3655</v>
      </c>
      <c r="L736" t="s">
        <v>646</v>
      </c>
      <c r="N736">
        <v>40</v>
      </c>
      <c r="O736">
        <v>50</v>
      </c>
      <c r="P736">
        <v>0.08</v>
      </c>
      <c r="Q736" s="84" t="e">
        <v>#REF!</v>
      </c>
      <c r="R736" s="85">
        <v>581958.91822545999</v>
      </c>
      <c r="S736" s="85">
        <v>3000000</v>
      </c>
      <c r="T736" s="86">
        <v>3581958.9182254602</v>
      </c>
      <c r="U736" s="84">
        <v>238.797261215031</v>
      </c>
      <c r="V736" s="84">
        <v>615.99300000000005</v>
      </c>
      <c r="W736" s="84">
        <v>307.99650000000003</v>
      </c>
      <c r="X736" s="82">
        <v>0.35</v>
      </c>
      <c r="Y736" s="87">
        <v>429.83507018705501</v>
      </c>
      <c r="Z736" s="84">
        <v>429.83507018705501</v>
      </c>
      <c r="AA736" s="84">
        <v>859.67014037411002</v>
      </c>
      <c r="AB736" s="88">
        <v>2</v>
      </c>
      <c r="AC736" t="s">
        <v>3656</v>
      </c>
    </row>
    <row r="737" spans="3:29">
      <c r="C737" t="s">
        <v>3658</v>
      </c>
      <c r="D737" t="s">
        <v>3651</v>
      </c>
      <c r="E737" s="84">
        <v>1689.99</v>
      </c>
      <c r="F737" s="84">
        <v>844.995</v>
      </c>
      <c r="G737" t="s">
        <v>3652</v>
      </c>
      <c r="H737" t="s">
        <v>3659</v>
      </c>
      <c r="I737" t="s">
        <v>1049</v>
      </c>
      <c r="J737" t="s">
        <v>3660</v>
      </c>
      <c r="K737" t="s">
        <v>3655</v>
      </c>
      <c r="L737" t="s">
        <v>670</v>
      </c>
      <c r="N737">
        <v>65</v>
      </c>
      <c r="O737">
        <v>65</v>
      </c>
      <c r="P737">
        <v>0.27462500000000001</v>
      </c>
      <c r="Q737" s="84" t="e">
        <v>#REF!</v>
      </c>
      <c r="R737" s="85"/>
      <c r="S737" s="85"/>
      <c r="T737" s="86">
        <v>0</v>
      </c>
      <c r="U737" s="84">
        <v>0</v>
      </c>
      <c r="V737" s="84">
        <v>1182.9929999999999</v>
      </c>
      <c r="W737" s="84">
        <v>591.49649999999997</v>
      </c>
      <c r="X737" s="82">
        <v>0.35</v>
      </c>
      <c r="Y737" s="82"/>
      <c r="Z737" s="84">
        <v>591.49649999999997</v>
      </c>
      <c r="AA737" s="84">
        <v>1182.9929999999999</v>
      </c>
      <c r="AB737" s="88" t="e">
        <v>#DIV/0!</v>
      </c>
      <c r="AC737" t="s">
        <v>3656</v>
      </c>
    </row>
    <row r="738" spans="3:29">
      <c r="C738" t="s">
        <v>3661</v>
      </c>
      <c r="D738" t="s">
        <v>3662</v>
      </c>
      <c r="E738" s="84">
        <v>1825.99</v>
      </c>
      <c r="F738" s="84">
        <v>912.995</v>
      </c>
      <c r="G738" t="s">
        <v>3652</v>
      </c>
      <c r="H738" t="s">
        <v>3663</v>
      </c>
      <c r="I738" t="s">
        <v>215</v>
      </c>
      <c r="J738" t="s">
        <v>3664</v>
      </c>
      <c r="K738" t="s">
        <v>3655</v>
      </c>
      <c r="N738">
        <v>65</v>
      </c>
      <c r="O738">
        <v>55</v>
      </c>
      <c r="P738">
        <v>0.232375</v>
      </c>
      <c r="Q738" s="84" t="e">
        <v>#REF!</v>
      </c>
      <c r="R738" s="85"/>
      <c r="S738" s="85"/>
      <c r="T738" s="86">
        <v>0</v>
      </c>
      <c r="U738" s="84">
        <v>0</v>
      </c>
      <c r="V738" s="84">
        <v>1278.193</v>
      </c>
      <c r="W738" s="84">
        <v>639.09649999999999</v>
      </c>
      <c r="X738" s="82">
        <v>0.35</v>
      </c>
      <c r="Y738" s="82"/>
      <c r="Z738" s="84">
        <v>639.09649999999999</v>
      </c>
      <c r="AA738" s="84">
        <v>1278.193</v>
      </c>
      <c r="AB738" s="88" t="e">
        <v>#DIV/0!</v>
      </c>
      <c r="AC738" t="s">
        <v>3665</v>
      </c>
    </row>
    <row r="739" spans="3:29">
      <c r="C739" t="s">
        <v>3666</v>
      </c>
      <c r="D739" t="s">
        <v>3662</v>
      </c>
      <c r="E739" s="84">
        <v>1979.99</v>
      </c>
      <c r="F739" s="84">
        <v>989.995</v>
      </c>
      <c r="G739" t="s">
        <v>3652</v>
      </c>
      <c r="H739" t="s">
        <v>3667</v>
      </c>
      <c r="I739" t="s">
        <v>215</v>
      </c>
      <c r="J739" t="s">
        <v>3668</v>
      </c>
      <c r="K739" t="s">
        <v>3655</v>
      </c>
      <c r="N739">
        <v>70</v>
      </c>
      <c r="O739">
        <v>95</v>
      </c>
      <c r="P739">
        <v>0.46550000000000002</v>
      </c>
      <c r="Q739" s="84" t="e">
        <v>#REF!</v>
      </c>
      <c r="R739" s="85"/>
      <c r="S739" s="85"/>
      <c r="T739" s="86">
        <v>0</v>
      </c>
      <c r="U739" s="84">
        <v>0</v>
      </c>
      <c r="V739" s="84">
        <v>1385.9929999999999</v>
      </c>
      <c r="W739" s="84">
        <v>692.99649999999997</v>
      </c>
      <c r="X739" s="82">
        <v>0.35</v>
      </c>
      <c r="Y739" s="82"/>
      <c r="Z739" s="84">
        <v>692.99649999999997</v>
      </c>
      <c r="AA739" s="84">
        <v>1385.9929999999999</v>
      </c>
      <c r="AB739" s="88" t="e">
        <v>#DIV/0!</v>
      </c>
      <c r="AC739" t="s">
        <v>3669</v>
      </c>
    </row>
    <row r="740" spans="3:29">
      <c r="C740" t="s">
        <v>3670</v>
      </c>
      <c r="D740" t="s">
        <v>3662</v>
      </c>
      <c r="E740" s="84">
        <v>749.99</v>
      </c>
      <c r="F740" s="84">
        <v>374.995</v>
      </c>
      <c r="G740" t="s">
        <v>3652</v>
      </c>
      <c r="H740" t="s">
        <v>3671</v>
      </c>
      <c r="I740" t="s">
        <v>215</v>
      </c>
      <c r="J740" t="s">
        <v>3672</v>
      </c>
      <c r="K740" t="s">
        <v>3673</v>
      </c>
      <c r="M740">
        <v>70</v>
      </c>
      <c r="N740">
        <v>70</v>
      </c>
      <c r="O740">
        <v>10</v>
      </c>
      <c r="P740">
        <v>4.9000000000000002E-2</v>
      </c>
      <c r="Q740" s="84" t="e">
        <v>#REF!</v>
      </c>
      <c r="R740" s="85"/>
      <c r="S740" s="85"/>
      <c r="T740" s="86">
        <v>0</v>
      </c>
      <c r="U740" s="84">
        <v>0</v>
      </c>
      <c r="V740" s="84">
        <v>524.99300000000005</v>
      </c>
      <c r="W740" s="84">
        <v>262.49650000000003</v>
      </c>
      <c r="X740" s="82">
        <v>0.35</v>
      </c>
      <c r="Y740" s="82"/>
      <c r="Z740" s="84">
        <v>262.49650000000003</v>
      </c>
      <c r="AA740" s="84">
        <v>524.99300000000005</v>
      </c>
      <c r="AB740" s="88" t="e">
        <v>#DIV/0!</v>
      </c>
      <c r="AC740" t="s">
        <v>3669</v>
      </c>
    </row>
    <row r="741" spans="3:29">
      <c r="C741" t="s">
        <v>3674</v>
      </c>
      <c r="D741" t="s">
        <v>3675</v>
      </c>
      <c r="E741" s="84">
        <v>4365.99</v>
      </c>
      <c r="F741" s="84">
        <v>2182.9949999999999</v>
      </c>
      <c r="G741" t="s">
        <v>3652</v>
      </c>
      <c r="H741" t="s">
        <v>3676</v>
      </c>
      <c r="I741" t="s">
        <v>93</v>
      </c>
      <c r="J741" t="s">
        <v>3677</v>
      </c>
      <c r="K741" t="s">
        <v>3655</v>
      </c>
      <c r="N741">
        <v>100</v>
      </c>
      <c r="O741">
        <v>150</v>
      </c>
      <c r="P741">
        <v>1.5</v>
      </c>
      <c r="Q741" s="84" t="e">
        <v>#REF!</v>
      </c>
      <c r="R741" s="85"/>
      <c r="S741" s="85"/>
      <c r="T741" s="86">
        <v>0</v>
      </c>
      <c r="U741" s="84">
        <v>0</v>
      </c>
      <c r="V741" s="84">
        <v>3056.1930000000002</v>
      </c>
      <c r="W741" s="84">
        <v>1528.0965000000001</v>
      </c>
      <c r="X741" s="82">
        <v>0.35</v>
      </c>
      <c r="Y741" s="82"/>
      <c r="Z741" s="84">
        <v>1528.0965000000001</v>
      </c>
      <c r="AA741" s="84">
        <v>3056.1930000000002</v>
      </c>
      <c r="AB741" s="88" t="e">
        <v>#DIV/0!</v>
      </c>
      <c r="AC741" t="s">
        <v>3678</v>
      </c>
    </row>
    <row r="742" spans="3:29">
      <c r="C742" t="s">
        <v>3679</v>
      </c>
      <c r="D742" t="s">
        <v>3675</v>
      </c>
      <c r="E742" s="84">
        <v>1491.99</v>
      </c>
      <c r="F742" s="84">
        <v>745.995</v>
      </c>
      <c r="G742" t="s">
        <v>3652</v>
      </c>
      <c r="H742" t="s">
        <v>3680</v>
      </c>
      <c r="I742" t="s">
        <v>93</v>
      </c>
      <c r="J742" t="s">
        <v>3681</v>
      </c>
      <c r="K742" t="s">
        <v>3655</v>
      </c>
      <c r="N742">
        <v>100</v>
      </c>
      <c r="O742">
        <v>20</v>
      </c>
      <c r="P742">
        <v>0.2</v>
      </c>
      <c r="Q742" s="84" t="e">
        <v>#REF!</v>
      </c>
      <c r="R742" s="85"/>
      <c r="S742" s="85"/>
      <c r="T742" s="86">
        <v>0</v>
      </c>
      <c r="U742" s="84">
        <v>0</v>
      </c>
      <c r="V742" s="84">
        <v>1044.393</v>
      </c>
      <c r="W742" s="84">
        <v>522.19650000000001</v>
      </c>
      <c r="X742" s="82">
        <v>0.35</v>
      </c>
      <c r="Y742" s="82"/>
      <c r="Z742" s="84">
        <v>522.19650000000001</v>
      </c>
      <c r="AA742" s="84">
        <v>1044.393</v>
      </c>
      <c r="AB742" s="88" t="e">
        <v>#DIV/0!</v>
      </c>
      <c r="AC742" t="s">
        <v>3678</v>
      </c>
    </row>
    <row r="743" spans="3:29">
      <c r="C743" t="s">
        <v>3682</v>
      </c>
      <c r="D743" t="s">
        <v>3675</v>
      </c>
      <c r="E743" s="84">
        <v>967.99</v>
      </c>
      <c r="F743" s="84">
        <v>483.995</v>
      </c>
      <c r="G743" t="s">
        <v>3652</v>
      </c>
      <c r="H743" t="s">
        <v>3683</v>
      </c>
      <c r="I743" t="s">
        <v>93</v>
      </c>
      <c r="J743" t="s">
        <v>3684</v>
      </c>
      <c r="K743" t="s">
        <v>3655</v>
      </c>
      <c r="N743">
        <v>50</v>
      </c>
      <c r="O743">
        <v>30</v>
      </c>
      <c r="P743">
        <v>7.4999999999999997E-2</v>
      </c>
      <c r="Q743" s="84" t="e">
        <v>#REF!</v>
      </c>
      <c r="R743" s="85"/>
      <c r="S743" s="85"/>
      <c r="T743" s="86">
        <v>0</v>
      </c>
      <c r="U743" s="84">
        <v>0</v>
      </c>
      <c r="V743" s="84">
        <v>677.59299999999996</v>
      </c>
      <c r="W743" s="84">
        <v>338.79649999999998</v>
      </c>
      <c r="X743" s="82">
        <v>0.35</v>
      </c>
      <c r="Y743" s="82"/>
      <c r="Z743" s="84">
        <v>338.79649999999998</v>
      </c>
      <c r="AA743" s="84">
        <v>677.59299999999996</v>
      </c>
      <c r="AB743" s="88" t="e">
        <v>#DIV/0!</v>
      </c>
      <c r="AC743" t="s">
        <v>3685</v>
      </c>
    </row>
    <row r="744" spans="3:29">
      <c r="C744" t="s">
        <v>3686</v>
      </c>
      <c r="D744" t="s">
        <v>3675</v>
      </c>
      <c r="E744" s="84">
        <v>1088.99</v>
      </c>
      <c r="F744" s="84">
        <v>544.495</v>
      </c>
      <c r="G744" t="s">
        <v>3652</v>
      </c>
      <c r="H744" t="s">
        <v>3687</v>
      </c>
      <c r="I744" t="s">
        <v>93</v>
      </c>
      <c r="J744" t="s">
        <v>3688</v>
      </c>
      <c r="K744" t="s">
        <v>3655</v>
      </c>
      <c r="N744">
        <v>100</v>
      </c>
      <c r="O744">
        <v>40</v>
      </c>
      <c r="P744">
        <v>0.4</v>
      </c>
      <c r="Q744" s="84" t="e">
        <v>#REF!</v>
      </c>
      <c r="R744" s="85"/>
      <c r="S744" s="85"/>
      <c r="T744" s="86">
        <v>0</v>
      </c>
      <c r="U744" s="84">
        <v>0</v>
      </c>
      <c r="V744" s="84">
        <v>762.29300000000001</v>
      </c>
      <c r="W744" s="84">
        <v>381.1465</v>
      </c>
      <c r="X744" s="82">
        <v>0.35</v>
      </c>
      <c r="Y744" s="82"/>
      <c r="Z744" s="84">
        <v>381.1465</v>
      </c>
      <c r="AA744" s="84">
        <v>762.29300000000001</v>
      </c>
      <c r="AB744" s="88" t="e">
        <v>#DIV/0!</v>
      </c>
      <c r="AC744" t="s">
        <v>3689</v>
      </c>
    </row>
    <row r="745" spans="3:29">
      <c r="C745" t="s">
        <v>3690</v>
      </c>
      <c r="D745" t="s">
        <v>3675</v>
      </c>
      <c r="E745" s="84">
        <v>816.99</v>
      </c>
      <c r="F745" s="84">
        <v>408.495</v>
      </c>
      <c r="G745" t="s">
        <v>3652</v>
      </c>
      <c r="H745" t="s">
        <v>3691</v>
      </c>
      <c r="I745" t="s">
        <v>93</v>
      </c>
      <c r="J745" t="s">
        <v>3692</v>
      </c>
      <c r="K745" t="s">
        <v>3655</v>
      </c>
      <c r="N745">
        <v>60</v>
      </c>
      <c r="O745">
        <v>80</v>
      </c>
      <c r="P745">
        <v>0.28799999999999998</v>
      </c>
      <c r="Q745" s="84" t="e">
        <v>#REF!</v>
      </c>
      <c r="R745" s="85"/>
      <c r="S745" s="85"/>
      <c r="T745" s="86">
        <v>0</v>
      </c>
      <c r="U745" s="84">
        <v>0</v>
      </c>
      <c r="V745" s="84">
        <v>571.89300000000003</v>
      </c>
      <c r="W745" s="84">
        <v>285.94650000000001</v>
      </c>
      <c r="X745" s="82">
        <v>0.35</v>
      </c>
      <c r="Y745" s="82"/>
      <c r="Z745" s="84">
        <v>285.94650000000001</v>
      </c>
      <c r="AA745" s="84">
        <v>571.89300000000003</v>
      </c>
      <c r="AB745" s="88" t="e">
        <v>#DIV/0!</v>
      </c>
      <c r="AC745" t="s">
        <v>3678</v>
      </c>
    </row>
    <row r="746" spans="3:29">
      <c r="C746" t="s">
        <v>3693</v>
      </c>
      <c r="D746" t="s">
        <v>3694</v>
      </c>
      <c r="E746" s="84">
        <v>1019.99</v>
      </c>
      <c r="F746" s="84">
        <v>509.995</v>
      </c>
      <c r="G746" t="s">
        <v>3652</v>
      </c>
      <c r="H746" t="s">
        <v>3695</v>
      </c>
      <c r="I746" t="s">
        <v>285</v>
      </c>
      <c r="J746" t="s">
        <v>3696</v>
      </c>
      <c r="K746" t="s">
        <v>3655</v>
      </c>
      <c r="N746">
        <v>36</v>
      </c>
      <c r="O746">
        <v>60</v>
      </c>
      <c r="P746">
        <v>7.7759999999999996E-2</v>
      </c>
      <c r="Q746" s="84" t="e">
        <v>#REF!</v>
      </c>
      <c r="R746" s="85"/>
      <c r="S746" s="85"/>
      <c r="T746" s="86">
        <v>0</v>
      </c>
      <c r="U746" s="84">
        <v>0</v>
      </c>
      <c r="V746" s="84">
        <v>713.99300000000005</v>
      </c>
      <c r="W746" s="84">
        <v>356.99650000000003</v>
      </c>
      <c r="X746" s="82">
        <v>0.35</v>
      </c>
      <c r="Y746" s="82"/>
      <c r="Z746" s="84">
        <v>356.99650000000003</v>
      </c>
      <c r="AA746" s="84">
        <v>713.99300000000005</v>
      </c>
      <c r="AB746" s="88" t="e">
        <v>#DIV/0!</v>
      </c>
      <c r="AC746" t="s">
        <v>3697</v>
      </c>
    </row>
    <row r="747" spans="3:29">
      <c r="C747" t="s">
        <v>3698</v>
      </c>
      <c r="D747" t="s">
        <v>3694</v>
      </c>
      <c r="E747" s="84">
        <v>1179.99</v>
      </c>
      <c r="F747" s="84">
        <v>589.995</v>
      </c>
      <c r="G747" t="s">
        <v>3652</v>
      </c>
      <c r="H747" t="s">
        <v>3699</v>
      </c>
      <c r="I747" t="s">
        <v>285</v>
      </c>
      <c r="J747" t="s">
        <v>3700</v>
      </c>
      <c r="K747" t="s">
        <v>3655</v>
      </c>
      <c r="N747">
        <v>80</v>
      </c>
      <c r="O747">
        <v>20</v>
      </c>
      <c r="P747">
        <v>0.128</v>
      </c>
      <c r="Q747" s="84" t="e">
        <v>#REF!</v>
      </c>
      <c r="R747" s="85"/>
      <c r="S747" s="85"/>
      <c r="T747" s="86">
        <v>0</v>
      </c>
      <c r="U747" s="84">
        <v>0</v>
      </c>
      <c r="V747" s="84">
        <v>825.99300000000005</v>
      </c>
      <c r="W747" s="84">
        <v>412.99650000000003</v>
      </c>
      <c r="X747" s="82">
        <v>0.35</v>
      </c>
      <c r="Y747" s="82"/>
      <c r="Z747" s="84">
        <v>412.99650000000003</v>
      </c>
      <c r="AA747" s="84">
        <v>825.99300000000005</v>
      </c>
      <c r="AB747" s="88" t="e">
        <v>#DIV/0!</v>
      </c>
      <c r="AC747" t="s">
        <v>3697</v>
      </c>
    </row>
    <row r="748" spans="3:29">
      <c r="C748" t="s">
        <v>3701</v>
      </c>
      <c r="D748" t="s">
        <v>3694</v>
      </c>
      <c r="E748" s="84">
        <v>1859.99</v>
      </c>
      <c r="F748" s="84">
        <v>929.995</v>
      </c>
      <c r="G748" t="s">
        <v>3652</v>
      </c>
      <c r="H748" t="s">
        <v>3702</v>
      </c>
      <c r="I748" t="s">
        <v>285</v>
      </c>
      <c r="J748" t="s">
        <v>3703</v>
      </c>
      <c r="K748" t="s">
        <v>3655</v>
      </c>
      <c r="N748">
        <v>57</v>
      </c>
      <c r="O748">
        <v>90</v>
      </c>
      <c r="P748">
        <v>0.29241</v>
      </c>
      <c r="Q748" s="84" t="e">
        <v>#REF!</v>
      </c>
      <c r="R748" s="85"/>
      <c r="S748" s="85"/>
      <c r="T748" s="86">
        <v>0</v>
      </c>
      <c r="U748" s="84">
        <v>0</v>
      </c>
      <c r="V748" s="84">
        <v>1301.9929999999999</v>
      </c>
      <c r="W748" s="84">
        <v>650.99649999999997</v>
      </c>
      <c r="X748" s="82">
        <v>0.35</v>
      </c>
      <c r="Y748" s="82"/>
      <c r="Z748" s="84">
        <v>650.99649999999997</v>
      </c>
      <c r="AA748" s="84">
        <v>1301.9929999999999</v>
      </c>
      <c r="AB748" s="88" t="e">
        <v>#DIV/0!</v>
      </c>
      <c r="AC748" t="s">
        <v>3704</v>
      </c>
    </row>
    <row r="749" spans="3:29">
      <c r="C749" t="s">
        <v>3705</v>
      </c>
      <c r="D749" t="s">
        <v>3706</v>
      </c>
      <c r="E749" s="84">
        <v>1019.99</v>
      </c>
      <c r="F749" s="84">
        <v>509.995</v>
      </c>
      <c r="G749" t="s">
        <v>3652</v>
      </c>
      <c r="H749" t="s">
        <v>3707</v>
      </c>
      <c r="I749" t="s">
        <v>282</v>
      </c>
      <c r="J749" t="s">
        <v>3708</v>
      </c>
      <c r="K749" t="s">
        <v>3655</v>
      </c>
      <c r="N749">
        <v>50</v>
      </c>
      <c r="O749">
        <v>60</v>
      </c>
      <c r="P749">
        <v>0.15</v>
      </c>
      <c r="Q749" s="84" t="e">
        <v>#REF!</v>
      </c>
      <c r="R749" s="85"/>
      <c r="S749" s="85"/>
      <c r="T749" s="86">
        <v>0</v>
      </c>
      <c r="U749" s="84">
        <v>0</v>
      </c>
      <c r="V749" s="84">
        <v>713.99300000000005</v>
      </c>
      <c r="W749" s="84">
        <v>356.99650000000003</v>
      </c>
      <c r="X749" s="82">
        <v>0.35</v>
      </c>
      <c r="Y749" s="82"/>
      <c r="Z749" s="84">
        <v>356.99650000000003</v>
      </c>
      <c r="AA749" s="84">
        <v>713.99300000000005</v>
      </c>
      <c r="AB749" s="88" t="e">
        <v>#DIV/0!</v>
      </c>
      <c r="AC749" t="s">
        <v>3709</v>
      </c>
    </row>
    <row r="750" spans="3:29">
      <c r="C750" t="s">
        <v>3710</v>
      </c>
      <c r="D750" t="s">
        <v>3706</v>
      </c>
      <c r="E750" s="84">
        <v>1179.99</v>
      </c>
      <c r="F750" s="84">
        <v>589.995</v>
      </c>
      <c r="G750" t="s">
        <v>3652</v>
      </c>
      <c r="H750" t="s">
        <v>3711</v>
      </c>
      <c r="I750" t="s">
        <v>282</v>
      </c>
      <c r="J750" t="s">
        <v>3712</v>
      </c>
      <c r="K750" t="s">
        <v>3655</v>
      </c>
      <c r="N750">
        <v>90</v>
      </c>
      <c r="O750">
        <v>20</v>
      </c>
      <c r="P750">
        <v>0.16200000000000001</v>
      </c>
      <c r="Q750" s="84" t="e">
        <v>#REF!</v>
      </c>
      <c r="R750" s="85"/>
      <c r="S750" s="85"/>
      <c r="T750" s="86">
        <v>0</v>
      </c>
      <c r="U750" s="84">
        <v>0</v>
      </c>
      <c r="V750" s="84">
        <v>825.99300000000005</v>
      </c>
      <c r="W750" s="84">
        <v>412.99650000000003</v>
      </c>
      <c r="X750" s="82">
        <v>0.35</v>
      </c>
      <c r="Y750" s="82"/>
      <c r="Z750" s="84">
        <v>412.99650000000003</v>
      </c>
      <c r="AA750" s="84">
        <v>825.99300000000005</v>
      </c>
      <c r="AB750" s="88" t="e">
        <v>#DIV/0!</v>
      </c>
      <c r="AC750" t="s">
        <v>3713</v>
      </c>
    </row>
    <row r="751" spans="3:29">
      <c r="C751" t="s">
        <v>3714</v>
      </c>
      <c r="D751" t="s">
        <v>3706</v>
      </c>
      <c r="E751" s="84">
        <v>1859.99</v>
      </c>
      <c r="F751" s="84">
        <v>929.995</v>
      </c>
      <c r="G751" t="s">
        <v>3652</v>
      </c>
      <c r="H751" t="s">
        <v>3715</v>
      </c>
      <c r="I751" t="s">
        <v>282</v>
      </c>
      <c r="J751" t="s">
        <v>3716</v>
      </c>
      <c r="K751" t="s">
        <v>3655</v>
      </c>
      <c r="N751">
        <v>77</v>
      </c>
      <c r="O751">
        <v>90</v>
      </c>
      <c r="P751">
        <v>0.53361000000000003</v>
      </c>
      <c r="Q751" s="84" t="e">
        <v>#REF!</v>
      </c>
      <c r="R751" s="85"/>
      <c r="S751" s="85"/>
      <c r="T751" s="86">
        <v>0</v>
      </c>
      <c r="U751" s="84">
        <v>0</v>
      </c>
      <c r="V751" s="84">
        <v>1301.9929999999999</v>
      </c>
      <c r="W751" s="84">
        <v>650.99649999999997</v>
      </c>
      <c r="X751" s="82">
        <v>0.35</v>
      </c>
      <c r="Y751" s="82"/>
      <c r="Z751" s="84">
        <v>650.99649999999997</v>
      </c>
      <c r="AA751" s="84">
        <v>1301.9929999999999</v>
      </c>
      <c r="AB751" s="88" t="e">
        <v>#DIV/0!</v>
      </c>
      <c r="AC751" t="s">
        <v>3717</v>
      </c>
    </row>
    <row r="752" spans="3:29">
      <c r="C752" t="s">
        <v>3718</v>
      </c>
      <c r="D752" t="s">
        <v>3719</v>
      </c>
      <c r="E752" s="84">
        <v>1643.99</v>
      </c>
      <c r="F752" s="84">
        <v>821.995</v>
      </c>
      <c r="G752" t="s">
        <v>3652</v>
      </c>
      <c r="H752" t="s">
        <v>3720</v>
      </c>
      <c r="I752" t="s">
        <v>3721</v>
      </c>
      <c r="J752" t="s">
        <v>3722</v>
      </c>
      <c r="K752" t="s">
        <v>3655</v>
      </c>
      <c r="N752">
        <v>55</v>
      </c>
      <c r="O752">
        <v>66</v>
      </c>
      <c r="P752">
        <v>0.19964999999999999</v>
      </c>
      <c r="Q752" s="84" t="e">
        <v>#REF!</v>
      </c>
      <c r="R752" s="85"/>
      <c r="S752" s="85"/>
      <c r="T752" s="86">
        <v>0</v>
      </c>
      <c r="U752" s="84">
        <v>0</v>
      </c>
      <c r="V752" s="84">
        <v>1150.7929999999999</v>
      </c>
      <c r="W752" s="84">
        <v>575.39649999999995</v>
      </c>
      <c r="X752" s="82">
        <v>0.35</v>
      </c>
      <c r="Y752" s="82"/>
      <c r="Z752" s="84">
        <v>575.39649999999995</v>
      </c>
      <c r="AA752" s="84">
        <v>1150.7929999999999</v>
      </c>
      <c r="AB752" s="88" t="e">
        <v>#DIV/0!</v>
      </c>
      <c r="AC752" t="s">
        <v>3723</v>
      </c>
    </row>
    <row r="753" spans="3:29">
      <c r="C753" t="s">
        <v>3724</v>
      </c>
      <c r="D753" t="s">
        <v>3725</v>
      </c>
      <c r="E753" s="84">
        <v>2207.9899999999998</v>
      </c>
      <c r="F753" s="84">
        <v>1103.9949999999999</v>
      </c>
      <c r="G753" t="s">
        <v>3652</v>
      </c>
      <c r="H753" t="s">
        <v>3726</v>
      </c>
      <c r="I753" t="s">
        <v>3727</v>
      </c>
      <c r="J753" t="s">
        <v>3728</v>
      </c>
      <c r="K753" t="s">
        <v>3655</v>
      </c>
      <c r="N753">
        <v>120</v>
      </c>
      <c r="O753">
        <v>55</v>
      </c>
      <c r="P753">
        <v>0.79200000000000004</v>
      </c>
      <c r="Q753" s="84" t="e">
        <v>#REF!</v>
      </c>
      <c r="R753" s="85"/>
      <c r="S753" s="85"/>
      <c r="T753" s="86">
        <v>0</v>
      </c>
      <c r="U753" s="84">
        <v>0</v>
      </c>
      <c r="V753" s="84">
        <v>1545.5930000000001</v>
      </c>
      <c r="W753" s="84">
        <v>772.79650000000004</v>
      </c>
      <c r="X753" s="82">
        <v>0.35</v>
      </c>
      <c r="Y753" s="82"/>
      <c r="Z753" s="84">
        <v>772.79650000000004</v>
      </c>
      <c r="AA753" s="84">
        <v>1545.5930000000001</v>
      </c>
      <c r="AB753" s="88" t="e">
        <v>#DIV/0!</v>
      </c>
      <c r="AC753" t="s">
        <v>3729</v>
      </c>
    </row>
    <row r="754" spans="3:29">
      <c r="C754" t="s">
        <v>3730</v>
      </c>
      <c r="D754" t="s">
        <v>3731</v>
      </c>
      <c r="E754" s="84">
        <v>2226.9899999999998</v>
      </c>
      <c r="F754" s="84">
        <v>1113.4949999999999</v>
      </c>
      <c r="G754" t="s">
        <v>3652</v>
      </c>
      <c r="H754" t="s">
        <v>3732</v>
      </c>
      <c r="I754" t="s">
        <v>3733</v>
      </c>
      <c r="J754" t="s">
        <v>3734</v>
      </c>
      <c r="K754" t="s">
        <v>3655</v>
      </c>
      <c r="N754">
        <v>95</v>
      </c>
      <c r="O754">
        <v>130</v>
      </c>
      <c r="P754">
        <v>1.1732499999999999</v>
      </c>
      <c r="Q754" s="84" t="e">
        <v>#REF!</v>
      </c>
      <c r="R754" s="85"/>
      <c r="S754" s="85"/>
      <c r="T754" s="86">
        <v>0</v>
      </c>
      <c r="U754" s="84">
        <v>0</v>
      </c>
      <c r="V754" s="84">
        <v>1558.893</v>
      </c>
      <c r="W754" s="84">
        <v>779.44650000000001</v>
      </c>
      <c r="X754" s="82">
        <v>0.35</v>
      </c>
      <c r="Y754" s="82"/>
      <c r="Z754" s="84">
        <v>779.44650000000001</v>
      </c>
      <c r="AA754" s="84">
        <v>1558.893</v>
      </c>
      <c r="AB754" s="88" t="e">
        <v>#DIV/0!</v>
      </c>
      <c r="AC754" t="s">
        <v>3735</v>
      </c>
    </row>
    <row r="755" spans="3:29">
      <c r="C755" t="s">
        <v>3736</v>
      </c>
      <c r="E755" s="84"/>
      <c r="F755" s="82"/>
      <c r="R755" s="85"/>
      <c r="S755" s="85"/>
      <c r="T755" s="86"/>
      <c r="V755" s="84">
        <v>0</v>
      </c>
      <c r="W755" s="84">
        <v>0</v>
      </c>
      <c r="X755" s="82" t="e">
        <v>#DIV/0!</v>
      </c>
      <c r="Y755" s="82"/>
      <c r="Z755" s="82"/>
      <c r="AA755" s="82"/>
      <c r="AB755" s="88" t="e">
        <v>#DIV/0!</v>
      </c>
    </row>
    <row r="756" spans="3:29">
      <c r="C756" t="s">
        <v>3737</v>
      </c>
      <c r="D756" t="s">
        <v>3738</v>
      </c>
      <c r="E756" s="84">
        <v>42.99</v>
      </c>
      <c r="F756" s="84">
        <v>21.495000000000001</v>
      </c>
      <c r="G756" t="s">
        <v>3739</v>
      </c>
      <c r="H756" t="s">
        <v>3740</v>
      </c>
      <c r="I756" t="s">
        <v>3741</v>
      </c>
      <c r="J756" t="s">
        <v>3742</v>
      </c>
      <c r="K756" t="s">
        <v>3743</v>
      </c>
      <c r="L756" t="s">
        <v>670</v>
      </c>
      <c r="M756">
        <v>42</v>
      </c>
      <c r="N756">
        <v>3</v>
      </c>
      <c r="O756">
        <v>70</v>
      </c>
      <c r="P756">
        <v>8.8199999999999997E-3</v>
      </c>
      <c r="Q756" s="84" t="e">
        <v>#REF!</v>
      </c>
      <c r="R756" s="85"/>
      <c r="S756" s="85"/>
      <c r="T756" s="86">
        <v>0</v>
      </c>
      <c r="U756" s="84">
        <v>0</v>
      </c>
      <c r="V756" s="84">
        <v>30.093</v>
      </c>
      <c r="W756" s="84">
        <v>15.0465</v>
      </c>
      <c r="X756" s="82">
        <v>0.35</v>
      </c>
      <c r="Y756" s="82"/>
      <c r="Z756" s="84">
        <v>15.0465</v>
      </c>
      <c r="AA756" s="84">
        <v>30.093</v>
      </c>
      <c r="AB756" s="88" t="e">
        <v>#DIV/0!</v>
      </c>
      <c r="AC756" t="s">
        <v>3744</v>
      </c>
    </row>
    <row r="757" spans="3:29">
      <c r="C757" t="s">
        <v>3747</v>
      </c>
      <c r="D757" t="s">
        <v>3748</v>
      </c>
      <c r="E757" s="84">
        <v>46.99</v>
      </c>
      <c r="F757" s="84">
        <v>23.495000000000001</v>
      </c>
      <c r="G757" t="s">
        <v>3739</v>
      </c>
      <c r="H757" t="s">
        <v>3749</v>
      </c>
      <c r="I757" t="s">
        <v>3750</v>
      </c>
      <c r="J757" t="s">
        <v>3742</v>
      </c>
      <c r="K757" t="s">
        <v>3743</v>
      </c>
      <c r="L757" t="s">
        <v>670</v>
      </c>
      <c r="M757">
        <v>42</v>
      </c>
      <c r="N757">
        <v>3</v>
      </c>
      <c r="O757">
        <v>70</v>
      </c>
      <c r="P757">
        <v>8.8199999999999997E-3</v>
      </c>
      <c r="Q757" s="84" t="e">
        <v>#REF!</v>
      </c>
      <c r="R757" s="85"/>
      <c r="S757" s="85"/>
      <c r="T757" s="86">
        <v>0</v>
      </c>
      <c r="U757" s="84">
        <v>0</v>
      </c>
      <c r="V757" s="84">
        <v>32.893000000000001</v>
      </c>
      <c r="W757" s="84">
        <v>16.4465</v>
      </c>
      <c r="X757" s="82">
        <v>0.35</v>
      </c>
      <c r="Y757" s="82"/>
      <c r="Z757" s="84">
        <v>16.4465</v>
      </c>
      <c r="AA757" s="84">
        <v>32.893000000000001</v>
      </c>
      <c r="AB757" s="88" t="e">
        <v>#DIV/0!</v>
      </c>
      <c r="AC757" t="s">
        <v>3751</v>
      </c>
    </row>
    <row r="758" spans="3:29">
      <c r="C758" t="s">
        <v>3752</v>
      </c>
      <c r="D758" t="s">
        <v>3753</v>
      </c>
      <c r="E758" s="84">
        <v>42.99</v>
      </c>
      <c r="F758" s="84">
        <v>21.495000000000001</v>
      </c>
      <c r="G758" t="s">
        <v>3739</v>
      </c>
      <c r="H758" t="s">
        <v>3754</v>
      </c>
      <c r="I758" t="s">
        <v>3755</v>
      </c>
      <c r="J758" t="s">
        <v>3742</v>
      </c>
      <c r="K758" t="s">
        <v>3743</v>
      </c>
      <c r="L758" t="s">
        <v>670</v>
      </c>
      <c r="M758">
        <v>42</v>
      </c>
      <c r="N758">
        <v>3</v>
      </c>
      <c r="O758">
        <v>70</v>
      </c>
      <c r="P758">
        <v>8.8199999999999997E-3</v>
      </c>
      <c r="Q758" s="84" t="e">
        <v>#REF!</v>
      </c>
      <c r="R758" s="85"/>
      <c r="S758" s="85"/>
      <c r="T758" s="86">
        <v>0</v>
      </c>
      <c r="U758" s="84">
        <v>0</v>
      </c>
      <c r="V758" s="84">
        <v>30.093</v>
      </c>
      <c r="W758" s="84">
        <v>15.0465</v>
      </c>
      <c r="X758" s="82">
        <v>0.35</v>
      </c>
      <c r="Y758" s="82"/>
      <c r="Z758" s="84">
        <v>15.0465</v>
      </c>
      <c r="AA758" s="84">
        <v>30.093</v>
      </c>
      <c r="AB758" s="88" t="e">
        <v>#DIV/0!</v>
      </c>
      <c r="AC758" t="s">
        <v>3756</v>
      </c>
    </row>
    <row r="759" spans="3:29" ht="91.5">
      <c r="C759" t="s">
        <v>3757</v>
      </c>
      <c r="D759" s="83" t="s">
        <v>3758</v>
      </c>
      <c r="E759" s="84">
        <v>75.989999999999995</v>
      </c>
      <c r="F759" s="84">
        <v>37.994999999999997</v>
      </c>
      <c r="G759" t="s">
        <v>3739</v>
      </c>
      <c r="H759" t="s">
        <v>3759</v>
      </c>
      <c r="I759" t="s">
        <v>3760</v>
      </c>
      <c r="J759" t="s">
        <v>3761</v>
      </c>
      <c r="K759" t="s">
        <v>3762</v>
      </c>
      <c r="L759" t="s">
        <v>670</v>
      </c>
      <c r="M759">
        <v>100</v>
      </c>
      <c r="N759">
        <v>3</v>
      </c>
      <c r="O759">
        <v>140</v>
      </c>
      <c r="P759">
        <v>4.2000000000000003E-2</v>
      </c>
      <c r="Q759" s="84" t="e">
        <v>#REF!</v>
      </c>
      <c r="R759" s="85"/>
      <c r="S759" s="85"/>
      <c r="T759" s="86">
        <v>0</v>
      </c>
      <c r="U759" s="84">
        <v>0</v>
      </c>
      <c r="V759" s="84">
        <v>53.192999999999998</v>
      </c>
      <c r="W759" s="84">
        <v>26.596499999999999</v>
      </c>
      <c r="X759" s="82">
        <v>0.35</v>
      </c>
      <c r="Y759" s="82"/>
      <c r="Z759" s="84">
        <v>26.596499999999999</v>
      </c>
      <c r="AA759" s="84">
        <v>53.192999999999998</v>
      </c>
      <c r="AB759" s="88" t="e">
        <v>#DIV/0!</v>
      </c>
      <c r="AC759" t="s">
        <v>3763</v>
      </c>
    </row>
    <row r="760" spans="3:29" ht="76.5">
      <c r="C760" t="s">
        <v>3764</v>
      </c>
      <c r="D760" s="83" t="s">
        <v>3765</v>
      </c>
      <c r="E760" s="84">
        <v>92.99</v>
      </c>
      <c r="F760" s="84">
        <v>46.494999999999997</v>
      </c>
      <c r="G760" t="s">
        <v>3739</v>
      </c>
      <c r="H760" t="s">
        <v>3766</v>
      </c>
      <c r="I760" t="s">
        <v>3767</v>
      </c>
      <c r="J760" s="83" t="s">
        <v>3768</v>
      </c>
      <c r="K760" t="s">
        <v>3762</v>
      </c>
      <c r="L760" t="s">
        <v>670</v>
      </c>
      <c r="M760">
        <v>100</v>
      </c>
      <c r="N760">
        <v>3</v>
      </c>
      <c r="O760">
        <v>140</v>
      </c>
      <c r="P760">
        <v>4.2000000000000003E-2</v>
      </c>
      <c r="Q760" s="84" t="e">
        <v>#REF!</v>
      </c>
      <c r="R760" s="85"/>
      <c r="S760" s="85"/>
      <c r="T760" s="86">
        <v>0</v>
      </c>
      <c r="U760" s="84">
        <v>0</v>
      </c>
      <c r="V760" s="84">
        <v>65.093000000000004</v>
      </c>
      <c r="W760" s="84">
        <v>32.546500000000002</v>
      </c>
      <c r="X760" s="82">
        <v>0.35</v>
      </c>
      <c r="Y760" s="82"/>
      <c r="Z760" s="84">
        <v>32.546500000000002</v>
      </c>
      <c r="AA760" s="84">
        <v>65.093000000000004</v>
      </c>
      <c r="AB760" s="88" t="e">
        <v>#DIV/0!</v>
      </c>
      <c r="AC760" t="s">
        <v>3769</v>
      </c>
    </row>
    <row r="761" spans="3:29">
      <c r="C761" t="s">
        <v>3770</v>
      </c>
      <c r="D761" t="s">
        <v>3771</v>
      </c>
      <c r="E761" s="84">
        <v>69.989999999999995</v>
      </c>
      <c r="F761" s="84">
        <v>34.994999999999997</v>
      </c>
      <c r="G761" t="s">
        <v>3739</v>
      </c>
      <c r="H761" t="s">
        <v>3772</v>
      </c>
      <c r="I761" t="s">
        <v>3773</v>
      </c>
      <c r="J761" t="s">
        <v>3761</v>
      </c>
      <c r="K761" t="s">
        <v>3762</v>
      </c>
      <c r="L761" t="s">
        <v>670</v>
      </c>
      <c r="M761">
        <v>100</v>
      </c>
      <c r="N761">
        <v>3</v>
      </c>
      <c r="O761">
        <v>140</v>
      </c>
      <c r="P761">
        <v>4.2000000000000003E-2</v>
      </c>
      <c r="Q761" s="84" t="e">
        <v>#REF!</v>
      </c>
      <c r="R761" s="85"/>
      <c r="S761" s="85"/>
      <c r="T761" s="86">
        <v>0</v>
      </c>
      <c r="U761" s="84">
        <v>0</v>
      </c>
      <c r="V761" s="84">
        <v>48.993000000000002</v>
      </c>
      <c r="W761" s="84">
        <v>24.496500000000001</v>
      </c>
      <c r="X761" s="82">
        <v>0.35</v>
      </c>
      <c r="Y761" s="82"/>
      <c r="Z761" s="84">
        <v>24.496500000000001</v>
      </c>
      <c r="AA761" s="84">
        <v>48.993000000000002</v>
      </c>
      <c r="AB761" s="88" t="e">
        <v>#DIV/0!</v>
      </c>
      <c r="AC761" t="s">
        <v>3774</v>
      </c>
    </row>
    <row r="762" spans="3:29">
      <c r="C762" t="s">
        <v>3775</v>
      </c>
      <c r="E762" s="84"/>
      <c r="F762" s="82"/>
      <c r="R762" s="85"/>
      <c r="S762" s="85"/>
      <c r="T762" s="86"/>
      <c r="V762" s="84">
        <v>0</v>
      </c>
      <c r="W762" s="84">
        <v>0</v>
      </c>
      <c r="X762" s="82" t="e">
        <v>#DIV/0!</v>
      </c>
      <c r="Y762" s="82"/>
      <c r="Z762" s="82"/>
      <c r="AA762" s="82"/>
      <c r="AB762" s="88" t="e">
        <v>#DIV/0!</v>
      </c>
    </row>
    <row r="763" spans="3:29">
      <c r="C763" t="s">
        <v>3776</v>
      </c>
      <c r="D763" t="s">
        <v>3777</v>
      </c>
      <c r="E763" s="84">
        <v>45.99</v>
      </c>
      <c r="F763" s="84">
        <v>22.995000000000001</v>
      </c>
      <c r="G763" t="s">
        <v>3778</v>
      </c>
      <c r="H763" t="s">
        <v>3779</v>
      </c>
      <c r="I763" t="s">
        <v>3780</v>
      </c>
      <c r="J763" t="s">
        <v>3781</v>
      </c>
      <c r="K763" t="s">
        <v>3762</v>
      </c>
      <c r="L763" t="s">
        <v>670</v>
      </c>
      <c r="M763">
        <v>35</v>
      </c>
      <c r="N763">
        <v>3</v>
      </c>
      <c r="O763">
        <v>50</v>
      </c>
      <c r="P763">
        <v>5.2500000000000003E-3</v>
      </c>
      <c r="Q763" s="84" t="e">
        <v>#REF!</v>
      </c>
      <c r="R763" s="85"/>
      <c r="S763" s="85"/>
      <c r="T763" s="86">
        <v>0</v>
      </c>
      <c r="U763" s="84">
        <v>0</v>
      </c>
      <c r="V763" s="84">
        <v>32.192999999999998</v>
      </c>
      <c r="W763" s="84">
        <v>16.096499999999999</v>
      </c>
      <c r="X763" s="82">
        <v>0.35</v>
      </c>
      <c r="Y763" s="82"/>
      <c r="Z763" s="84">
        <v>16.096499999999999</v>
      </c>
      <c r="AA763" s="84">
        <v>32.192999999999998</v>
      </c>
      <c r="AB763" s="88" t="e">
        <v>#DIV/0!</v>
      </c>
      <c r="AC763" t="s">
        <v>3782</v>
      </c>
    </row>
    <row r="764" spans="3:29">
      <c r="C764" t="s">
        <v>3784</v>
      </c>
      <c r="D764" t="s">
        <v>3785</v>
      </c>
      <c r="E764" s="84">
        <v>45.99</v>
      </c>
      <c r="F764" s="84">
        <v>22.995000000000001</v>
      </c>
      <c r="G764" t="s">
        <v>3778</v>
      </c>
      <c r="H764" t="s">
        <v>3786</v>
      </c>
      <c r="I764" t="s">
        <v>3787</v>
      </c>
      <c r="J764" t="s">
        <v>3781</v>
      </c>
      <c r="K764" t="s">
        <v>3762</v>
      </c>
      <c r="L764" t="s">
        <v>670</v>
      </c>
      <c r="M764">
        <v>35</v>
      </c>
      <c r="N764">
        <v>3</v>
      </c>
      <c r="O764">
        <v>50</v>
      </c>
      <c r="P764">
        <v>5.2500000000000003E-3</v>
      </c>
      <c r="Q764" s="84" t="e">
        <v>#REF!</v>
      </c>
      <c r="R764" s="85"/>
      <c r="S764" s="85"/>
      <c r="T764" s="86">
        <v>0</v>
      </c>
      <c r="U764" s="84">
        <v>0</v>
      </c>
      <c r="V764" s="84">
        <v>32.192999999999998</v>
      </c>
      <c r="W764" s="84">
        <v>16.096499999999999</v>
      </c>
      <c r="X764" s="82">
        <v>0.35</v>
      </c>
      <c r="Y764" s="82"/>
      <c r="Z764" s="84">
        <v>16.096499999999999</v>
      </c>
      <c r="AA764" s="84">
        <v>32.192999999999998</v>
      </c>
      <c r="AB764" s="88" t="e">
        <v>#DIV/0!</v>
      </c>
      <c r="AC764" t="s">
        <v>3788</v>
      </c>
    </row>
    <row r="765" spans="3:29">
      <c r="C765" t="s">
        <v>3789</v>
      </c>
      <c r="D765" t="s">
        <v>3790</v>
      </c>
      <c r="E765" s="84">
        <v>45.99</v>
      </c>
      <c r="F765" s="84">
        <v>22.995000000000001</v>
      </c>
      <c r="G765" t="s">
        <v>3778</v>
      </c>
      <c r="H765" t="s">
        <v>3791</v>
      </c>
      <c r="I765" t="s">
        <v>3792</v>
      </c>
      <c r="J765" t="s">
        <v>3781</v>
      </c>
      <c r="K765" t="s">
        <v>3762</v>
      </c>
      <c r="L765" t="s">
        <v>670</v>
      </c>
      <c r="M765">
        <v>35</v>
      </c>
      <c r="N765">
        <v>3</v>
      </c>
      <c r="O765">
        <v>50</v>
      </c>
      <c r="P765">
        <v>5.2500000000000003E-3</v>
      </c>
      <c r="Q765" s="84" t="e">
        <v>#REF!</v>
      </c>
      <c r="R765" s="85"/>
      <c r="S765" s="85"/>
      <c r="T765" s="86">
        <v>0</v>
      </c>
      <c r="U765" s="84">
        <v>0</v>
      </c>
      <c r="V765" s="84">
        <v>32.192999999999998</v>
      </c>
      <c r="W765" s="84">
        <v>16.096499999999999</v>
      </c>
      <c r="X765" s="82">
        <v>0.35</v>
      </c>
      <c r="Y765" s="82"/>
      <c r="Z765" s="84">
        <v>16.096499999999999</v>
      </c>
      <c r="AA765" s="84">
        <v>32.192999999999998</v>
      </c>
      <c r="AB765" s="88" t="e">
        <v>#DIV/0!</v>
      </c>
      <c r="AC765" t="s">
        <v>3793</v>
      </c>
    </row>
    <row r="766" spans="3:29">
      <c r="C766" t="s">
        <v>3794</v>
      </c>
      <c r="D766" t="s">
        <v>3795</v>
      </c>
      <c r="E766" s="84">
        <v>181.99</v>
      </c>
      <c r="F766" s="84">
        <v>90.995000000000005</v>
      </c>
      <c r="G766" t="s">
        <v>3778</v>
      </c>
      <c r="H766" t="s">
        <v>3796</v>
      </c>
      <c r="I766" t="s">
        <v>3797</v>
      </c>
      <c r="J766" t="s">
        <v>3798</v>
      </c>
      <c r="K766" t="s">
        <v>3762</v>
      </c>
      <c r="L766" t="s">
        <v>670</v>
      </c>
      <c r="M766">
        <v>140</v>
      </c>
      <c r="N766">
        <v>3</v>
      </c>
      <c r="O766">
        <v>250</v>
      </c>
      <c r="P766">
        <v>0.105</v>
      </c>
      <c r="Q766" s="84" t="e">
        <v>#REF!</v>
      </c>
      <c r="R766" s="85"/>
      <c r="S766" s="85"/>
      <c r="T766" s="86">
        <v>0</v>
      </c>
      <c r="U766" s="84">
        <v>0</v>
      </c>
      <c r="V766" s="84">
        <v>127.393</v>
      </c>
      <c r="W766" s="84">
        <v>63.6965</v>
      </c>
      <c r="X766" s="82">
        <v>0.35</v>
      </c>
      <c r="Y766" s="82"/>
      <c r="Z766" s="84">
        <v>63.6965</v>
      </c>
      <c r="AA766" s="84">
        <v>127.393</v>
      </c>
      <c r="AB766" s="88" t="e">
        <v>#DIV/0!</v>
      </c>
      <c r="AC766" t="s">
        <v>3799</v>
      </c>
    </row>
    <row r="767" spans="3:29">
      <c r="C767" t="s">
        <v>3800</v>
      </c>
      <c r="D767" t="s">
        <v>3801</v>
      </c>
      <c r="E767" s="84">
        <v>151.99</v>
      </c>
      <c r="F767" s="84">
        <v>75.995000000000005</v>
      </c>
      <c r="G767" t="s">
        <v>3778</v>
      </c>
      <c r="H767" t="s">
        <v>3802</v>
      </c>
      <c r="I767" t="s">
        <v>3803</v>
      </c>
      <c r="J767" t="s">
        <v>3804</v>
      </c>
      <c r="K767" t="s">
        <v>3762</v>
      </c>
      <c r="L767" t="s">
        <v>670</v>
      </c>
      <c r="M767">
        <v>140</v>
      </c>
      <c r="N767">
        <v>3</v>
      </c>
      <c r="O767">
        <v>250</v>
      </c>
      <c r="P767">
        <v>0.105</v>
      </c>
      <c r="Q767" s="84" t="e">
        <v>#REF!</v>
      </c>
      <c r="R767" s="85"/>
      <c r="S767" s="85"/>
      <c r="T767" s="86">
        <v>0</v>
      </c>
      <c r="U767" s="84">
        <v>0</v>
      </c>
      <c r="V767" s="84">
        <v>106.393</v>
      </c>
      <c r="W767" s="84">
        <v>53.1965</v>
      </c>
      <c r="X767" s="82">
        <v>0.35</v>
      </c>
      <c r="Y767" s="82"/>
      <c r="Z767" s="84">
        <v>53.1965</v>
      </c>
      <c r="AA767" s="84">
        <v>106.393</v>
      </c>
      <c r="AB767" s="88" t="e">
        <v>#DIV/0!</v>
      </c>
      <c r="AC767" t="s">
        <v>3805</v>
      </c>
    </row>
    <row r="768" spans="3:29">
      <c r="C768" t="s">
        <v>3806</v>
      </c>
      <c r="D768" t="s">
        <v>3807</v>
      </c>
      <c r="E768" s="84">
        <v>155.99</v>
      </c>
      <c r="F768" s="84">
        <v>77.995000000000005</v>
      </c>
      <c r="G768" t="s">
        <v>3778</v>
      </c>
      <c r="H768" t="s">
        <v>3808</v>
      </c>
      <c r="I768" t="s">
        <v>3809</v>
      </c>
      <c r="J768" t="s">
        <v>3804</v>
      </c>
      <c r="K768" t="s">
        <v>3762</v>
      </c>
      <c r="L768" t="s">
        <v>670</v>
      </c>
      <c r="M768">
        <v>140</v>
      </c>
      <c r="N768">
        <v>3</v>
      </c>
      <c r="O768">
        <v>250</v>
      </c>
      <c r="P768">
        <v>0.105</v>
      </c>
      <c r="Q768" s="84" t="e">
        <v>#REF!</v>
      </c>
      <c r="R768" s="85"/>
      <c r="S768" s="85"/>
      <c r="T768" s="86">
        <v>0</v>
      </c>
      <c r="U768" s="84">
        <v>0</v>
      </c>
      <c r="V768" s="84">
        <v>109.193</v>
      </c>
      <c r="W768" s="84">
        <v>54.596499999999999</v>
      </c>
      <c r="X768" s="82">
        <v>0.35</v>
      </c>
      <c r="Y768" s="82"/>
      <c r="Z768" s="84">
        <v>54.596499999999999</v>
      </c>
      <c r="AA768" s="84">
        <v>109.193</v>
      </c>
      <c r="AB768" s="88" t="e">
        <v>#DIV/0!</v>
      </c>
      <c r="AC768" t="s">
        <v>3810</v>
      </c>
    </row>
    <row r="769" spans="3:29">
      <c r="C769" t="s">
        <v>3811</v>
      </c>
      <c r="D769" t="s">
        <v>3812</v>
      </c>
      <c r="E769" s="84">
        <v>18.989999999999998</v>
      </c>
      <c r="F769" s="84">
        <v>9.4949999999999992</v>
      </c>
      <c r="G769" t="s">
        <v>3778</v>
      </c>
      <c r="H769" t="s">
        <v>3813</v>
      </c>
      <c r="I769" t="s">
        <v>3814</v>
      </c>
      <c r="J769" t="s">
        <v>3815</v>
      </c>
      <c r="K769" t="s">
        <v>3762</v>
      </c>
      <c r="L769" t="s">
        <v>670</v>
      </c>
      <c r="M769">
        <v>42</v>
      </c>
      <c r="N769">
        <v>3</v>
      </c>
      <c r="O769">
        <v>42</v>
      </c>
      <c r="P769">
        <v>5.2919999999999998E-3</v>
      </c>
      <c r="Q769" s="84" t="e">
        <v>#REF!</v>
      </c>
      <c r="R769" s="85"/>
      <c r="S769" s="85"/>
      <c r="T769" s="86">
        <v>0</v>
      </c>
      <c r="U769" s="84">
        <v>0</v>
      </c>
      <c r="V769" s="84">
        <v>13.292999999999999</v>
      </c>
      <c r="W769" s="84">
        <v>6.6464999999999996</v>
      </c>
      <c r="X769" s="82">
        <v>0.35</v>
      </c>
      <c r="Y769" s="82"/>
      <c r="Z769" s="84">
        <v>6.6464999999999996</v>
      </c>
      <c r="AA769" s="84">
        <v>13.292999999999999</v>
      </c>
      <c r="AB769" s="88" t="e">
        <v>#DIV/0!</v>
      </c>
      <c r="AC769" t="s">
        <v>3816</v>
      </c>
    </row>
    <row r="770" spans="3:29">
      <c r="C770" t="s">
        <v>3817</v>
      </c>
      <c r="D770" t="s">
        <v>3818</v>
      </c>
      <c r="E770" s="84">
        <v>14.99</v>
      </c>
      <c r="F770" s="84">
        <v>7.4950000000000001</v>
      </c>
      <c r="G770" t="s">
        <v>3778</v>
      </c>
      <c r="H770" t="s">
        <v>3819</v>
      </c>
      <c r="I770" t="s">
        <v>3820</v>
      </c>
      <c r="J770" t="s">
        <v>3815</v>
      </c>
      <c r="K770" t="s">
        <v>3762</v>
      </c>
      <c r="L770" t="s">
        <v>670</v>
      </c>
      <c r="M770">
        <v>42</v>
      </c>
      <c r="N770">
        <v>3</v>
      </c>
      <c r="O770">
        <v>42</v>
      </c>
      <c r="P770">
        <v>5.2919999999999998E-3</v>
      </c>
      <c r="Q770" s="84" t="e">
        <v>#REF!</v>
      </c>
      <c r="R770" s="85"/>
      <c r="S770" s="85"/>
      <c r="T770" s="86">
        <v>0</v>
      </c>
      <c r="U770" s="84">
        <v>0</v>
      </c>
      <c r="V770" s="84">
        <v>10.493</v>
      </c>
      <c r="W770" s="84">
        <v>5.2465000000000002</v>
      </c>
      <c r="X770" s="82">
        <v>0.35</v>
      </c>
      <c r="Y770" s="82"/>
      <c r="Z770" s="84">
        <v>5.2465000000000002</v>
      </c>
      <c r="AA770" s="84">
        <v>10.493</v>
      </c>
      <c r="AB770" s="88" t="e">
        <v>#DIV/0!</v>
      </c>
      <c r="AC770" t="s">
        <v>3821</v>
      </c>
    </row>
    <row r="771" spans="3:29">
      <c r="C771" t="s">
        <v>3822</v>
      </c>
      <c r="D771" t="s">
        <v>3823</v>
      </c>
      <c r="E771" s="84">
        <v>14.99</v>
      </c>
      <c r="F771" s="84">
        <v>7.4950000000000001</v>
      </c>
      <c r="G771" t="s">
        <v>3778</v>
      </c>
      <c r="H771" t="s">
        <v>3824</v>
      </c>
      <c r="I771" t="s">
        <v>3825</v>
      </c>
      <c r="J771" t="s">
        <v>3815</v>
      </c>
      <c r="K771" t="s">
        <v>3762</v>
      </c>
      <c r="L771" t="s">
        <v>670</v>
      </c>
      <c r="M771">
        <v>42</v>
      </c>
      <c r="N771">
        <v>3</v>
      </c>
      <c r="O771">
        <v>42</v>
      </c>
      <c r="P771">
        <v>5.2919999999999998E-3</v>
      </c>
      <c r="Q771" s="84" t="e">
        <v>#REF!</v>
      </c>
      <c r="R771" s="85"/>
      <c r="S771" s="85"/>
      <c r="T771" s="86">
        <v>0</v>
      </c>
      <c r="U771" s="84">
        <v>0</v>
      </c>
      <c r="V771" s="84">
        <v>10.493</v>
      </c>
      <c r="W771" s="84">
        <v>5.2465000000000002</v>
      </c>
      <c r="X771" s="82">
        <v>0.35</v>
      </c>
      <c r="Y771" s="82"/>
      <c r="Z771" s="84">
        <v>5.2465000000000002</v>
      </c>
      <c r="AA771" s="84">
        <v>10.493</v>
      </c>
      <c r="AB771" s="88" t="e">
        <v>#DIV/0!</v>
      </c>
      <c r="AC771" t="s">
        <v>3826</v>
      </c>
    </row>
    <row r="772" spans="3:29">
      <c r="C772" t="s">
        <v>3827</v>
      </c>
      <c r="D772" t="s">
        <v>3828</v>
      </c>
      <c r="E772" s="84">
        <v>14.99</v>
      </c>
      <c r="F772" s="84">
        <v>7.4950000000000001</v>
      </c>
      <c r="G772" t="s">
        <v>3778</v>
      </c>
      <c r="H772" t="s">
        <v>3829</v>
      </c>
      <c r="I772" t="s">
        <v>3830</v>
      </c>
      <c r="J772" t="s">
        <v>3815</v>
      </c>
      <c r="K772" t="s">
        <v>3762</v>
      </c>
      <c r="L772" t="s">
        <v>670</v>
      </c>
      <c r="M772">
        <v>42</v>
      </c>
      <c r="N772">
        <v>3</v>
      </c>
      <c r="O772">
        <v>42</v>
      </c>
      <c r="P772">
        <v>5.2919999999999998E-3</v>
      </c>
      <c r="Q772" s="84" t="e">
        <v>#REF!</v>
      </c>
      <c r="R772" s="85"/>
      <c r="S772" s="85"/>
      <c r="T772" s="86">
        <v>0</v>
      </c>
      <c r="U772" s="84">
        <v>0</v>
      </c>
      <c r="V772" s="84">
        <v>10.493</v>
      </c>
      <c r="W772" s="84">
        <v>5.2465000000000002</v>
      </c>
      <c r="X772" s="82">
        <v>0.35</v>
      </c>
      <c r="Y772" s="82"/>
      <c r="Z772" s="84">
        <v>5.2465000000000002</v>
      </c>
      <c r="AA772" s="84">
        <v>10.493</v>
      </c>
      <c r="AB772" s="88" t="e">
        <v>#DIV/0!</v>
      </c>
      <c r="AC772" t="s">
        <v>3831</v>
      </c>
    </row>
    <row r="773" spans="3:29">
      <c r="C773" t="s">
        <v>3832</v>
      </c>
      <c r="D773" t="s">
        <v>3833</v>
      </c>
      <c r="E773" s="84">
        <v>14.99</v>
      </c>
      <c r="F773" s="84">
        <v>7.4950000000000001</v>
      </c>
      <c r="G773" t="s">
        <v>3778</v>
      </c>
      <c r="H773" t="s">
        <v>3834</v>
      </c>
      <c r="I773" t="s">
        <v>3835</v>
      </c>
      <c r="J773" t="s">
        <v>3836</v>
      </c>
      <c r="K773" t="s">
        <v>3762</v>
      </c>
      <c r="L773" t="s">
        <v>670</v>
      </c>
      <c r="M773">
        <v>42</v>
      </c>
      <c r="N773">
        <v>3</v>
      </c>
      <c r="O773">
        <v>42</v>
      </c>
      <c r="P773">
        <v>5.2919999999999998E-3</v>
      </c>
      <c r="Q773" s="84" t="e">
        <v>#REF!</v>
      </c>
      <c r="R773" s="85"/>
      <c r="S773" s="85"/>
      <c r="T773" s="86">
        <v>0</v>
      </c>
      <c r="U773" s="84">
        <v>0</v>
      </c>
      <c r="V773" s="84">
        <v>10.493</v>
      </c>
      <c r="W773" s="84">
        <v>5.2465000000000002</v>
      </c>
      <c r="X773" s="82">
        <v>0.35</v>
      </c>
      <c r="Y773" s="82"/>
      <c r="Z773" s="84">
        <v>5.2465000000000002</v>
      </c>
      <c r="AA773" s="84">
        <v>10.493</v>
      </c>
      <c r="AB773" s="88" t="e">
        <v>#DIV/0!</v>
      </c>
      <c r="AC773" t="s">
        <v>3837</v>
      </c>
    </row>
    <row r="774" spans="3:29">
      <c r="C774" t="s">
        <v>3838</v>
      </c>
      <c r="D774" t="s">
        <v>3839</v>
      </c>
      <c r="E774" s="84">
        <v>43.99</v>
      </c>
      <c r="F774" s="84">
        <v>21.995000000000001</v>
      </c>
      <c r="G774" t="s">
        <v>3778</v>
      </c>
      <c r="H774" t="s">
        <v>3840</v>
      </c>
      <c r="I774" t="s">
        <v>3841</v>
      </c>
      <c r="J774" t="s">
        <v>3842</v>
      </c>
      <c r="K774" t="s">
        <v>3743</v>
      </c>
      <c r="L774" t="s">
        <v>670</v>
      </c>
      <c r="M774">
        <v>47</v>
      </c>
      <c r="N774">
        <v>3</v>
      </c>
      <c r="O774">
        <v>70</v>
      </c>
      <c r="P774">
        <v>9.8700000000000003E-3</v>
      </c>
      <c r="Q774" s="84" t="e">
        <v>#REF!</v>
      </c>
      <c r="R774" s="85"/>
      <c r="S774" s="85"/>
      <c r="T774" s="86">
        <v>0</v>
      </c>
      <c r="U774" s="84">
        <v>0</v>
      </c>
      <c r="V774" s="84">
        <v>30.792999999999999</v>
      </c>
      <c r="W774" s="84">
        <v>15.3965</v>
      </c>
      <c r="X774" s="82">
        <v>0.35</v>
      </c>
      <c r="Y774" s="82"/>
      <c r="Z774" s="84">
        <v>15.3965</v>
      </c>
      <c r="AA774" s="84">
        <v>30.792999999999999</v>
      </c>
      <c r="AB774" s="88" t="e">
        <v>#DIV/0!</v>
      </c>
      <c r="AC774" t="s">
        <v>3843</v>
      </c>
    </row>
    <row r="775" spans="3:29">
      <c r="C775" t="s">
        <v>3844</v>
      </c>
      <c r="D775" t="s">
        <v>3845</v>
      </c>
      <c r="E775" s="84">
        <v>43.99</v>
      </c>
      <c r="F775" s="84">
        <v>21.995000000000001</v>
      </c>
      <c r="G775" t="s">
        <v>3778</v>
      </c>
      <c r="H775" t="s">
        <v>3846</v>
      </c>
      <c r="I775" t="s">
        <v>3847</v>
      </c>
      <c r="J775" t="s">
        <v>3842</v>
      </c>
      <c r="K775" t="s">
        <v>3743</v>
      </c>
      <c r="L775" t="s">
        <v>670</v>
      </c>
      <c r="M775">
        <v>47</v>
      </c>
      <c r="N775">
        <v>3</v>
      </c>
      <c r="O775">
        <v>70</v>
      </c>
      <c r="P775">
        <v>9.8700000000000003E-3</v>
      </c>
      <c r="Q775" s="84" t="e">
        <v>#REF!</v>
      </c>
      <c r="R775" s="85"/>
      <c r="S775" s="85"/>
      <c r="T775" s="86">
        <v>0</v>
      </c>
      <c r="U775" s="84">
        <v>0</v>
      </c>
      <c r="V775" s="84">
        <v>30.792999999999999</v>
      </c>
      <c r="W775" s="84">
        <v>15.3965</v>
      </c>
      <c r="X775" s="82">
        <v>0.35</v>
      </c>
      <c r="Y775" s="82"/>
      <c r="Z775" s="84">
        <v>15.3965</v>
      </c>
      <c r="AA775" s="84">
        <v>30.792999999999999</v>
      </c>
      <c r="AB775" s="88" t="e">
        <v>#DIV/0!</v>
      </c>
      <c r="AC775" t="s">
        <v>3848</v>
      </c>
    </row>
    <row r="776" spans="3:29">
      <c r="C776" t="s">
        <v>3849</v>
      </c>
      <c r="E776" s="84"/>
      <c r="F776" s="82"/>
      <c r="R776" s="85"/>
      <c r="S776" s="85"/>
      <c r="T776" s="86"/>
      <c r="V776" s="84">
        <v>0</v>
      </c>
      <c r="W776" s="84">
        <v>0</v>
      </c>
      <c r="X776" s="82" t="e">
        <v>#DIV/0!</v>
      </c>
      <c r="Y776" s="82"/>
      <c r="Z776" s="82"/>
      <c r="AA776" s="82"/>
      <c r="AB776" s="88" t="e">
        <v>#DIV/0!</v>
      </c>
    </row>
    <row r="777" spans="3:29">
      <c r="C777" t="s">
        <v>3850</v>
      </c>
      <c r="D777" t="s">
        <v>3851</v>
      </c>
      <c r="E777" s="84">
        <v>0</v>
      </c>
      <c r="F777" s="84">
        <v>0</v>
      </c>
      <c r="G777" t="s">
        <v>3852</v>
      </c>
      <c r="H777" t="s">
        <v>3853</v>
      </c>
      <c r="I777" t="s">
        <v>3851</v>
      </c>
      <c r="J777" t="s">
        <v>3854</v>
      </c>
      <c r="K777" t="s">
        <v>3855</v>
      </c>
      <c r="L777" t="s">
        <v>670</v>
      </c>
      <c r="M777">
        <v>140</v>
      </c>
      <c r="N777">
        <v>3</v>
      </c>
      <c r="O777">
        <v>100</v>
      </c>
      <c r="P777">
        <v>4.2000000000000003E-2</v>
      </c>
      <c r="Q777" s="84" t="e">
        <v>#REF!</v>
      </c>
      <c r="R777" s="85"/>
      <c r="S777" s="85"/>
      <c r="T777" s="86">
        <v>0</v>
      </c>
      <c r="U777" s="84">
        <v>0</v>
      </c>
      <c r="V777" s="84">
        <v>0</v>
      </c>
      <c r="W777" s="84">
        <v>0</v>
      </c>
      <c r="X777" s="82" t="e">
        <v>#DIV/0!</v>
      </c>
      <c r="Y777" s="82"/>
      <c r="Z777" s="84">
        <v>0</v>
      </c>
      <c r="AA777" s="84">
        <v>0</v>
      </c>
      <c r="AB777" s="88" t="e">
        <v>#DIV/0!</v>
      </c>
      <c r="AC777" t="s">
        <v>3856</v>
      </c>
    </row>
    <row r="778" spans="3:29">
      <c r="C778" t="s">
        <v>3858</v>
      </c>
      <c r="D778" t="s">
        <v>3859</v>
      </c>
      <c r="E778" s="84">
        <v>0</v>
      </c>
      <c r="F778" s="84">
        <v>0</v>
      </c>
      <c r="G778" t="s">
        <v>3852</v>
      </c>
      <c r="H778" t="s">
        <v>3860</v>
      </c>
      <c r="I778" t="s">
        <v>3859</v>
      </c>
      <c r="J778" t="s">
        <v>3854</v>
      </c>
      <c r="K778" t="s">
        <v>3855</v>
      </c>
      <c r="L778" t="s">
        <v>670</v>
      </c>
      <c r="M778">
        <v>140</v>
      </c>
      <c r="N778">
        <v>3</v>
      </c>
      <c r="O778">
        <v>100</v>
      </c>
      <c r="P778">
        <v>4.2000000000000003E-2</v>
      </c>
      <c r="Q778" s="84" t="e">
        <v>#REF!</v>
      </c>
      <c r="R778" s="85"/>
      <c r="S778" s="85"/>
      <c r="T778" s="86">
        <v>0</v>
      </c>
      <c r="U778" s="84">
        <v>0</v>
      </c>
      <c r="V778" s="84">
        <v>0</v>
      </c>
      <c r="W778" s="84">
        <v>0</v>
      </c>
      <c r="X778" s="82" t="e">
        <v>#DIV/0!</v>
      </c>
      <c r="Y778" s="82"/>
      <c r="Z778" s="84">
        <v>0</v>
      </c>
      <c r="AA778" s="84">
        <v>0</v>
      </c>
      <c r="AB778" s="88" t="e">
        <v>#DIV/0!</v>
      </c>
      <c r="AC778" t="s">
        <v>3861</v>
      </c>
    </row>
    <row r="779" spans="3:29">
      <c r="C779" t="s">
        <v>3862</v>
      </c>
      <c r="D779" t="s">
        <v>3863</v>
      </c>
      <c r="E779" s="84">
        <v>0</v>
      </c>
      <c r="F779" s="84">
        <v>0</v>
      </c>
      <c r="G779" t="s">
        <v>3852</v>
      </c>
      <c r="H779" t="s">
        <v>3853</v>
      </c>
      <c r="I779" t="s">
        <v>3863</v>
      </c>
      <c r="J779" t="s">
        <v>3854</v>
      </c>
      <c r="K779" t="s">
        <v>3855</v>
      </c>
      <c r="L779" t="s">
        <v>670</v>
      </c>
      <c r="M779">
        <v>140</v>
      </c>
      <c r="N779">
        <v>3</v>
      </c>
      <c r="O779">
        <v>100</v>
      </c>
      <c r="P779">
        <v>4.2000000000000003E-2</v>
      </c>
      <c r="Q779" s="84" t="e">
        <v>#REF!</v>
      </c>
      <c r="R779" s="85"/>
      <c r="S779" s="85"/>
      <c r="T779" s="86">
        <v>0</v>
      </c>
      <c r="U779" s="84">
        <v>0</v>
      </c>
      <c r="V779" s="84">
        <v>0</v>
      </c>
      <c r="W779" s="84">
        <v>0</v>
      </c>
      <c r="X779" s="82" t="e">
        <v>#DIV/0!</v>
      </c>
      <c r="Y779" s="82"/>
      <c r="Z779" s="84">
        <v>0</v>
      </c>
      <c r="AA779" s="84">
        <v>0</v>
      </c>
      <c r="AB779" s="88" t="e">
        <v>#DIV/0!</v>
      </c>
      <c r="AC779" t="s">
        <v>3864</v>
      </c>
    </row>
    <row r="780" spans="3:29">
      <c r="C780">
        <v>33013</v>
      </c>
      <c r="D780" t="s">
        <v>3865</v>
      </c>
      <c r="E780" s="84">
        <v>57.99</v>
      </c>
      <c r="F780" s="84">
        <v>28.995000000000001</v>
      </c>
      <c r="G780" t="s">
        <v>3852</v>
      </c>
      <c r="H780" t="s">
        <v>3866</v>
      </c>
      <c r="I780" t="s">
        <v>3867</v>
      </c>
      <c r="J780" t="s">
        <v>3868</v>
      </c>
      <c r="K780" t="s">
        <v>3869</v>
      </c>
      <c r="L780" t="s">
        <v>670</v>
      </c>
      <c r="M780">
        <v>50</v>
      </c>
      <c r="N780">
        <v>10</v>
      </c>
      <c r="O780">
        <v>50</v>
      </c>
      <c r="P780">
        <v>2.5000000000000001E-2</v>
      </c>
      <c r="Q780" s="84" t="e">
        <v>#REF!</v>
      </c>
      <c r="R780" s="85">
        <v>11000</v>
      </c>
      <c r="S780" s="85">
        <v>220000</v>
      </c>
      <c r="T780" s="86">
        <v>231000</v>
      </c>
      <c r="U780" s="84">
        <v>15.4</v>
      </c>
      <c r="V780" s="84">
        <v>40.593000000000004</v>
      </c>
      <c r="W780" s="84">
        <v>20.296500000000002</v>
      </c>
      <c r="X780" s="82">
        <v>0.35</v>
      </c>
      <c r="Y780" s="87">
        <v>26.18</v>
      </c>
      <c r="Z780" s="84">
        <v>26.18</v>
      </c>
      <c r="AA780" s="84">
        <v>52.36</v>
      </c>
      <c r="AB780" s="88">
        <v>2</v>
      </c>
      <c r="AC780" t="s">
        <v>3870</v>
      </c>
    </row>
    <row r="781" spans="3:29">
      <c r="C781" t="s">
        <v>3871</v>
      </c>
      <c r="D781" t="s">
        <v>3872</v>
      </c>
      <c r="E781" s="84">
        <v>170.99</v>
      </c>
      <c r="F781" s="84">
        <v>85.495000000000005</v>
      </c>
      <c r="G781" t="s">
        <v>3852</v>
      </c>
      <c r="H781" t="s">
        <v>3873</v>
      </c>
      <c r="I781" t="s">
        <v>920</v>
      </c>
      <c r="J781" t="s">
        <v>3874</v>
      </c>
      <c r="L781" t="s">
        <v>670</v>
      </c>
      <c r="M781">
        <v>40</v>
      </c>
      <c r="N781">
        <v>10</v>
      </c>
      <c r="O781">
        <v>40</v>
      </c>
      <c r="P781">
        <v>1.6E-2</v>
      </c>
      <c r="Q781" s="84" t="e">
        <v>#REF!</v>
      </c>
      <c r="R781" s="85">
        <v>4888.5461529850099</v>
      </c>
      <c r="S781" s="85">
        <v>137500</v>
      </c>
      <c r="T781" s="86">
        <v>142388.54615298501</v>
      </c>
      <c r="U781" s="84">
        <v>9.4925697435323304</v>
      </c>
      <c r="V781" s="84">
        <v>119.693</v>
      </c>
      <c r="W781" s="84">
        <v>59.846499999999999</v>
      </c>
      <c r="X781" s="82">
        <v>0.35</v>
      </c>
      <c r="Y781" s="82"/>
      <c r="Z781" s="84">
        <v>59.846499999999999</v>
      </c>
      <c r="AA781" s="84">
        <v>119.693</v>
      </c>
      <c r="AB781" s="88">
        <v>6.3045625807253902</v>
      </c>
      <c r="AC781" t="s">
        <v>3875</v>
      </c>
    </row>
    <row r="782" spans="3:29">
      <c r="C782" t="s">
        <v>3876</v>
      </c>
      <c r="D782" t="s">
        <v>3872</v>
      </c>
      <c r="E782" s="84">
        <v>184.99</v>
      </c>
      <c r="F782" s="84">
        <v>92.495000000000005</v>
      </c>
      <c r="G782" t="s">
        <v>3852</v>
      </c>
      <c r="H782" t="s">
        <v>3877</v>
      </c>
      <c r="I782" t="s">
        <v>920</v>
      </c>
      <c r="J782" t="s">
        <v>3878</v>
      </c>
      <c r="L782" t="s">
        <v>670</v>
      </c>
      <c r="M782">
        <v>45</v>
      </c>
      <c r="N782">
        <v>10</v>
      </c>
      <c r="O782">
        <v>45</v>
      </c>
      <c r="P782">
        <v>2.0250000000000001E-2</v>
      </c>
      <c r="Q782" s="84" t="e">
        <v>#REF!</v>
      </c>
      <c r="R782" s="85">
        <v>4888.5461529850099</v>
      </c>
      <c r="S782" s="85">
        <v>148500</v>
      </c>
      <c r="T782" s="86">
        <v>153388.54615298501</v>
      </c>
      <c r="U782" s="84">
        <v>10.2259030768657</v>
      </c>
      <c r="V782" s="84">
        <v>129.49299999999999</v>
      </c>
      <c r="W782" s="84">
        <v>64.746499999999997</v>
      </c>
      <c r="X782" s="82">
        <v>0.35</v>
      </c>
      <c r="Y782" s="82"/>
      <c r="Z782" s="84">
        <v>64.746499999999997</v>
      </c>
      <c r="AA782" s="84">
        <v>129.49299999999999</v>
      </c>
      <c r="AB782" s="88">
        <v>6.3316168277086202</v>
      </c>
      <c r="AC782" t="s">
        <v>3879</v>
      </c>
    </row>
    <row r="783" spans="3:29">
      <c r="C783" t="s">
        <v>3880</v>
      </c>
      <c r="D783" t="s">
        <v>3872</v>
      </c>
      <c r="E783" s="84"/>
      <c r="F783" s="84">
        <v>0</v>
      </c>
      <c r="G783" t="s">
        <v>3852</v>
      </c>
      <c r="H783" t="s">
        <v>3881</v>
      </c>
      <c r="I783" t="s">
        <v>920</v>
      </c>
      <c r="J783" t="s">
        <v>3868</v>
      </c>
      <c r="L783" t="s">
        <v>670</v>
      </c>
      <c r="M783">
        <v>50</v>
      </c>
      <c r="N783">
        <v>10</v>
      </c>
      <c r="O783">
        <v>50</v>
      </c>
      <c r="P783">
        <v>2.5000000000000001E-2</v>
      </c>
      <c r="Q783" s="84" t="e">
        <v>#REF!</v>
      </c>
      <c r="R783" s="85">
        <v>6035.2421641790097</v>
      </c>
      <c r="S783" s="85">
        <v>170500</v>
      </c>
      <c r="T783" s="86">
        <v>176535.24216417901</v>
      </c>
      <c r="U783" s="84">
        <v>11.7690161442786</v>
      </c>
      <c r="V783" s="84">
        <v>0</v>
      </c>
      <c r="W783" s="84">
        <v>0</v>
      </c>
      <c r="X783" s="82" t="e">
        <v>#DIV/0!</v>
      </c>
      <c r="Y783" s="87">
        <v>23.538032288557201</v>
      </c>
      <c r="Z783" s="84">
        <v>23.538032288557201</v>
      </c>
      <c r="AA783" s="84">
        <v>47.076064577114401</v>
      </c>
      <c r="AB783" s="88">
        <v>2</v>
      </c>
      <c r="AC783" t="s">
        <v>3882</v>
      </c>
    </row>
    <row r="784" spans="3:29">
      <c r="C784" t="s">
        <v>3883</v>
      </c>
      <c r="D784" t="s">
        <v>3872</v>
      </c>
      <c r="E784" s="84"/>
      <c r="F784" s="84">
        <v>0</v>
      </c>
      <c r="G784" t="s">
        <v>3852</v>
      </c>
      <c r="H784" t="s">
        <v>3884</v>
      </c>
      <c r="I784" t="s">
        <v>920</v>
      </c>
      <c r="J784" t="s">
        <v>3885</v>
      </c>
      <c r="L784" t="s">
        <v>670</v>
      </c>
      <c r="M784">
        <v>60</v>
      </c>
      <c r="N784">
        <v>10</v>
      </c>
      <c r="O784">
        <v>60</v>
      </c>
      <c r="P784">
        <v>3.5999999999999997E-2</v>
      </c>
      <c r="Q784" s="84" t="e">
        <v>#REF!</v>
      </c>
      <c r="R784" s="85">
        <v>8690.7487164179893</v>
      </c>
      <c r="S784" s="85">
        <v>192500</v>
      </c>
      <c r="T784" s="86">
        <v>201190.74871641799</v>
      </c>
      <c r="U784" s="84">
        <v>13.4127165810945</v>
      </c>
      <c r="V784" s="84">
        <v>0</v>
      </c>
      <c r="W784" s="84">
        <v>0</v>
      </c>
      <c r="X784" s="82" t="e">
        <v>#DIV/0!</v>
      </c>
      <c r="Y784" s="87">
        <v>26.8254331621891</v>
      </c>
      <c r="Z784" s="84">
        <v>26.8254331621891</v>
      </c>
      <c r="AA784" s="84">
        <v>53.6508663243781</v>
      </c>
      <c r="AB784" s="88">
        <v>2</v>
      </c>
      <c r="AC784" t="s">
        <v>3886</v>
      </c>
    </row>
    <row r="785" spans="3:29">
      <c r="C785" t="s">
        <v>3887</v>
      </c>
      <c r="D785" t="s">
        <v>3888</v>
      </c>
      <c r="E785" s="84">
        <v>124.99</v>
      </c>
      <c r="F785" s="84">
        <v>62.494999999999997</v>
      </c>
      <c r="G785" t="s">
        <v>3852</v>
      </c>
      <c r="H785" t="s">
        <v>3873</v>
      </c>
      <c r="I785" t="s">
        <v>914</v>
      </c>
      <c r="J785" t="s">
        <v>2686</v>
      </c>
      <c r="L785" t="s">
        <v>670</v>
      </c>
      <c r="M785">
        <v>40</v>
      </c>
      <c r="N785">
        <v>10</v>
      </c>
      <c r="O785">
        <v>40</v>
      </c>
      <c r="P785">
        <v>1.6E-2</v>
      </c>
      <c r="Q785" s="84" t="e">
        <v>#REF!</v>
      </c>
      <c r="R785" s="85">
        <v>3862.5549850749999</v>
      </c>
      <c r="S785" s="85">
        <v>137500</v>
      </c>
      <c r="T785" s="86">
        <v>141362.554985075</v>
      </c>
      <c r="U785" s="84">
        <v>9.4241703323383295</v>
      </c>
      <c r="V785" s="84">
        <v>87.492999999999995</v>
      </c>
      <c r="W785" s="84">
        <v>43.746499999999997</v>
      </c>
      <c r="X785" s="82">
        <v>0.35</v>
      </c>
      <c r="Y785" s="82"/>
      <c r="Z785" s="84">
        <v>43.746499999999997</v>
      </c>
      <c r="AA785" s="84">
        <v>87.492999999999995</v>
      </c>
      <c r="AB785" s="88">
        <v>4.64194708470911</v>
      </c>
      <c r="AC785" t="s">
        <v>3889</v>
      </c>
    </row>
    <row r="786" spans="3:29">
      <c r="C786" t="s">
        <v>3890</v>
      </c>
      <c r="D786" t="s">
        <v>3888</v>
      </c>
      <c r="E786" s="84">
        <v>144.99</v>
      </c>
      <c r="F786" s="84">
        <v>72.495000000000005</v>
      </c>
      <c r="G786" t="s">
        <v>3852</v>
      </c>
      <c r="H786" t="s">
        <v>3881</v>
      </c>
      <c r="I786" t="s">
        <v>914</v>
      </c>
      <c r="J786" t="s">
        <v>3891</v>
      </c>
      <c r="L786" t="s">
        <v>670</v>
      </c>
      <c r="M786">
        <v>50</v>
      </c>
      <c r="N786">
        <v>10</v>
      </c>
      <c r="O786">
        <v>50</v>
      </c>
      <c r="P786">
        <v>2.5000000000000001E-2</v>
      </c>
      <c r="Q786" s="84" t="e">
        <v>#REF!</v>
      </c>
      <c r="R786" s="85">
        <v>6035.2421641790097</v>
      </c>
      <c r="S786" s="85">
        <v>170500</v>
      </c>
      <c r="T786" s="86">
        <v>176535.24216417901</v>
      </c>
      <c r="U786" s="84">
        <v>11.7690161442786</v>
      </c>
      <c r="V786" s="84">
        <v>101.49299999999999</v>
      </c>
      <c r="W786" s="84">
        <v>50.746499999999997</v>
      </c>
      <c r="X786" s="82">
        <v>0.35</v>
      </c>
      <c r="Y786" s="82"/>
      <c r="Z786" s="84">
        <v>50.746499999999997</v>
      </c>
      <c r="AA786" s="84">
        <v>101.49299999999999</v>
      </c>
      <c r="AB786" s="88">
        <v>4.3118727494200897</v>
      </c>
      <c r="AC786" t="s">
        <v>3892</v>
      </c>
    </row>
    <row r="787" spans="3:29">
      <c r="C787" t="s">
        <v>3893</v>
      </c>
      <c r="D787" t="s">
        <v>3888</v>
      </c>
      <c r="E787" s="84">
        <v>179.99</v>
      </c>
      <c r="F787" s="84">
        <v>89.995000000000005</v>
      </c>
      <c r="G787" t="s">
        <v>3852</v>
      </c>
      <c r="H787" t="s">
        <v>3884</v>
      </c>
      <c r="I787" t="s">
        <v>914</v>
      </c>
      <c r="J787" t="s">
        <v>3885</v>
      </c>
      <c r="L787" t="s">
        <v>670</v>
      </c>
      <c r="M787">
        <v>60</v>
      </c>
      <c r="N787">
        <v>10</v>
      </c>
      <c r="O787">
        <v>60</v>
      </c>
      <c r="P787">
        <v>3.5999999999999997E-2</v>
      </c>
      <c r="Q787" s="84" t="e">
        <v>#REF!</v>
      </c>
      <c r="R787" s="85">
        <v>8690.7487164179893</v>
      </c>
      <c r="S787" s="85">
        <v>192500</v>
      </c>
      <c r="T787" s="86">
        <v>201190.74871641799</v>
      </c>
      <c r="U787" s="84">
        <v>13.4127165810945</v>
      </c>
      <c r="V787" s="84">
        <v>125.99299999999999</v>
      </c>
      <c r="W787" s="84">
        <v>62.996499999999997</v>
      </c>
      <c r="X787" s="82">
        <v>0.35</v>
      </c>
      <c r="Y787" s="82"/>
      <c r="Z787" s="84">
        <v>62.996499999999997</v>
      </c>
      <c r="AA787" s="84">
        <v>125.99299999999999</v>
      </c>
      <c r="AB787" s="88">
        <v>4.69677411127845</v>
      </c>
      <c r="AC787" t="s">
        <v>3894</v>
      </c>
    </row>
    <row r="788" spans="3:29">
      <c r="C788" t="s">
        <v>3895</v>
      </c>
      <c r="D788" t="s">
        <v>3888</v>
      </c>
      <c r="E788" s="84">
        <v>179.99</v>
      </c>
      <c r="F788" s="84">
        <v>89.995000000000005</v>
      </c>
      <c r="G788" t="s">
        <v>3852</v>
      </c>
      <c r="H788" t="s">
        <v>3896</v>
      </c>
      <c r="I788" t="s">
        <v>914</v>
      </c>
      <c r="J788" t="s">
        <v>3897</v>
      </c>
      <c r="L788" t="s">
        <v>670</v>
      </c>
      <c r="M788">
        <v>70</v>
      </c>
      <c r="N788">
        <v>10</v>
      </c>
      <c r="O788">
        <v>35</v>
      </c>
      <c r="P788">
        <v>2.4500000000000001E-2</v>
      </c>
      <c r="Q788" s="84" t="e">
        <v>#REF!</v>
      </c>
      <c r="R788" s="85">
        <v>5914.53732089599</v>
      </c>
      <c r="S788" s="85">
        <v>192500</v>
      </c>
      <c r="T788" s="86">
        <v>198414.53732089599</v>
      </c>
      <c r="U788" s="84">
        <v>13.2276358213931</v>
      </c>
      <c r="V788" s="84">
        <v>125.99299999999999</v>
      </c>
      <c r="W788" s="84">
        <v>62.996499999999997</v>
      </c>
      <c r="X788" s="82">
        <v>0.35</v>
      </c>
      <c r="Y788" s="82"/>
      <c r="Z788" s="84">
        <v>62.996499999999997</v>
      </c>
      <c r="AA788" s="84">
        <v>125.99299999999999</v>
      </c>
      <c r="AB788" s="88">
        <v>4.76249126076753</v>
      </c>
      <c r="AC788" t="s">
        <v>3889</v>
      </c>
    </row>
    <row r="789" spans="3:29">
      <c r="C789" t="s">
        <v>3898</v>
      </c>
      <c r="E789" s="84"/>
      <c r="F789" s="82"/>
      <c r="R789" s="85"/>
      <c r="S789" s="85"/>
      <c r="T789" s="86"/>
      <c r="V789" s="84">
        <v>0</v>
      </c>
      <c r="W789" s="84">
        <v>0</v>
      </c>
      <c r="X789" s="82" t="e">
        <v>#DIV/0!</v>
      </c>
      <c r="Y789" s="82">
        <v>0</v>
      </c>
      <c r="Z789" s="82"/>
      <c r="AA789" s="82"/>
      <c r="AB789" s="88" t="e">
        <v>#DIV/0!</v>
      </c>
    </row>
    <row r="790" spans="3:29">
      <c r="C790" t="s">
        <v>3899</v>
      </c>
      <c r="D790" t="s">
        <v>3900</v>
      </c>
      <c r="E790" s="84">
        <v>33.99</v>
      </c>
      <c r="F790" s="84">
        <v>16.995000000000001</v>
      </c>
      <c r="G790" t="s">
        <v>3901</v>
      </c>
      <c r="H790" t="s">
        <v>3902</v>
      </c>
      <c r="I790" t="s">
        <v>3903</v>
      </c>
      <c r="J790" t="s">
        <v>3904</v>
      </c>
      <c r="K790" t="s">
        <v>3905</v>
      </c>
      <c r="L790" t="s">
        <v>670</v>
      </c>
      <c r="N790">
        <v>12</v>
      </c>
      <c r="O790">
        <v>12</v>
      </c>
      <c r="P790">
        <v>1.7279999999999999E-3</v>
      </c>
      <c r="Q790" s="84" t="e">
        <v>#REF!</v>
      </c>
      <c r="R790" s="85"/>
      <c r="S790" s="85"/>
      <c r="T790" s="86">
        <v>0</v>
      </c>
      <c r="U790" s="84">
        <v>0</v>
      </c>
      <c r="V790" s="84">
        <v>23.792999999999999</v>
      </c>
      <c r="W790" s="84">
        <v>11.8965</v>
      </c>
      <c r="X790" s="82">
        <v>0.35</v>
      </c>
      <c r="Y790" s="82"/>
      <c r="Z790" s="84">
        <v>11.8965</v>
      </c>
      <c r="AA790" s="84">
        <v>23.792999999999999</v>
      </c>
      <c r="AB790" s="88" t="e">
        <v>#DIV/0!</v>
      </c>
      <c r="AC790" t="s">
        <v>3906</v>
      </c>
    </row>
    <row r="791" spans="3:29">
      <c r="C791" t="s">
        <v>3907</v>
      </c>
      <c r="D791" t="s">
        <v>3908</v>
      </c>
      <c r="E791" s="84">
        <v>31.99</v>
      </c>
      <c r="F791" s="84">
        <v>15.994999999999999</v>
      </c>
      <c r="G791" t="s">
        <v>3901</v>
      </c>
      <c r="H791" t="s">
        <v>3909</v>
      </c>
      <c r="I791" t="s">
        <v>3910</v>
      </c>
      <c r="J791" t="s">
        <v>3911</v>
      </c>
      <c r="K791" t="s">
        <v>3905</v>
      </c>
      <c r="L791" t="s">
        <v>670</v>
      </c>
      <c r="N791">
        <v>11</v>
      </c>
      <c r="O791">
        <v>15</v>
      </c>
      <c r="P791">
        <v>1.815E-3</v>
      </c>
      <c r="Q791" s="84" t="e">
        <v>#REF!</v>
      </c>
      <c r="R791" s="85"/>
      <c r="S791" s="85"/>
      <c r="T791" s="86">
        <v>0</v>
      </c>
      <c r="U791" s="84">
        <v>0</v>
      </c>
      <c r="V791" s="84">
        <v>22.393000000000001</v>
      </c>
      <c r="W791" s="84">
        <v>11.1965</v>
      </c>
      <c r="X791" s="82">
        <v>0.35</v>
      </c>
      <c r="Y791" s="82"/>
      <c r="Z791" s="84">
        <v>11.1965</v>
      </c>
      <c r="AA791" s="84">
        <v>22.393000000000001</v>
      </c>
      <c r="AB791" s="88" t="e">
        <v>#DIV/0!</v>
      </c>
      <c r="AC791" t="s">
        <v>3912</v>
      </c>
    </row>
    <row r="792" spans="3:29">
      <c r="C792" t="s">
        <v>3913</v>
      </c>
      <c r="D792" t="s">
        <v>3914</v>
      </c>
      <c r="E792" s="84">
        <v>35.99</v>
      </c>
      <c r="F792" s="84">
        <v>17.995000000000001</v>
      </c>
      <c r="G792" t="s">
        <v>3901</v>
      </c>
      <c r="H792" t="s">
        <v>3915</v>
      </c>
      <c r="I792" t="s">
        <v>3916</v>
      </c>
      <c r="J792" t="s">
        <v>3917</v>
      </c>
      <c r="K792" t="s">
        <v>3905</v>
      </c>
      <c r="L792" t="s">
        <v>670</v>
      </c>
      <c r="N792">
        <v>12</v>
      </c>
      <c r="O792">
        <v>15</v>
      </c>
      <c r="P792">
        <v>2.16E-3</v>
      </c>
      <c r="Q792" s="84" t="e">
        <v>#REF!</v>
      </c>
      <c r="R792" s="85"/>
      <c r="S792" s="85"/>
      <c r="T792" s="86">
        <v>0</v>
      </c>
      <c r="U792" s="84">
        <v>0</v>
      </c>
      <c r="V792" s="84">
        <v>25.193000000000001</v>
      </c>
      <c r="W792" s="84">
        <v>12.596500000000001</v>
      </c>
      <c r="X792" s="82">
        <v>0.35</v>
      </c>
      <c r="Y792" s="82"/>
      <c r="Z792" s="84">
        <v>12.596500000000001</v>
      </c>
      <c r="AA792" s="84">
        <v>25.193000000000001</v>
      </c>
      <c r="AB792" s="88" t="e">
        <v>#DIV/0!</v>
      </c>
      <c r="AC792" t="s">
        <v>3918</v>
      </c>
    </row>
    <row r="793" spans="3:29">
      <c r="C793" t="s">
        <v>3919</v>
      </c>
      <c r="D793" t="s">
        <v>3920</v>
      </c>
      <c r="E793" s="84">
        <v>26.99</v>
      </c>
      <c r="F793" s="84">
        <v>13.494999999999999</v>
      </c>
      <c r="G793" t="s">
        <v>3901</v>
      </c>
      <c r="H793" t="s">
        <v>3921</v>
      </c>
      <c r="I793" t="s">
        <v>3922</v>
      </c>
      <c r="J793" t="s">
        <v>3923</v>
      </c>
      <c r="K793" t="s">
        <v>3905</v>
      </c>
      <c r="L793" t="s">
        <v>670</v>
      </c>
      <c r="N793">
        <v>6</v>
      </c>
      <c r="O793">
        <v>18</v>
      </c>
      <c r="P793">
        <v>6.4800000000000003E-4</v>
      </c>
      <c r="Q793" s="84" t="e">
        <v>#REF!</v>
      </c>
      <c r="R793" s="85"/>
      <c r="S793" s="85"/>
      <c r="T793" s="86">
        <v>0</v>
      </c>
      <c r="U793" s="84">
        <v>0</v>
      </c>
      <c r="V793" s="84">
        <v>18.893000000000001</v>
      </c>
      <c r="W793" s="84">
        <v>9.4465000000000003</v>
      </c>
      <c r="X793" s="82">
        <v>0.35</v>
      </c>
      <c r="Y793" s="82"/>
      <c r="Z793" s="84">
        <v>9.4465000000000003</v>
      </c>
      <c r="AA793" s="84">
        <v>18.893000000000001</v>
      </c>
      <c r="AB793" s="88" t="e">
        <v>#DIV/0!</v>
      </c>
      <c r="AC793" t="s">
        <v>3924</v>
      </c>
    </row>
    <row r="794" spans="3:29">
      <c r="C794" t="s">
        <v>3925</v>
      </c>
      <c r="D794" t="s">
        <v>3926</v>
      </c>
      <c r="E794" s="84">
        <v>39.99</v>
      </c>
      <c r="F794" s="84">
        <v>19.995000000000001</v>
      </c>
      <c r="G794" t="s">
        <v>3901</v>
      </c>
      <c r="H794" t="s">
        <v>3927</v>
      </c>
      <c r="I794" t="s">
        <v>536</v>
      </c>
      <c r="J794" t="s">
        <v>3928</v>
      </c>
      <c r="K794" t="s">
        <v>3905</v>
      </c>
      <c r="L794" t="s">
        <v>670</v>
      </c>
      <c r="N794">
        <v>12</v>
      </c>
      <c r="O794">
        <v>21</v>
      </c>
      <c r="P794">
        <v>3.0240000000000002E-3</v>
      </c>
      <c r="Q794" s="84" t="e">
        <v>#REF!</v>
      </c>
      <c r="R794" s="85"/>
      <c r="S794" s="85"/>
      <c r="T794" s="86">
        <v>0</v>
      </c>
      <c r="U794" s="84">
        <v>0</v>
      </c>
      <c r="V794" s="84">
        <v>27.992999999999999</v>
      </c>
      <c r="W794" s="84">
        <v>13.996499999999999</v>
      </c>
      <c r="X794" s="82">
        <v>0.35</v>
      </c>
      <c r="Y794" s="82"/>
      <c r="Z794" s="84">
        <v>13.996499999999999</v>
      </c>
      <c r="AA794" s="84">
        <v>27.992999999999999</v>
      </c>
      <c r="AB794" s="88" t="e">
        <v>#DIV/0!</v>
      </c>
      <c r="AC794" t="s">
        <v>3929</v>
      </c>
    </row>
    <row r="795" spans="3:29">
      <c r="C795" t="s">
        <v>3930</v>
      </c>
      <c r="D795" t="s">
        <v>3926</v>
      </c>
      <c r="E795" s="84">
        <v>46.99</v>
      </c>
      <c r="F795" s="84">
        <v>23.495000000000001</v>
      </c>
      <c r="G795" t="s">
        <v>3901</v>
      </c>
      <c r="H795" t="s">
        <v>3931</v>
      </c>
      <c r="I795" t="s">
        <v>536</v>
      </c>
      <c r="J795" t="s">
        <v>3932</v>
      </c>
      <c r="K795" t="s">
        <v>3905</v>
      </c>
      <c r="L795" t="s">
        <v>670</v>
      </c>
      <c r="N795">
        <v>12</v>
      </c>
      <c r="O795">
        <v>30</v>
      </c>
      <c r="P795">
        <v>4.3200000000000001E-3</v>
      </c>
      <c r="Q795" s="84" t="e">
        <v>#REF!</v>
      </c>
      <c r="R795" s="85"/>
      <c r="S795" s="85"/>
      <c r="T795" s="86">
        <v>0</v>
      </c>
      <c r="U795" s="84">
        <v>0</v>
      </c>
      <c r="V795" s="84">
        <v>32.893000000000001</v>
      </c>
      <c r="W795" s="84">
        <v>16.4465</v>
      </c>
      <c r="X795" s="82">
        <v>0.35</v>
      </c>
      <c r="Y795" s="82"/>
      <c r="Z795" s="84">
        <v>16.4465</v>
      </c>
      <c r="AA795" s="84">
        <v>32.893000000000001</v>
      </c>
      <c r="AB795" s="88" t="e">
        <v>#DIV/0!</v>
      </c>
      <c r="AC795" t="s">
        <v>3933</v>
      </c>
    </row>
    <row r="796" spans="3:29">
      <c r="C796" t="s">
        <v>3934</v>
      </c>
      <c r="D796" t="s">
        <v>3935</v>
      </c>
      <c r="E796" s="84">
        <v>25.99</v>
      </c>
      <c r="F796" s="84">
        <v>12.994999999999999</v>
      </c>
      <c r="G796" t="s">
        <v>3901</v>
      </c>
      <c r="H796" t="s">
        <v>3936</v>
      </c>
      <c r="I796" t="s">
        <v>301</v>
      </c>
      <c r="J796" t="s">
        <v>3937</v>
      </c>
      <c r="K796" t="s">
        <v>3905</v>
      </c>
      <c r="L796" t="s">
        <v>670</v>
      </c>
      <c r="N796">
        <v>6</v>
      </c>
      <c r="O796">
        <v>9</v>
      </c>
      <c r="P796">
        <v>3.2400000000000001E-4</v>
      </c>
      <c r="Q796" s="84" t="e">
        <v>#REF!</v>
      </c>
      <c r="R796" s="85"/>
      <c r="S796" s="85"/>
      <c r="T796" s="86">
        <v>0</v>
      </c>
      <c r="U796" s="84">
        <v>0</v>
      </c>
      <c r="V796" s="84">
        <v>18.193000000000001</v>
      </c>
      <c r="W796" s="84">
        <v>9.0965000000000007</v>
      </c>
      <c r="X796" s="82">
        <v>0.35</v>
      </c>
      <c r="Y796" s="82"/>
      <c r="Z796" s="84">
        <v>9.0965000000000007</v>
      </c>
      <c r="AA796" s="84">
        <v>18.193000000000001</v>
      </c>
      <c r="AB796" s="88" t="e">
        <v>#DIV/0!</v>
      </c>
      <c r="AC796" t="s">
        <v>3938</v>
      </c>
    </row>
    <row r="797" spans="3:29">
      <c r="C797" t="s">
        <v>3939</v>
      </c>
      <c r="D797" t="s">
        <v>3935</v>
      </c>
      <c r="E797" s="84">
        <v>31.99</v>
      </c>
      <c r="F797" s="84">
        <v>15.994999999999999</v>
      </c>
      <c r="G797" t="s">
        <v>3901</v>
      </c>
      <c r="H797" t="s">
        <v>3940</v>
      </c>
      <c r="I797" t="s">
        <v>301</v>
      </c>
      <c r="J797" t="s">
        <v>3941</v>
      </c>
      <c r="K797" t="s">
        <v>3905</v>
      </c>
      <c r="L797" t="s">
        <v>670</v>
      </c>
      <c r="N797">
        <v>7</v>
      </c>
      <c r="O797">
        <v>10</v>
      </c>
      <c r="P797">
        <v>4.8999999999999998E-4</v>
      </c>
      <c r="Q797" s="84" t="e">
        <v>#REF!</v>
      </c>
      <c r="R797" s="85"/>
      <c r="S797" s="85"/>
      <c r="T797" s="86">
        <v>0</v>
      </c>
      <c r="U797" s="84">
        <v>0</v>
      </c>
      <c r="V797" s="84">
        <v>22.393000000000001</v>
      </c>
      <c r="W797" s="84">
        <v>11.1965</v>
      </c>
      <c r="X797" s="82">
        <v>0.35</v>
      </c>
      <c r="Y797" s="82"/>
      <c r="Z797" s="84">
        <v>11.1965</v>
      </c>
      <c r="AA797" s="84">
        <v>22.393000000000001</v>
      </c>
      <c r="AB797" s="88" t="e">
        <v>#DIV/0!</v>
      </c>
      <c r="AC797" t="s">
        <v>3942</v>
      </c>
    </row>
    <row r="798" spans="3:29">
      <c r="C798" t="s">
        <v>3943</v>
      </c>
      <c r="D798" t="s">
        <v>3935</v>
      </c>
      <c r="E798" s="84">
        <v>29.99</v>
      </c>
      <c r="F798" s="84">
        <v>14.994999999999999</v>
      </c>
      <c r="G798" t="s">
        <v>3901</v>
      </c>
      <c r="H798" t="s">
        <v>3944</v>
      </c>
      <c r="I798" t="s">
        <v>301</v>
      </c>
      <c r="J798" t="s">
        <v>3945</v>
      </c>
      <c r="K798" t="s">
        <v>3905</v>
      </c>
      <c r="L798" t="s">
        <v>670</v>
      </c>
      <c r="N798">
        <v>7</v>
      </c>
      <c r="O798">
        <v>12</v>
      </c>
      <c r="P798">
        <v>5.8799999999999998E-4</v>
      </c>
      <c r="Q798" s="84" t="e">
        <v>#REF!</v>
      </c>
      <c r="R798" s="85"/>
      <c r="S798" s="85"/>
      <c r="T798" s="86">
        <v>0</v>
      </c>
      <c r="U798" s="84">
        <v>0</v>
      </c>
      <c r="V798" s="84">
        <v>20.992999999999999</v>
      </c>
      <c r="W798" s="84">
        <v>10.496499999999999</v>
      </c>
      <c r="X798" s="82">
        <v>0.35</v>
      </c>
      <c r="Y798" s="82"/>
      <c r="Z798" s="84">
        <v>10.496499999999999</v>
      </c>
      <c r="AA798" s="84">
        <v>20.992999999999999</v>
      </c>
      <c r="AB798" s="88" t="e">
        <v>#DIV/0!</v>
      </c>
      <c r="AC798" t="s">
        <v>3938</v>
      </c>
    </row>
    <row r="799" spans="3:29">
      <c r="C799" t="s">
        <v>3946</v>
      </c>
      <c r="D799" t="s">
        <v>3935</v>
      </c>
      <c r="E799" s="84">
        <v>31.99</v>
      </c>
      <c r="F799" s="84">
        <v>15.994999999999999</v>
      </c>
      <c r="G799" t="s">
        <v>3901</v>
      </c>
      <c r="H799" t="s">
        <v>3947</v>
      </c>
      <c r="I799" t="s">
        <v>301</v>
      </c>
      <c r="J799" t="s">
        <v>3948</v>
      </c>
      <c r="K799" t="s">
        <v>3905</v>
      </c>
      <c r="L799" t="s">
        <v>670</v>
      </c>
      <c r="N799">
        <v>6</v>
      </c>
      <c r="O799">
        <v>16</v>
      </c>
      <c r="P799">
        <v>5.7600000000000001E-4</v>
      </c>
      <c r="Q799" s="84" t="e">
        <v>#REF!</v>
      </c>
      <c r="R799" s="85"/>
      <c r="S799" s="85"/>
      <c r="T799" s="86">
        <v>0</v>
      </c>
      <c r="U799" s="84">
        <v>0</v>
      </c>
      <c r="V799" s="84">
        <v>22.393000000000001</v>
      </c>
      <c r="W799" s="84">
        <v>11.1965</v>
      </c>
      <c r="X799" s="82">
        <v>0.35</v>
      </c>
      <c r="Y799" s="82"/>
      <c r="Z799" s="84">
        <v>11.1965</v>
      </c>
      <c r="AA799" s="84">
        <v>22.393000000000001</v>
      </c>
      <c r="AB799" s="88" t="e">
        <v>#DIV/0!</v>
      </c>
      <c r="AC799" t="s">
        <v>3949</v>
      </c>
    </row>
    <row r="800" spans="3:29">
      <c r="C800" t="s">
        <v>3950</v>
      </c>
      <c r="D800" t="s">
        <v>3935</v>
      </c>
      <c r="E800" s="84">
        <v>57.99</v>
      </c>
      <c r="F800" s="84">
        <v>28.995000000000001</v>
      </c>
      <c r="G800" t="s">
        <v>3901</v>
      </c>
      <c r="H800" t="s">
        <v>3951</v>
      </c>
      <c r="I800" t="s">
        <v>301</v>
      </c>
      <c r="J800" t="s">
        <v>3952</v>
      </c>
      <c r="K800" t="s">
        <v>3905</v>
      </c>
      <c r="L800" t="s">
        <v>670</v>
      </c>
      <c r="N800">
        <v>11</v>
      </c>
      <c r="O800">
        <v>27</v>
      </c>
      <c r="P800">
        <v>3.2669999999999999E-3</v>
      </c>
      <c r="Q800" s="84" t="e">
        <v>#REF!</v>
      </c>
      <c r="R800" s="85"/>
      <c r="S800" s="85"/>
      <c r="T800" s="86">
        <v>0</v>
      </c>
      <c r="U800" s="84">
        <v>0</v>
      </c>
      <c r="V800" s="84">
        <v>40.593000000000004</v>
      </c>
      <c r="W800" s="84">
        <v>20.296500000000002</v>
      </c>
      <c r="X800" s="82">
        <v>0.35</v>
      </c>
      <c r="Y800" s="82"/>
      <c r="Z800" s="84">
        <v>20.296500000000002</v>
      </c>
      <c r="AA800" s="84">
        <v>40.593000000000004</v>
      </c>
      <c r="AB800" s="88" t="e">
        <v>#DIV/0!</v>
      </c>
      <c r="AC800" t="s">
        <v>3953</v>
      </c>
    </row>
    <row r="801" spans="3:29">
      <c r="C801" t="s">
        <v>3954</v>
      </c>
      <c r="D801" t="s">
        <v>3955</v>
      </c>
      <c r="E801" s="84">
        <v>30.99</v>
      </c>
      <c r="F801" s="84">
        <v>15.494999999999999</v>
      </c>
      <c r="G801" t="s">
        <v>3901</v>
      </c>
      <c r="H801" t="s">
        <v>3956</v>
      </c>
      <c r="I801" t="s">
        <v>85</v>
      </c>
      <c r="J801" t="s">
        <v>3957</v>
      </c>
      <c r="K801" t="s">
        <v>3905</v>
      </c>
      <c r="L801" t="s">
        <v>670</v>
      </c>
      <c r="N801">
        <v>9</v>
      </c>
      <c r="O801">
        <v>15</v>
      </c>
      <c r="P801">
        <v>1.2149999999999999E-3</v>
      </c>
      <c r="Q801" s="84" t="e">
        <v>#REF!</v>
      </c>
      <c r="R801" s="85"/>
      <c r="S801" s="85"/>
      <c r="T801" s="86">
        <v>0</v>
      </c>
      <c r="U801" s="84">
        <v>0</v>
      </c>
      <c r="V801" s="84">
        <v>21.693000000000001</v>
      </c>
      <c r="W801" s="84">
        <v>10.846500000000001</v>
      </c>
      <c r="X801" s="82">
        <v>0.35</v>
      </c>
      <c r="Y801" s="82"/>
      <c r="Z801" s="84">
        <v>10.846500000000001</v>
      </c>
      <c r="AA801" s="84">
        <v>21.693000000000001</v>
      </c>
      <c r="AB801" s="88" t="e">
        <v>#DIV/0!</v>
      </c>
      <c r="AC801" t="s">
        <v>3958</v>
      </c>
    </row>
    <row r="802" spans="3:29" ht="60.75">
      <c r="C802" t="s">
        <v>3959</v>
      </c>
      <c r="D802" t="s">
        <v>3955</v>
      </c>
      <c r="E802" s="84"/>
      <c r="F802" s="84">
        <v>0</v>
      </c>
      <c r="G802" t="s">
        <v>3901</v>
      </c>
      <c r="H802" t="s">
        <v>3960</v>
      </c>
      <c r="I802" t="s">
        <v>85</v>
      </c>
      <c r="J802" t="s">
        <v>3957</v>
      </c>
      <c r="K802" s="83" t="s">
        <v>3961</v>
      </c>
      <c r="L802" t="s">
        <v>670</v>
      </c>
      <c r="N802">
        <v>9</v>
      </c>
      <c r="O802">
        <v>15</v>
      </c>
      <c r="P802">
        <v>1.2149999999999999E-3</v>
      </c>
      <c r="Q802" s="84" t="e">
        <v>#REF!</v>
      </c>
      <c r="R802" s="85"/>
      <c r="S802" s="85"/>
      <c r="T802" s="86">
        <v>0</v>
      </c>
      <c r="U802" s="84">
        <v>0</v>
      </c>
      <c r="V802" s="84">
        <v>0</v>
      </c>
      <c r="W802" s="84">
        <v>0</v>
      </c>
      <c r="X802" s="82" t="e">
        <v>#DIV/0!</v>
      </c>
      <c r="Y802" s="82"/>
      <c r="Z802" s="84">
        <v>0</v>
      </c>
      <c r="AA802" s="84">
        <v>0</v>
      </c>
      <c r="AB802" s="88" t="e">
        <v>#DIV/0!</v>
      </c>
      <c r="AC802" t="s">
        <v>3962</v>
      </c>
    </row>
    <row r="803" spans="3:29" ht="60.75">
      <c r="C803" t="s">
        <v>3963</v>
      </c>
      <c r="D803" t="s">
        <v>3955</v>
      </c>
      <c r="E803" s="84"/>
      <c r="F803" s="84">
        <v>0</v>
      </c>
      <c r="G803" t="s">
        <v>3901</v>
      </c>
      <c r="H803" t="s">
        <v>3964</v>
      </c>
      <c r="I803" t="s">
        <v>85</v>
      </c>
      <c r="J803" t="s">
        <v>3957</v>
      </c>
      <c r="K803" s="83" t="s">
        <v>3965</v>
      </c>
      <c r="L803" t="s">
        <v>670</v>
      </c>
      <c r="N803">
        <v>9</v>
      </c>
      <c r="O803">
        <v>15</v>
      </c>
      <c r="P803">
        <v>1.2149999999999999E-3</v>
      </c>
      <c r="Q803" s="84" t="e">
        <v>#REF!</v>
      </c>
      <c r="R803" s="85"/>
      <c r="S803" s="85"/>
      <c r="T803" s="86">
        <v>0</v>
      </c>
      <c r="U803" s="84">
        <v>0</v>
      </c>
      <c r="V803" s="84">
        <v>0</v>
      </c>
      <c r="W803" s="84">
        <v>0</v>
      </c>
      <c r="X803" s="82" t="e">
        <v>#DIV/0!</v>
      </c>
      <c r="Y803" s="82"/>
      <c r="Z803" s="84">
        <v>0</v>
      </c>
      <c r="AA803" s="84">
        <v>0</v>
      </c>
      <c r="AB803" s="88" t="e">
        <v>#DIV/0!</v>
      </c>
      <c r="AC803" t="s">
        <v>3958</v>
      </c>
    </row>
    <row r="804" spans="3:29">
      <c r="C804" t="s">
        <v>3966</v>
      </c>
      <c r="D804" t="s">
        <v>3967</v>
      </c>
      <c r="E804" s="84">
        <v>38.99</v>
      </c>
      <c r="F804" s="84">
        <v>19.495000000000001</v>
      </c>
      <c r="G804" t="s">
        <v>3901</v>
      </c>
      <c r="H804" t="s">
        <v>3968</v>
      </c>
      <c r="I804" t="s">
        <v>618</v>
      </c>
      <c r="J804" t="s">
        <v>3969</v>
      </c>
      <c r="K804" t="s">
        <v>3905</v>
      </c>
      <c r="L804" t="s">
        <v>670</v>
      </c>
      <c r="N804">
        <v>9.5</v>
      </c>
      <c r="O804">
        <v>20</v>
      </c>
      <c r="P804">
        <v>1.805E-3</v>
      </c>
      <c r="Q804" s="84" t="e">
        <v>#REF!</v>
      </c>
      <c r="R804" s="85"/>
      <c r="S804" s="85"/>
      <c r="T804" s="86">
        <v>0</v>
      </c>
      <c r="U804" s="84">
        <v>0</v>
      </c>
      <c r="V804" s="84">
        <v>27.292999999999999</v>
      </c>
      <c r="W804" s="84">
        <v>13.6465</v>
      </c>
      <c r="X804" s="82">
        <v>0.35</v>
      </c>
      <c r="Y804" s="82"/>
      <c r="Z804" s="84">
        <v>13.6465</v>
      </c>
      <c r="AA804" s="84">
        <v>27.292999999999999</v>
      </c>
      <c r="AB804" s="88" t="e">
        <v>#DIV/0!</v>
      </c>
      <c r="AC804" t="s">
        <v>3970</v>
      </c>
    </row>
    <row r="805" spans="3:29">
      <c r="C805" t="s">
        <v>3971</v>
      </c>
      <c r="D805" t="s">
        <v>3967</v>
      </c>
      <c r="E805" s="84">
        <v>41.99</v>
      </c>
      <c r="F805" s="84">
        <v>20.995000000000001</v>
      </c>
      <c r="G805" t="s">
        <v>3901</v>
      </c>
      <c r="H805" t="s">
        <v>3972</v>
      </c>
      <c r="I805" t="s">
        <v>618</v>
      </c>
      <c r="J805" t="s">
        <v>3969</v>
      </c>
      <c r="K805" t="s">
        <v>3973</v>
      </c>
      <c r="L805" t="s">
        <v>670</v>
      </c>
      <c r="N805">
        <v>9.5</v>
      </c>
      <c r="O805">
        <v>20</v>
      </c>
      <c r="P805">
        <v>1.805E-3</v>
      </c>
      <c r="Q805" s="84" t="e">
        <v>#REF!</v>
      </c>
      <c r="R805" s="85"/>
      <c r="S805" s="85"/>
      <c r="T805" s="86">
        <v>0</v>
      </c>
      <c r="U805" s="84">
        <v>0</v>
      </c>
      <c r="V805" s="84">
        <v>29.393000000000001</v>
      </c>
      <c r="W805" s="84">
        <v>14.6965</v>
      </c>
      <c r="X805" s="82">
        <v>0.35</v>
      </c>
      <c r="Y805" s="82"/>
      <c r="Z805" s="84">
        <v>14.6965</v>
      </c>
      <c r="AA805" s="84">
        <v>29.393000000000001</v>
      </c>
      <c r="AB805" s="88" t="e">
        <v>#DIV/0!</v>
      </c>
      <c r="AC805" t="s">
        <v>3974</v>
      </c>
    </row>
    <row r="806" spans="3:29" ht="60.75">
      <c r="C806" t="s">
        <v>3975</v>
      </c>
      <c r="D806" t="s">
        <v>3967</v>
      </c>
      <c r="E806" s="84"/>
      <c r="F806" s="84">
        <v>0</v>
      </c>
      <c r="G806" t="s">
        <v>3901</v>
      </c>
      <c r="H806" t="s">
        <v>3976</v>
      </c>
      <c r="I806" t="s">
        <v>618</v>
      </c>
      <c r="J806" t="s">
        <v>3969</v>
      </c>
      <c r="K806" s="83" t="s">
        <v>3965</v>
      </c>
      <c r="L806" t="s">
        <v>670</v>
      </c>
      <c r="N806">
        <v>9.5</v>
      </c>
      <c r="O806">
        <v>20</v>
      </c>
      <c r="P806">
        <v>1.805E-3</v>
      </c>
      <c r="Q806" s="84" t="e">
        <v>#REF!</v>
      </c>
      <c r="R806" s="85"/>
      <c r="S806" s="85"/>
      <c r="T806" s="86">
        <v>0</v>
      </c>
      <c r="U806" s="84">
        <v>0</v>
      </c>
      <c r="V806" s="84">
        <v>0</v>
      </c>
      <c r="W806" s="84">
        <v>0</v>
      </c>
      <c r="X806" s="82" t="e">
        <v>#DIV/0!</v>
      </c>
      <c r="Y806" s="82"/>
      <c r="Z806" s="84">
        <v>0</v>
      </c>
      <c r="AA806" s="84">
        <v>0</v>
      </c>
      <c r="AB806" s="88" t="e">
        <v>#DIV/0!</v>
      </c>
      <c r="AC806" t="s">
        <v>3974</v>
      </c>
    </row>
    <row r="807" spans="3:29">
      <c r="C807" t="s">
        <v>3977</v>
      </c>
      <c r="D807" t="s">
        <v>3978</v>
      </c>
      <c r="E807" s="84">
        <v>41.99</v>
      </c>
      <c r="F807" s="84">
        <v>20.995000000000001</v>
      </c>
      <c r="G807" t="s">
        <v>3901</v>
      </c>
      <c r="H807" t="s">
        <v>3979</v>
      </c>
      <c r="I807" t="s">
        <v>611</v>
      </c>
      <c r="J807" t="s">
        <v>3980</v>
      </c>
      <c r="K807" t="s">
        <v>3905</v>
      </c>
      <c r="L807" t="s">
        <v>670</v>
      </c>
      <c r="N807">
        <v>10</v>
      </c>
      <c r="O807">
        <v>25</v>
      </c>
      <c r="P807">
        <v>2.5000000000000001E-3</v>
      </c>
      <c r="Q807" s="84" t="e">
        <v>#REF!</v>
      </c>
      <c r="R807" s="85"/>
      <c r="S807" s="85"/>
      <c r="T807" s="86">
        <v>0</v>
      </c>
      <c r="U807" s="84">
        <v>0</v>
      </c>
      <c r="V807" s="84">
        <v>29.393000000000001</v>
      </c>
      <c r="W807" s="84">
        <v>14.6965</v>
      </c>
      <c r="X807" s="82">
        <v>0.35</v>
      </c>
      <c r="Y807" s="82"/>
      <c r="Z807" s="84">
        <v>14.6965</v>
      </c>
      <c r="AA807" s="84">
        <v>29.393000000000001</v>
      </c>
      <c r="AB807" s="88" t="e">
        <v>#DIV/0!</v>
      </c>
      <c r="AC807" t="s">
        <v>3981</v>
      </c>
    </row>
    <row r="808" spans="3:29">
      <c r="C808" t="s">
        <v>3982</v>
      </c>
      <c r="D808" t="s">
        <v>3978</v>
      </c>
      <c r="E808" s="84">
        <v>45.99</v>
      </c>
      <c r="F808" s="84">
        <v>22.995000000000001</v>
      </c>
      <c r="G808" t="s">
        <v>3901</v>
      </c>
      <c r="H808" t="s">
        <v>3983</v>
      </c>
      <c r="I808" t="s">
        <v>611</v>
      </c>
      <c r="J808" t="s">
        <v>3980</v>
      </c>
      <c r="K808" t="s">
        <v>3973</v>
      </c>
      <c r="L808" t="s">
        <v>670</v>
      </c>
      <c r="N808">
        <v>10</v>
      </c>
      <c r="O808">
        <v>25</v>
      </c>
      <c r="P808">
        <v>2.5000000000000001E-3</v>
      </c>
      <c r="Q808" s="84" t="e">
        <v>#REF!</v>
      </c>
      <c r="R808" s="85"/>
      <c r="S808" s="85"/>
      <c r="T808" s="86">
        <v>0</v>
      </c>
      <c r="U808" s="84">
        <v>0</v>
      </c>
      <c r="V808" s="84">
        <v>32.192999999999998</v>
      </c>
      <c r="W808" s="84">
        <v>16.096499999999999</v>
      </c>
      <c r="X808" s="82">
        <v>0.35</v>
      </c>
      <c r="Y808" s="82"/>
      <c r="Z808" s="84">
        <v>16.096499999999999</v>
      </c>
      <c r="AA808" s="84">
        <v>32.192999999999998</v>
      </c>
      <c r="AB808" s="88" t="e">
        <v>#DIV/0!</v>
      </c>
      <c r="AC808" t="s">
        <v>3984</v>
      </c>
    </row>
    <row r="809" spans="3:29" ht="60.75">
      <c r="C809" t="s">
        <v>3985</v>
      </c>
      <c r="D809" t="s">
        <v>3978</v>
      </c>
      <c r="E809" s="84"/>
      <c r="F809" s="84">
        <v>0</v>
      </c>
      <c r="G809" t="s">
        <v>3901</v>
      </c>
      <c r="H809" t="s">
        <v>3986</v>
      </c>
      <c r="I809" t="s">
        <v>611</v>
      </c>
      <c r="J809" t="s">
        <v>3980</v>
      </c>
      <c r="K809" s="83" t="s">
        <v>3965</v>
      </c>
      <c r="L809" t="s">
        <v>670</v>
      </c>
      <c r="N809">
        <v>10</v>
      </c>
      <c r="O809">
        <v>25</v>
      </c>
      <c r="P809">
        <v>2.5000000000000001E-3</v>
      </c>
      <c r="Q809" s="84" t="e">
        <v>#REF!</v>
      </c>
      <c r="R809" s="85"/>
      <c r="S809" s="85"/>
      <c r="T809" s="86">
        <v>0</v>
      </c>
      <c r="U809" s="84">
        <v>0</v>
      </c>
      <c r="V809" s="84">
        <v>0</v>
      </c>
      <c r="W809" s="84">
        <v>0</v>
      </c>
      <c r="X809" s="82" t="e">
        <v>#DIV/0!</v>
      </c>
      <c r="Y809" s="82"/>
      <c r="Z809" s="84">
        <v>0</v>
      </c>
      <c r="AA809" s="84">
        <v>0</v>
      </c>
      <c r="AB809" s="88" t="e">
        <v>#DIV/0!</v>
      </c>
      <c r="AC809" t="s">
        <v>3987</v>
      </c>
    </row>
    <row r="810" spans="3:29">
      <c r="C810" t="s">
        <v>3988</v>
      </c>
      <c r="D810" t="s">
        <v>3989</v>
      </c>
      <c r="E810" s="84">
        <v>36.99</v>
      </c>
      <c r="F810" s="84">
        <v>18.495000000000001</v>
      </c>
      <c r="G810" t="s">
        <v>3901</v>
      </c>
      <c r="H810" t="s">
        <v>3990</v>
      </c>
      <c r="I810" t="s">
        <v>577</v>
      </c>
      <c r="J810" t="s">
        <v>3991</v>
      </c>
      <c r="K810" t="s">
        <v>3905</v>
      </c>
      <c r="L810" t="s">
        <v>670</v>
      </c>
      <c r="N810">
        <v>7</v>
      </c>
      <c r="O810">
        <v>25</v>
      </c>
      <c r="P810">
        <v>1.225E-3</v>
      </c>
      <c r="Q810" s="84" t="e">
        <v>#REF!</v>
      </c>
      <c r="R810" s="85"/>
      <c r="S810" s="85"/>
      <c r="T810" s="86">
        <v>0</v>
      </c>
      <c r="U810" s="84">
        <v>0</v>
      </c>
      <c r="V810" s="84">
        <v>25.893000000000001</v>
      </c>
      <c r="W810" s="84">
        <v>12.9465</v>
      </c>
      <c r="X810" s="82">
        <v>0.35</v>
      </c>
      <c r="Y810" s="82"/>
      <c r="Z810" s="84">
        <v>12.9465</v>
      </c>
      <c r="AA810" s="84">
        <v>25.893000000000001</v>
      </c>
      <c r="AB810" s="88" t="e">
        <v>#DIV/0!</v>
      </c>
      <c r="AC810" t="s">
        <v>3992</v>
      </c>
    </row>
    <row r="811" spans="3:29">
      <c r="C811" t="s">
        <v>3993</v>
      </c>
      <c r="D811" t="s">
        <v>3989</v>
      </c>
      <c r="E811" s="84">
        <v>40.99</v>
      </c>
      <c r="F811" s="84">
        <v>20.495000000000001</v>
      </c>
      <c r="G811" t="s">
        <v>3901</v>
      </c>
      <c r="H811" t="s">
        <v>3994</v>
      </c>
      <c r="I811" t="s">
        <v>577</v>
      </c>
      <c r="J811" t="s">
        <v>3995</v>
      </c>
      <c r="K811" t="s">
        <v>3905</v>
      </c>
      <c r="L811" t="s">
        <v>670</v>
      </c>
      <c r="N811">
        <v>8</v>
      </c>
      <c r="O811">
        <v>30</v>
      </c>
      <c r="P811">
        <v>1.92E-3</v>
      </c>
      <c r="Q811" s="84" t="e">
        <v>#REF!</v>
      </c>
      <c r="R811" s="85"/>
      <c r="S811" s="85"/>
      <c r="T811" s="86">
        <v>0</v>
      </c>
      <c r="U811" s="84">
        <v>0</v>
      </c>
      <c r="V811" s="84">
        <v>28.693000000000001</v>
      </c>
      <c r="W811" s="84">
        <v>14.346500000000001</v>
      </c>
      <c r="X811" s="82">
        <v>0.35</v>
      </c>
      <c r="Y811" s="82"/>
      <c r="Z811" s="84">
        <v>14.346500000000001</v>
      </c>
      <c r="AA811" s="84">
        <v>28.693000000000001</v>
      </c>
      <c r="AB811" s="88" t="e">
        <v>#DIV/0!</v>
      </c>
      <c r="AC811" t="s">
        <v>3996</v>
      </c>
    </row>
    <row r="812" spans="3:29">
      <c r="C812" t="s">
        <v>3997</v>
      </c>
      <c r="D812" t="s">
        <v>3998</v>
      </c>
      <c r="E812" s="84">
        <v>27.99</v>
      </c>
      <c r="F812" s="84">
        <v>13.994999999999999</v>
      </c>
      <c r="G812" t="s">
        <v>3901</v>
      </c>
      <c r="H812" t="s">
        <v>3999</v>
      </c>
      <c r="I812" t="s">
        <v>496</v>
      </c>
      <c r="J812" t="s">
        <v>4000</v>
      </c>
      <c r="K812" t="s">
        <v>3905</v>
      </c>
      <c r="L812" t="s">
        <v>670</v>
      </c>
      <c r="N812">
        <v>12</v>
      </c>
      <c r="O812">
        <v>10</v>
      </c>
      <c r="P812">
        <v>1.4400000000000001E-3</v>
      </c>
      <c r="Q812" s="84" t="e">
        <v>#REF!</v>
      </c>
      <c r="R812" s="85"/>
      <c r="S812" s="85"/>
      <c r="T812" s="86">
        <v>0</v>
      </c>
      <c r="U812" s="84">
        <v>0</v>
      </c>
      <c r="V812" s="84">
        <v>19.593</v>
      </c>
      <c r="W812" s="84">
        <v>9.7965</v>
      </c>
      <c r="X812" s="82">
        <v>0.35</v>
      </c>
      <c r="Y812" s="82"/>
      <c r="Z812" s="84">
        <v>9.7965</v>
      </c>
      <c r="AA812" s="84">
        <v>19.593</v>
      </c>
      <c r="AB812" s="88" t="e">
        <v>#DIV/0!</v>
      </c>
      <c r="AC812" t="s">
        <v>4001</v>
      </c>
    </row>
    <row r="813" spans="3:29">
      <c r="C813" t="s">
        <v>4002</v>
      </c>
      <c r="D813" t="s">
        <v>3998</v>
      </c>
      <c r="E813" s="84">
        <v>31.99</v>
      </c>
      <c r="F813" s="84">
        <v>15.994999999999999</v>
      </c>
      <c r="G813" t="s">
        <v>3901</v>
      </c>
      <c r="H813" t="s">
        <v>4003</v>
      </c>
      <c r="I813" t="s">
        <v>496</v>
      </c>
      <c r="J813" t="s">
        <v>4004</v>
      </c>
      <c r="K813" t="s">
        <v>3905</v>
      </c>
      <c r="L813" t="s">
        <v>670</v>
      </c>
      <c r="N813">
        <v>12</v>
      </c>
      <c r="O813">
        <v>14</v>
      </c>
      <c r="P813">
        <v>2.016E-3</v>
      </c>
      <c r="Q813" s="84" t="e">
        <v>#REF!</v>
      </c>
      <c r="R813" s="85"/>
      <c r="S813" s="85"/>
      <c r="T813" s="86">
        <v>0</v>
      </c>
      <c r="U813" s="84">
        <v>0</v>
      </c>
      <c r="V813" s="84">
        <v>22.393000000000001</v>
      </c>
      <c r="W813" s="84">
        <v>11.1965</v>
      </c>
      <c r="X813" s="82">
        <v>0.35</v>
      </c>
      <c r="Y813" s="82"/>
      <c r="Z813" s="84">
        <v>11.1965</v>
      </c>
      <c r="AA813" s="84">
        <v>22.393000000000001</v>
      </c>
      <c r="AB813" s="88" t="e">
        <v>#DIV/0!</v>
      </c>
      <c r="AC813" t="s">
        <v>4005</v>
      </c>
    </row>
    <row r="814" spans="3:29">
      <c r="C814" t="s">
        <v>4006</v>
      </c>
      <c r="D814" t="s">
        <v>4007</v>
      </c>
      <c r="E814" s="84">
        <v>33.99</v>
      </c>
      <c r="F814" s="84">
        <v>16.995000000000001</v>
      </c>
      <c r="G814" t="s">
        <v>3901</v>
      </c>
      <c r="H814" t="s">
        <v>4008</v>
      </c>
      <c r="I814" t="s">
        <v>104</v>
      </c>
      <c r="J814" t="s">
        <v>4009</v>
      </c>
      <c r="K814" t="s">
        <v>3905</v>
      </c>
      <c r="L814" t="s">
        <v>670</v>
      </c>
      <c r="N814">
        <v>12</v>
      </c>
      <c r="O814">
        <v>15</v>
      </c>
      <c r="P814">
        <v>2.16E-3</v>
      </c>
      <c r="Q814" s="84" t="e">
        <v>#REF!</v>
      </c>
      <c r="R814" s="85"/>
      <c r="S814" s="85"/>
      <c r="T814" s="86">
        <v>0</v>
      </c>
      <c r="U814" s="84">
        <v>0</v>
      </c>
      <c r="V814" s="84">
        <v>23.792999999999999</v>
      </c>
      <c r="W814" s="84">
        <v>11.8965</v>
      </c>
      <c r="X814" s="82">
        <v>0.35</v>
      </c>
      <c r="Y814" s="82"/>
      <c r="Z814" s="84">
        <v>11.8965</v>
      </c>
      <c r="AA814" s="84">
        <v>23.792999999999999</v>
      </c>
      <c r="AB814" s="88" t="e">
        <v>#DIV/0!</v>
      </c>
      <c r="AC814" t="s">
        <v>4010</v>
      </c>
    </row>
    <row r="815" spans="3:29">
      <c r="C815" t="s">
        <v>4011</v>
      </c>
      <c r="D815" t="s">
        <v>4007</v>
      </c>
      <c r="E815" s="84">
        <v>44.99</v>
      </c>
      <c r="F815" s="84">
        <v>22.495000000000001</v>
      </c>
      <c r="G815" t="s">
        <v>3901</v>
      </c>
      <c r="H815" t="s">
        <v>4012</v>
      </c>
      <c r="I815" t="s">
        <v>104</v>
      </c>
      <c r="J815" t="s">
        <v>4013</v>
      </c>
      <c r="K815" t="s">
        <v>3905</v>
      </c>
      <c r="L815" t="s">
        <v>670</v>
      </c>
      <c r="N815">
        <v>14</v>
      </c>
      <c r="O815">
        <v>17</v>
      </c>
      <c r="P815">
        <v>3.3319999999999999E-3</v>
      </c>
      <c r="Q815" s="84" t="e">
        <v>#REF!</v>
      </c>
      <c r="R815" s="85"/>
      <c r="S815" s="85"/>
      <c r="T815" s="86">
        <v>0</v>
      </c>
      <c r="U815" s="84">
        <v>0</v>
      </c>
      <c r="V815" s="84">
        <v>31.492999999999999</v>
      </c>
      <c r="W815" s="84">
        <v>15.746499999999999</v>
      </c>
      <c r="X815" s="82">
        <v>0.35</v>
      </c>
      <c r="Y815" s="82"/>
      <c r="Z815" s="84">
        <v>15.746499999999999</v>
      </c>
      <c r="AA815" s="84">
        <v>31.492999999999999</v>
      </c>
      <c r="AB815" s="88" t="e">
        <v>#DIV/0!</v>
      </c>
      <c r="AC815" t="s">
        <v>4014</v>
      </c>
    </row>
    <row r="816" spans="3:29">
      <c r="C816" t="s">
        <v>4015</v>
      </c>
      <c r="D816" t="s">
        <v>4016</v>
      </c>
      <c r="E816" s="84">
        <v>20.99</v>
      </c>
      <c r="F816" s="84">
        <v>10.494999999999999</v>
      </c>
      <c r="G816" t="s">
        <v>3901</v>
      </c>
      <c r="H816" t="s">
        <v>4017</v>
      </c>
      <c r="I816" t="s">
        <v>998</v>
      </c>
      <c r="J816" t="s">
        <v>4018</v>
      </c>
      <c r="K816" t="s">
        <v>3905</v>
      </c>
      <c r="L816" t="s">
        <v>670</v>
      </c>
      <c r="N816">
        <v>5</v>
      </c>
      <c r="O816">
        <v>5</v>
      </c>
      <c r="P816">
        <v>1.25E-4</v>
      </c>
      <c r="Q816" s="84" t="e">
        <v>#REF!</v>
      </c>
      <c r="R816" s="85"/>
      <c r="S816" s="85"/>
      <c r="T816" s="86">
        <v>0</v>
      </c>
      <c r="U816" s="84">
        <v>0</v>
      </c>
      <c r="V816" s="84">
        <v>14.693</v>
      </c>
      <c r="W816" s="84">
        <v>7.3464999999999998</v>
      </c>
      <c r="X816" s="82">
        <v>0.35</v>
      </c>
      <c r="Y816" s="82"/>
      <c r="Z816" s="84">
        <v>7.3464999999999998</v>
      </c>
      <c r="AA816" s="84">
        <v>14.693</v>
      </c>
      <c r="AB816" s="88" t="e">
        <v>#DIV/0!</v>
      </c>
      <c r="AC816" t="s">
        <v>4019</v>
      </c>
    </row>
    <row r="817" spans="3:29">
      <c r="C817" t="s">
        <v>4020</v>
      </c>
      <c r="D817" t="s">
        <v>4016</v>
      </c>
      <c r="E817" s="84">
        <v>22.99</v>
      </c>
      <c r="F817" s="84">
        <v>11.494999999999999</v>
      </c>
      <c r="G817" t="s">
        <v>3901</v>
      </c>
      <c r="H817" t="s">
        <v>4021</v>
      </c>
      <c r="I817" t="s">
        <v>998</v>
      </c>
      <c r="J817" t="s">
        <v>4022</v>
      </c>
      <c r="K817" t="s">
        <v>3905</v>
      </c>
      <c r="L817" t="s">
        <v>670</v>
      </c>
      <c r="N817">
        <v>6</v>
      </c>
      <c r="O817">
        <v>7</v>
      </c>
      <c r="P817">
        <v>2.52E-4</v>
      </c>
      <c r="Q817" s="84" t="e">
        <v>#REF!</v>
      </c>
      <c r="R817" s="85"/>
      <c r="S817" s="85"/>
      <c r="T817" s="86">
        <v>0</v>
      </c>
      <c r="U817" s="84">
        <v>0</v>
      </c>
      <c r="V817" s="84">
        <v>16.093</v>
      </c>
      <c r="W817" s="84">
        <v>8.0465</v>
      </c>
      <c r="X817" s="82">
        <v>0.35</v>
      </c>
      <c r="Y817" s="82"/>
      <c r="Z817" s="84">
        <v>8.0465</v>
      </c>
      <c r="AA817" s="84">
        <v>16.093</v>
      </c>
      <c r="AB817" s="88" t="e">
        <v>#DIV/0!</v>
      </c>
      <c r="AC817" t="s">
        <v>4023</v>
      </c>
    </row>
    <row r="818" spans="3:29">
      <c r="C818" t="s">
        <v>4024</v>
      </c>
      <c r="D818" t="s">
        <v>4025</v>
      </c>
      <c r="E818" s="84">
        <v>23.99</v>
      </c>
      <c r="F818" s="84">
        <v>11.994999999999999</v>
      </c>
      <c r="G818" t="s">
        <v>3901</v>
      </c>
      <c r="H818" t="s">
        <v>4017</v>
      </c>
      <c r="I818" t="s">
        <v>1004</v>
      </c>
      <c r="J818" t="s">
        <v>4018</v>
      </c>
      <c r="K818" t="s">
        <v>3905</v>
      </c>
      <c r="L818" t="s">
        <v>670</v>
      </c>
      <c r="N818">
        <v>5</v>
      </c>
      <c r="O818">
        <v>5</v>
      </c>
      <c r="P818">
        <v>1.25E-4</v>
      </c>
      <c r="Q818" s="84" t="e">
        <v>#REF!</v>
      </c>
      <c r="R818" s="85"/>
      <c r="S818" s="85"/>
      <c r="T818" s="86">
        <v>0</v>
      </c>
      <c r="U818" s="84">
        <v>0</v>
      </c>
      <c r="V818" s="84">
        <v>16.792999999999999</v>
      </c>
      <c r="W818" s="84">
        <v>8.3964999999999996</v>
      </c>
      <c r="X818" s="82">
        <v>0.35</v>
      </c>
      <c r="Y818" s="82"/>
      <c r="Z818" s="84">
        <v>8.3964999999999996</v>
      </c>
      <c r="AA818" s="84">
        <v>16.792999999999999</v>
      </c>
      <c r="AB818" s="88" t="e">
        <v>#DIV/0!</v>
      </c>
      <c r="AC818" t="s">
        <v>4026</v>
      </c>
    </row>
    <row r="819" spans="3:29">
      <c r="C819" t="s">
        <v>4027</v>
      </c>
      <c r="D819" t="s">
        <v>4025</v>
      </c>
      <c r="E819" s="84">
        <v>26.99</v>
      </c>
      <c r="F819" s="84">
        <v>13.494999999999999</v>
      </c>
      <c r="G819" t="s">
        <v>3901</v>
      </c>
      <c r="H819" t="s">
        <v>4021</v>
      </c>
      <c r="I819" t="s">
        <v>1004</v>
      </c>
      <c r="J819" t="s">
        <v>4028</v>
      </c>
      <c r="K819" t="s">
        <v>3905</v>
      </c>
      <c r="L819" t="s">
        <v>670</v>
      </c>
      <c r="N819">
        <v>6</v>
      </c>
      <c r="O819">
        <v>7</v>
      </c>
      <c r="P819">
        <v>2.52E-4</v>
      </c>
      <c r="Q819" s="84" t="e">
        <v>#REF!</v>
      </c>
      <c r="R819" s="85"/>
      <c r="S819" s="85"/>
      <c r="T819" s="86">
        <v>0</v>
      </c>
      <c r="U819" s="84">
        <v>0</v>
      </c>
      <c r="V819" s="84">
        <v>18.893000000000001</v>
      </c>
      <c r="W819" s="84">
        <v>9.4465000000000003</v>
      </c>
      <c r="X819" s="82">
        <v>0.35</v>
      </c>
      <c r="Y819" s="82"/>
      <c r="Z819" s="84">
        <v>9.4465000000000003</v>
      </c>
      <c r="AA819" s="84">
        <v>18.893000000000001</v>
      </c>
      <c r="AB819" s="88" t="e">
        <v>#DIV/0!</v>
      </c>
      <c r="AC819" t="s">
        <v>4029</v>
      </c>
    </row>
    <row r="820" spans="3:29">
      <c r="C820" t="s">
        <v>4030</v>
      </c>
      <c r="D820" t="s">
        <v>4031</v>
      </c>
      <c r="E820" s="84">
        <v>25.99</v>
      </c>
      <c r="F820" s="84">
        <v>12.994999999999999</v>
      </c>
      <c r="G820" t="s">
        <v>3901</v>
      </c>
      <c r="H820" t="s">
        <v>4017</v>
      </c>
      <c r="I820" t="s">
        <v>1009</v>
      </c>
      <c r="J820" t="s">
        <v>4032</v>
      </c>
      <c r="K820" t="s">
        <v>3905</v>
      </c>
      <c r="L820" t="s">
        <v>670</v>
      </c>
      <c r="N820">
        <v>5</v>
      </c>
      <c r="O820">
        <v>5</v>
      </c>
      <c r="P820">
        <v>1.25E-4</v>
      </c>
      <c r="Q820" s="84" t="e">
        <v>#REF!</v>
      </c>
      <c r="R820" s="85"/>
      <c r="S820" s="85"/>
      <c r="T820" s="86">
        <v>0</v>
      </c>
      <c r="U820" s="84">
        <v>0</v>
      </c>
      <c r="V820" s="84">
        <v>18.193000000000001</v>
      </c>
      <c r="W820" s="84">
        <v>9.0965000000000007</v>
      </c>
      <c r="X820" s="82">
        <v>0.35</v>
      </c>
      <c r="Y820" s="82"/>
      <c r="Z820" s="84">
        <v>9.0965000000000007</v>
      </c>
      <c r="AA820" s="84">
        <v>18.193000000000001</v>
      </c>
      <c r="AB820" s="88" t="e">
        <v>#DIV/0!</v>
      </c>
      <c r="AC820" t="s">
        <v>4033</v>
      </c>
    </row>
    <row r="821" spans="3:29">
      <c r="C821" t="s">
        <v>4034</v>
      </c>
      <c r="D821" t="s">
        <v>4031</v>
      </c>
      <c r="E821" s="84">
        <v>26.99</v>
      </c>
      <c r="F821" s="84">
        <v>13.494999999999999</v>
      </c>
      <c r="G821" t="s">
        <v>3901</v>
      </c>
      <c r="H821" t="s">
        <v>4021</v>
      </c>
      <c r="I821" t="s">
        <v>1009</v>
      </c>
      <c r="J821" t="s">
        <v>4035</v>
      </c>
      <c r="K821" t="s">
        <v>3905</v>
      </c>
      <c r="L821" t="s">
        <v>670</v>
      </c>
      <c r="N821">
        <v>6</v>
      </c>
      <c r="O821">
        <v>7</v>
      </c>
      <c r="P821">
        <v>2.52E-4</v>
      </c>
      <c r="Q821" s="84" t="e">
        <v>#REF!</v>
      </c>
      <c r="R821" s="85"/>
      <c r="S821" s="85"/>
      <c r="T821" s="86">
        <v>0</v>
      </c>
      <c r="U821" s="84">
        <v>0</v>
      </c>
      <c r="V821" s="84">
        <v>18.893000000000001</v>
      </c>
      <c r="W821" s="84">
        <v>9.4465000000000003</v>
      </c>
      <c r="X821" s="82">
        <v>0.35</v>
      </c>
      <c r="Y821" s="82"/>
      <c r="Z821" s="84">
        <v>9.4465000000000003</v>
      </c>
      <c r="AA821" s="84">
        <v>18.893000000000001</v>
      </c>
      <c r="AB821" s="88" t="e">
        <v>#DIV/0!</v>
      </c>
      <c r="AC821" t="s">
        <v>4033</v>
      </c>
    </row>
    <row r="822" spans="3:29">
      <c r="C822" t="s">
        <v>4036</v>
      </c>
      <c r="D822" t="s">
        <v>4037</v>
      </c>
      <c r="E822" s="84">
        <v>24.99</v>
      </c>
      <c r="F822" s="84">
        <v>12.494999999999999</v>
      </c>
      <c r="G822" t="s">
        <v>3901</v>
      </c>
      <c r="H822" t="s">
        <v>4017</v>
      </c>
      <c r="I822" t="s">
        <v>1017</v>
      </c>
      <c r="J822" t="s">
        <v>4038</v>
      </c>
      <c r="K822" t="s">
        <v>4039</v>
      </c>
      <c r="L822" t="s">
        <v>670</v>
      </c>
      <c r="N822">
        <v>5</v>
      </c>
      <c r="O822">
        <v>5</v>
      </c>
      <c r="P822">
        <v>1.25E-4</v>
      </c>
      <c r="Q822" s="84" t="e">
        <v>#REF!</v>
      </c>
      <c r="R822" s="85"/>
      <c r="S822" s="85"/>
      <c r="T822" s="86">
        <v>0</v>
      </c>
      <c r="U822" s="84">
        <v>0</v>
      </c>
      <c r="V822" s="84">
        <v>17.492999999999999</v>
      </c>
      <c r="W822" s="84">
        <v>8.7464999999999993</v>
      </c>
      <c r="X822" s="82">
        <v>0.35</v>
      </c>
      <c r="Y822" s="82"/>
      <c r="Z822" s="84">
        <v>8.7464999999999993</v>
      </c>
      <c r="AA822" s="84">
        <v>17.492999999999999</v>
      </c>
      <c r="AB822" s="88" t="e">
        <v>#DIV/0!</v>
      </c>
      <c r="AC822" t="s">
        <v>4040</v>
      </c>
    </row>
    <row r="823" spans="3:29">
      <c r="C823" t="s">
        <v>4042</v>
      </c>
      <c r="D823" t="s">
        <v>4037</v>
      </c>
      <c r="E823" s="84">
        <v>26.99</v>
      </c>
      <c r="F823" s="84">
        <v>13.494999999999999</v>
      </c>
      <c r="G823" t="s">
        <v>3901</v>
      </c>
      <c r="H823" t="s">
        <v>4021</v>
      </c>
      <c r="I823" t="s">
        <v>1017</v>
      </c>
      <c r="J823" t="s">
        <v>4035</v>
      </c>
      <c r="K823" t="s">
        <v>4039</v>
      </c>
      <c r="L823" t="s">
        <v>670</v>
      </c>
      <c r="N823">
        <v>6</v>
      </c>
      <c r="O823">
        <v>7</v>
      </c>
      <c r="P823">
        <v>2.52E-4</v>
      </c>
      <c r="Q823" s="84" t="e">
        <v>#REF!</v>
      </c>
      <c r="R823" s="85"/>
      <c r="S823" s="85"/>
      <c r="T823" s="86">
        <v>0</v>
      </c>
      <c r="U823" s="84">
        <v>0</v>
      </c>
      <c r="V823" s="84">
        <v>18.893000000000001</v>
      </c>
      <c r="W823" s="84">
        <v>9.4465000000000003</v>
      </c>
      <c r="X823" s="82">
        <v>0.35</v>
      </c>
      <c r="Y823" s="82"/>
      <c r="Z823" s="84">
        <v>9.4465000000000003</v>
      </c>
      <c r="AA823" s="84">
        <v>18.893000000000001</v>
      </c>
      <c r="AB823" s="88" t="e">
        <v>#DIV/0!</v>
      </c>
      <c r="AC823" t="s">
        <v>4043</v>
      </c>
    </row>
    <row r="824" spans="3:29">
      <c r="C824" t="s">
        <v>4044</v>
      </c>
      <c r="D824" t="s">
        <v>4045</v>
      </c>
      <c r="E824" s="84">
        <v>24.99</v>
      </c>
      <c r="F824" s="84">
        <v>12.494999999999999</v>
      </c>
      <c r="G824" t="s">
        <v>3901</v>
      </c>
      <c r="H824" t="s">
        <v>4046</v>
      </c>
      <c r="I824" t="s">
        <v>956</v>
      </c>
      <c r="J824" t="s">
        <v>4047</v>
      </c>
      <c r="K824" t="s">
        <v>3905</v>
      </c>
      <c r="L824" t="s">
        <v>670</v>
      </c>
      <c r="N824">
        <v>8</v>
      </c>
      <c r="O824">
        <v>8</v>
      </c>
      <c r="P824">
        <v>5.1199999999999998E-4</v>
      </c>
      <c r="Q824" s="84" t="e">
        <v>#REF!</v>
      </c>
      <c r="R824" s="85"/>
      <c r="S824" s="85"/>
      <c r="T824" s="86">
        <v>0</v>
      </c>
      <c r="U824" s="84">
        <v>0</v>
      </c>
      <c r="V824" s="84">
        <v>17.492999999999999</v>
      </c>
      <c r="W824" s="84">
        <v>8.7464999999999993</v>
      </c>
      <c r="X824" s="82">
        <v>0.35</v>
      </c>
      <c r="Y824" s="82"/>
      <c r="Z824" s="84">
        <v>8.7464999999999993</v>
      </c>
      <c r="AA824" s="84">
        <v>17.492999999999999</v>
      </c>
      <c r="AB824" s="88" t="e">
        <v>#DIV/0!</v>
      </c>
      <c r="AC824" t="s">
        <v>4048</v>
      </c>
    </row>
    <row r="825" spans="3:29">
      <c r="C825" t="s">
        <v>4049</v>
      </c>
      <c r="D825" t="s">
        <v>4045</v>
      </c>
      <c r="E825" s="84">
        <v>38.99</v>
      </c>
      <c r="F825" s="84">
        <v>19.495000000000001</v>
      </c>
      <c r="G825" t="s">
        <v>3901</v>
      </c>
      <c r="H825" t="s">
        <v>4050</v>
      </c>
      <c r="I825" t="s">
        <v>956</v>
      </c>
      <c r="J825" t="s">
        <v>4051</v>
      </c>
      <c r="K825" t="s">
        <v>3905</v>
      </c>
      <c r="L825" t="s">
        <v>670</v>
      </c>
      <c r="N825">
        <v>8</v>
      </c>
      <c r="O825">
        <v>12</v>
      </c>
      <c r="P825">
        <v>7.6800000000000002E-4</v>
      </c>
      <c r="Q825" s="84" t="e">
        <v>#REF!</v>
      </c>
      <c r="R825" s="85"/>
      <c r="S825" s="85"/>
      <c r="T825" s="86">
        <v>0</v>
      </c>
      <c r="U825" s="84">
        <v>0</v>
      </c>
      <c r="V825" s="84">
        <v>27.292999999999999</v>
      </c>
      <c r="W825" s="84">
        <v>13.6465</v>
      </c>
      <c r="X825" s="82">
        <v>0.35</v>
      </c>
      <c r="Y825" s="82"/>
      <c r="Z825" s="84">
        <v>13.6465</v>
      </c>
      <c r="AA825" s="84">
        <v>27.292999999999999</v>
      </c>
      <c r="AB825" s="88" t="e">
        <v>#DIV/0!</v>
      </c>
      <c r="AC825" t="s">
        <v>4052</v>
      </c>
    </row>
    <row r="826" spans="3:29">
      <c r="C826" t="s">
        <v>4053</v>
      </c>
      <c r="D826" t="s">
        <v>4045</v>
      </c>
      <c r="E826" s="84">
        <v>33.99</v>
      </c>
      <c r="F826" s="84">
        <v>16.995000000000001</v>
      </c>
      <c r="G826" t="s">
        <v>3901</v>
      </c>
      <c r="H826" t="s">
        <v>4054</v>
      </c>
      <c r="I826" t="s">
        <v>956</v>
      </c>
      <c r="J826" t="s">
        <v>4055</v>
      </c>
      <c r="K826" t="s">
        <v>3905</v>
      </c>
      <c r="L826" t="s">
        <v>670</v>
      </c>
      <c r="N826">
        <v>8</v>
      </c>
      <c r="O826">
        <v>16</v>
      </c>
      <c r="P826">
        <v>1.024E-3</v>
      </c>
      <c r="Q826" s="84" t="e">
        <v>#REF!</v>
      </c>
      <c r="R826" s="85"/>
      <c r="S826" s="85"/>
      <c r="T826" s="86">
        <v>0</v>
      </c>
      <c r="U826" s="84">
        <v>0</v>
      </c>
      <c r="V826" s="84">
        <v>23.792999999999999</v>
      </c>
      <c r="W826" s="84">
        <v>11.8965</v>
      </c>
      <c r="X826" s="82">
        <v>0.35</v>
      </c>
      <c r="Y826" s="82"/>
      <c r="Z826" s="84">
        <v>11.8965</v>
      </c>
      <c r="AA826" s="84">
        <v>23.792999999999999</v>
      </c>
      <c r="AB826" s="88" t="e">
        <v>#DIV/0!</v>
      </c>
      <c r="AC826" t="s">
        <v>4052</v>
      </c>
    </row>
    <row r="827" spans="3:29">
      <c r="C827" t="s">
        <v>4056</v>
      </c>
      <c r="D827" t="s">
        <v>4057</v>
      </c>
      <c r="E827" s="84">
        <v>30.99</v>
      </c>
      <c r="F827" s="84">
        <v>15.494999999999999</v>
      </c>
      <c r="G827" t="s">
        <v>3901</v>
      </c>
      <c r="H827" t="s">
        <v>4046</v>
      </c>
      <c r="I827" t="s">
        <v>959</v>
      </c>
      <c r="J827" t="s">
        <v>4058</v>
      </c>
      <c r="K827" t="s">
        <v>4059</v>
      </c>
      <c r="L827" t="s">
        <v>670</v>
      </c>
      <c r="N827">
        <v>8</v>
      </c>
      <c r="O827">
        <v>8</v>
      </c>
      <c r="P827">
        <v>5.1199999999999998E-4</v>
      </c>
      <c r="Q827" s="84" t="e">
        <v>#REF!</v>
      </c>
      <c r="R827" s="85"/>
      <c r="S827" s="85"/>
      <c r="T827" s="86">
        <v>0</v>
      </c>
      <c r="U827" s="84">
        <v>0</v>
      </c>
      <c r="V827" s="84">
        <v>21.693000000000001</v>
      </c>
      <c r="W827" s="84">
        <v>10.846500000000001</v>
      </c>
      <c r="X827" s="82">
        <v>0.35</v>
      </c>
      <c r="Y827" s="82"/>
      <c r="Z827" s="84">
        <v>10.846500000000001</v>
      </c>
      <c r="AA827" s="84">
        <v>21.693000000000001</v>
      </c>
      <c r="AB827" s="88" t="e">
        <v>#DIV/0!</v>
      </c>
      <c r="AC827" t="s">
        <v>4060</v>
      </c>
    </row>
    <row r="828" spans="3:29">
      <c r="C828" t="s">
        <v>4061</v>
      </c>
      <c r="D828" t="s">
        <v>4057</v>
      </c>
      <c r="E828" s="84">
        <v>36.99</v>
      </c>
      <c r="F828" s="84">
        <v>18.495000000000001</v>
      </c>
      <c r="G828" t="s">
        <v>3901</v>
      </c>
      <c r="H828" t="s">
        <v>4050</v>
      </c>
      <c r="I828" t="s">
        <v>959</v>
      </c>
      <c r="J828" t="s">
        <v>4062</v>
      </c>
      <c r="K828" t="s">
        <v>4059</v>
      </c>
      <c r="L828" t="s">
        <v>670</v>
      </c>
      <c r="N828">
        <v>8</v>
      </c>
      <c r="O828">
        <v>12</v>
      </c>
      <c r="P828">
        <v>7.6800000000000002E-4</v>
      </c>
      <c r="Q828" s="84" t="e">
        <v>#REF!</v>
      </c>
      <c r="R828" s="85"/>
      <c r="S828" s="85"/>
      <c r="T828" s="86">
        <v>0</v>
      </c>
      <c r="U828" s="84">
        <v>0</v>
      </c>
      <c r="V828" s="84">
        <v>25.893000000000001</v>
      </c>
      <c r="W828" s="84">
        <v>12.9465</v>
      </c>
      <c r="X828" s="82">
        <v>0.35</v>
      </c>
      <c r="Y828" s="82"/>
      <c r="Z828" s="84">
        <v>12.9465</v>
      </c>
      <c r="AA828" s="84">
        <v>25.893000000000001</v>
      </c>
      <c r="AB828" s="88" t="e">
        <v>#DIV/0!</v>
      </c>
      <c r="AC828" t="s">
        <v>4063</v>
      </c>
    </row>
    <row r="829" spans="3:29">
      <c r="C829" t="s">
        <v>4064</v>
      </c>
      <c r="D829" t="s">
        <v>4057</v>
      </c>
      <c r="E829" s="84">
        <v>41.99</v>
      </c>
      <c r="F829" s="84">
        <v>20.995000000000001</v>
      </c>
      <c r="G829" t="s">
        <v>3901</v>
      </c>
      <c r="H829" t="s">
        <v>4054</v>
      </c>
      <c r="I829" t="s">
        <v>959</v>
      </c>
      <c r="J829" t="s">
        <v>4055</v>
      </c>
      <c r="K829" t="s">
        <v>4059</v>
      </c>
      <c r="L829" t="s">
        <v>670</v>
      </c>
      <c r="N829">
        <v>8</v>
      </c>
      <c r="O829">
        <v>16</v>
      </c>
      <c r="P829">
        <v>1.024E-3</v>
      </c>
      <c r="Q829" s="84" t="e">
        <v>#REF!</v>
      </c>
      <c r="R829" s="85"/>
      <c r="S829" s="85"/>
      <c r="T829" s="86">
        <v>0</v>
      </c>
      <c r="U829" s="84">
        <v>0</v>
      </c>
      <c r="V829" s="84">
        <v>29.393000000000001</v>
      </c>
      <c r="W829" s="84">
        <v>14.6965</v>
      </c>
      <c r="X829" s="82">
        <v>0.35</v>
      </c>
      <c r="Y829" s="82"/>
      <c r="Z829" s="84">
        <v>14.6965</v>
      </c>
      <c r="AA829" s="84">
        <v>29.393000000000001</v>
      </c>
      <c r="AB829" s="88" t="e">
        <v>#DIV/0!</v>
      </c>
      <c r="AC829" t="s">
        <v>4065</v>
      </c>
    </row>
    <row r="830" spans="3:29">
      <c r="C830" t="s">
        <v>4066</v>
      </c>
      <c r="D830" t="s">
        <v>4067</v>
      </c>
      <c r="E830" s="84">
        <v>29.99</v>
      </c>
      <c r="F830" s="84">
        <v>14.994999999999999</v>
      </c>
      <c r="G830" t="s">
        <v>3901</v>
      </c>
      <c r="H830" t="s">
        <v>4046</v>
      </c>
      <c r="I830" t="s">
        <v>968</v>
      </c>
      <c r="J830" t="s">
        <v>4047</v>
      </c>
      <c r="K830" t="s">
        <v>4068</v>
      </c>
      <c r="L830" t="s">
        <v>670</v>
      </c>
      <c r="N830">
        <v>8</v>
      </c>
      <c r="O830">
        <v>8</v>
      </c>
      <c r="P830">
        <v>5.1199999999999998E-4</v>
      </c>
      <c r="Q830" s="84" t="e">
        <v>#REF!</v>
      </c>
      <c r="R830" s="85"/>
      <c r="S830" s="85"/>
      <c r="T830" s="86">
        <v>0</v>
      </c>
      <c r="U830" s="84">
        <v>0</v>
      </c>
      <c r="V830" s="84">
        <v>20.992999999999999</v>
      </c>
      <c r="W830" s="84">
        <v>10.496499999999999</v>
      </c>
      <c r="X830" s="82">
        <v>0.35</v>
      </c>
      <c r="Y830" s="82"/>
      <c r="Z830" s="84">
        <v>10.496499999999999</v>
      </c>
      <c r="AA830" s="84">
        <v>20.992999999999999</v>
      </c>
      <c r="AB830" s="88" t="e">
        <v>#DIV/0!</v>
      </c>
      <c r="AC830" t="s">
        <v>4069</v>
      </c>
    </row>
    <row r="831" spans="3:29">
      <c r="C831" t="s">
        <v>4070</v>
      </c>
      <c r="D831" t="s">
        <v>4067</v>
      </c>
      <c r="E831" s="84">
        <v>38.99</v>
      </c>
      <c r="F831" s="84">
        <v>19.495000000000001</v>
      </c>
      <c r="G831" t="s">
        <v>3901</v>
      </c>
      <c r="H831" t="s">
        <v>4050</v>
      </c>
      <c r="I831" t="s">
        <v>968</v>
      </c>
      <c r="J831" t="s">
        <v>4051</v>
      </c>
      <c r="K831" t="s">
        <v>4068</v>
      </c>
      <c r="L831" t="s">
        <v>670</v>
      </c>
      <c r="N831">
        <v>8</v>
      </c>
      <c r="O831">
        <v>12</v>
      </c>
      <c r="P831">
        <v>7.6800000000000002E-4</v>
      </c>
      <c r="Q831" s="84" t="e">
        <v>#REF!</v>
      </c>
      <c r="R831" s="85"/>
      <c r="S831" s="85"/>
      <c r="T831" s="86">
        <v>0</v>
      </c>
      <c r="U831" s="84">
        <v>0</v>
      </c>
      <c r="V831" s="84">
        <v>27.292999999999999</v>
      </c>
      <c r="W831" s="84">
        <v>13.6465</v>
      </c>
      <c r="X831" s="82">
        <v>0.35</v>
      </c>
      <c r="Y831" s="82"/>
      <c r="Z831" s="84">
        <v>13.6465</v>
      </c>
      <c r="AA831" s="84">
        <v>27.292999999999999</v>
      </c>
      <c r="AB831" s="88" t="e">
        <v>#DIV/0!</v>
      </c>
      <c r="AC831" t="s">
        <v>4069</v>
      </c>
    </row>
    <row r="832" spans="3:29">
      <c r="C832" t="s">
        <v>4071</v>
      </c>
      <c r="D832" t="s">
        <v>4067</v>
      </c>
      <c r="E832" s="84">
        <v>40.99</v>
      </c>
      <c r="F832" s="84">
        <v>20.495000000000001</v>
      </c>
      <c r="G832" t="s">
        <v>3901</v>
      </c>
      <c r="H832" t="s">
        <v>4054</v>
      </c>
      <c r="I832" t="s">
        <v>968</v>
      </c>
      <c r="J832" t="s">
        <v>4072</v>
      </c>
      <c r="K832" t="s">
        <v>4068</v>
      </c>
      <c r="L832" t="s">
        <v>670</v>
      </c>
      <c r="N832">
        <v>8</v>
      </c>
      <c r="O832">
        <v>16</v>
      </c>
      <c r="P832">
        <v>1.024E-3</v>
      </c>
      <c r="Q832" s="84" t="e">
        <v>#REF!</v>
      </c>
      <c r="R832" s="85"/>
      <c r="S832" s="85"/>
      <c r="T832" s="86">
        <v>0</v>
      </c>
      <c r="U832" s="84">
        <v>0</v>
      </c>
      <c r="V832" s="84">
        <v>28.693000000000001</v>
      </c>
      <c r="W832" s="84">
        <v>14.346500000000001</v>
      </c>
      <c r="X832" s="82">
        <v>0.35</v>
      </c>
      <c r="Y832" s="82"/>
      <c r="Z832" s="84">
        <v>14.346500000000001</v>
      </c>
      <c r="AA832" s="84">
        <v>28.693000000000001</v>
      </c>
      <c r="AB832" s="88" t="e">
        <v>#DIV/0!</v>
      </c>
      <c r="AC832" t="s">
        <v>4073</v>
      </c>
    </row>
    <row r="833" spans="3:29">
      <c r="C833" t="s">
        <v>4074</v>
      </c>
      <c r="D833" t="s">
        <v>4075</v>
      </c>
      <c r="E833" s="84">
        <v>22.99</v>
      </c>
      <c r="F833" s="84">
        <v>11.494999999999999</v>
      </c>
      <c r="G833" t="s">
        <v>3901</v>
      </c>
      <c r="H833" t="s">
        <v>4076</v>
      </c>
      <c r="I833" t="s">
        <v>456</v>
      </c>
      <c r="J833" t="s">
        <v>4077</v>
      </c>
      <c r="K833" t="s">
        <v>4068</v>
      </c>
      <c r="L833" t="s">
        <v>670</v>
      </c>
      <c r="N833">
        <v>7</v>
      </c>
      <c r="O833">
        <v>8</v>
      </c>
      <c r="P833">
        <v>3.9199999999999999E-4</v>
      </c>
      <c r="Q833" s="84" t="e">
        <v>#REF!</v>
      </c>
      <c r="R833" s="85"/>
      <c r="S833" s="85"/>
      <c r="T833" s="86">
        <v>0</v>
      </c>
      <c r="U833" s="84">
        <v>0</v>
      </c>
      <c r="V833" s="84">
        <v>16.093</v>
      </c>
      <c r="W833" s="84">
        <v>8.0465</v>
      </c>
      <c r="X833" s="82">
        <v>0.35</v>
      </c>
      <c r="Y833" s="82"/>
      <c r="Z833" s="84">
        <v>8.0465</v>
      </c>
      <c r="AA833" s="84">
        <v>16.093</v>
      </c>
      <c r="AB833" s="88" t="e">
        <v>#DIV/0!</v>
      </c>
      <c r="AC833" t="s">
        <v>4078</v>
      </c>
    </row>
    <row r="834" spans="3:29">
      <c r="C834" t="s">
        <v>4079</v>
      </c>
      <c r="D834" t="s">
        <v>4075</v>
      </c>
      <c r="E834" s="84">
        <v>26.99</v>
      </c>
      <c r="F834" s="84">
        <v>13.494999999999999</v>
      </c>
      <c r="G834" t="s">
        <v>3901</v>
      </c>
      <c r="H834" t="s">
        <v>4080</v>
      </c>
      <c r="I834" t="s">
        <v>456</v>
      </c>
      <c r="J834" t="s">
        <v>4081</v>
      </c>
      <c r="K834" t="s">
        <v>4068</v>
      </c>
      <c r="L834" t="s">
        <v>670</v>
      </c>
      <c r="N834">
        <v>8</v>
      </c>
      <c r="O834">
        <v>9</v>
      </c>
      <c r="P834">
        <v>5.7600000000000001E-4</v>
      </c>
      <c r="Q834" s="84" t="e">
        <v>#REF!</v>
      </c>
      <c r="R834" s="85"/>
      <c r="S834" s="85"/>
      <c r="T834" s="86">
        <v>0</v>
      </c>
      <c r="U834" s="84">
        <v>0</v>
      </c>
      <c r="V834" s="84">
        <v>18.893000000000001</v>
      </c>
      <c r="W834" s="84">
        <v>9.4465000000000003</v>
      </c>
      <c r="X834" s="82">
        <v>0.35</v>
      </c>
      <c r="Y834" s="82"/>
      <c r="Z834" s="84">
        <v>9.4465000000000003</v>
      </c>
      <c r="AA834" s="84">
        <v>18.893000000000001</v>
      </c>
      <c r="AB834" s="88" t="e">
        <v>#DIV/0!</v>
      </c>
      <c r="AC834" t="s">
        <v>4082</v>
      </c>
    </row>
    <row r="835" spans="3:29">
      <c r="C835" t="s">
        <v>4083</v>
      </c>
      <c r="D835" t="s">
        <v>4075</v>
      </c>
      <c r="E835" s="84">
        <v>30.99</v>
      </c>
      <c r="F835" s="84">
        <v>15.494999999999999</v>
      </c>
      <c r="G835" t="s">
        <v>3901</v>
      </c>
      <c r="H835" t="s">
        <v>4084</v>
      </c>
      <c r="I835" t="s">
        <v>456</v>
      </c>
      <c r="J835" t="s">
        <v>4085</v>
      </c>
      <c r="K835" t="s">
        <v>4068</v>
      </c>
      <c r="L835" t="s">
        <v>670</v>
      </c>
      <c r="N835">
        <v>9</v>
      </c>
      <c r="O835">
        <v>8</v>
      </c>
      <c r="P835">
        <v>6.4800000000000003E-4</v>
      </c>
      <c r="Q835" s="84" t="e">
        <v>#REF!</v>
      </c>
      <c r="R835" s="85"/>
      <c r="S835" s="85"/>
      <c r="T835" s="86">
        <v>0</v>
      </c>
      <c r="U835" s="84">
        <v>0</v>
      </c>
      <c r="V835" s="84">
        <v>21.693000000000001</v>
      </c>
      <c r="W835" s="84">
        <v>10.846500000000001</v>
      </c>
      <c r="X835" s="82">
        <v>0.35</v>
      </c>
      <c r="Y835" s="82"/>
      <c r="Z835" s="84">
        <v>10.846500000000001</v>
      </c>
      <c r="AA835" s="84">
        <v>21.693000000000001</v>
      </c>
      <c r="AB835" s="88" t="e">
        <v>#DIV/0!</v>
      </c>
      <c r="AC835" t="s">
        <v>4086</v>
      </c>
    </row>
    <row r="836" spans="3:29">
      <c r="C836" t="s">
        <v>4087</v>
      </c>
      <c r="D836" t="s">
        <v>4088</v>
      </c>
      <c r="E836" s="84">
        <v>39.99</v>
      </c>
      <c r="F836" s="84">
        <v>19.995000000000001</v>
      </c>
      <c r="G836" t="s">
        <v>3901</v>
      </c>
      <c r="H836" t="s">
        <v>4089</v>
      </c>
      <c r="I836" t="s">
        <v>398</v>
      </c>
      <c r="J836" t="s">
        <v>4090</v>
      </c>
      <c r="K836" t="s">
        <v>3905</v>
      </c>
      <c r="L836" t="s">
        <v>670</v>
      </c>
      <c r="N836">
        <v>8.5</v>
      </c>
      <c r="O836">
        <v>11</v>
      </c>
      <c r="P836">
        <v>7.9474999999999999E-4</v>
      </c>
      <c r="Q836" s="84" t="e">
        <v>#REF!</v>
      </c>
      <c r="R836" s="85"/>
      <c r="S836" s="85"/>
      <c r="T836" s="86">
        <v>0</v>
      </c>
      <c r="U836" s="84">
        <v>0</v>
      </c>
      <c r="V836" s="84">
        <v>27.992999999999999</v>
      </c>
      <c r="W836" s="84">
        <v>13.996499999999999</v>
      </c>
      <c r="X836" s="82">
        <v>0.35</v>
      </c>
      <c r="Y836" s="82"/>
      <c r="Z836" s="84">
        <v>13.996499999999999</v>
      </c>
      <c r="AA836" s="84">
        <v>27.992999999999999</v>
      </c>
      <c r="AB836" s="88" t="e">
        <v>#DIV/0!</v>
      </c>
      <c r="AC836" t="s">
        <v>4091</v>
      </c>
    </row>
    <row r="837" spans="3:29">
      <c r="C837" t="s">
        <v>4092</v>
      </c>
      <c r="D837" t="s">
        <v>4088</v>
      </c>
      <c r="E837" s="84">
        <v>41.99</v>
      </c>
      <c r="F837" s="84">
        <v>20.995000000000001</v>
      </c>
      <c r="G837" t="s">
        <v>3901</v>
      </c>
      <c r="H837" t="s">
        <v>4093</v>
      </c>
      <c r="I837" t="s">
        <v>398</v>
      </c>
      <c r="J837" t="s">
        <v>4094</v>
      </c>
      <c r="K837" t="s">
        <v>3905</v>
      </c>
      <c r="L837" t="s">
        <v>670</v>
      </c>
      <c r="N837">
        <v>8.5</v>
      </c>
      <c r="O837">
        <v>15</v>
      </c>
      <c r="P837">
        <v>1.0837500000000001E-3</v>
      </c>
      <c r="Q837" s="84" t="e">
        <v>#REF!</v>
      </c>
      <c r="R837" s="85"/>
      <c r="S837" s="85"/>
      <c r="T837" s="86">
        <v>0</v>
      </c>
      <c r="U837" s="84">
        <v>0</v>
      </c>
      <c r="V837" s="84">
        <v>29.393000000000001</v>
      </c>
      <c r="W837" s="84">
        <v>14.6965</v>
      </c>
      <c r="X837" s="82">
        <v>0.35</v>
      </c>
      <c r="Y837" s="82"/>
      <c r="Z837" s="84">
        <v>14.6965</v>
      </c>
      <c r="AA837" s="84">
        <v>29.393000000000001</v>
      </c>
      <c r="AB837" s="88" t="e">
        <v>#DIV/0!</v>
      </c>
      <c r="AC837" t="s">
        <v>4091</v>
      </c>
    </row>
    <row r="838" spans="3:29">
      <c r="C838" t="s">
        <v>4095</v>
      </c>
      <c r="D838" t="s">
        <v>4088</v>
      </c>
      <c r="E838" s="84">
        <v>32.99</v>
      </c>
      <c r="F838" s="84">
        <v>16.495000000000001</v>
      </c>
      <c r="G838" t="s">
        <v>3901</v>
      </c>
      <c r="H838" t="s">
        <v>4096</v>
      </c>
      <c r="I838" t="s">
        <v>398</v>
      </c>
      <c r="J838" t="s">
        <v>4097</v>
      </c>
      <c r="K838" t="s">
        <v>3905</v>
      </c>
      <c r="L838" t="s">
        <v>670</v>
      </c>
      <c r="N838">
        <v>7</v>
      </c>
      <c r="O838">
        <v>17</v>
      </c>
      <c r="P838">
        <v>8.3299999999999997E-4</v>
      </c>
      <c r="Q838" s="84" t="e">
        <v>#REF!</v>
      </c>
      <c r="R838" s="85"/>
      <c r="S838" s="85"/>
      <c r="T838" s="86">
        <v>0</v>
      </c>
      <c r="U838" s="84">
        <v>0</v>
      </c>
      <c r="V838" s="84">
        <v>23.093</v>
      </c>
      <c r="W838" s="84">
        <v>11.5465</v>
      </c>
      <c r="X838" s="82">
        <v>0.35</v>
      </c>
      <c r="Y838" s="82"/>
      <c r="Z838" s="84">
        <v>11.5465</v>
      </c>
      <c r="AA838" s="84">
        <v>23.093</v>
      </c>
      <c r="AB838" s="88" t="e">
        <v>#DIV/0!</v>
      </c>
      <c r="AC838" t="s">
        <v>4098</v>
      </c>
    </row>
    <row r="839" spans="3:29">
      <c r="C839" t="s">
        <v>4099</v>
      </c>
      <c r="D839" t="s">
        <v>4088</v>
      </c>
      <c r="E839" s="84">
        <v>41.99</v>
      </c>
      <c r="F839" s="84">
        <v>20.995000000000001</v>
      </c>
      <c r="G839" t="s">
        <v>3901</v>
      </c>
      <c r="H839" t="s">
        <v>4100</v>
      </c>
      <c r="I839" t="s">
        <v>398</v>
      </c>
      <c r="J839" t="s">
        <v>4101</v>
      </c>
      <c r="K839" t="s">
        <v>3905</v>
      </c>
      <c r="L839" t="s">
        <v>670</v>
      </c>
      <c r="N839">
        <v>7</v>
      </c>
      <c r="O839">
        <v>19</v>
      </c>
      <c r="P839">
        <v>9.3099999999999997E-4</v>
      </c>
      <c r="Q839" s="84" t="e">
        <v>#REF!</v>
      </c>
      <c r="R839" s="85"/>
      <c r="S839" s="85"/>
      <c r="T839" s="86">
        <v>0</v>
      </c>
      <c r="U839" s="84">
        <v>0</v>
      </c>
      <c r="V839" s="84">
        <v>29.393000000000001</v>
      </c>
      <c r="W839" s="84">
        <v>14.6965</v>
      </c>
      <c r="X839" s="82">
        <v>0.35</v>
      </c>
      <c r="Y839" s="82"/>
      <c r="Z839" s="84">
        <v>14.6965</v>
      </c>
      <c r="AA839" s="84">
        <v>29.393000000000001</v>
      </c>
      <c r="AB839" s="88" t="e">
        <v>#DIV/0!</v>
      </c>
      <c r="AC839" t="s">
        <v>4091</v>
      </c>
    </row>
    <row r="840" spans="3:29">
      <c r="C840" t="s">
        <v>4102</v>
      </c>
      <c r="D840" t="s">
        <v>4103</v>
      </c>
      <c r="E840" s="84">
        <v>38.99</v>
      </c>
      <c r="F840" s="84">
        <v>19.495000000000001</v>
      </c>
      <c r="G840" t="s">
        <v>3901</v>
      </c>
      <c r="H840" t="s">
        <v>4104</v>
      </c>
      <c r="I840" t="s">
        <v>4105</v>
      </c>
      <c r="J840" t="s">
        <v>4106</v>
      </c>
      <c r="K840" t="s">
        <v>4107</v>
      </c>
      <c r="L840" t="s">
        <v>670</v>
      </c>
      <c r="N840">
        <v>10</v>
      </c>
      <c r="O840">
        <v>15</v>
      </c>
      <c r="P840">
        <v>1.5E-3</v>
      </c>
      <c r="Q840" s="84" t="e">
        <v>#REF!</v>
      </c>
      <c r="R840" s="85"/>
      <c r="S840" s="85"/>
      <c r="T840" s="86">
        <v>0</v>
      </c>
      <c r="U840" s="84">
        <v>0</v>
      </c>
      <c r="V840" s="84">
        <v>27.292999999999999</v>
      </c>
      <c r="W840" s="84">
        <v>13.6465</v>
      </c>
      <c r="X840" s="82">
        <v>0.35</v>
      </c>
      <c r="Y840" s="82"/>
      <c r="Z840" s="84">
        <v>13.6465</v>
      </c>
      <c r="AA840" s="84">
        <v>27.292999999999999</v>
      </c>
      <c r="AB840" s="88" t="e">
        <v>#DIV/0!</v>
      </c>
      <c r="AC840" t="s">
        <v>4108</v>
      </c>
    </row>
    <row r="841" spans="3:29">
      <c r="C841" t="s">
        <v>4109</v>
      </c>
      <c r="D841" t="s">
        <v>4110</v>
      </c>
      <c r="E841" s="84">
        <v>20.99</v>
      </c>
      <c r="F841" s="84">
        <v>10.494999999999999</v>
      </c>
      <c r="G841" t="s">
        <v>3901</v>
      </c>
      <c r="H841" t="s">
        <v>4111</v>
      </c>
      <c r="I841" t="s">
        <v>561</v>
      </c>
      <c r="J841" t="s">
        <v>4112</v>
      </c>
      <c r="K841" t="s">
        <v>4113</v>
      </c>
      <c r="L841" t="s">
        <v>670</v>
      </c>
      <c r="N841">
        <v>6</v>
      </c>
      <c r="O841">
        <v>6</v>
      </c>
      <c r="P841">
        <v>2.1599999999999999E-4</v>
      </c>
      <c r="Q841" s="84" t="e">
        <v>#REF!</v>
      </c>
      <c r="R841" s="85"/>
      <c r="S841" s="85"/>
      <c r="T841" s="86">
        <v>0</v>
      </c>
      <c r="U841" s="84">
        <v>0</v>
      </c>
      <c r="V841" s="84">
        <v>14.693</v>
      </c>
      <c r="W841" s="84">
        <v>7.3464999999999998</v>
      </c>
      <c r="X841" s="82">
        <v>0.35</v>
      </c>
      <c r="Y841" s="82"/>
      <c r="Z841" s="84">
        <v>7.3464999999999998</v>
      </c>
      <c r="AA841" s="84">
        <v>14.693</v>
      </c>
      <c r="AB841" s="88" t="e">
        <v>#DIV/0!</v>
      </c>
      <c r="AC841" t="s">
        <v>4114</v>
      </c>
    </row>
    <row r="842" spans="3:29">
      <c r="C842" t="s">
        <v>4115</v>
      </c>
      <c r="D842" t="s">
        <v>4110</v>
      </c>
      <c r="E842" s="84">
        <v>21.99</v>
      </c>
      <c r="F842" s="84">
        <v>10.994999999999999</v>
      </c>
      <c r="G842" t="s">
        <v>3901</v>
      </c>
      <c r="H842" t="s">
        <v>4116</v>
      </c>
      <c r="I842" t="s">
        <v>561</v>
      </c>
      <c r="J842" t="s">
        <v>4117</v>
      </c>
      <c r="K842" t="s">
        <v>4113</v>
      </c>
      <c r="L842" t="s">
        <v>670</v>
      </c>
      <c r="N842">
        <v>6</v>
      </c>
      <c r="O842">
        <v>8</v>
      </c>
      <c r="P842">
        <v>2.8800000000000001E-4</v>
      </c>
      <c r="Q842" s="84" t="e">
        <v>#REF!</v>
      </c>
      <c r="R842" s="85"/>
      <c r="S842" s="85"/>
      <c r="T842" s="86">
        <v>0</v>
      </c>
      <c r="U842" s="84">
        <v>0</v>
      </c>
      <c r="V842" s="84">
        <v>15.393000000000001</v>
      </c>
      <c r="W842" s="84">
        <v>7.6965000000000003</v>
      </c>
      <c r="X842" s="82">
        <v>0.35</v>
      </c>
      <c r="Y842" s="82"/>
      <c r="Z842" s="84">
        <v>7.6965000000000003</v>
      </c>
      <c r="AA842" s="84">
        <v>15.393000000000001</v>
      </c>
      <c r="AB842" s="88" t="e">
        <v>#DIV/0!</v>
      </c>
      <c r="AC842" t="s">
        <v>4118</v>
      </c>
    </row>
    <row r="843" spans="3:29">
      <c r="C843" t="s">
        <v>4119</v>
      </c>
      <c r="D843" t="s">
        <v>4110</v>
      </c>
      <c r="E843" s="84">
        <v>22.99</v>
      </c>
      <c r="F843" s="84">
        <v>11.494999999999999</v>
      </c>
      <c r="G843" t="s">
        <v>3901</v>
      </c>
      <c r="H843" t="s">
        <v>4120</v>
      </c>
      <c r="I843" t="s">
        <v>561</v>
      </c>
      <c r="J843" t="s">
        <v>4121</v>
      </c>
      <c r="K843" t="s">
        <v>4113</v>
      </c>
      <c r="L843" t="s">
        <v>670</v>
      </c>
      <c r="N843">
        <v>6</v>
      </c>
      <c r="O843">
        <v>10</v>
      </c>
      <c r="P843">
        <v>3.6000000000000002E-4</v>
      </c>
      <c r="Q843" s="84" t="e">
        <v>#REF!</v>
      </c>
      <c r="R843" s="85"/>
      <c r="S843" s="85"/>
      <c r="T843" s="86">
        <v>0</v>
      </c>
      <c r="U843" s="84">
        <v>0</v>
      </c>
      <c r="V843" s="84">
        <v>16.093</v>
      </c>
      <c r="W843" s="84">
        <v>8.0465</v>
      </c>
      <c r="X843" s="82">
        <v>0.35</v>
      </c>
      <c r="Y843" s="82"/>
      <c r="Z843" s="84">
        <v>8.0465</v>
      </c>
      <c r="AA843" s="84">
        <v>16.093</v>
      </c>
      <c r="AB843" s="88" t="e">
        <v>#DIV/0!</v>
      </c>
      <c r="AC843" t="s">
        <v>4122</v>
      </c>
    </row>
    <row r="844" spans="3:29">
      <c r="C844" t="s">
        <v>4123</v>
      </c>
      <c r="D844" t="s">
        <v>4110</v>
      </c>
      <c r="E844" s="84">
        <v>25.99</v>
      </c>
      <c r="F844" s="84">
        <v>12.994999999999999</v>
      </c>
      <c r="G844" t="s">
        <v>3901</v>
      </c>
      <c r="H844" t="s">
        <v>4124</v>
      </c>
      <c r="I844" t="s">
        <v>561</v>
      </c>
      <c r="J844" t="s">
        <v>4125</v>
      </c>
      <c r="K844" t="s">
        <v>4113</v>
      </c>
      <c r="L844" t="s">
        <v>670</v>
      </c>
      <c r="N844">
        <v>6</v>
      </c>
      <c r="O844">
        <v>11</v>
      </c>
      <c r="P844">
        <v>3.9599999999999998E-4</v>
      </c>
      <c r="Q844" s="84" t="e">
        <v>#REF!</v>
      </c>
      <c r="R844" s="85"/>
      <c r="S844" s="85"/>
      <c r="T844" s="86">
        <v>0</v>
      </c>
      <c r="U844" s="84">
        <v>0</v>
      </c>
      <c r="V844" s="84">
        <v>18.193000000000001</v>
      </c>
      <c r="W844" s="84">
        <v>9.0965000000000007</v>
      </c>
      <c r="X844" s="82">
        <v>0.35</v>
      </c>
      <c r="Y844" s="82"/>
      <c r="Z844" s="84">
        <v>9.0965000000000007</v>
      </c>
      <c r="AA844" s="84">
        <v>18.193000000000001</v>
      </c>
      <c r="AB844" s="88" t="e">
        <v>#DIV/0!</v>
      </c>
      <c r="AC844" t="s">
        <v>4122</v>
      </c>
    </row>
    <row r="845" spans="3:29">
      <c r="C845" t="s">
        <v>4126</v>
      </c>
      <c r="D845" t="s">
        <v>4110</v>
      </c>
      <c r="E845" s="84">
        <v>30.99</v>
      </c>
      <c r="F845" s="84">
        <v>15.494999999999999</v>
      </c>
      <c r="G845" t="s">
        <v>3901</v>
      </c>
      <c r="H845" t="s">
        <v>4127</v>
      </c>
      <c r="I845" t="s">
        <v>561</v>
      </c>
      <c r="J845" t="s">
        <v>4128</v>
      </c>
      <c r="K845" t="s">
        <v>4113</v>
      </c>
      <c r="L845" t="s">
        <v>670</v>
      </c>
      <c r="N845">
        <v>6</v>
      </c>
      <c r="O845">
        <v>14</v>
      </c>
      <c r="P845">
        <v>5.04E-4</v>
      </c>
      <c r="Q845" s="84" t="e">
        <v>#REF!</v>
      </c>
      <c r="R845" s="85"/>
      <c r="S845" s="85"/>
      <c r="T845" s="86">
        <v>0</v>
      </c>
      <c r="U845" s="84">
        <v>0</v>
      </c>
      <c r="V845" s="84">
        <v>21.693000000000001</v>
      </c>
      <c r="W845" s="84">
        <v>10.846500000000001</v>
      </c>
      <c r="X845" s="82">
        <v>0.35</v>
      </c>
      <c r="Y845" s="82"/>
      <c r="Z845" s="84">
        <v>10.846500000000001</v>
      </c>
      <c r="AA845" s="84">
        <v>21.693000000000001</v>
      </c>
      <c r="AB845" s="88" t="e">
        <v>#DIV/0!</v>
      </c>
      <c r="AC845" t="s">
        <v>4129</v>
      </c>
    </row>
    <row r="846" spans="3:29">
      <c r="C846" t="s">
        <v>4130</v>
      </c>
      <c r="D846" t="s">
        <v>4131</v>
      </c>
      <c r="E846" s="84">
        <v>21.99</v>
      </c>
      <c r="F846" s="84">
        <v>10.994999999999999</v>
      </c>
      <c r="G846" t="s">
        <v>3901</v>
      </c>
      <c r="H846" t="s">
        <v>4132</v>
      </c>
      <c r="I846" t="s">
        <v>742</v>
      </c>
      <c r="J846" t="s">
        <v>4133</v>
      </c>
      <c r="K846" t="s">
        <v>3905</v>
      </c>
      <c r="L846" t="s">
        <v>670</v>
      </c>
      <c r="N846">
        <v>5</v>
      </c>
      <c r="O846">
        <v>5</v>
      </c>
      <c r="P846">
        <v>1.25E-4</v>
      </c>
      <c r="Q846" s="84" t="e">
        <v>#REF!</v>
      </c>
      <c r="R846" s="85"/>
      <c r="S846" s="85"/>
      <c r="T846" s="86">
        <v>0</v>
      </c>
      <c r="U846" s="84">
        <v>0</v>
      </c>
      <c r="V846" s="84">
        <v>15.393000000000001</v>
      </c>
      <c r="W846" s="84">
        <v>7.6965000000000003</v>
      </c>
      <c r="X846" s="82">
        <v>0.35</v>
      </c>
      <c r="Y846" s="82"/>
      <c r="Z846" s="84">
        <v>7.6965000000000003</v>
      </c>
      <c r="AA846" s="84">
        <v>15.393000000000001</v>
      </c>
      <c r="AB846" s="88" t="e">
        <v>#DIV/0!</v>
      </c>
      <c r="AC846" t="s">
        <v>4134</v>
      </c>
    </row>
    <row r="847" spans="3:29">
      <c r="C847" t="s">
        <v>4135</v>
      </c>
      <c r="D847" t="s">
        <v>4131</v>
      </c>
      <c r="E847" s="84">
        <v>29.99</v>
      </c>
      <c r="F847" s="84">
        <v>14.994999999999999</v>
      </c>
      <c r="G847" t="s">
        <v>3901</v>
      </c>
      <c r="H847" t="s">
        <v>4136</v>
      </c>
      <c r="I847" t="s">
        <v>742</v>
      </c>
      <c r="J847" t="s">
        <v>4137</v>
      </c>
      <c r="K847" t="s">
        <v>3905</v>
      </c>
      <c r="L847" t="s">
        <v>670</v>
      </c>
      <c r="N847">
        <v>8</v>
      </c>
      <c r="O847">
        <v>8</v>
      </c>
      <c r="P847">
        <v>5.1199999999999998E-4</v>
      </c>
      <c r="Q847" s="84" t="e">
        <v>#REF!</v>
      </c>
      <c r="R847" s="85"/>
      <c r="S847" s="85"/>
      <c r="T847" s="86">
        <v>0</v>
      </c>
      <c r="U847" s="84">
        <v>0</v>
      </c>
      <c r="V847" s="84">
        <v>20.992999999999999</v>
      </c>
      <c r="W847" s="84">
        <v>10.496499999999999</v>
      </c>
      <c r="X847" s="82">
        <v>0.35</v>
      </c>
      <c r="Y847" s="82"/>
      <c r="Z847" s="84">
        <v>10.496499999999999</v>
      </c>
      <c r="AA847" s="84">
        <v>20.992999999999999</v>
      </c>
      <c r="AB847" s="88" t="e">
        <v>#DIV/0!</v>
      </c>
      <c r="AC847" t="s">
        <v>4138</v>
      </c>
    </row>
    <row r="848" spans="3:29">
      <c r="C848" t="s">
        <v>4139</v>
      </c>
      <c r="D848" t="s">
        <v>4131</v>
      </c>
      <c r="E848" s="84">
        <v>24.99</v>
      </c>
      <c r="F848" s="84">
        <v>12.494999999999999</v>
      </c>
      <c r="G848" t="s">
        <v>3901</v>
      </c>
      <c r="H848" t="s">
        <v>4140</v>
      </c>
      <c r="I848" t="s">
        <v>742</v>
      </c>
      <c r="J848" t="s">
        <v>4141</v>
      </c>
      <c r="K848" t="s">
        <v>3905</v>
      </c>
      <c r="L848" t="s">
        <v>670</v>
      </c>
      <c r="N848">
        <v>5</v>
      </c>
      <c r="O848">
        <v>11</v>
      </c>
      <c r="P848">
        <v>2.7500000000000002E-4</v>
      </c>
      <c r="Q848" s="84" t="e">
        <v>#REF!</v>
      </c>
      <c r="R848" s="85"/>
      <c r="S848" s="85"/>
      <c r="T848" s="86">
        <v>0</v>
      </c>
      <c r="U848" s="84">
        <v>0</v>
      </c>
      <c r="V848" s="84">
        <v>17.492999999999999</v>
      </c>
      <c r="W848" s="84">
        <v>8.7464999999999993</v>
      </c>
      <c r="X848" s="82">
        <v>0.35</v>
      </c>
      <c r="Y848" s="82"/>
      <c r="Z848" s="84">
        <v>8.7464999999999993</v>
      </c>
      <c r="AA848" s="84">
        <v>17.492999999999999</v>
      </c>
      <c r="AB848" s="88" t="e">
        <v>#DIV/0!</v>
      </c>
      <c r="AC848" t="s">
        <v>4142</v>
      </c>
    </row>
    <row r="849" spans="3:29">
      <c r="C849" t="s">
        <v>4143</v>
      </c>
      <c r="D849" t="s">
        <v>4131</v>
      </c>
      <c r="E849" s="84">
        <v>33.99</v>
      </c>
      <c r="F849" s="84">
        <v>16.995000000000001</v>
      </c>
      <c r="G849" t="s">
        <v>3901</v>
      </c>
      <c r="H849" t="s">
        <v>4144</v>
      </c>
      <c r="I849" t="s">
        <v>742</v>
      </c>
      <c r="J849" t="s">
        <v>4145</v>
      </c>
      <c r="K849" t="s">
        <v>3905</v>
      </c>
      <c r="L849" t="s">
        <v>670</v>
      </c>
      <c r="N849">
        <v>9</v>
      </c>
      <c r="O849">
        <v>11</v>
      </c>
      <c r="P849">
        <v>8.9099999999999997E-4</v>
      </c>
      <c r="Q849" s="84" t="e">
        <v>#REF!</v>
      </c>
      <c r="R849" s="85"/>
      <c r="S849" s="85"/>
      <c r="T849" s="86">
        <v>0</v>
      </c>
      <c r="U849" s="84">
        <v>0</v>
      </c>
      <c r="V849" s="84">
        <v>23.792999999999999</v>
      </c>
      <c r="W849" s="84">
        <v>11.8965</v>
      </c>
      <c r="X849" s="82">
        <v>0.35</v>
      </c>
      <c r="Y849" s="82"/>
      <c r="Z849" s="84">
        <v>11.8965</v>
      </c>
      <c r="AA849" s="84">
        <v>23.792999999999999</v>
      </c>
      <c r="AB849" s="88" t="e">
        <v>#DIV/0!</v>
      </c>
      <c r="AC849" t="s">
        <v>4142</v>
      </c>
    </row>
    <row r="850" spans="3:29">
      <c r="C850" t="s">
        <v>4146</v>
      </c>
      <c r="D850" t="s">
        <v>4131</v>
      </c>
      <c r="E850" s="84">
        <v>36.99</v>
      </c>
      <c r="F850" s="84">
        <v>18.495000000000001</v>
      </c>
      <c r="G850" t="s">
        <v>3901</v>
      </c>
      <c r="H850" t="s">
        <v>4147</v>
      </c>
      <c r="I850" t="s">
        <v>742</v>
      </c>
      <c r="J850" t="s">
        <v>4148</v>
      </c>
      <c r="K850" t="s">
        <v>3905</v>
      </c>
      <c r="L850" t="s">
        <v>670</v>
      </c>
      <c r="N850">
        <v>9</v>
      </c>
      <c r="O850">
        <v>13</v>
      </c>
      <c r="P850">
        <v>1.0529999999999999E-3</v>
      </c>
      <c r="Q850" s="84" t="e">
        <v>#REF!</v>
      </c>
      <c r="R850" s="85"/>
      <c r="S850" s="85"/>
      <c r="T850" s="86">
        <v>0</v>
      </c>
      <c r="U850" s="84">
        <v>0</v>
      </c>
      <c r="V850" s="84">
        <v>25.893000000000001</v>
      </c>
      <c r="W850" s="84">
        <v>12.9465</v>
      </c>
      <c r="X850" s="82">
        <v>0.35</v>
      </c>
      <c r="Y850" s="82"/>
      <c r="Z850" s="84">
        <v>12.9465</v>
      </c>
      <c r="AA850" s="84">
        <v>25.893000000000001</v>
      </c>
      <c r="AB850" s="88" t="e">
        <v>#DIV/0!</v>
      </c>
      <c r="AC850" t="s">
        <v>4138</v>
      </c>
    </row>
    <row r="851" spans="3:29" ht="45.75">
      <c r="C851" t="s">
        <v>4149</v>
      </c>
      <c r="D851" t="s">
        <v>4150</v>
      </c>
      <c r="E851" s="84"/>
      <c r="F851" s="84">
        <v>0</v>
      </c>
      <c r="G851" t="s">
        <v>3901</v>
      </c>
      <c r="H851" t="s">
        <v>4151</v>
      </c>
      <c r="I851" t="s">
        <v>368</v>
      </c>
      <c r="J851" t="s">
        <v>4152</v>
      </c>
      <c r="K851" s="83" t="s">
        <v>4153</v>
      </c>
      <c r="L851" t="s">
        <v>670</v>
      </c>
      <c r="N851">
        <v>5</v>
      </c>
      <c r="O851">
        <v>55</v>
      </c>
      <c r="P851">
        <v>1.3749999999999999E-3</v>
      </c>
      <c r="Q851" s="84" t="e">
        <v>#REF!</v>
      </c>
      <c r="R851" s="85"/>
      <c r="S851" s="85"/>
      <c r="T851" s="86">
        <v>0</v>
      </c>
      <c r="U851" s="84">
        <v>0</v>
      </c>
      <c r="V851" s="84">
        <v>0</v>
      </c>
      <c r="W851" s="84">
        <v>0</v>
      </c>
      <c r="X851" s="82" t="e">
        <v>#DIV/0!</v>
      </c>
      <c r="Y851" s="82"/>
      <c r="Z851" s="84">
        <v>0</v>
      </c>
      <c r="AA851" s="84">
        <v>0</v>
      </c>
      <c r="AB851" s="88" t="e">
        <v>#DIV/0!</v>
      </c>
      <c r="AC851" t="s">
        <v>4154</v>
      </c>
    </row>
    <row r="852" spans="3:29">
      <c r="C852" t="s">
        <v>4155</v>
      </c>
      <c r="D852" t="s">
        <v>4150</v>
      </c>
      <c r="E852" s="84">
        <v>18.989999999999998</v>
      </c>
      <c r="F852" s="84">
        <v>9.4949999999999992</v>
      </c>
      <c r="G852" t="s">
        <v>3901</v>
      </c>
      <c r="H852" t="s">
        <v>4156</v>
      </c>
      <c r="I852" t="s">
        <v>368</v>
      </c>
      <c r="J852" t="s">
        <v>4157</v>
      </c>
      <c r="K852" t="s">
        <v>3905</v>
      </c>
      <c r="L852" t="s">
        <v>670</v>
      </c>
      <c r="N852">
        <v>6</v>
      </c>
      <c r="O852">
        <v>6</v>
      </c>
      <c r="P852">
        <v>2.1599999999999999E-4</v>
      </c>
      <c r="Q852" s="84" t="e">
        <v>#REF!</v>
      </c>
      <c r="R852" s="85"/>
      <c r="S852" s="85"/>
      <c r="T852" s="86">
        <v>0</v>
      </c>
      <c r="U852" s="84">
        <v>0</v>
      </c>
      <c r="V852" s="84">
        <v>13.292999999999999</v>
      </c>
      <c r="W852" s="84">
        <v>6.6464999999999996</v>
      </c>
      <c r="X852" s="82">
        <v>0.35</v>
      </c>
      <c r="Y852" s="82"/>
      <c r="Z852" s="84">
        <v>6.6464999999999996</v>
      </c>
      <c r="AA852" s="84">
        <v>13.292999999999999</v>
      </c>
      <c r="AB852" s="88" t="e">
        <v>#DIV/0!</v>
      </c>
      <c r="AC852" t="s">
        <v>4154</v>
      </c>
    </row>
    <row r="853" spans="3:29">
      <c r="C853" t="s">
        <v>4158</v>
      </c>
      <c r="D853" t="s">
        <v>4150</v>
      </c>
      <c r="E853" s="84">
        <v>21.99</v>
      </c>
      <c r="F853" s="84">
        <v>10.994999999999999</v>
      </c>
      <c r="G853" t="s">
        <v>3901</v>
      </c>
      <c r="H853" t="s">
        <v>4159</v>
      </c>
      <c r="I853" t="s">
        <v>368</v>
      </c>
      <c r="J853" t="s">
        <v>4160</v>
      </c>
      <c r="K853" t="s">
        <v>3905</v>
      </c>
      <c r="L853" t="s">
        <v>670</v>
      </c>
      <c r="N853">
        <v>8</v>
      </c>
      <c r="O853">
        <v>6</v>
      </c>
      <c r="P853">
        <v>3.8400000000000001E-4</v>
      </c>
      <c r="Q853" s="84" t="e">
        <v>#REF!</v>
      </c>
      <c r="R853" s="85"/>
      <c r="S853" s="85"/>
      <c r="T853" s="86">
        <v>0</v>
      </c>
      <c r="U853" s="84">
        <v>0</v>
      </c>
      <c r="V853" s="84">
        <v>15.393000000000001</v>
      </c>
      <c r="W853" s="84">
        <v>7.6965000000000003</v>
      </c>
      <c r="X853" s="82">
        <v>0.35</v>
      </c>
      <c r="Y853" s="82"/>
      <c r="Z853" s="84">
        <v>7.6965000000000003</v>
      </c>
      <c r="AA853" s="84">
        <v>15.393000000000001</v>
      </c>
      <c r="AB853" s="88" t="e">
        <v>#DIV/0!</v>
      </c>
      <c r="AC853" t="s">
        <v>4161</v>
      </c>
    </row>
    <row r="854" spans="3:29">
      <c r="C854" t="s">
        <v>4162</v>
      </c>
      <c r="D854" t="s">
        <v>4150</v>
      </c>
      <c r="E854" s="84">
        <v>21.99</v>
      </c>
      <c r="F854" s="84">
        <v>10.994999999999999</v>
      </c>
      <c r="G854" t="s">
        <v>3901</v>
      </c>
      <c r="H854" t="s">
        <v>4163</v>
      </c>
      <c r="I854" t="s">
        <v>368</v>
      </c>
      <c r="J854" t="s">
        <v>4164</v>
      </c>
      <c r="K854" t="s">
        <v>3905</v>
      </c>
      <c r="L854" t="s">
        <v>670</v>
      </c>
      <c r="N854">
        <v>6.5</v>
      </c>
      <c r="O854">
        <v>7</v>
      </c>
      <c r="P854">
        <v>2.9575000000000001E-4</v>
      </c>
      <c r="Q854" s="84" t="e">
        <v>#REF!</v>
      </c>
      <c r="R854" s="85"/>
      <c r="S854" s="85"/>
      <c r="T854" s="86">
        <v>0</v>
      </c>
      <c r="U854" s="84">
        <v>0</v>
      </c>
      <c r="V854" s="84">
        <v>15.393000000000001</v>
      </c>
      <c r="W854" s="84">
        <v>7.6965000000000003</v>
      </c>
      <c r="X854" s="82">
        <v>0.35</v>
      </c>
      <c r="Y854" s="82"/>
      <c r="Z854" s="84">
        <v>7.6965000000000003</v>
      </c>
      <c r="AA854" s="84">
        <v>15.393000000000001</v>
      </c>
      <c r="AB854" s="88" t="e">
        <v>#DIV/0!</v>
      </c>
      <c r="AC854" t="s">
        <v>4165</v>
      </c>
    </row>
    <row r="855" spans="3:29">
      <c r="C855" t="s">
        <v>4166</v>
      </c>
      <c r="D855" t="s">
        <v>4150</v>
      </c>
      <c r="E855" s="84">
        <v>24.99</v>
      </c>
      <c r="F855" s="84">
        <v>12.494999999999999</v>
      </c>
      <c r="G855" t="s">
        <v>3901</v>
      </c>
      <c r="H855" t="s">
        <v>4167</v>
      </c>
      <c r="I855" t="s">
        <v>368</v>
      </c>
      <c r="J855" t="s">
        <v>4168</v>
      </c>
      <c r="K855" t="s">
        <v>3905</v>
      </c>
      <c r="L855" t="s">
        <v>670</v>
      </c>
      <c r="N855">
        <v>8</v>
      </c>
      <c r="O855">
        <v>8</v>
      </c>
      <c r="P855">
        <v>5.1199999999999998E-4</v>
      </c>
      <c r="Q855" s="84" t="e">
        <v>#REF!</v>
      </c>
      <c r="R855" s="85"/>
      <c r="S855" s="85"/>
      <c r="T855" s="86">
        <v>0</v>
      </c>
      <c r="U855" s="84">
        <v>0</v>
      </c>
      <c r="V855" s="84">
        <v>17.492999999999999</v>
      </c>
      <c r="W855" s="84">
        <v>8.7464999999999993</v>
      </c>
      <c r="X855" s="82">
        <v>0.35</v>
      </c>
      <c r="Y855" s="82"/>
      <c r="Z855" s="84">
        <v>8.7464999999999993</v>
      </c>
      <c r="AA855" s="84">
        <v>17.492999999999999</v>
      </c>
      <c r="AB855" s="88" t="e">
        <v>#DIV/0!</v>
      </c>
      <c r="AC855" t="s">
        <v>4161</v>
      </c>
    </row>
    <row r="856" spans="3:29">
      <c r="C856" t="s">
        <v>4169</v>
      </c>
      <c r="D856" t="s">
        <v>4150</v>
      </c>
      <c r="E856" s="84">
        <v>20.99</v>
      </c>
      <c r="F856" s="84">
        <v>10.494999999999999</v>
      </c>
      <c r="G856" t="s">
        <v>3901</v>
      </c>
      <c r="H856" t="s">
        <v>4170</v>
      </c>
      <c r="I856" t="s">
        <v>368</v>
      </c>
      <c r="J856" t="s">
        <v>4171</v>
      </c>
      <c r="K856" t="s">
        <v>3905</v>
      </c>
      <c r="L856" t="s">
        <v>670</v>
      </c>
      <c r="N856">
        <v>6.5</v>
      </c>
      <c r="O856">
        <v>10</v>
      </c>
      <c r="P856">
        <v>4.2250000000000002E-4</v>
      </c>
      <c r="Q856" s="84" t="e">
        <v>#REF!</v>
      </c>
      <c r="R856" s="85"/>
      <c r="S856" s="85"/>
      <c r="T856" s="86">
        <v>0</v>
      </c>
      <c r="U856" s="84">
        <v>0</v>
      </c>
      <c r="V856" s="84">
        <v>14.693</v>
      </c>
      <c r="W856" s="84">
        <v>7.3464999999999998</v>
      </c>
      <c r="X856" s="82">
        <v>0.35</v>
      </c>
      <c r="Y856" s="82"/>
      <c r="Z856" s="84">
        <v>7.3464999999999998</v>
      </c>
      <c r="AA856" s="84">
        <v>14.693</v>
      </c>
      <c r="AB856" s="88" t="e">
        <v>#DIV/0!</v>
      </c>
      <c r="AC856" t="s">
        <v>4172</v>
      </c>
    </row>
    <row r="857" spans="3:29">
      <c r="C857" t="s">
        <v>4173</v>
      </c>
      <c r="D857" t="s">
        <v>4150</v>
      </c>
      <c r="E857" s="84">
        <v>25.99</v>
      </c>
      <c r="F857" s="84">
        <v>12.994999999999999</v>
      </c>
      <c r="G857" t="s">
        <v>3901</v>
      </c>
      <c r="H857" t="s">
        <v>4174</v>
      </c>
      <c r="I857" t="s">
        <v>368</v>
      </c>
      <c r="J857" t="s">
        <v>4175</v>
      </c>
      <c r="K857" t="s">
        <v>3905</v>
      </c>
      <c r="L857" t="s">
        <v>670</v>
      </c>
      <c r="N857">
        <v>8</v>
      </c>
      <c r="O857">
        <v>12</v>
      </c>
      <c r="P857">
        <v>7.6800000000000002E-4</v>
      </c>
      <c r="Q857" s="84" t="e">
        <v>#REF!</v>
      </c>
      <c r="R857" s="85"/>
      <c r="S857" s="85"/>
      <c r="T857" s="86">
        <v>0</v>
      </c>
      <c r="U857" s="84">
        <v>0</v>
      </c>
      <c r="V857" s="84">
        <v>18.193000000000001</v>
      </c>
      <c r="W857" s="84">
        <v>9.0965000000000007</v>
      </c>
      <c r="X857" s="82">
        <v>0.35</v>
      </c>
      <c r="Y857" s="82"/>
      <c r="Z857" s="84">
        <v>9.0965000000000007</v>
      </c>
      <c r="AA857" s="84">
        <v>18.193000000000001</v>
      </c>
      <c r="AB857" s="88" t="e">
        <v>#DIV/0!</v>
      </c>
      <c r="AC857" t="s">
        <v>4161</v>
      </c>
    </row>
    <row r="858" spans="3:29">
      <c r="C858" t="s">
        <v>4176</v>
      </c>
      <c r="D858" t="s">
        <v>4150</v>
      </c>
      <c r="E858" s="84">
        <v>27.99</v>
      </c>
      <c r="F858" s="84">
        <v>13.994999999999999</v>
      </c>
      <c r="G858" t="s">
        <v>3901</v>
      </c>
      <c r="H858" t="s">
        <v>4177</v>
      </c>
      <c r="I858" t="s">
        <v>368</v>
      </c>
      <c r="J858" t="s">
        <v>4178</v>
      </c>
      <c r="K858" t="s">
        <v>3905</v>
      </c>
      <c r="L858" t="s">
        <v>670</v>
      </c>
      <c r="N858">
        <v>7</v>
      </c>
      <c r="O858">
        <v>13</v>
      </c>
      <c r="P858">
        <v>6.3699999999999998E-4</v>
      </c>
      <c r="Q858" s="84" t="e">
        <v>#REF!</v>
      </c>
      <c r="R858" s="85"/>
      <c r="S858" s="85"/>
      <c r="T858" s="86">
        <v>0</v>
      </c>
      <c r="U858" s="84">
        <v>0</v>
      </c>
      <c r="V858" s="84">
        <v>19.593</v>
      </c>
      <c r="W858" s="84">
        <v>9.7965</v>
      </c>
      <c r="X858" s="82">
        <v>0.35</v>
      </c>
      <c r="Y858" s="82"/>
      <c r="Z858" s="84">
        <v>9.7965</v>
      </c>
      <c r="AA858" s="84">
        <v>19.593</v>
      </c>
      <c r="AB858" s="88" t="e">
        <v>#DIV/0!</v>
      </c>
      <c r="AC858" t="s">
        <v>4172</v>
      </c>
    </row>
    <row r="859" spans="3:29">
      <c r="C859" t="s">
        <v>4179</v>
      </c>
      <c r="D859" t="s">
        <v>4150</v>
      </c>
      <c r="E859" s="84">
        <v>28.99</v>
      </c>
      <c r="F859" s="84">
        <v>14.494999999999999</v>
      </c>
      <c r="G859" t="s">
        <v>3901</v>
      </c>
      <c r="H859" t="s">
        <v>4180</v>
      </c>
      <c r="I859" t="s">
        <v>368</v>
      </c>
      <c r="J859" t="s">
        <v>4181</v>
      </c>
      <c r="K859" t="s">
        <v>3905</v>
      </c>
      <c r="L859" t="s">
        <v>670</v>
      </c>
      <c r="N859">
        <v>8</v>
      </c>
      <c r="O859">
        <v>16</v>
      </c>
      <c r="P859">
        <v>1.024E-3</v>
      </c>
      <c r="Q859" s="84" t="e">
        <v>#REF!</v>
      </c>
      <c r="R859" s="85"/>
      <c r="S859" s="85"/>
      <c r="T859" s="86">
        <v>0</v>
      </c>
      <c r="U859" s="84">
        <v>0</v>
      </c>
      <c r="V859" s="84">
        <v>20.292999999999999</v>
      </c>
      <c r="W859" s="84">
        <v>10.1465</v>
      </c>
      <c r="X859" s="82">
        <v>0.35</v>
      </c>
      <c r="Y859" s="82"/>
      <c r="Z859" s="84">
        <v>10.1465</v>
      </c>
      <c r="AA859" s="84">
        <v>20.292999999999999</v>
      </c>
      <c r="AB859" s="88" t="e">
        <v>#DIV/0!</v>
      </c>
      <c r="AC859" t="s">
        <v>4165</v>
      </c>
    </row>
    <row r="860" spans="3:29" ht="60.75">
      <c r="C860" t="s">
        <v>4182</v>
      </c>
      <c r="D860" t="s">
        <v>4183</v>
      </c>
      <c r="E860" s="84"/>
      <c r="F860" s="84">
        <v>0</v>
      </c>
      <c r="G860" t="s">
        <v>3901</v>
      </c>
      <c r="H860" t="s">
        <v>4184</v>
      </c>
      <c r="I860" t="s">
        <v>373</v>
      </c>
      <c r="J860" t="s">
        <v>4152</v>
      </c>
      <c r="K860" s="83" t="s">
        <v>4185</v>
      </c>
      <c r="L860" t="s">
        <v>670</v>
      </c>
      <c r="N860">
        <v>5</v>
      </c>
      <c r="O860">
        <v>55</v>
      </c>
      <c r="P860">
        <v>1.3749999999999999E-3</v>
      </c>
      <c r="Q860" s="84" t="e">
        <v>#REF!</v>
      </c>
      <c r="R860" s="85"/>
      <c r="S860" s="85"/>
      <c r="T860" s="86">
        <v>0</v>
      </c>
      <c r="U860" s="84">
        <v>0</v>
      </c>
      <c r="V860" s="84">
        <v>0</v>
      </c>
      <c r="W860" s="84">
        <v>0</v>
      </c>
      <c r="X860" s="82" t="e">
        <v>#DIV/0!</v>
      </c>
      <c r="Y860" s="82"/>
      <c r="Z860" s="84">
        <v>0</v>
      </c>
      <c r="AA860" s="84">
        <v>0</v>
      </c>
      <c r="AB860" s="88" t="e">
        <v>#DIV/0!</v>
      </c>
      <c r="AC860" t="s">
        <v>4186</v>
      </c>
    </row>
    <row r="861" spans="3:29">
      <c r="C861" t="s">
        <v>4187</v>
      </c>
      <c r="D861" t="s">
        <v>4183</v>
      </c>
      <c r="E861" s="84">
        <v>20.99</v>
      </c>
      <c r="F861" s="84">
        <v>10.494999999999999</v>
      </c>
      <c r="G861" t="s">
        <v>3901</v>
      </c>
      <c r="H861" t="s">
        <v>4188</v>
      </c>
      <c r="I861" t="s">
        <v>373</v>
      </c>
      <c r="J861" t="s">
        <v>4157</v>
      </c>
      <c r="K861" t="s">
        <v>4189</v>
      </c>
      <c r="L861" t="s">
        <v>670</v>
      </c>
      <c r="N861">
        <v>6</v>
      </c>
      <c r="O861">
        <v>6</v>
      </c>
      <c r="P861">
        <v>2.1599999999999999E-4</v>
      </c>
      <c r="Q861" s="84" t="e">
        <v>#REF!</v>
      </c>
      <c r="R861" s="85"/>
      <c r="S861" s="85"/>
      <c r="T861" s="86">
        <v>0</v>
      </c>
      <c r="U861" s="84">
        <v>0</v>
      </c>
      <c r="V861" s="84">
        <v>14.693</v>
      </c>
      <c r="W861" s="84">
        <v>7.3464999999999998</v>
      </c>
      <c r="X861" s="82">
        <v>0.35</v>
      </c>
      <c r="Y861" s="82"/>
      <c r="Z861" s="84">
        <v>7.3464999999999998</v>
      </c>
      <c r="AA861" s="84">
        <v>14.693</v>
      </c>
      <c r="AB861" s="88" t="e">
        <v>#DIV/0!</v>
      </c>
      <c r="AC861" t="s">
        <v>4190</v>
      </c>
    </row>
    <row r="862" spans="3:29">
      <c r="C862" t="s">
        <v>4191</v>
      </c>
      <c r="D862" t="s">
        <v>4183</v>
      </c>
      <c r="E862" s="84">
        <v>24.99</v>
      </c>
      <c r="F862" s="84">
        <v>12.494999999999999</v>
      </c>
      <c r="G862" t="s">
        <v>3901</v>
      </c>
      <c r="H862" t="s">
        <v>4192</v>
      </c>
      <c r="I862" t="s">
        <v>373</v>
      </c>
      <c r="J862" t="s">
        <v>4160</v>
      </c>
      <c r="K862" t="s">
        <v>4189</v>
      </c>
      <c r="L862" t="s">
        <v>670</v>
      </c>
      <c r="N862">
        <v>8</v>
      </c>
      <c r="O862">
        <v>6</v>
      </c>
      <c r="P862">
        <v>3.8400000000000001E-4</v>
      </c>
      <c r="Q862" s="84" t="e">
        <v>#REF!</v>
      </c>
      <c r="R862" s="85"/>
      <c r="S862" s="85"/>
      <c r="T862" s="86">
        <v>0</v>
      </c>
      <c r="U862" s="84">
        <v>0</v>
      </c>
      <c r="V862" s="84">
        <v>17.492999999999999</v>
      </c>
      <c r="W862" s="84">
        <v>8.7464999999999993</v>
      </c>
      <c r="X862" s="82">
        <v>0.35</v>
      </c>
      <c r="Y862" s="82"/>
      <c r="Z862" s="84">
        <v>8.7464999999999993</v>
      </c>
      <c r="AA862" s="84">
        <v>17.492999999999999</v>
      </c>
      <c r="AB862" s="88" t="e">
        <v>#DIV/0!</v>
      </c>
      <c r="AC862" t="s">
        <v>4193</v>
      </c>
    </row>
    <row r="863" spans="3:29">
      <c r="C863" t="s">
        <v>4194</v>
      </c>
      <c r="D863" t="s">
        <v>4183</v>
      </c>
      <c r="E863" s="84">
        <v>23.99</v>
      </c>
      <c r="F863" s="84">
        <v>11.994999999999999</v>
      </c>
      <c r="G863" t="s">
        <v>3901</v>
      </c>
      <c r="H863" t="s">
        <v>4195</v>
      </c>
      <c r="I863" t="s">
        <v>373</v>
      </c>
      <c r="J863" t="s">
        <v>4164</v>
      </c>
      <c r="K863" t="s">
        <v>4189</v>
      </c>
      <c r="L863" t="s">
        <v>670</v>
      </c>
      <c r="N863">
        <v>6.5</v>
      </c>
      <c r="O863">
        <v>7</v>
      </c>
      <c r="P863">
        <v>2.9575000000000001E-4</v>
      </c>
      <c r="Q863" s="84" t="e">
        <v>#REF!</v>
      </c>
      <c r="R863" s="85"/>
      <c r="S863" s="85"/>
      <c r="T863" s="86">
        <v>0</v>
      </c>
      <c r="U863" s="84">
        <v>0</v>
      </c>
      <c r="V863" s="84">
        <v>16.792999999999999</v>
      </c>
      <c r="W863" s="84">
        <v>8.3964999999999996</v>
      </c>
      <c r="X863" s="82">
        <v>0.35</v>
      </c>
      <c r="Y863" s="82"/>
      <c r="Z863" s="84">
        <v>8.3964999999999996</v>
      </c>
      <c r="AA863" s="84">
        <v>16.792999999999999</v>
      </c>
      <c r="AB863" s="88" t="e">
        <v>#DIV/0!</v>
      </c>
      <c r="AC863" t="s">
        <v>4196</v>
      </c>
    </row>
    <row r="864" spans="3:29">
      <c r="C864" t="s">
        <v>4197</v>
      </c>
      <c r="D864" t="s">
        <v>4183</v>
      </c>
      <c r="E864" s="84">
        <v>25.99</v>
      </c>
      <c r="F864" s="84">
        <v>12.994999999999999</v>
      </c>
      <c r="G864" t="s">
        <v>3901</v>
      </c>
      <c r="H864" t="s">
        <v>4198</v>
      </c>
      <c r="I864" t="s">
        <v>373</v>
      </c>
      <c r="J864" t="s">
        <v>4168</v>
      </c>
      <c r="K864" t="s">
        <v>4189</v>
      </c>
      <c r="L864" t="s">
        <v>670</v>
      </c>
      <c r="N864">
        <v>8</v>
      </c>
      <c r="O864">
        <v>8</v>
      </c>
      <c r="P864">
        <v>5.1199999999999998E-4</v>
      </c>
      <c r="Q864" s="84" t="e">
        <v>#REF!</v>
      </c>
      <c r="R864" s="85"/>
      <c r="S864" s="85"/>
      <c r="T864" s="86">
        <v>0</v>
      </c>
      <c r="U864" s="84">
        <v>0</v>
      </c>
      <c r="V864" s="84">
        <v>18.193000000000001</v>
      </c>
      <c r="W864" s="84">
        <v>9.0965000000000007</v>
      </c>
      <c r="X864" s="82">
        <v>0.35</v>
      </c>
      <c r="Y864" s="82"/>
      <c r="Z864" s="84">
        <v>9.0965000000000007</v>
      </c>
      <c r="AA864" s="84">
        <v>18.193000000000001</v>
      </c>
      <c r="AB864" s="88" t="e">
        <v>#DIV/0!</v>
      </c>
      <c r="AC864" t="s">
        <v>4193</v>
      </c>
    </row>
    <row r="865" spans="3:29">
      <c r="C865" t="s">
        <v>4199</v>
      </c>
      <c r="D865" t="s">
        <v>4183</v>
      </c>
      <c r="E865" s="84">
        <v>23.99</v>
      </c>
      <c r="F865" s="84">
        <v>11.994999999999999</v>
      </c>
      <c r="G865" t="s">
        <v>3901</v>
      </c>
      <c r="H865" t="s">
        <v>4200</v>
      </c>
      <c r="I865" t="s">
        <v>373</v>
      </c>
      <c r="J865" t="s">
        <v>4171</v>
      </c>
      <c r="K865" t="s">
        <v>4189</v>
      </c>
      <c r="L865" t="s">
        <v>670</v>
      </c>
      <c r="N865">
        <v>6.5</v>
      </c>
      <c r="O865">
        <v>10</v>
      </c>
      <c r="P865">
        <v>4.2250000000000002E-4</v>
      </c>
      <c r="Q865" s="84" t="e">
        <v>#REF!</v>
      </c>
      <c r="R865" s="85"/>
      <c r="S865" s="85"/>
      <c r="T865" s="86">
        <v>0</v>
      </c>
      <c r="U865" s="84">
        <v>0</v>
      </c>
      <c r="V865" s="84">
        <v>16.792999999999999</v>
      </c>
      <c r="W865" s="84">
        <v>8.3964999999999996</v>
      </c>
      <c r="X865" s="82">
        <v>0.35</v>
      </c>
      <c r="Y865" s="82"/>
      <c r="Z865" s="84">
        <v>8.3964999999999996</v>
      </c>
      <c r="AA865" s="84">
        <v>16.792999999999999</v>
      </c>
      <c r="AB865" s="88" t="e">
        <v>#DIV/0!</v>
      </c>
      <c r="AC865" t="s">
        <v>4201</v>
      </c>
    </row>
    <row r="866" spans="3:29">
      <c r="C866" t="s">
        <v>4202</v>
      </c>
      <c r="D866" t="s">
        <v>4183</v>
      </c>
      <c r="E866" s="84">
        <v>27.99</v>
      </c>
      <c r="F866" s="84">
        <v>13.994999999999999</v>
      </c>
      <c r="G866" t="s">
        <v>3901</v>
      </c>
      <c r="H866" t="s">
        <v>4203</v>
      </c>
      <c r="I866" t="s">
        <v>373</v>
      </c>
      <c r="J866" t="s">
        <v>4175</v>
      </c>
      <c r="K866" t="s">
        <v>4189</v>
      </c>
      <c r="L866" t="s">
        <v>670</v>
      </c>
      <c r="N866">
        <v>8</v>
      </c>
      <c r="O866">
        <v>12</v>
      </c>
      <c r="P866">
        <v>7.6800000000000002E-4</v>
      </c>
      <c r="Q866" s="84" t="e">
        <v>#REF!</v>
      </c>
      <c r="R866" s="85"/>
      <c r="S866" s="85"/>
      <c r="T866" s="86">
        <v>0</v>
      </c>
      <c r="U866" s="84">
        <v>0</v>
      </c>
      <c r="V866" s="84">
        <v>19.593</v>
      </c>
      <c r="W866" s="84">
        <v>9.7965</v>
      </c>
      <c r="X866" s="82">
        <v>0.35</v>
      </c>
      <c r="Y866" s="82"/>
      <c r="Z866" s="84">
        <v>9.7965</v>
      </c>
      <c r="AA866" s="84">
        <v>19.593</v>
      </c>
      <c r="AB866" s="88" t="e">
        <v>#DIV/0!</v>
      </c>
      <c r="AC866" t="s">
        <v>4196</v>
      </c>
    </row>
    <row r="867" spans="3:29">
      <c r="C867" t="s">
        <v>4204</v>
      </c>
      <c r="D867" t="s">
        <v>4183</v>
      </c>
      <c r="E867" s="84">
        <v>32.99</v>
      </c>
      <c r="F867" s="84">
        <v>16.495000000000001</v>
      </c>
      <c r="G867" t="s">
        <v>3901</v>
      </c>
      <c r="H867" t="s">
        <v>4205</v>
      </c>
      <c r="I867" t="s">
        <v>373</v>
      </c>
      <c r="J867" t="s">
        <v>4178</v>
      </c>
      <c r="K867" t="s">
        <v>4189</v>
      </c>
      <c r="L867" t="s">
        <v>670</v>
      </c>
      <c r="N867">
        <v>7</v>
      </c>
      <c r="O867">
        <v>13</v>
      </c>
      <c r="P867">
        <v>6.3699999999999998E-4</v>
      </c>
      <c r="Q867" s="84" t="e">
        <v>#REF!</v>
      </c>
      <c r="R867" s="85"/>
      <c r="S867" s="85"/>
      <c r="T867" s="86">
        <v>0</v>
      </c>
      <c r="U867" s="84">
        <v>0</v>
      </c>
      <c r="V867" s="84">
        <v>23.093</v>
      </c>
      <c r="W867" s="84">
        <v>11.5465</v>
      </c>
      <c r="X867" s="82">
        <v>0.35</v>
      </c>
      <c r="Y867" s="82"/>
      <c r="Z867" s="84">
        <v>11.5465</v>
      </c>
      <c r="AA867" s="84">
        <v>23.093</v>
      </c>
      <c r="AB867" s="88" t="e">
        <v>#DIV/0!</v>
      </c>
      <c r="AC867" t="s">
        <v>4193</v>
      </c>
    </row>
    <row r="868" spans="3:29">
      <c r="C868" t="s">
        <v>4206</v>
      </c>
      <c r="D868" t="s">
        <v>4183</v>
      </c>
      <c r="E868" s="84">
        <v>28.99</v>
      </c>
      <c r="F868" s="84">
        <v>14.494999999999999</v>
      </c>
      <c r="G868" t="s">
        <v>3901</v>
      </c>
      <c r="H868" t="s">
        <v>4207</v>
      </c>
      <c r="I868" t="s">
        <v>373</v>
      </c>
      <c r="J868" t="s">
        <v>4181</v>
      </c>
      <c r="K868" t="s">
        <v>4189</v>
      </c>
      <c r="L868" t="s">
        <v>670</v>
      </c>
      <c r="N868">
        <v>8</v>
      </c>
      <c r="O868">
        <v>16</v>
      </c>
      <c r="P868">
        <v>1.024E-3</v>
      </c>
      <c r="Q868" s="84" t="e">
        <v>#REF!</v>
      </c>
      <c r="R868" s="85"/>
      <c r="S868" s="85"/>
      <c r="T868" s="86">
        <v>0</v>
      </c>
      <c r="U868" s="84">
        <v>0</v>
      </c>
      <c r="V868" s="84">
        <v>20.292999999999999</v>
      </c>
      <c r="W868" s="84">
        <v>10.1465</v>
      </c>
      <c r="X868" s="82">
        <v>0.35</v>
      </c>
      <c r="Y868" s="82"/>
      <c r="Z868" s="84">
        <v>10.1465</v>
      </c>
      <c r="AA868" s="84">
        <v>20.292999999999999</v>
      </c>
      <c r="AB868" s="88" t="e">
        <v>#DIV/0!</v>
      </c>
      <c r="AC868" t="s">
        <v>4201</v>
      </c>
    </row>
    <row r="869" spans="3:29" ht="60.75">
      <c r="C869" t="s">
        <v>4208</v>
      </c>
      <c r="D869" t="s">
        <v>4209</v>
      </c>
      <c r="E869" s="84"/>
      <c r="F869" s="84">
        <v>0</v>
      </c>
      <c r="G869" t="s">
        <v>3901</v>
      </c>
      <c r="H869" t="s">
        <v>4210</v>
      </c>
      <c r="I869" t="s">
        <v>377</v>
      </c>
      <c r="J869" t="s">
        <v>4152</v>
      </c>
      <c r="K869" s="83" t="s">
        <v>4211</v>
      </c>
      <c r="L869" t="s">
        <v>670</v>
      </c>
      <c r="N869">
        <v>5</v>
      </c>
      <c r="O869">
        <v>55</v>
      </c>
      <c r="P869">
        <v>1.3749999999999999E-3</v>
      </c>
      <c r="Q869" s="84" t="e">
        <v>#REF!</v>
      </c>
      <c r="R869" s="85"/>
      <c r="S869" s="85"/>
      <c r="T869" s="86">
        <v>0</v>
      </c>
      <c r="U869" s="84">
        <v>0</v>
      </c>
      <c r="V869" s="84">
        <v>0</v>
      </c>
      <c r="W869" s="84">
        <v>0</v>
      </c>
      <c r="X869" s="82" t="e">
        <v>#DIV/0!</v>
      </c>
      <c r="Y869" s="82"/>
      <c r="Z869" s="84">
        <v>0</v>
      </c>
      <c r="AA869" s="84">
        <v>0</v>
      </c>
      <c r="AB869" s="88" t="e">
        <v>#DIV/0!</v>
      </c>
      <c r="AC869" t="s">
        <v>4212</v>
      </c>
    </row>
    <row r="870" spans="3:29">
      <c r="C870" t="s">
        <v>4213</v>
      </c>
      <c r="D870" t="s">
        <v>4209</v>
      </c>
      <c r="E870" s="84">
        <v>23.99</v>
      </c>
      <c r="F870" s="84">
        <v>11.994999999999999</v>
      </c>
      <c r="G870" t="s">
        <v>3901</v>
      </c>
      <c r="H870" t="s">
        <v>4214</v>
      </c>
      <c r="I870" t="s">
        <v>377</v>
      </c>
      <c r="J870" t="s">
        <v>4157</v>
      </c>
      <c r="K870" t="s">
        <v>4059</v>
      </c>
      <c r="L870" t="s">
        <v>670</v>
      </c>
      <c r="N870">
        <v>6</v>
      </c>
      <c r="O870">
        <v>6</v>
      </c>
      <c r="P870">
        <v>2.1599999999999999E-4</v>
      </c>
      <c r="Q870" s="84" t="e">
        <v>#REF!</v>
      </c>
      <c r="R870" s="85"/>
      <c r="S870" s="85"/>
      <c r="T870" s="86">
        <v>0</v>
      </c>
      <c r="U870" s="84">
        <v>0</v>
      </c>
      <c r="V870" s="84">
        <v>16.792999999999999</v>
      </c>
      <c r="W870" s="84">
        <v>8.3964999999999996</v>
      </c>
      <c r="X870" s="82">
        <v>0.35</v>
      </c>
      <c r="Y870" s="82"/>
      <c r="Z870" s="84">
        <v>8.3964999999999996</v>
      </c>
      <c r="AA870" s="84">
        <v>16.792999999999999</v>
      </c>
      <c r="AB870" s="88" t="e">
        <v>#DIV/0!</v>
      </c>
      <c r="AC870" t="s">
        <v>4215</v>
      </c>
    </row>
    <row r="871" spans="3:29">
      <c r="C871" t="s">
        <v>4216</v>
      </c>
      <c r="D871" t="s">
        <v>4209</v>
      </c>
      <c r="E871" s="84">
        <v>26.99</v>
      </c>
      <c r="F871" s="84">
        <v>13.494999999999999</v>
      </c>
      <c r="G871" t="s">
        <v>3901</v>
      </c>
      <c r="H871" t="s">
        <v>4217</v>
      </c>
      <c r="I871" t="s">
        <v>377</v>
      </c>
      <c r="J871" t="s">
        <v>4160</v>
      </c>
      <c r="K871" t="s">
        <v>4059</v>
      </c>
      <c r="L871" t="s">
        <v>670</v>
      </c>
      <c r="N871">
        <v>8</v>
      </c>
      <c r="O871">
        <v>6</v>
      </c>
      <c r="P871">
        <v>3.8400000000000001E-4</v>
      </c>
      <c r="Q871" s="84" t="e">
        <v>#REF!</v>
      </c>
      <c r="R871" s="85"/>
      <c r="S871" s="85"/>
      <c r="T871" s="86">
        <v>0</v>
      </c>
      <c r="U871" s="84">
        <v>0</v>
      </c>
      <c r="V871" s="84">
        <v>18.893000000000001</v>
      </c>
      <c r="W871" s="84">
        <v>9.4465000000000003</v>
      </c>
      <c r="X871" s="82">
        <v>0.35</v>
      </c>
      <c r="Y871" s="82"/>
      <c r="Z871" s="84">
        <v>9.4465000000000003</v>
      </c>
      <c r="AA871" s="84">
        <v>18.893000000000001</v>
      </c>
      <c r="AB871" s="88" t="e">
        <v>#DIV/0!</v>
      </c>
      <c r="AC871" t="s">
        <v>4212</v>
      </c>
    </row>
    <row r="872" spans="3:29">
      <c r="C872" t="s">
        <v>4218</v>
      </c>
      <c r="D872" t="s">
        <v>4209</v>
      </c>
      <c r="E872" s="84">
        <v>24.99</v>
      </c>
      <c r="F872" s="84">
        <v>12.494999999999999</v>
      </c>
      <c r="G872" t="s">
        <v>3901</v>
      </c>
      <c r="H872" t="s">
        <v>4219</v>
      </c>
      <c r="I872" t="s">
        <v>377</v>
      </c>
      <c r="J872" t="s">
        <v>4164</v>
      </c>
      <c r="K872" t="s">
        <v>4059</v>
      </c>
      <c r="L872" t="s">
        <v>670</v>
      </c>
      <c r="N872">
        <v>6.5</v>
      </c>
      <c r="O872">
        <v>7</v>
      </c>
      <c r="P872">
        <v>2.9575000000000001E-4</v>
      </c>
      <c r="Q872" s="84" t="e">
        <v>#REF!</v>
      </c>
      <c r="R872" s="85"/>
      <c r="S872" s="85"/>
      <c r="T872" s="86">
        <v>0</v>
      </c>
      <c r="U872" s="84">
        <v>0</v>
      </c>
      <c r="V872" s="84">
        <v>17.492999999999999</v>
      </c>
      <c r="W872" s="84">
        <v>8.7464999999999993</v>
      </c>
      <c r="X872" s="82">
        <v>0.35</v>
      </c>
      <c r="Y872" s="82"/>
      <c r="Z872" s="84">
        <v>8.7464999999999993</v>
      </c>
      <c r="AA872" s="84">
        <v>17.492999999999999</v>
      </c>
      <c r="AB872" s="88" t="e">
        <v>#DIV/0!</v>
      </c>
      <c r="AC872" t="s">
        <v>4212</v>
      </c>
    </row>
    <row r="873" spans="3:29">
      <c r="C873" t="s">
        <v>4220</v>
      </c>
      <c r="D873" t="s">
        <v>4209</v>
      </c>
      <c r="E873" s="84">
        <v>26.99</v>
      </c>
      <c r="F873" s="84">
        <v>13.494999999999999</v>
      </c>
      <c r="G873" t="s">
        <v>3901</v>
      </c>
      <c r="H873" t="s">
        <v>4221</v>
      </c>
      <c r="I873" t="s">
        <v>377</v>
      </c>
      <c r="J873" t="s">
        <v>4168</v>
      </c>
      <c r="K873" t="s">
        <v>4059</v>
      </c>
      <c r="L873" t="s">
        <v>670</v>
      </c>
      <c r="N873">
        <v>8</v>
      </c>
      <c r="O873">
        <v>8</v>
      </c>
      <c r="P873">
        <v>5.1199999999999998E-4</v>
      </c>
      <c r="Q873" s="84" t="e">
        <v>#REF!</v>
      </c>
      <c r="R873" s="85"/>
      <c r="S873" s="85"/>
      <c r="T873" s="86">
        <v>0</v>
      </c>
      <c r="U873" s="84">
        <v>0</v>
      </c>
      <c r="V873" s="84">
        <v>18.893000000000001</v>
      </c>
      <c r="W873" s="84">
        <v>9.4465000000000003</v>
      </c>
      <c r="X873" s="82">
        <v>0.35</v>
      </c>
      <c r="Y873" s="82"/>
      <c r="Z873" s="84">
        <v>9.4465000000000003</v>
      </c>
      <c r="AA873" s="84">
        <v>18.893000000000001</v>
      </c>
      <c r="AB873" s="88" t="e">
        <v>#DIV/0!</v>
      </c>
      <c r="AC873" t="s">
        <v>4222</v>
      </c>
    </row>
    <row r="874" spans="3:29">
      <c r="C874" t="s">
        <v>4223</v>
      </c>
      <c r="D874" t="s">
        <v>4209</v>
      </c>
      <c r="E874" s="84">
        <v>24.99</v>
      </c>
      <c r="F874" s="84">
        <v>12.494999999999999</v>
      </c>
      <c r="G874" t="s">
        <v>3901</v>
      </c>
      <c r="H874" t="s">
        <v>4224</v>
      </c>
      <c r="I874" t="s">
        <v>377</v>
      </c>
      <c r="J874" t="s">
        <v>4171</v>
      </c>
      <c r="K874" t="s">
        <v>4059</v>
      </c>
      <c r="L874" t="s">
        <v>670</v>
      </c>
      <c r="N874">
        <v>6.5</v>
      </c>
      <c r="O874">
        <v>10</v>
      </c>
      <c r="P874">
        <v>4.2250000000000002E-4</v>
      </c>
      <c r="Q874" s="84" t="e">
        <v>#REF!</v>
      </c>
      <c r="R874" s="85"/>
      <c r="S874" s="85"/>
      <c r="T874" s="86">
        <v>0</v>
      </c>
      <c r="U874" s="84">
        <v>0</v>
      </c>
      <c r="V874" s="84">
        <v>17.492999999999999</v>
      </c>
      <c r="W874" s="84">
        <v>8.7464999999999993</v>
      </c>
      <c r="X874" s="82">
        <v>0.35</v>
      </c>
      <c r="Y874" s="82"/>
      <c r="Z874" s="84">
        <v>8.7464999999999993</v>
      </c>
      <c r="AA874" s="84">
        <v>17.492999999999999</v>
      </c>
      <c r="AB874" s="88" t="e">
        <v>#DIV/0!</v>
      </c>
      <c r="AC874" t="s">
        <v>4222</v>
      </c>
    </row>
    <row r="875" spans="3:29">
      <c r="C875" t="s">
        <v>4225</v>
      </c>
      <c r="D875" t="s">
        <v>4209</v>
      </c>
      <c r="E875" s="84">
        <v>28.99</v>
      </c>
      <c r="F875" s="84">
        <v>14.494999999999999</v>
      </c>
      <c r="G875" t="s">
        <v>3901</v>
      </c>
      <c r="H875" t="s">
        <v>4226</v>
      </c>
      <c r="I875" t="s">
        <v>377</v>
      </c>
      <c r="J875" t="s">
        <v>4175</v>
      </c>
      <c r="K875" t="s">
        <v>4059</v>
      </c>
      <c r="L875" t="s">
        <v>670</v>
      </c>
      <c r="N875">
        <v>8</v>
      </c>
      <c r="O875">
        <v>12</v>
      </c>
      <c r="P875">
        <v>7.6800000000000002E-4</v>
      </c>
      <c r="Q875" s="84" t="e">
        <v>#REF!</v>
      </c>
      <c r="R875" s="85"/>
      <c r="S875" s="85"/>
      <c r="T875" s="86">
        <v>0</v>
      </c>
      <c r="U875" s="84">
        <v>0</v>
      </c>
      <c r="V875" s="84">
        <v>20.292999999999999</v>
      </c>
      <c r="W875" s="84">
        <v>10.1465</v>
      </c>
      <c r="X875" s="82">
        <v>0.35</v>
      </c>
      <c r="Y875" s="82"/>
      <c r="Z875" s="84">
        <v>10.1465</v>
      </c>
      <c r="AA875" s="84">
        <v>20.292999999999999</v>
      </c>
      <c r="AB875" s="88" t="e">
        <v>#DIV/0!</v>
      </c>
      <c r="AC875" t="s">
        <v>4212</v>
      </c>
    </row>
    <row r="876" spans="3:29">
      <c r="C876" t="s">
        <v>4227</v>
      </c>
      <c r="D876" t="s">
        <v>4209</v>
      </c>
      <c r="E876" s="84">
        <v>34.99</v>
      </c>
      <c r="F876" s="84">
        <v>17.495000000000001</v>
      </c>
      <c r="G876" t="s">
        <v>3901</v>
      </c>
      <c r="H876" t="s">
        <v>4228</v>
      </c>
      <c r="I876" t="s">
        <v>377</v>
      </c>
      <c r="J876" t="s">
        <v>4178</v>
      </c>
      <c r="K876" t="s">
        <v>4059</v>
      </c>
      <c r="L876" t="s">
        <v>670</v>
      </c>
      <c r="N876">
        <v>7</v>
      </c>
      <c r="O876">
        <v>13</v>
      </c>
      <c r="P876">
        <v>6.3699999999999998E-4</v>
      </c>
      <c r="Q876" s="84" t="e">
        <v>#REF!</v>
      </c>
      <c r="R876" s="85"/>
      <c r="S876" s="85"/>
      <c r="T876" s="86">
        <v>0</v>
      </c>
      <c r="U876" s="84">
        <v>0</v>
      </c>
      <c r="V876" s="84">
        <v>24.492999999999999</v>
      </c>
      <c r="W876" s="84">
        <v>12.246499999999999</v>
      </c>
      <c r="X876" s="82">
        <v>0.35</v>
      </c>
      <c r="Y876" s="82"/>
      <c r="Z876" s="84">
        <v>12.246499999999999</v>
      </c>
      <c r="AA876" s="84">
        <v>24.492999999999999</v>
      </c>
      <c r="AB876" s="88" t="e">
        <v>#DIV/0!</v>
      </c>
      <c r="AC876" t="s">
        <v>4212</v>
      </c>
    </row>
    <row r="877" spans="3:29">
      <c r="C877" t="s">
        <v>4229</v>
      </c>
      <c r="D877" t="s">
        <v>4209</v>
      </c>
      <c r="E877" s="84">
        <v>31.99</v>
      </c>
      <c r="F877" s="84">
        <v>15.994999999999999</v>
      </c>
      <c r="G877" t="s">
        <v>3901</v>
      </c>
      <c r="H877" t="s">
        <v>4230</v>
      </c>
      <c r="I877" t="s">
        <v>377</v>
      </c>
      <c r="J877" t="s">
        <v>4181</v>
      </c>
      <c r="K877" t="s">
        <v>4059</v>
      </c>
      <c r="L877" t="s">
        <v>670</v>
      </c>
      <c r="N877">
        <v>8</v>
      </c>
      <c r="O877">
        <v>16</v>
      </c>
      <c r="P877">
        <v>1.024E-3</v>
      </c>
      <c r="Q877" s="84" t="e">
        <v>#REF!</v>
      </c>
      <c r="R877" s="85"/>
      <c r="S877" s="85"/>
      <c r="T877" s="86">
        <v>0</v>
      </c>
      <c r="U877" s="84">
        <v>0</v>
      </c>
      <c r="V877" s="84">
        <v>22.393000000000001</v>
      </c>
      <c r="W877" s="84">
        <v>11.1965</v>
      </c>
      <c r="X877" s="82">
        <v>0.35</v>
      </c>
      <c r="Y877" s="82"/>
      <c r="Z877" s="84">
        <v>11.1965</v>
      </c>
      <c r="AA877" s="84">
        <v>22.393000000000001</v>
      </c>
      <c r="AB877" s="88" t="e">
        <v>#DIV/0!</v>
      </c>
      <c r="AC877" t="s">
        <v>4212</v>
      </c>
    </row>
    <row r="878" spans="3:29" ht="60.75">
      <c r="C878" t="s">
        <v>4231</v>
      </c>
      <c r="D878" t="s">
        <v>4232</v>
      </c>
      <c r="E878" s="84"/>
      <c r="F878" s="84">
        <v>0</v>
      </c>
      <c r="G878" t="s">
        <v>3901</v>
      </c>
      <c r="H878" t="s">
        <v>4233</v>
      </c>
      <c r="I878" t="s">
        <v>381</v>
      </c>
      <c r="J878" t="s">
        <v>4152</v>
      </c>
      <c r="K878" s="83" t="s">
        <v>4234</v>
      </c>
      <c r="L878" t="s">
        <v>670</v>
      </c>
      <c r="N878">
        <v>5</v>
      </c>
      <c r="O878">
        <v>55</v>
      </c>
      <c r="P878">
        <v>1.3749999999999999E-3</v>
      </c>
      <c r="Q878" s="84" t="e">
        <v>#REF!</v>
      </c>
      <c r="R878" s="85"/>
      <c r="S878" s="85"/>
      <c r="T878" s="86">
        <v>0</v>
      </c>
      <c r="U878" s="84">
        <v>0</v>
      </c>
      <c r="V878" s="84">
        <v>0</v>
      </c>
      <c r="W878" s="84">
        <v>0</v>
      </c>
      <c r="X878" s="82" t="e">
        <v>#DIV/0!</v>
      </c>
      <c r="Y878" s="82"/>
      <c r="Z878" s="84">
        <v>0</v>
      </c>
      <c r="AA878" s="84">
        <v>0</v>
      </c>
      <c r="AB878" s="88" t="e">
        <v>#DIV/0!</v>
      </c>
      <c r="AC878" t="s">
        <v>4235</v>
      </c>
    </row>
    <row r="879" spans="3:29">
      <c r="C879" t="s">
        <v>4236</v>
      </c>
      <c r="D879" t="s">
        <v>4232</v>
      </c>
      <c r="E879" s="84">
        <v>21.99</v>
      </c>
      <c r="F879" s="84">
        <v>10.994999999999999</v>
      </c>
      <c r="G879" t="s">
        <v>3901</v>
      </c>
      <c r="H879" t="s">
        <v>4237</v>
      </c>
      <c r="I879" t="s">
        <v>381</v>
      </c>
      <c r="J879" t="s">
        <v>4157</v>
      </c>
      <c r="K879" t="s">
        <v>4068</v>
      </c>
      <c r="L879" t="s">
        <v>670</v>
      </c>
      <c r="N879">
        <v>6</v>
      </c>
      <c r="O879">
        <v>6</v>
      </c>
      <c r="P879">
        <v>2.1599999999999999E-4</v>
      </c>
      <c r="Q879" s="84" t="e">
        <v>#REF!</v>
      </c>
      <c r="R879" s="85"/>
      <c r="S879" s="85"/>
      <c r="T879" s="86">
        <v>0</v>
      </c>
      <c r="U879" s="84">
        <v>0</v>
      </c>
      <c r="V879" s="84">
        <v>15.393000000000001</v>
      </c>
      <c r="W879" s="84">
        <v>7.6965000000000003</v>
      </c>
      <c r="X879" s="82">
        <v>0.35</v>
      </c>
      <c r="Y879" s="82"/>
      <c r="Z879" s="84">
        <v>7.6965000000000003</v>
      </c>
      <c r="AA879" s="84">
        <v>15.393000000000001</v>
      </c>
      <c r="AB879" s="88" t="e">
        <v>#DIV/0!</v>
      </c>
      <c r="AC879" t="s">
        <v>4238</v>
      </c>
    </row>
    <row r="880" spans="3:29">
      <c r="C880" t="s">
        <v>4239</v>
      </c>
      <c r="D880" t="s">
        <v>4232</v>
      </c>
      <c r="E880" s="84">
        <v>25.99</v>
      </c>
      <c r="F880" s="84">
        <v>12.994999999999999</v>
      </c>
      <c r="G880" t="s">
        <v>3901</v>
      </c>
      <c r="H880" t="s">
        <v>4240</v>
      </c>
      <c r="I880" t="s">
        <v>381</v>
      </c>
      <c r="J880" t="s">
        <v>4160</v>
      </c>
      <c r="K880" t="s">
        <v>4068</v>
      </c>
      <c r="L880" t="s">
        <v>670</v>
      </c>
      <c r="N880">
        <v>8</v>
      </c>
      <c r="O880">
        <v>6</v>
      </c>
      <c r="P880">
        <v>3.8400000000000001E-4</v>
      </c>
      <c r="Q880" s="84" t="e">
        <v>#REF!</v>
      </c>
      <c r="R880" s="85"/>
      <c r="S880" s="85"/>
      <c r="T880" s="86">
        <v>0</v>
      </c>
      <c r="U880" s="84">
        <v>0</v>
      </c>
      <c r="V880" s="84">
        <v>18.193000000000001</v>
      </c>
      <c r="W880" s="84">
        <v>9.0965000000000007</v>
      </c>
      <c r="X880" s="82">
        <v>0.35</v>
      </c>
      <c r="Y880" s="82"/>
      <c r="Z880" s="84">
        <v>9.0965000000000007</v>
      </c>
      <c r="AA880" s="84">
        <v>18.193000000000001</v>
      </c>
      <c r="AB880" s="88" t="e">
        <v>#DIV/0!</v>
      </c>
      <c r="AC880" t="s">
        <v>4238</v>
      </c>
    </row>
    <row r="881" spans="3:29">
      <c r="C881" t="s">
        <v>4241</v>
      </c>
      <c r="D881" t="s">
        <v>4232</v>
      </c>
      <c r="E881" s="84">
        <v>23.99</v>
      </c>
      <c r="F881" s="84">
        <v>11.994999999999999</v>
      </c>
      <c r="G881" t="s">
        <v>3901</v>
      </c>
      <c r="H881" t="s">
        <v>4242</v>
      </c>
      <c r="I881" t="s">
        <v>381</v>
      </c>
      <c r="J881" t="s">
        <v>4164</v>
      </c>
      <c r="K881" t="s">
        <v>4068</v>
      </c>
      <c r="L881" t="s">
        <v>670</v>
      </c>
      <c r="N881">
        <v>6.5</v>
      </c>
      <c r="O881">
        <v>7</v>
      </c>
      <c r="P881">
        <v>2.9575000000000001E-4</v>
      </c>
      <c r="Q881" s="84" t="e">
        <v>#REF!</v>
      </c>
      <c r="R881" s="85"/>
      <c r="S881" s="85"/>
      <c r="T881" s="86">
        <v>0</v>
      </c>
      <c r="U881" s="84">
        <v>0</v>
      </c>
      <c r="V881" s="84">
        <v>16.792999999999999</v>
      </c>
      <c r="W881" s="84">
        <v>8.3964999999999996</v>
      </c>
      <c r="X881" s="82">
        <v>0.35</v>
      </c>
      <c r="Y881" s="82"/>
      <c r="Z881" s="84">
        <v>8.3964999999999996</v>
      </c>
      <c r="AA881" s="84">
        <v>16.792999999999999</v>
      </c>
      <c r="AB881" s="88" t="e">
        <v>#DIV/0!</v>
      </c>
      <c r="AC881" t="s">
        <v>4243</v>
      </c>
    </row>
    <row r="882" spans="3:29">
      <c r="C882" t="s">
        <v>4244</v>
      </c>
      <c r="D882" t="s">
        <v>4232</v>
      </c>
      <c r="E882" s="84">
        <v>25.99</v>
      </c>
      <c r="F882" s="84">
        <v>12.994999999999999</v>
      </c>
      <c r="G882" t="s">
        <v>3901</v>
      </c>
      <c r="H882" t="s">
        <v>4245</v>
      </c>
      <c r="I882" t="s">
        <v>381</v>
      </c>
      <c r="J882" t="s">
        <v>4168</v>
      </c>
      <c r="K882" t="s">
        <v>4068</v>
      </c>
      <c r="L882" t="s">
        <v>670</v>
      </c>
      <c r="N882">
        <v>8</v>
      </c>
      <c r="O882">
        <v>8</v>
      </c>
      <c r="P882">
        <v>5.1199999999999998E-4</v>
      </c>
      <c r="Q882" s="84" t="e">
        <v>#REF!</v>
      </c>
      <c r="R882" s="85"/>
      <c r="S882" s="85"/>
      <c r="T882" s="86">
        <v>0</v>
      </c>
      <c r="U882" s="84">
        <v>0</v>
      </c>
      <c r="V882" s="84">
        <v>18.193000000000001</v>
      </c>
      <c r="W882" s="84">
        <v>9.0965000000000007</v>
      </c>
      <c r="X882" s="82">
        <v>0.35</v>
      </c>
      <c r="Y882" s="82"/>
      <c r="Z882" s="84">
        <v>9.0965000000000007</v>
      </c>
      <c r="AA882" s="84">
        <v>18.193000000000001</v>
      </c>
      <c r="AB882" s="88" t="e">
        <v>#DIV/0!</v>
      </c>
      <c r="AC882" t="s">
        <v>4235</v>
      </c>
    </row>
    <row r="883" spans="3:29">
      <c r="C883" t="s">
        <v>4246</v>
      </c>
      <c r="D883" t="s">
        <v>4232</v>
      </c>
      <c r="E883" s="84">
        <v>21.99</v>
      </c>
      <c r="F883" s="84">
        <v>10.994999999999999</v>
      </c>
      <c r="G883" t="s">
        <v>3901</v>
      </c>
      <c r="H883" t="s">
        <v>4247</v>
      </c>
      <c r="I883" t="s">
        <v>381</v>
      </c>
      <c r="J883" t="s">
        <v>4171</v>
      </c>
      <c r="K883" t="s">
        <v>4068</v>
      </c>
      <c r="L883" t="s">
        <v>670</v>
      </c>
      <c r="N883">
        <v>6.5</v>
      </c>
      <c r="O883">
        <v>10</v>
      </c>
      <c r="P883">
        <v>4.2250000000000002E-4</v>
      </c>
      <c r="Q883" s="84" t="e">
        <v>#REF!</v>
      </c>
      <c r="R883" s="85"/>
      <c r="S883" s="85"/>
      <c r="T883" s="86">
        <v>0</v>
      </c>
      <c r="U883" s="84">
        <v>0</v>
      </c>
      <c r="V883" s="84">
        <v>15.393000000000001</v>
      </c>
      <c r="W883" s="84">
        <v>7.6965000000000003</v>
      </c>
      <c r="X883" s="82">
        <v>0.35</v>
      </c>
      <c r="Y883" s="82"/>
      <c r="Z883" s="84">
        <v>7.6965000000000003</v>
      </c>
      <c r="AA883" s="84">
        <v>15.393000000000001</v>
      </c>
      <c r="AB883" s="88" t="e">
        <v>#DIV/0!</v>
      </c>
      <c r="AC883" t="s">
        <v>4248</v>
      </c>
    </row>
    <row r="884" spans="3:29">
      <c r="C884" t="s">
        <v>4249</v>
      </c>
      <c r="D884" t="s">
        <v>4232</v>
      </c>
      <c r="E884" s="84">
        <v>27.99</v>
      </c>
      <c r="F884" s="84">
        <v>13.994999999999999</v>
      </c>
      <c r="G884" t="s">
        <v>3901</v>
      </c>
      <c r="H884" t="s">
        <v>4250</v>
      </c>
      <c r="I884" t="s">
        <v>381</v>
      </c>
      <c r="J884" t="s">
        <v>4175</v>
      </c>
      <c r="K884" t="s">
        <v>4068</v>
      </c>
      <c r="L884" t="s">
        <v>670</v>
      </c>
      <c r="N884">
        <v>8</v>
      </c>
      <c r="O884">
        <v>12</v>
      </c>
      <c r="P884">
        <v>7.6800000000000002E-4</v>
      </c>
      <c r="Q884" s="84" t="e">
        <v>#REF!</v>
      </c>
      <c r="R884" s="85"/>
      <c r="S884" s="85"/>
      <c r="T884" s="86">
        <v>0</v>
      </c>
      <c r="U884" s="84">
        <v>0</v>
      </c>
      <c r="V884" s="84">
        <v>19.593</v>
      </c>
      <c r="W884" s="84">
        <v>9.7965</v>
      </c>
      <c r="X884" s="82">
        <v>0.35</v>
      </c>
      <c r="Y884" s="82"/>
      <c r="Z884" s="84">
        <v>9.7965</v>
      </c>
      <c r="AA884" s="84">
        <v>19.593</v>
      </c>
      <c r="AB884" s="88" t="e">
        <v>#DIV/0!</v>
      </c>
      <c r="AC884" t="s">
        <v>4235</v>
      </c>
    </row>
    <row r="885" spans="3:29">
      <c r="C885" t="s">
        <v>4251</v>
      </c>
      <c r="D885" t="s">
        <v>4232</v>
      </c>
      <c r="E885" s="84">
        <v>32.99</v>
      </c>
      <c r="F885" s="84">
        <v>16.495000000000001</v>
      </c>
      <c r="G885" t="s">
        <v>3901</v>
      </c>
      <c r="H885" t="s">
        <v>4252</v>
      </c>
      <c r="I885" t="s">
        <v>381</v>
      </c>
      <c r="J885" t="s">
        <v>4178</v>
      </c>
      <c r="K885" t="s">
        <v>4068</v>
      </c>
      <c r="L885" t="s">
        <v>670</v>
      </c>
      <c r="N885">
        <v>7</v>
      </c>
      <c r="O885">
        <v>13</v>
      </c>
      <c r="P885">
        <v>6.3699999999999998E-4</v>
      </c>
      <c r="Q885" s="84" t="e">
        <v>#REF!</v>
      </c>
      <c r="R885" s="85"/>
      <c r="S885" s="85"/>
      <c r="T885" s="86">
        <v>0</v>
      </c>
      <c r="U885" s="84">
        <v>0</v>
      </c>
      <c r="V885" s="84">
        <v>23.093</v>
      </c>
      <c r="W885" s="84">
        <v>11.5465</v>
      </c>
      <c r="X885" s="82">
        <v>0.35</v>
      </c>
      <c r="Y885" s="82"/>
      <c r="Z885" s="84">
        <v>11.5465</v>
      </c>
      <c r="AA885" s="84">
        <v>23.093</v>
      </c>
      <c r="AB885" s="88" t="e">
        <v>#DIV/0!</v>
      </c>
      <c r="AC885" t="s">
        <v>4238</v>
      </c>
    </row>
    <row r="886" spans="3:29">
      <c r="C886" t="s">
        <v>4253</v>
      </c>
      <c r="D886" t="s">
        <v>4232</v>
      </c>
      <c r="E886" s="84">
        <v>30.99</v>
      </c>
      <c r="F886" s="84">
        <v>15.494999999999999</v>
      </c>
      <c r="G886" t="s">
        <v>3901</v>
      </c>
      <c r="H886" t="s">
        <v>4254</v>
      </c>
      <c r="I886" t="s">
        <v>381</v>
      </c>
      <c r="J886" t="s">
        <v>4181</v>
      </c>
      <c r="K886" t="s">
        <v>4068</v>
      </c>
      <c r="L886" t="s">
        <v>670</v>
      </c>
      <c r="N886">
        <v>8</v>
      </c>
      <c r="O886">
        <v>16</v>
      </c>
      <c r="P886">
        <v>1.024E-3</v>
      </c>
      <c r="Q886" s="84" t="e">
        <v>#REF!</v>
      </c>
      <c r="R886" s="85"/>
      <c r="S886" s="85"/>
      <c r="T886" s="86">
        <v>0</v>
      </c>
      <c r="U886" s="84">
        <v>0</v>
      </c>
      <c r="V886" s="84">
        <v>21.693000000000001</v>
      </c>
      <c r="W886" s="84">
        <v>10.846500000000001</v>
      </c>
      <c r="X886" s="82">
        <v>0.35</v>
      </c>
      <c r="Y886" s="82"/>
      <c r="Z886" s="84">
        <v>10.846500000000001</v>
      </c>
      <c r="AA886" s="84">
        <v>21.693000000000001</v>
      </c>
      <c r="AB886" s="88" t="e">
        <v>#DIV/0!</v>
      </c>
      <c r="AC886" t="s">
        <v>4248</v>
      </c>
    </row>
    <row r="887" spans="3:29" ht="60.75">
      <c r="C887" t="s">
        <v>4255</v>
      </c>
      <c r="D887" t="s">
        <v>4256</v>
      </c>
      <c r="E887" s="84"/>
      <c r="F887" s="84">
        <v>0</v>
      </c>
      <c r="G887" t="s">
        <v>3901</v>
      </c>
      <c r="H887" t="s">
        <v>4257</v>
      </c>
      <c r="I887" t="s">
        <v>385</v>
      </c>
      <c r="J887" t="s">
        <v>4152</v>
      </c>
      <c r="K887" s="83" t="s">
        <v>4258</v>
      </c>
      <c r="L887" t="s">
        <v>670</v>
      </c>
      <c r="N887">
        <v>5</v>
      </c>
      <c r="O887">
        <v>55</v>
      </c>
      <c r="P887">
        <v>1.3749999999999999E-3</v>
      </c>
      <c r="Q887" s="84" t="e">
        <v>#REF!</v>
      </c>
      <c r="R887" s="85"/>
      <c r="S887" s="85"/>
      <c r="T887" s="86">
        <v>0</v>
      </c>
      <c r="U887" s="84">
        <v>0</v>
      </c>
      <c r="V887" s="84">
        <v>0</v>
      </c>
      <c r="W887" s="84">
        <v>0</v>
      </c>
      <c r="X887" s="82" t="e">
        <v>#DIV/0!</v>
      </c>
      <c r="Y887" s="82"/>
      <c r="Z887" s="84">
        <v>0</v>
      </c>
      <c r="AA887" s="84">
        <v>0</v>
      </c>
      <c r="AB887" s="88" t="e">
        <v>#DIV/0!</v>
      </c>
      <c r="AC887" t="s">
        <v>4259</v>
      </c>
    </row>
    <row r="888" spans="3:29">
      <c r="C888" t="s">
        <v>4260</v>
      </c>
      <c r="D888" t="s">
        <v>4256</v>
      </c>
      <c r="E888" s="84">
        <v>24.99</v>
      </c>
      <c r="F888" s="84">
        <v>12.494999999999999</v>
      </c>
      <c r="G888" t="s">
        <v>3901</v>
      </c>
      <c r="H888" t="s">
        <v>4261</v>
      </c>
      <c r="I888" t="s">
        <v>385</v>
      </c>
      <c r="J888" t="s">
        <v>4157</v>
      </c>
      <c r="K888" t="s">
        <v>4262</v>
      </c>
      <c r="L888" t="s">
        <v>670</v>
      </c>
      <c r="N888">
        <v>6</v>
      </c>
      <c r="O888">
        <v>6</v>
      </c>
      <c r="P888">
        <v>2.1599999999999999E-4</v>
      </c>
      <c r="Q888" s="84" t="e">
        <v>#REF!</v>
      </c>
      <c r="R888" s="85"/>
      <c r="S888" s="85"/>
      <c r="T888" s="86">
        <v>0</v>
      </c>
      <c r="U888" s="84">
        <v>0</v>
      </c>
      <c r="V888" s="84">
        <v>17.492999999999999</v>
      </c>
      <c r="W888" s="84">
        <v>8.7464999999999993</v>
      </c>
      <c r="X888" s="82">
        <v>0.35</v>
      </c>
      <c r="Y888" s="82"/>
      <c r="Z888" s="84">
        <v>8.7464999999999993</v>
      </c>
      <c r="AA888" s="84">
        <v>17.492999999999999</v>
      </c>
      <c r="AB888" s="88" t="e">
        <v>#DIV/0!</v>
      </c>
      <c r="AC888" t="s">
        <v>4259</v>
      </c>
    </row>
    <row r="889" spans="3:29">
      <c r="C889" t="s">
        <v>4263</v>
      </c>
      <c r="D889" t="s">
        <v>4256</v>
      </c>
      <c r="E889" s="84">
        <v>29.99</v>
      </c>
      <c r="F889" s="84">
        <v>14.994999999999999</v>
      </c>
      <c r="G889" t="s">
        <v>3901</v>
      </c>
      <c r="H889" t="s">
        <v>4264</v>
      </c>
      <c r="I889" t="s">
        <v>385</v>
      </c>
      <c r="J889" t="s">
        <v>4160</v>
      </c>
      <c r="K889" t="s">
        <v>4262</v>
      </c>
      <c r="L889" t="s">
        <v>670</v>
      </c>
      <c r="N889">
        <v>8</v>
      </c>
      <c r="O889">
        <v>6</v>
      </c>
      <c r="P889">
        <v>3.8400000000000001E-4</v>
      </c>
      <c r="Q889" s="84" t="e">
        <v>#REF!</v>
      </c>
      <c r="R889" s="85"/>
      <c r="S889" s="85"/>
      <c r="T889" s="86">
        <v>0</v>
      </c>
      <c r="U889" s="84">
        <v>0</v>
      </c>
      <c r="V889" s="84">
        <v>20.992999999999999</v>
      </c>
      <c r="W889" s="84">
        <v>10.496499999999999</v>
      </c>
      <c r="X889" s="82">
        <v>0.35</v>
      </c>
      <c r="Y889" s="82"/>
      <c r="Z889" s="84">
        <v>10.496499999999999</v>
      </c>
      <c r="AA889" s="84">
        <v>20.992999999999999</v>
      </c>
      <c r="AB889" s="88" t="e">
        <v>#DIV/0!</v>
      </c>
      <c r="AC889" t="s">
        <v>4265</v>
      </c>
    </row>
    <row r="890" spans="3:29">
      <c r="C890" t="s">
        <v>4266</v>
      </c>
      <c r="D890" t="s">
        <v>4256</v>
      </c>
      <c r="E890" s="84">
        <v>27.99</v>
      </c>
      <c r="F890" s="84">
        <v>13.994999999999999</v>
      </c>
      <c r="G890" t="s">
        <v>3901</v>
      </c>
      <c r="H890" t="s">
        <v>4267</v>
      </c>
      <c r="I890" t="s">
        <v>385</v>
      </c>
      <c r="J890" t="s">
        <v>4164</v>
      </c>
      <c r="K890" t="s">
        <v>4262</v>
      </c>
      <c r="L890" t="s">
        <v>670</v>
      </c>
      <c r="N890">
        <v>6.5</v>
      </c>
      <c r="O890">
        <v>7</v>
      </c>
      <c r="P890">
        <v>2.9575000000000001E-4</v>
      </c>
      <c r="Q890" s="84" t="e">
        <v>#REF!</v>
      </c>
      <c r="R890" s="85"/>
      <c r="S890" s="85"/>
      <c r="T890" s="86">
        <v>0</v>
      </c>
      <c r="U890" s="84">
        <v>0</v>
      </c>
      <c r="V890" s="84">
        <v>19.593</v>
      </c>
      <c r="W890" s="84">
        <v>9.7965</v>
      </c>
      <c r="X890" s="82">
        <v>0.35</v>
      </c>
      <c r="Y890" s="82"/>
      <c r="Z890" s="84">
        <v>9.7965</v>
      </c>
      <c r="AA890" s="84">
        <v>19.593</v>
      </c>
      <c r="AB890" s="88" t="e">
        <v>#DIV/0!</v>
      </c>
      <c r="AC890" t="s">
        <v>4268</v>
      </c>
    </row>
    <row r="891" spans="3:29">
      <c r="C891" t="s">
        <v>4269</v>
      </c>
      <c r="D891" t="s">
        <v>4256</v>
      </c>
      <c r="E891" s="84">
        <v>30.99</v>
      </c>
      <c r="F891" s="84">
        <v>15.494999999999999</v>
      </c>
      <c r="G891" t="s">
        <v>3901</v>
      </c>
      <c r="H891" t="s">
        <v>4270</v>
      </c>
      <c r="I891" t="s">
        <v>385</v>
      </c>
      <c r="J891" t="s">
        <v>4168</v>
      </c>
      <c r="K891" t="s">
        <v>4262</v>
      </c>
      <c r="L891" t="s">
        <v>670</v>
      </c>
      <c r="N891">
        <v>8</v>
      </c>
      <c r="O891">
        <v>8</v>
      </c>
      <c r="P891">
        <v>5.1199999999999998E-4</v>
      </c>
      <c r="Q891" s="84" t="e">
        <v>#REF!</v>
      </c>
      <c r="R891" s="85"/>
      <c r="S891" s="85"/>
      <c r="T891" s="86">
        <v>0</v>
      </c>
      <c r="U891" s="84">
        <v>0</v>
      </c>
      <c r="V891" s="84">
        <v>21.693000000000001</v>
      </c>
      <c r="W891" s="84">
        <v>10.846500000000001</v>
      </c>
      <c r="X891" s="82">
        <v>0.35</v>
      </c>
      <c r="Y891" s="82"/>
      <c r="Z891" s="84">
        <v>10.846500000000001</v>
      </c>
      <c r="AA891" s="84">
        <v>21.693000000000001</v>
      </c>
      <c r="AB891" s="88" t="e">
        <v>#DIV/0!</v>
      </c>
      <c r="AC891" t="s">
        <v>4259</v>
      </c>
    </row>
    <row r="892" spans="3:29">
      <c r="C892" t="s">
        <v>4271</v>
      </c>
      <c r="D892" t="s">
        <v>4256</v>
      </c>
      <c r="E892" s="84">
        <v>27.99</v>
      </c>
      <c r="F892" s="84">
        <v>13.994999999999999</v>
      </c>
      <c r="G892" t="s">
        <v>3901</v>
      </c>
      <c r="H892" t="s">
        <v>4272</v>
      </c>
      <c r="I892" t="s">
        <v>385</v>
      </c>
      <c r="J892" t="s">
        <v>4171</v>
      </c>
      <c r="K892" t="s">
        <v>4262</v>
      </c>
      <c r="L892" t="s">
        <v>670</v>
      </c>
      <c r="N892">
        <v>6.5</v>
      </c>
      <c r="O892">
        <v>10</v>
      </c>
      <c r="P892">
        <v>4.2250000000000002E-4</v>
      </c>
      <c r="Q892" s="84" t="e">
        <v>#REF!</v>
      </c>
      <c r="R892" s="85"/>
      <c r="S892" s="85"/>
      <c r="T892" s="86">
        <v>0</v>
      </c>
      <c r="U892" s="84">
        <v>0</v>
      </c>
      <c r="V892" s="84">
        <v>19.593</v>
      </c>
      <c r="W892" s="84">
        <v>9.7965</v>
      </c>
      <c r="X892" s="82">
        <v>0.35</v>
      </c>
      <c r="Y892" s="82"/>
      <c r="Z892" s="84">
        <v>9.7965</v>
      </c>
      <c r="AA892" s="84">
        <v>19.593</v>
      </c>
      <c r="AB892" s="88" t="e">
        <v>#DIV/0!</v>
      </c>
      <c r="AC892" t="s">
        <v>4265</v>
      </c>
    </row>
    <row r="893" spans="3:29">
      <c r="C893" t="s">
        <v>4273</v>
      </c>
      <c r="D893" t="s">
        <v>4256</v>
      </c>
      <c r="E893" s="84">
        <v>31.99</v>
      </c>
      <c r="F893" s="84">
        <v>15.994999999999999</v>
      </c>
      <c r="G893" t="s">
        <v>3901</v>
      </c>
      <c r="H893" t="s">
        <v>4274</v>
      </c>
      <c r="I893" t="s">
        <v>385</v>
      </c>
      <c r="J893" t="s">
        <v>4175</v>
      </c>
      <c r="K893" t="s">
        <v>4262</v>
      </c>
      <c r="L893" t="s">
        <v>670</v>
      </c>
      <c r="N893">
        <v>8</v>
      </c>
      <c r="O893">
        <v>12</v>
      </c>
      <c r="P893">
        <v>7.6800000000000002E-4</v>
      </c>
      <c r="Q893" s="84" t="e">
        <v>#REF!</v>
      </c>
      <c r="R893" s="85"/>
      <c r="S893" s="85"/>
      <c r="T893" s="86">
        <v>0</v>
      </c>
      <c r="U893" s="84">
        <v>0</v>
      </c>
      <c r="V893" s="84">
        <v>22.393000000000001</v>
      </c>
      <c r="W893" s="84">
        <v>11.1965</v>
      </c>
      <c r="X893" s="82">
        <v>0.35</v>
      </c>
      <c r="Y893" s="82"/>
      <c r="Z893" s="84">
        <v>11.1965</v>
      </c>
      <c r="AA893" s="84">
        <v>22.393000000000001</v>
      </c>
      <c r="AB893" s="88" t="e">
        <v>#DIV/0!</v>
      </c>
      <c r="AC893" t="s">
        <v>4275</v>
      </c>
    </row>
    <row r="894" spans="3:29">
      <c r="C894" t="s">
        <v>4276</v>
      </c>
      <c r="D894" t="s">
        <v>4256</v>
      </c>
      <c r="E894" s="84">
        <v>37.99</v>
      </c>
      <c r="F894" s="84">
        <v>18.995000000000001</v>
      </c>
      <c r="G894" t="s">
        <v>3901</v>
      </c>
      <c r="H894" t="s">
        <v>4277</v>
      </c>
      <c r="I894" t="s">
        <v>385</v>
      </c>
      <c r="J894" t="s">
        <v>4178</v>
      </c>
      <c r="K894" t="s">
        <v>4262</v>
      </c>
      <c r="L894" t="s">
        <v>670</v>
      </c>
      <c r="N894">
        <v>7</v>
      </c>
      <c r="O894">
        <v>13</v>
      </c>
      <c r="P894">
        <v>6.3699999999999998E-4</v>
      </c>
      <c r="Q894" s="84" t="e">
        <v>#REF!</v>
      </c>
      <c r="R894" s="85"/>
      <c r="S894" s="85"/>
      <c r="T894" s="86">
        <v>0</v>
      </c>
      <c r="U894" s="84">
        <v>0</v>
      </c>
      <c r="V894" s="84">
        <v>26.593</v>
      </c>
      <c r="W894" s="84">
        <v>13.2965</v>
      </c>
      <c r="X894" s="82">
        <v>0.35</v>
      </c>
      <c r="Y894" s="82"/>
      <c r="Z894" s="84">
        <v>13.2965</v>
      </c>
      <c r="AA894" s="84">
        <v>26.593</v>
      </c>
      <c r="AB894" s="88" t="e">
        <v>#DIV/0!</v>
      </c>
      <c r="AC894" t="s">
        <v>4268</v>
      </c>
    </row>
    <row r="895" spans="3:29">
      <c r="C895" t="s">
        <v>4278</v>
      </c>
      <c r="D895" t="s">
        <v>4256</v>
      </c>
      <c r="E895" s="84">
        <v>35.99</v>
      </c>
      <c r="F895" s="84">
        <v>17.995000000000001</v>
      </c>
      <c r="G895" t="s">
        <v>3901</v>
      </c>
      <c r="H895" t="s">
        <v>4279</v>
      </c>
      <c r="I895" t="s">
        <v>385</v>
      </c>
      <c r="J895" t="s">
        <v>4181</v>
      </c>
      <c r="K895" t="s">
        <v>4262</v>
      </c>
      <c r="L895" t="s">
        <v>670</v>
      </c>
      <c r="N895">
        <v>8</v>
      </c>
      <c r="O895">
        <v>16</v>
      </c>
      <c r="P895">
        <v>1.024E-3</v>
      </c>
      <c r="Q895" s="84" t="e">
        <v>#REF!</v>
      </c>
      <c r="R895" s="85"/>
      <c r="S895" s="85"/>
      <c r="T895" s="86">
        <v>0</v>
      </c>
      <c r="U895" s="84">
        <v>0</v>
      </c>
      <c r="V895" s="84">
        <v>25.193000000000001</v>
      </c>
      <c r="W895" s="84">
        <v>12.596500000000001</v>
      </c>
      <c r="X895" s="82">
        <v>0.35</v>
      </c>
      <c r="Y895" s="82"/>
      <c r="Z895" s="84">
        <v>12.596500000000001</v>
      </c>
      <c r="AA895" s="84">
        <v>25.193000000000001</v>
      </c>
      <c r="AB895" s="88" t="e">
        <v>#DIV/0!</v>
      </c>
      <c r="AC895" t="s">
        <v>4280</v>
      </c>
    </row>
    <row r="896" spans="3:29" ht="60.75">
      <c r="C896" t="s">
        <v>4281</v>
      </c>
      <c r="D896" t="s">
        <v>4282</v>
      </c>
      <c r="E896" s="84"/>
      <c r="F896" s="84">
        <v>0</v>
      </c>
      <c r="G896" t="s">
        <v>3901</v>
      </c>
      <c r="H896" t="s">
        <v>4257</v>
      </c>
      <c r="I896" t="s">
        <v>394</v>
      </c>
      <c r="J896" t="s">
        <v>4152</v>
      </c>
      <c r="K896" s="83" t="s">
        <v>4283</v>
      </c>
      <c r="L896" t="s">
        <v>670</v>
      </c>
      <c r="N896">
        <v>5</v>
      </c>
      <c r="O896">
        <v>55</v>
      </c>
      <c r="P896">
        <v>1.3749999999999999E-3</v>
      </c>
      <c r="Q896" s="84" t="e">
        <v>#REF!</v>
      </c>
      <c r="R896" s="85"/>
      <c r="S896" s="85"/>
      <c r="T896" s="86">
        <v>0</v>
      </c>
      <c r="U896" s="84">
        <v>0</v>
      </c>
      <c r="V896" s="84">
        <v>0</v>
      </c>
      <c r="W896" s="84">
        <v>0</v>
      </c>
      <c r="X896" s="82" t="e">
        <v>#DIV/0!</v>
      </c>
      <c r="Y896" s="82"/>
      <c r="Z896" s="84">
        <v>0</v>
      </c>
      <c r="AA896" s="84">
        <v>0</v>
      </c>
      <c r="AB896" s="88" t="e">
        <v>#DIV/0!</v>
      </c>
      <c r="AC896" t="s">
        <v>4284</v>
      </c>
    </row>
    <row r="897" spans="3:29">
      <c r="C897" t="s">
        <v>4285</v>
      </c>
      <c r="D897" t="s">
        <v>4282</v>
      </c>
      <c r="E897" s="84">
        <v>29.99</v>
      </c>
      <c r="F897" s="84">
        <v>14.994999999999999</v>
      </c>
      <c r="G897" t="s">
        <v>3901</v>
      </c>
      <c r="H897" t="s">
        <v>4261</v>
      </c>
      <c r="I897" t="s">
        <v>394</v>
      </c>
      <c r="J897" t="s">
        <v>4157</v>
      </c>
      <c r="K897" t="s">
        <v>4286</v>
      </c>
      <c r="L897" t="s">
        <v>670</v>
      </c>
      <c r="N897">
        <v>6</v>
      </c>
      <c r="O897">
        <v>6</v>
      </c>
      <c r="P897">
        <v>2.1599999999999999E-4</v>
      </c>
      <c r="Q897" s="84" t="e">
        <v>#REF!</v>
      </c>
      <c r="R897" s="85"/>
      <c r="S897" s="85"/>
      <c r="T897" s="86">
        <v>0</v>
      </c>
      <c r="U897" s="84">
        <v>0</v>
      </c>
      <c r="V897" s="84">
        <v>20.992999999999999</v>
      </c>
      <c r="W897" s="84">
        <v>10.496499999999999</v>
      </c>
      <c r="X897" s="82">
        <v>0.35</v>
      </c>
      <c r="Y897" s="82"/>
      <c r="Z897" s="84">
        <v>10.496499999999999</v>
      </c>
      <c r="AA897" s="84">
        <v>20.992999999999999</v>
      </c>
      <c r="AB897" s="88" t="e">
        <v>#DIV/0!</v>
      </c>
      <c r="AC897" t="s">
        <v>4287</v>
      </c>
    </row>
    <row r="898" spans="3:29">
      <c r="C898" t="s">
        <v>4288</v>
      </c>
      <c r="D898" t="s">
        <v>4282</v>
      </c>
      <c r="E898" s="84">
        <v>35.99</v>
      </c>
      <c r="F898" s="84">
        <v>17.995000000000001</v>
      </c>
      <c r="G898" t="s">
        <v>3901</v>
      </c>
      <c r="H898" t="s">
        <v>4264</v>
      </c>
      <c r="I898" t="s">
        <v>394</v>
      </c>
      <c r="J898" t="s">
        <v>4160</v>
      </c>
      <c r="K898" t="s">
        <v>4286</v>
      </c>
      <c r="L898" t="s">
        <v>670</v>
      </c>
      <c r="N898">
        <v>8</v>
      </c>
      <c r="O898">
        <v>6</v>
      </c>
      <c r="P898">
        <v>3.8400000000000001E-4</v>
      </c>
      <c r="Q898" s="84" t="e">
        <v>#REF!</v>
      </c>
      <c r="R898" s="85"/>
      <c r="S898" s="85"/>
      <c r="T898" s="86">
        <v>0</v>
      </c>
      <c r="U898" s="84">
        <v>0</v>
      </c>
      <c r="V898" s="84">
        <v>25.193000000000001</v>
      </c>
      <c r="W898" s="84">
        <v>12.596500000000001</v>
      </c>
      <c r="X898" s="82">
        <v>0.35</v>
      </c>
      <c r="Y898" s="82"/>
      <c r="Z898" s="84">
        <v>12.596500000000001</v>
      </c>
      <c r="AA898" s="84">
        <v>25.193000000000001</v>
      </c>
      <c r="AB898" s="88" t="e">
        <v>#DIV/0!</v>
      </c>
      <c r="AC898" t="s">
        <v>4284</v>
      </c>
    </row>
    <row r="899" spans="3:29">
      <c r="C899" t="s">
        <v>4289</v>
      </c>
      <c r="D899" t="s">
        <v>4282</v>
      </c>
      <c r="E899" s="84">
        <v>32.99</v>
      </c>
      <c r="F899" s="84">
        <v>16.495000000000001</v>
      </c>
      <c r="G899" t="s">
        <v>3901</v>
      </c>
      <c r="H899" t="s">
        <v>4267</v>
      </c>
      <c r="I899" t="s">
        <v>394</v>
      </c>
      <c r="J899" t="s">
        <v>4164</v>
      </c>
      <c r="K899" t="s">
        <v>4286</v>
      </c>
      <c r="L899" t="s">
        <v>670</v>
      </c>
      <c r="N899">
        <v>6.5</v>
      </c>
      <c r="O899">
        <v>7</v>
      </c>
      <c r="P899">
        <v>2.9575000000000001E-4</v>
      </c>
      <c r="Q899" s="84" t="e">
        <v>#REF!</v>
      </c>
      <c r="R899" s="85"/>
      <c r="S899" s="85"/>
      <c r="T899" s="86">
        <v>0</v>
      </c>
      <c r="U899" s="84">
        <v>0</v>
      </c>
      <c r="V899" s="84">
        <v>23.093</v>
      </c>
      <c r="W899" s="84">
        <v>11.5465</v>
      </c>
      <c r="X899" s="82">
        <v>0.35</v>
      </c>
      <c r="Y899" s="82"/>
      <c r="Z899" s="84">
        <v>11.5465</v>
      </c>
      <c r="AA899" s="84">
        <v>23.093</v>
      </c>
      <c r="AB899" s="88" t="e">
        <v>#DIV/0!</v>
      </c>
      <c r="AC899" t="s">
        <v>4284</v>
      </c>
    </row>
    <row r="900" spans="3:29">
      <c r="C900" t="s">
        <v>4290</v>
      </c>
      <c r="D900" t="s">
        <v>4282</v>
      </c>
      <c r="E900" s="84">
        <v>36.99</v>
      </c>
      <c r="F900" s="84">
        <v>18.495000000000001</v>
      </c>
      <c r="G900" t="s">
        <v>3901</v>
      </c>
      <c r="H900" t="s">
        <v>4270</v>
      </c>
      <c r="I900" t="s">
        <v>394</v>
      </c>
      <c r="J900" t="s">
        <v>4168</v>
      </c>
      <c r="K900" t="s">
        <v>4286</v>
      </c>
      <c r="L900" t="s">
        <v>670</v>
      </c>
      <c r="N900">
        <v>8</v>
      </c>
      <c r="O900">
        <v>8</v>
      </c>
      <c r="P900">
        <v>5.1199999999999998E-4</v>
      </c>
      <c r="Q900" s="84" t="e">
        <v>#REF!</v>
      </c>
      <c r="R900" s="85"/>
      <c r="S900" s="85"/>
      <c r="T900" s="86">
        <v>0</v>
      </c>
      <c r="U900" s="84">
        <v>0</v>
      </c>
      <c r="V900" s="84">
        <v>25.893000000000001</v>
      </c>
      <c r="W900" s="84">
        <v>12.9465</v>
      </c>
      <c r="X900" s="82">
        <v>0.35</v>
      </c>
      <c r="Y900" s="82"/>
      <c r="Z900" s="84">
        <v>12.9465</v>
      </c>
      <c r="AA900" s="84">
        <v>25.893000000000001</v>
      </c>
      <c r="AB900" s="88" t="e">
        <v>#DIV/0!</v>
      </c>
      <c r="AC900" t="s">
        <v>4284</v>
      </c>
    </row>
    <row r="901" spans="3:29">
      <c r="C901" t="s">
        <v>4291</v>
      </c>
      <c r="D901" t="s">
        <v>4282</v>
      </c>
      <c r="E901" s="84">
        <v>31.99</v>
      </c>
      <c r="F901" s="84">
        <v>15.994999999999999</v>
      </c>
      <c r="G901" t="s">
        <v>3901</v>
      </c>
      <c r="H901" t="s">
        <v>4272</v>
      </c>
      <c r="I901" t="s">
        <v>394</v>
      </c>
      <c r="J901" t="s">
        <v>4171</v>
      </c>
      <c r="K901" t="s">
        <v>4286</v>
      </c>
      <c r="L901" t="s">
        <v>670</v>
      </c>
      <c r="N901">
        <v>6.5</v>
      </c>
      <c r="O901">
        <v>10</v>
      </c>
      <c r="P901">
        <v>4.2250000000000002E-4</v>
      </c>
      <c r="Q901" s="84" t="e">
        <v>#REF!</v>
      </c>
      <c r="R901" s="85"/>
      <c r="S901" s="85"/>
      <c r="T901" s="86">
        <v>0</v>
      </c>
      <c r="U901" s="84">
        <v>0</v>
      </c>
      <c r="V901" s="84">
        <v>22.393000000000001</v>
      </c>
      <c r="W901" s="84">
        <v>11.1965</v>
      </c>
      <c r="X901" s="82">
        <v>0.35</v>
      </c>
      <c r="Y901" s="82"/>
      <c r="Z901" s="84">
        <v>11.1965</v>
      </c>
      <c r="AA901" s="84">
        <v>22.393000000000001</v>
      </c>
      <c r="AB901" s="88" t="e">
        <v>#DIV/0!</v>
      </c>
      <c r="AC901" t="s">
        <v>4292</v>
      </c>
    </row>
    <row r="902" spans="3:29">
      <c r="C902" t="s">
        <v>4293</v>
      </c>
      <c r="D902" t="s">
        <v>4282</v>
      </c>
      <c r="E902" s="84">
        <v>38.99</v>
      </c>
      <c r="F902" s="84">
        <v>19.495000000000001</v>
      </c>
      <c r="G902" t="s">
        <v>3901</v>
      </c>
      <c r="H902" t="s">
        <v>4274</v>
      </c>
      <c r="I902" t="s">
        <v>394</v>
      </c>
      <c r="J902" t="s">
        <v>4175</v>
      </c>
      <c r="K902" t="s">
        <v>4286</v>
      </c>
      <c r="L902" t="s">
        <v>670</v>
      </c>
      <c r="N902">
        <v>8</v>
      </c>
      <c r="O902">
        <v>12</v>
      </c>
      <c r="P902">
        <v>7.6800000000000002E-4</v>
      </c>
      <c r="Q902" s="84" t="e">
        <v>#REF!</v>
      </c>
      <c r="R902" s="85"/>
      <c r="S902" s="85"/>
      <c r="T902" s="86">
        <v>0</v>
      </c>
      <c r="U902" s="84">
        <v>0</v>
      </c>
      <c r="V902" s="84">
        <v>27.292999999999999</v>
      </c>
      <c r="W902" s="84">
        <v>13.6465</v>
      </c>
      <c r="X902" s="82">
        <v>0.35</v>
      </c>
      <c r="Y902" s="82"/>
      <c r="Z902" s="84">
        <v>13.6465</v>
      </c>
      <c r="AA902" s="84">
        <v>27.292999999999999</v>
      </c>
      <c r="AB902" s="88" t="e">
        <v>#DIV/0!</v>
      </c>
      <c r="AC902" t="s">
        <v>4294</v>
      </c>
    </row>
    <row r="903" spans="3:29">
      <c r="C903" t="s">
        <v>4295</v>
      </c>
      <c r="D903" t="s">
        <v>4282</v>
      </c>
      <c r="E903" s="84">
        <v>46.99</v>
      </c>
      <c r="F903" s="84">
        <v>23.495000000000001</v>
      </c>
      <c r="G903" t="s">
        <v>3901</v>
      </c>
      <c r="H903" t="s">
        <v>4277</v>
      </c>
      <c r="I903" t="s">
        <v>394</v>
      </c>
      <c r="J903" t="s">
        <v>4178</v>
      </c>
      <c r="K903" t="s">
        <v>4286</v>
      </c>
      <c r="L903" t="s">
        <v>670</v>
      </c>
      <c r="N903">
        <v>7</v>
      </c>
      <c r="O903">
        <v>13</v>
      </c>
      <c r="P903">
        <v>6.3699999999999998E-4</v>
      </c>
      <c r="Q903" s="84" t="e">
        <v>#REF!</v>
      </c>
      <c r="R903" s="85"/>
      <c r="S903" s="85"/>
      <c r="T903" s="86">
        <v>0</v>
      </c>
      <c r="U903" s="84">
        <v>0</v>
      </c>
      <c r="V903" s="84">
        <v>32.893000000000001</v>
      </c>
      <c r="W903" s="84">
        <v>16.4465</v>
      </c>
      <c r="X903" s="82">
        <v>0.35</v>
      </c>
      <c r="Y903" s="82"/>
      <c r="Z903" s="84">
        <v>16.4465</v>
      </c>
      <c r="AA903" s="84">
        <v>32.893000000000001</v>
      </c>
      <c r="AB903" s="88" t="e">
        <v>#DIV/0!</v>
      </c>
      <c r="AC903" t="s">
        <v>4292</v>
      </c>
    </row>
    <row r="904" spans="3:29">
      <c r="C904" t="s">
        <v>4296</v>
      </c>
      <c r="D904" t="s">
        <v>4282</v>
      </c>
      <c r="E904" s="84">
        <v>42.99</v>
      </c>
      <c r="F904" s="84">
        <v>21.495000000000001</v>
      </c>
      <c r="G904" t="s">
        <v>3901</v>
      </c>
      <c r="H904" t="s">
        <v>4279</v>
      </c>
      <c r="I904" t="s">
        <v>394</v>
      </c>
      <c r="J904" t="s">
        <v>4181</v>
      </c>
      <c r="K904" t="s">
        <v>4286</v>
      </c>
      <c r="L904" t="s">
        <v>670</v>
      </c>
      <c r="N904">
        <v>8</v>
      </c>
      <c r="O904">
        <v>16</v>
      </c>
      <c r="P904">
        <v>1.024E-3</v>
      </c>
      <c r="Q904" s="84" t="e">
        <v>#REF!</v>
      </c>
      <c r="R904" s="85"/>
      <c r="S904" s="85"/>
      <c r="T904" s="86">
        <v>0</v>
      </c>
      <c r="U904" s="84">
        <v>0</v>
      </c>
      <c r="V904" s="84">
        <v>30.093</v>
      </c>
      <c r="W904" s="84">
        <v>15.0465</v>
      </c>
      <c r="X904" s="82">
        <v>0.35</v>
      </c>
      <c r="Y904" s="82"/>
      <c r="Z904" s="84">
        <v>15.0465</v>
      </c>
      <c r="AA904" s="84">
        <v>30.093</v>
      </c>
      <c r="AB904" s="88" t="e">
        <v>#DIV/0!</v>
      </c>
      <c r="AC904" t="s">
        <v>4284</v>
      </c>
    </row>
    <row r="905" spans="3:29" ht="60.75">
      <c r="C905" t="s">
        <v>4297</v>
      </c>
      <c r="D905" t="s">
        <v>4298</v>
      </c>
      <c r="E905" s="84"/>
      <c r="F905" s="84">
        <v>0</v>
      </c>
      <c r="G905" t="s">
        <v>3901</v>
      </c>
      <c r="H905" t="s">
        <v>4257</v>
      </c>
      <c r="I905" t="s">
        <v>391</v>
      </c>
      <c r="J905" t="s">
        <v>4152</v>
      </c>
      <c r="K905" s="83" t="s">
        <v>4299</v>
      </c>
      <c r="L905" t="s">
        <v>670</v>
      </c>
      <c r="N905">
        <v>5</v>
      </c>
      <c r="O905">
        <v>55</v>
      </c>
      <c r="P905">
        <v>1.3749999999999999E-3</v>
      </c>
      <c r="Q905" s="84" t="e">
        <v>#REF!</v>
      </c>
      <c r="R905" s="85"/>
      <c r="S905" s="85"/>
      <c r="T905" s="86">
        <v>0</v>
      </c>
      <c r="U905" s="84">
        <v>0</v>
      </c>
      <c r="V905" s="84">
        <v>0</v>
      </c>
      <c r="W905" s="84">
        <v>0</v>
      </c>
      <c r="X905" s="82" t="e">
        <v>#DIV/0!</v>
      </c>
      <c r="Y905" s="82"/>
      <c r="Z905" s="84">
        <v>0</v>
      </c>
      <c r="AA905" s="84">
        <v>0</v>
      </c>
      <c r="AB905" s="88" t="e">
        <v>#DIV/0!</v>
      </c>
      <c r="AC905" t="s">
        <v>4300</v>
      </c>
    </row>
    <row r="906" spans="3:29">
      <c r="C906" t="s">
        <v>4301</v>
      </c>
      <c r="D906" t="s">
        <v>4298</v>
      </c>
      <c r="E906" s="84">
        <v>26.99</v>
      </c>
      <c r="F906" s="84">
        <v>13.494999999999999</v>
      </c>
      <c r="G906" t="s">
        <v>3901</v>
      </c>
      <c r="H906" t="s">
        <v>4261</v>
      </c>
      <c r="I906" t="s">
        <v>391</v>
      </c>
      <c r="J906" t="s">
        <v>4157</v>
      </c>
      <c r="K906" t="s">
        <v>4302</v>
      </c>
      <c r="L906" t="s">
        <v>670</v>
      </c>
      <c r="N906">
        <v>6</v>
      </c>
      <c r="O906">
        <v>6</v>
      </c>
      <c r="P906">
        <v>2.1599999999999999E-4</v>
      </c>
      <c r="Q906" s="84" t="e">
        <v>#REF!</v>
      </c>
      <c r="R906" s="85"/>
      <c r="S906" s="85"/>
      <c r="T906" s="86">
        <v>0</v>
      </c>
      <c r="U906" s="84">
        <v>0</v>
      </c>
      <c r="V906" s="84">
        <v>18.893000000000001</v>
      </c>
      <c r="W906" s="84">
        <v>9.4465000000000003</v>
      </c>
      <c r="X906" s="82">
        <v>0.35</v>
      </c>
      <c r="Y906" s="82"/>
      <c r="Z906" s="84">
        <v>9.4465000000000003</v>
      </c>
      <c r="AA906" s="84">
        <v>18.893000000000001</v>
      </c>
      <c r="AB906" s="88" t="e">
        <v>#DIV/0!</v>
      </c>
      <c r="AC906" t="s">
        <v>4300</v>
      </c>
    </row>
    <row r="907" spans="3:29">
      <c r="C907" t="s">
        <v>4303</v>
      </c>
      <c r="D907" t="s">
        <v>4298</v>
      </c>
      <c r="E907" s="84">
        <v>32.99</v>
      </c>
      <c r="F907" s="84">
        <v>16.495000000000001</v>
      </c>
      <c r="G907" t="s">
        <v>3901</v>
      </c>
      <c r="H907" t="s">
        <v>4264</v>
      </c>
      <c r="I907" t="s">
        <v>391</v>
      </c>
      <c r="J907" t="s">
        <v>4160</v>
      </c>
      <c r="K907" t="s">
        <v>4302</v>
      </c>
      <c r="L907" t="s">
        <v>670</v>
      </c>
      <c r="N907">
        <v>8</v>
      </c>
      <c r="O907">
        <v>6</v>
      </c>
      <c r="P907">
        <v>3.8400000000000001E-4</v>
      </c>
      <c r="Q907" s="84" t="e">
        <v>#REF!</v>
      </c>
      <c r="R907" s="85"/>
      <c r="S907" s="85"/>
      <c r="T907" s="86">
        <v>0</v>
      </c>
      <c r="U907" s="84">
        <v>0</v>
      </c>
      <c r="V907" s="84">
        <v>23.093</v>
      </c>
      <c r="W907" s="84">
        <v>11.5465</v>
      </c>
      <c r="X907" s="82">
        <v>0.35</v>
      </c>
      <c r="Y907" s="82"/>
      <c r="Z907" s="84">
        <v>11.5465</v>
      </c>
      <c r="AA907" s="84">
        <v>23.093</v>
      </c>
      <c r="AB907" s="88" t="e">
        <v>#DIV/0!</v>
      </c>
      <c r="AC907" t="s">
        <v>4304</v>
      </c>
    </row>
    <row r="908" spans="3:29">
      <c r="C908" t="s">
        <v>4305</v>
      </c>
      <c r="D908" t="s">
        <v>4298</v>
      </c>
      <c r="E908" s="84">
        <v>30.99</v>
      </c>
      <c r="F908" s="84">
        <v>15.494999999999999</v>
      </c>
      <c r="G908" t="s">
        <v>3901</v>
      </c>
      <c r="H908" t="s">
        <v>4267</v>
      </c>
      <c r="I908" t="s">
        <v>391</v>
      </c>
      <c r="J908" t="s">
        <v>4164</v>
      </c>
      <c r="K908" t="s">
        <v>4302</v>
      </c>
      <c r="L908" t="s">
        <v>670</v>
      </c>
      <c r="N908">
        <v>6.5</v>
      </c>
      <c r="O908">
        <v>7</v>
      </c>
      <c r="P908">
        <v>2.9575000000000001E-4</v>
      </c>
      <c r="Q908" s="84" t="e">
        <v>#REF!</v>
      </c>
      <c r="R908" s="85"/>
      <c r="S908" s="85"/>
      <c r="T908" s="86">
        <v>0</v>
      </c>
      <c r="U908" s="84">
        <v>0</v>
      </c>
      <c r="V908" s="84">
        <v>21.693000000000001</v>
      </c>
      <c r="W908" s="84">
        <v>10.846500000000001</v>
      </c>
      <c r="X908" s="82">
        <v>0.35</v>
      </c>
      <c r="Y908" s="82"/>
      <c r="Z908" s="84">
        <v>10.846500000000001</v>
      </c>
      <c r="AA908" s="84">
        <v>21.693000000000001</v>
      </c>
      <c r="AB908" s="88" t="e">
        <v>#DIV/0!</v>
      </c>
      <c r="AC908" t="s">
        <v>4306</v>
      </c>
    </row>
    <row r="909" spans="3:29">
      <c r="C909" t="s">
        <v>4307</v>
      </c>
      <c r="D909" t="s">
        <v>4298</v>
      </c>
      <c r="E909" s="84">
        <v>33.99</v>
      </c>
      <c r="F909" s="84">
        <v>16.995000000000001</v>
      </c>
      <c r="G909" t="s">
        <v>3901</v>
      </c>
      <c r="H909" t="s">
        <v>4270</v>
      </c>
      <c r="I909" t="s">
        <v>391</v>
      </c>
      <c r="J909" t="s">
        <v>4168</v>
      </c>
      <c r="K909" t="s">
        <v>4302</v>
      </c>
      <c r="L909" t="s">
        <v>670</v>
      </c>
      <c r="N909">
        <v>8</v>
      </c>
      <c r="O909">
        <v>8</v>
      </c>
      <c r="P909">
        <v>5.1199999999999998E-4</v>
      </c>
      <c r="Q909" s="84" t="e">
        <v>#REF!</v>
      </c>
      <c r="R909" s="85"/>
      <c r="S909" s="85"/>
      <c r="T909" s="86">
        <v>0</v>
      </c>
      <c r="U909" s="84">
        <v>0</v>
      </c>
      <c r="V909" s="84">
        <v>23.792999999999999</v>
      </c>
      <c r="W909" s="84">
        <v>11.8965</v>
      </c>
      <c r="X909" s="82">
        <v>0.35</v>
      </c>
      <c r="Y909" s="82"/>
      <c r="Z909" s="84">
        <v>11.8965</v>
      </c>
      <c r="AA909" s="84">
        <v>23.792999999999999</v>
      </c>
      <c r="AB909" s="88" t="e">
        <v>#DIV/0!</v>
      </c>
      <c r="AC909" t="s">
        <v>4308</v>
      </c>
    </row>
    <row r="910" spans="3:29">
      <c r="C910" t="s">
        <v>4309</v>
      </c>
      <c r="D910" t="s">
        <v>4298</v>
      </c>
      <c r="E910" s="84">
        <v>30.99</v>
      </c>
      <c r="F910" s="84">
        <v>15.494999999999999</v>
      </c>
      <c r="G910" t="s">
        <v>3901</v>
      </c>
      <c r="H910" t="s">
        <v>4272</v>
      </c>
      <c r="I910" t="s">
        <v>391</v>
      </c>
      <c r="J910" t="s">
        <v>4171</v>
      </c>
      <c r="K910" t="s">
        <v>4302</v>
      </c>
      <c r="L910" t="s">
        <v>670</v>
      </c>
      <c r="N910">
        <v>6.5</v>
      </c>
      <c r="O910">
        <v>10</v>
      </c>
      <c r="P910">
        <v>4.2250000000000002E-4</v>
      </c>
      <c r="Q910" s="84" t="e">
        <v>#REF!</v>
      </c>
      <c r="R910" s="85"/>
      <c r="S910" s="85"/>
      <c r="T910" s="86">
        <v>0</v>
      </c>
      <c r="U910" s="84">
        <v>0</v>
      </c>
      <c r="V910" s="84">
        <v>21.693000000000001</v>
      </c>
      <c r="W910" s="84">
        <v>10.846500000000001</v>
      </c>
      <c r="X910" s="82">
        <v>0.35</v>
      </c>
      <c r="Y910" s="82"/>
      <c r="Z910" s="84">
        <v>10.846500000000001</v>
      </c>
      <c r="AA910" s="84">
        <v>21.693000000000001</v>
      </c>
      <c r="AB910" s="88" t="e">
        <v>#DIV/0!</v>
      </c>
      <c r="AC910" t="s">
        <v>4304</v>
      </c>
    </row>
    <row r="911" spans="3:29">
      <c r="C911" t="s">
        <v>4310</v>
      </c>
      <c r="D911" t="s">
        <v>4298</v>
      </c>
      <c r="E911" s="84">
        <v>35.99</v>
      </c>
      <c r="F911" s="84">
        <v>17.995000000000001</v>
      </c>
      <c r="G911" t="s">
        <v>3901</v>
      </c>
      <c r="H911" t="s">
        <v>4274</v>
      </c>
      <c r="I911" t="s">
        <v>391</v>
      </c>
      <c r="J911" t="s">
        <v>4175</v>
      </c>
      <c r="K911" t="s">
        <v>4302</v>
      </c>
      <c r="L911" t="s">
        <v>670</v>
      </c>
      <c r="N911">
        <v>8</v>
      </c>
      <c r="O911">
        <v>12</v>
      </c>
      <c r="P911">
        <v>7.6800000000000002E-4</v>
      </c>
      <c r="Q911" s="84" t="e">
        <v>#REF!</v>
      </c>
      <c r="R911" s="85"/>
      <c r="S911" s="85"/>
      <c r="T911" s="86">
        <v>0</v>
      </c>
      <c r="U911" s="84">
        <v>0</v>
      </c>
      <c r="V911" s="84">
        <v>25.193000000000001</v>
      </c>
      <c r="W911" s="84">
        <v>12.596500000000001</v>
      </c>
      <c r="X911" s="82">
        <v>0.35</v>
      </c>
      <c r="Y911" s="82"/>
      <c r="Z911" s="84">
        <v>12.596500000000001</v>
      </c>
      <c r="AA911" s="84">
        <v>25.193000000000001</v>
      </c>
      <c r="AB911" s="88" t="e">
        <v>#DIV/0!</v>
      </c>
      <c r="AC911" t="s">
        <v>4308</v>
      </c>
    </row>
    <row r="912" spans="3:29">
      <c r="C912" t="s">
        <v>4311</v>
      </c>
      <c r="D912" t="s">
        <v>4298</v>
      </c>
      <c r="E912" s="84">
        <v>42.99</v>
      </c>
      <c r="F912" s="84">
        <v>21.495000000000001</v>
      </c>
      <c r="G912" t="s">
        <v>3901</v>
      </c>
      <c r="H912" t="s">
        <v>4277</v>
      </c>
      <c r="I912" t="s">
        <v>391</v>
      </c>
      <c r="J912" t="s">
        <v>4178</v>
      </c>
      <c r="K912" t="s">
        <v>4302</v>
      </c>
      <c r="L912" t="s">
        <v>670</v>
      </c>
      <c r="N912">
        <v>7</v>
      </c>
      <c r="O912">
        <v>13</v>
      </c>
      <c r="P912">
        <v>6.3699999999999998E-4</v>
      </c>
      <c r="Q912" s="84" t="e">
        <v>#REF!</v>
      </c>
      <c r="R912" s="85"/>
      <c r="S912" s="85"/>
      <c r="T912" s="86">
        <v>0</v>
      </c>
      <c r="U912" s="84">
        <v>0</v>
      </c>
      <c r="V912" s="84">
        <v>30.093</v>
      </c>
      <c r="W912" s="84">
        <v>15.0465</v>
      </c>
      <c r="X912" s="82">
        <v>0.35</v>
      </c>
      <c r="Y912" s="82"/>
      <c r="Z912" s="84">
        <v>15.0465</v>
      </c>
      <c r="AA912" s="84">
        <v>30.093</v>
      </c>
      <c r="AB912" s="88" t="e">
        <v>#DIV/0!</v>
      </c>
      <c r="AC912" t="s">
        <v>4308</v>
      </c>
    </row>
    <row r="913" spans="3:29">
      <c r="C913" t="s">
        <v>4312</v>
      </c>
      <c r="D913" t="s">
        <v>4298</v>
      </c>
      <c r="E913" s="84">
        <v>38.99</v>
      </c>
      <c r="F913" s="84">
        <v>19.495000000000001</v>
      </c>
      <c r="G913" t="s">
        <v>3901</v>
      </c>
      <c r="H913" t="s">
        <v>4279</v>
      </c>
      <c r="I913" t="s">
        <v>391</v>
      </c>
      <c r="J913" t="s">
        <v>4181</v>
      </c>
      <c r="K913" t="s">
        <v>4302</v>
      </c>
      <c r="L913" t="s">
        <v>670</v>
      </c>
      <c r="N913">
        <v>8</v>
      </c>
      <c r="O913">
        <v>16</v>
      </c>
      <c r="P913">
        <v>1.024E-3</v>
      </c>
      <c r="Q913" s="84" t="e">
        <v>#REF!</v>
      </c>
      <c r="R913" s="85"/>
      <c r="S913" s="85"/>
      <c r="T913" s="86">
        <v>0</v>
      </c>
      <c r="U913" s="84">
        <v>0</v>
      </c>
      <c r="V913" s="84">
        <v>27.292999999999999</v>
      </c>
      <c r="W913" s="84">
        <v>13.6465</v>
      </c>
      <c r="X913" s="82">
        <v>0.35</v>
      </c>
      <c r="Y913" s="82"/>
      <c r="Z913" s="84">
        <v>13.6465</v>
      </c>
      <c r="AA913" s="84">
        <v>27.292999999999999</v>
      </c>
      <c r="AB913" s="88" t="e">
        <v>#DIV/0!</v>
      </c>
      <c r="AC913" t="s">
        <v>4300</v>
      </c>
    </row>
    <row r="914" spans="3:29">
      <c r="C914" t="s">
        <v>4313</v>
      </c>
      <c r="D914" t="s">
        <v>4314</v>
      </c>
      <c r="E914" s="84">
        <v>11.99</v>
      </c>
      <c r="F914" s="84">
        <v>5.9950000000000001</v>
      </c>
      <c r="G914" t="s">
        <v>3901</v>
      </c>
      <c r="H914" t="s">
        <v>4315</v>
      </c>
      <c r="I914" t="s">
        <v>402</v>
      </c>
      <c r="J914" t="s">
        <v>4316</v>
      </c>
      <c r="K914" t="s">
        <v>4317</v>
      </c>
      <c r="L914" t="s">
        <v>670</v>
      </c>
      <c r="N914">
        <v>6</v>
      </c>
      <c r="O914">
        <v>6</v>
      </c>
      <c r="P914">
        <v>2.1599999999999999E-4</v>
      </c>
      <c r="Q914" s="84" t="e">
        <v>#REF!</v>
      </c>
      <c r="R914" s="85"/>
      <c r="S914" s="85"/>
      <c r="T914" s="86">
        <v>0</v>
      </c>
      <c r="U914" s="84">
        <v>0</v>
      </c>
      <c r="V914" s="84">
        <v>8.3930000000000007</v>
      </c>
      <c r="W914" s="84">
        <v>4.1965000000000003</v>
      </c>
      <c r="X914" s="82">
        <v>0.35</v>
      </c>
      <c r="Y914" s="82"/>
      <c r="Z914" s="84">
        <v>4.1965000000000003</v>
      </c>
      <c r="AA914" s="84">
        <v>8.3930000000000007</v>
      </c>
      <c r="AB914" s="88" t="e">
        <v>#DIV/0!</v>
      </c>
      <c r="AC914" t="s">
        <v>4318</v>
      </c>
    </row>
    <row r="915" spans="3:29">
      <c r="C915" t="s">
        <v>4320</v>
      </c>
      <c r="D915" t="s">
        <v>4314</v>
      </c>
      <c r="E915" s="84">
        <v>11.99</v>
      </c>
      <c r="F915" s="84">
        <v>5.9950000000000001</v>
      </c>
      <c r="G915" t="s">
        <v>3901</v>
      </c>
      <c r="H915" t="s">
        <v>4321</v>
      </c>
      <c r="I915" t="s">
        <v>402</v>
      </c>
      <c r="J915" t="s">
        <v>4322</v>
      </c>
      <c r="K915" t="s">
        <v>4317</v>
      </c>
      <c r="L915" t="s">
        <v>670</v>
      </c>
      <c r="N915">
        <v>8</v>
      </c>
      <c r="O915">
        <v>6</v>
      </c>
      <c r="P915">
        <v>3.8400000000000001E-4</v>
      </c>
      <c r="Q915" s="84" t="e">
        <v>#REF!</v>
      </c>
      <c r="R915" s="85">
        <v>92.701319642001195</v>
      </c>
      <c r="S915" s="85">
        <v>104500</v>
      </c>
      <c r="T915" s="86">
        <v>104592.701319642</v>
      </c>
      <c r="U915" s="84">
        <v>6.9728467546428003</v>
      </c>
      <c r="V915" s="84">
        <v>8.3930000000000007</v>
      </c>
      <c r="W915" s="84">
        <v>4.1965000000000003</v>
      </c>
      <c r="X915" s="82">
        <v>0.35</v>
      </c>
      <c r="Y915" s="87">
        <v>13.945693509285601</v>
      </c>
      <c r="Z915" s="84">
        <v>13.945693509285601</v>
      </c>
      <c r="AA915" s="84">
        <v>27.891387018571201</v>
      </c>
      <c r="AB915" s="88">
        <v>2</v>
      </c>
      <c r="AC915" t="s">
        <v>4323</v>
      </c>
    </row>
    <row r="916" spans="3:29">
      <c r="C916" t="s">
        <v>4324</v>
      </c>
      <c r="D916" t="s">
        <v>4314</v>
      </c>
      <c r="E916" s="84">
        <v>11.99</v>
      </c>
      <c r="F916" s="84">
        <v>5.9950000000000001</v>
      </c>
      <c r="G916" t="s">
        <v>3901</v>
      </c>
      <c r="H916" t="s">
        <v>4325</v>
      </c>
      <c r="I916" t="s">
        <v>402</v>
      </c>
      <c r="J916" t="s">
        <v>4326</v>
      </c>
      <c r="K916" t="s">
        <v>4317</v>
      </c>
      <c r="L916" t="s">
        <v>670</v>
      </c>
      <c r="N916">
        <v>9</v>
      </c>
      <c r="O916">
        <v>8</v>
      </c>
      <c r="P916">
        <v>6.4800000000000003E-4</v>
      </c>
      <c r="Q916" s="84" t="e">
        <v>#REF!</v>
      </c>
      <c r="R916" s="85">
        <v>156.43347689599599</v>
      </c>
      <c r="S916" s="85">
        <v>132000</v>
      </c>
      <c r="T916" s="86">
        <v>132156.433476896</v>
      </c>
      <c r="U916" s="84">
        <v>8.8104288984597297</v>
      </c>
      <c r="V916" s="84">
        <v>8.3930000000000007</v>
      </c>
      <c r="W916" s="84">
        <v>4.1965000000000003</v>
      </c>
      <c r="X916" s="82">
        <v>0.35</v>
      </c>
      <c r="Y916" s="87">
        <v>17.620857796919498</v>
      </c>
      <c r="Z916" s="84">
        <v>17.620857796919498</v>
      </c>
      <c r="AA916" s="84">
        <v>35.241715593838897</v>
      </c>
      <c r="AB916" s="88">
        <v>2</v>
      </c>
      <c r="AC916" t="s">
        <v>4318</v>
      </c>
    </row>
    <row r="917" spans="3:29">
      <c r="C917" t="s">
        <v>4327</v>
      </c>
      <c r="D917" t="s">
        <v>4314</v>
      </c>
      <c r="E917" s="84">
        <v>12.99</v>
      </c>
      <c r="F917" s="84">
        <v>6.4950000000000001</v>
      </c>
      <c r="G917" t="s">
        <v>3901</v>
      </c>
      <c r="H917" t="s">
        <v>4328</v>
      </c>
      <c r="I917" t="s">
        <v>402</v>
      </c>
      <c r="J917" t="s">
        <v>4329</v>
      </c>
      <c r="K917" t="s">
        <v>4317</v>
      </c>
      <c r="L917" t="s">
        <v>670</v>
      </c>
      <c r="N917">
        <v>8</v>
      </c>
      <c r="O917">
        <v>12</v>
      </c>
      <c r="P917">
        <v>7.6800000000000002E-4</v>
      </c>
      <c r="Q917" s="84" t="e">
        <v>#REF!</v>
      </c>
      <c r="R917" s="85">
        <v>209.302198254009</v>
      </c>
      <c r="S917" s="85">
        <v>154000</v>
      </c>
      <c r="T917" s="86">
        <v>154209.30219825401</v>
      </c>
      <c r="U917" s="84">
        <v>10.2806201465503</v>
      </c>
      <c r="V917" s="84">
        <v>9.093</v>
      </c>
      <c r="W917" s="84">
        <v>4.5465</v>
      </c>
      <c r="X917" s="82">
        <v>0.35</v>
      </c>
      <c r="Y917" s="87">
        <v>20.5612402931005</v>
      </c>
      <c r="Z917" s="84">
        <v>20.5612402931005</v>
      </c>
      <c r="AA917" s="84">
        <v>41.1224805862011</v>
      </c>
      <c r="AB917" s="88">
        <v>2</v>
      </c>
      <c r="AC917" t="s">
        <v>4330</v>
      </c>
    </row>
    <row r="918" spans="3:29">
      <c r="C918" t="s">
        <v>4331</v>
      </c>
      <c r="D918" t="s">
        <v>4332</v>
      </c>
      <c r="E918" s="84">
        <v>13.99</v>
      </c>
      <c r="F918" s="84">
        <v>6.9950000000000001</v>
      </c>
      <c r="G918" t="s">
        <v>3901</v>
      </c>
      <c r="H918" t="s">
        <v>4333</v>
      </c>
      <c r="I918" t="s">
        <v>363</v>
      </c>
      <c r="J918" t="s">
        <v>4316</v>
      </c>
      <c r="K918" t="s">
        <v>4334</v>
      </c>
      <c r="L918" t="s">
        <v>670</v>
      </c>
      <c r="N918">
        <v>6</v>
      </c>
      <c r="O918">
        <v>6</v>
      </c>
      <c r="P918">
        <v>2.1599999999999999E-4</v>
      </c>
      <c r="Q918" s="84" t="e">
        <v>#REF!</v>
      </c>
      <c r="R918" s="85">
        <v>326.38589623899298</v>
      </c>
      <c r="S918" s="85">
        <v>165000</v>
      </c>
      <c r="T918" s="86">
        <v>165326.38589623899</v>
      </c>
      <c r="U918" s="84">
        <v>11.0217590597493</v>
      </c>
      <c r="V918" s="84">
        <v>9.7929999999999993</v>
      </c>
      <c r="W918" s="84">
        <v>4.8964999999999996</v>
      </c>
      <c r="X918" s="82">
        <v>0.35</v>
      </c>
      <c r="Y918" s="87">
        <v>22.043518119498501</v>
      </c>
      <c r="Z918" s="84">
        <v>22.043518119498501</v>
      </c>
      <c r="AA918" s="84">
        <v>44.087036238997101</v>
      </c>
      <c r="AB918" s="88">
        <v>2</v>
      </c>
      <c r="AC918" t="s">
        <v>4335</v>
      </c>
    </row>
    <row r="919" spans="3:29">
      <c r="C919" t="s">
        <v>4336</v>
      </c>
      <c r="D919" t="s">
        <v>4332</v>
      </c>
      <c r="E919" s="84">
        <v>13.99</v>
      </c>
      <c r="F919" s="84">
        <v>6.9950000000000001</v>
      </c>
      <c r="G919" t="s">
        <v>3901</v>
      </c>
      <c r="H919" t="s">
        <v>4337</v>
      </c>
      <c r="I919" t="s">
        <v>363</v>
      </c>
      <c r="J919" t="s">
        <v>4322</v>
      </c>
      <c r="K919" t="s">
        <v>4334</v>
      </c>
      <c r="L919" t="s">
        <v>670</v>
      </c>
      <c r="N919">
        <v>8</v>
      </c>
      <c r="O919">
        <v>6</v>
      </c>
      <c r="P919">
        <v>3.8400000000000001E-4</v>
      </c>
      <c r="Q919" s="84" t="e">
        <v>#REF!</v>
      </c>
      <c r="R919" s="85">
        <v>92.701319642001195</v>
      </c>
      <c r="S919" s="85">
        <v>114950</v>
      </c>
      <c r="T919" s="86">
        <v>115042.701319642</v>
      </c>
      <c r="U919" s="84">
        <v>7.6695134213094702</v>
      </c>
      <c r="V919" s="84">
        <v>9.7929999999999993</v>
      </c>
      <c r="W919" s="84">
        <v>4.8964999999999996</v>
      </c>
      <c r="X919" s="82">
        <v>0.35</v>
      </c>
      <c r="Y919" s="87">
        <v>15.3390268426189</v>
      </c>
      <c r="Z919" s="84">
        <v>15.3390268426189</v>
      </c>
      <c r="AA919" s="84">
        <v>30.678053685237899</v>
      </c>
      <c r="AB919" s="88">
        <v>2</v>
      </c>
      <c r="AC919" t="s">
        <v>4338</v>
      </c>
    </row>
    <row r="920" spans="3:29">
      <c r="C920" t="s">
        <v>4339</v>
      </c>
      <c r="D920" t="s">
        <v>4332</v>
      </c>
      <c r="E920" s="84">
        <v>13.99</v>
      </c>
      <c r="F920" s="84">
        <v>6.9950000000000001</v>
      </c>
      <c r="G920" t="s">
        <v>3901</v>
      </c>
      <c r="H920" t="s">
        <v>4340</v>
      </c>
      <c r="I920" t="s">
        <v>363</v>
      </c>
      <c r="J920" t="s">
        <v>4326</v>
      </c>
      <c r="K920" t="s">
        <v>4334</v>
      </c>
      <c r="L920" t="s">
        <v>670</v>
      </c>
      <c r="N920">
        <v>9</v>
      </c>
      <c r="O920">
        <v>8</v>
      </c>
      <c r="P920">
        <v>6.4800000000000003E-4</v>
      </c>
      <c r="Q920" s="84" t="e">
        <v>#REF!</v>
      </c>
      <c r="R920" s="85">
        <v>156.43347689599599</v>
      </c>
      <c r="S920" s="85">
        <v>145200</v>
      </c>
      <c r="T920" s="86">
        <v>145356.433476896</v>
      </c>
      <c r="U920" s="84">
        <v>9.6904288984597304</v>
      </c>
      <c r="V920" s="84">
        <v>9.7929999999999993</v>
      </c>
      <c r="W920" s="84">
        <v>4.8964999999999996</v>
      </c>
      <c r="X920" s="82">
        <v>0.35</v>
      </c>
      <c r="Y920" s="87">
        <v>19.3808577969195</v>
      </c>
      <c r="Z920" s="84">
        <v>19.3808577969195</v>
      </c>
      <c r="AA920" s="84">
        <v>38.7617155938389</v>
      </c>
      <c r="AB920" s="88">
        <v>2</v>
      </c>
      <c r="AC920" t="s">
        <v>4338</v>
      </c>
    </row>
    <row r="921" spans="3:29">
      <c r="C921" t="s">
        <v>4341</v>
      </c>
      <c r="D921" t="s">
        <v>4332</v>
      </c>
      <c r="E921" s="84">
        <v>13.99</v>
      </c>
      <c r="F921" s="84">
        <v>6.9950000000000001</v>
      </c>
      <c r="G921" t="s">
        <v>3901</v>
      </c>
      <c r="H921" t="s">
        <v>4342</v>
      </c>
      <c r="I921" t="s">
        <v>363</v>
      </c>
      <c r="J921" t="s">
        <v>4329</v>
      </c>
      <c r="K921" t="s">
        <v>4334</v>
      </c>
      <c r="L921" t="s">
        <v>670</v>
      </c>
      <c r="N921">
        <v>8</v>
      </c>
      <c r="O921">
        <v>12</v>
      </c>
      <c r="P921">
        <v>7.6800000000000002E-4</v>
      </c>
      <c r="Q921" s="84" t="e">
        <v>#REF!</v>
      </c>
      <c r="R921" s="85">
        <v>209.302198254009</v>
      </c>
      <c r="S921" s="85">
        <v>169400</v>
      </c>
      <c r="T921" s="86">
        <v>169609.30219825401</v>
      </c>
      <c r="U921" s="84">
        <v>11.3072868132169</v>
      </c>
      <c r="V921" s="84">
        <v>9.7929999999999993</v>
      </c>
      <c r="W921" s="84">
        <v>4.8964999999999996</v>
      </c>
      <c r="X921" s="82">
        <v>0.35</v>
      </c>
      <c r="Y921" s="87">
        <v>22.614573626433899</v>
      </c>
      <c r="Z921" s="84">
        <v>22.614573626433899</v>
      </c>
      <c r="AA921" s="84">
        <v>45.229147252867698</v>
      </c>
      <c r="AB921" s="88">
        <v>2</v>
      </c>
      <c r="AC921" t="s">
        <v>4343</v>
      </c>
    </row>
    <row r="922" spans="3:29">
      <c r="C922" t="s">
        <v>4344</v>
      </c>
      <c r="D922" t="s">
        <v>4345</v>
      </c>
      <c r="E922" s="84">
        <v>14.99</v>
      </c>
      <c r="F922" s="84">
        <v>7.4950000000000001</v>
      </c>
      <c r="G922" t="s">
        <v>3901</v>
      </c>
      <c r="H922" t="s">
        <v>4321</v>
      </c>
      <c r="I922" t="s">
        <v>413</v>
      </c>
      <c r="J922" t="s">
        <v>4346</v>
      </c>
      <c r="K922" t="s">
        <v>4347</v>
      </c>
      <c r="L922" t="s">
        <v>670</v>
      </c>
      <c r="N922">
        <v>8</v>
      </c>
      <c r="O922">
        <v>6</v>
      </c>
      <c r="P922">
        <v>3.8400000000000001E-4</v>
      </c>
      <c r="Q922" s="84" t="e">
        <v>#REF!</v>
      </c>
      <c r="R922" s="85">
        <v>326.38589623899298</v>
      </c>
      <c r="S922" s="85">
        <v>181500</v>
      </c>
      <c r="T922" s="86">
        <v>181826.38589623899</v>
      </c>
      <c r="U922" s="84">
        <v>12.1217590597493</v>
      </c>
      <c r="V922" s="84">
        <v>10.493</v>
      </c>
      <c r="W922" s="84">
        <v>5.2465000000000002</v>
      </c>
      <c r="X922" s="82">
        <v>0.35</v>
      </c>
      <c r="Y922" s="87">
        <v>24.2435181194985</v>
      </c>
      <c r="Z922" s="84">
        <v>24.2435181194985</v>
      </c>
      <c r="AA922" s="84">
        <v>48.487036238997099</v>
      </c>
      <c r="AB922" s="88">
        <v>2</v>
      </c>
      <c r="AC922" t="s">
        <v>4348</v>
      </c>
    </row>
    <row r="923" spans="3:29">
      <c r="C923" t="s">
        <v>4349</v>
      </c>
      <c r="D923" t="s">
        <v>4345</v>
      </c>
      <c r="E923" s="84">
        <v>15.99</v>
      </c>
      <c r="F923" s="84">
        <v>7.9950000000000001</v>
      </c>
      <c r="G923" t="s">
        <v>3901</v>
      </c>
      <c r="H923" t="s">
        <v>4325</v>
      </c>
      <c r="I923" t="s">
        <v>413</v>
      </c>
      <c r="J923" t="s">
        <v>4326</v>
      </c>
      <c r="K923" t="s">
        <v>4347</v>
      </c>
      <c r="L923" t="s">
        <v>670</v>
      </c>
      <c r="N923">
        <v>9</v>
      </c>
      <c r="O923">
        <v>8</v>
      </c>
      <c r="P923">
        <v>6.4800000000000003E-4</v>
      </c>
      <c r="Q923" s="84" t="e">
        <v>#REF!</v>
      </c>
      <c r="R923" s="85"/>
      <c r="S923" s="85"/>
      <c r="T923" s="86">
        <v>0</v>
      </c>
      <c r="U923" s="84">
        <v>0</v>
      </c>
      <c r="V923" s="84">
        <v>11.193</v>
      </c>
      <c r="W923" s="84">
        <v>5.5964999999999998</v>
      </c>
      <c r="X923" s="82">
        <v>0.35</v>
      </c>
      <c r="Y923" s="82"/>
      <c r="Z923" s="84">
        <v>5.5964999999999998</v>
      </c>
      <c r="AA923" s="84">
        <v>11.193</v>
      </c>
      <c r="AB923" s="88" t="e">
        <v>#DIV/0!</v>
      </c>
      <c r="AC923" t="s">
        <v>4348</v>
      </c>
    </row>
    <row r="924" spans="3:29">
      <c r="C924" t="s">
        <v>4350</v>
      </c>
      <c r="D924" t="s">
        <v>4345</v>
      </c>
      <c r="E924" s="84">
        <v>16.989999999999998</v>
      </c>
      <c r="F924" s="84">
        <v>8.4949999999999992</v>
      </c>
      <c r="G924" t="s">
        <v>3901</v>
      </c>
      <c r="H924" t="s">
        <v>4351</v>
      </c>
      <c r="I924" t="s">
        <v>413</v>
      </c>
      <c r="J924" t="s">
        <v>4352</v>
      </c>
      <c r="K924" t="s">
        <v>4347</v>
      </c>
      <c r="L924" t="s">
        <v>670</v>
      </c>
      <c r="N924">
        <v>8.5</v>
      </c>
      <c r="O924">
        <v>12</v>
      </c>
      <c r="P924">
        <v>8.6700000000000004E-4</v>
      </c>
      <c r="Q924" s="84" t="e">
        <v>#REF!</v>
      </c>
      <c r="R924" s="85"/>
      <c r="S924" s="85"/>
      <c r="T924" s="86">
        <v>0</v>
      </c>
      <c r="U924" s="84">
        <v>0</v>
      </c>
      <c r="V924" s="84">
        <v>11.893000000000001</v>
      </c>
      <c r="W924" s="84">
        <v>5.9465000000000003</v>
      </c>
      <c r="X924" s="82">
        <v>0.35</v>
      </c>
      <c r="Y924" s="82"/>
      <c r="Z924" s="84">
        <v>5.9465000000000003</v>
      </c>
      <c r="AA924" s="84">
        <v>11.893000000000001</v>
      </c>
      <c r="AB924" s="88" t="e">
        <v>#DIV/0!</v>
      </c>
      <c r="AC924" t="s">
        <v>4353</v>
      </c>
    </row>
    <row r="925" spans="3:29">
      <c r="C925" t="s">
        <v>4354</v>
      </c>
      <c r="D925" t="s">
        <v>4345</v>
      </c>
      <c r="E925" s="84">
        <v>18.989999999999998</v>
      </c>
      <c r="F925" s="84">
        <v>9.4949999999999992</v>
      </c>
      <c r="G925" t="s">
        <v>3901</v>
      </c>
      <c r="H925" t="s">
        <v>4355</v>
      </c>
      <c r="I925" t="s">
        <v>413</v>
      </c>
      <c r="J925" t="s">
        <v>4356</v>
      </c>
      <c r="K925" t="s">
        <v>4347</v>
      </c>
      <c r="L925" t="s">
        <v>670</v>
      </c>
      <c r="N925">
        <v>13</v>
      </c>
      <c r="O925">
        <v>8</v>
      </c>
      <c r="P925">
        <v>1.3519999999999999E-3</v>
      </c>
      <c r="Q925" s="84" t="e">
        <v>#REF!</v>
      </c>
      <c r="R925" s="85"/>
      <c r="S925" s="85"/>
      <c r="T925" s="86">
        <v>0</v>
      </c>
      <c r="U925" s="84">
        <v>0</v>
      </c>
      <c r="V925" s="84">
        <v>13.292999999999999</v>
      </c>
      <c r="W925" s="84">
        <v>6.6464999999999996</v>
      </c>
      <c r="X925" s="82">
        <v>0.35</v>
      </c>
      <c r="Y925" s="82"/>
      <c r="Z925" s="84">
        <v>6.6464999999999996</v>
      </c>
      <c r="AA925" s="84">
        <v>13.292999999999999</v>
      </c>
      <c r="AB925" s="88" t="e">
        <v>#DIV/0!</v>
      </c>
      <c r="AC925" t="s">
        <v>4348</v>
      </c>
    </row>
    <row r="926" spans="3:29">
      <c r="C926" t="s">
        <v>4357</v>
      </c>
      <c r="D926" t="s">
        <v>4358</v>
      </c>
      <c r="E926" s="84">
        <v>14.99</v>
      </c>
      <c r="F926" s="84">
        <v>7.4950000000000001</v>
      </c>
      <c r="G926" t="s">
        <v>3901</v>
      </c>
      <c r="H926" t="s">
        <v>4321</v>
      </c>
      <c r="I926" t="s">
        <v>409</v>
      </c>
      <c r="J926" t="s">
        <v>4346</v>
      </c>
      <c r="K926" t="s">
        <v>4347</v>
      </c>
      <c r="L926" t="s">
        <v>670</v>
      </c>
      <c r="N926">
        <v>8</v>
      </c>
      <c r="O926">
        <v>6</v>
      </c>
      <c r="P926">
        <v>3.8400000000000001E-4</v>
      </c>
      <c r="Q926" s="84" t="e">
        <v>#REF!</v>
      </c>
      <c r="R926" s="85"/>
      <c r="S926" s="85"/>
      <c r="T926" s="86">
        <v>0</v>
      </c>
      <c r="U926" s="84">
        <v>0</v>
      </c>
      <c r="V926" s="84">
        <v>10.493</v>
      </c>
      <c r="W926" s="84">
        <v>5.2465000000000002</v>
      </c>
      <c r="X926" s="82">
        <v>0.35</v>
      </c>
      <c r="Y926" s="82"/>
      <c r="Z926" s="84">
        <v>5.2465000000000002</v>
      </c>
      <c r="AA926" s="84">
        <v>10.493</v>
      </c>
      <c r="AB926" s="88" t="e">
        <v>#DIV/0!</v>
      </c>
      <c r="AC926" t="s">
        <v>4359</v>
      </c>
    </row>
    <row r="927" spans="3:29">
      <c r="C927" t="s">
        <v>4360</v>
      </c>
      <c r="D927" t="s">
        <v>4358</v>
      </c>
      <c r="E927" s="84">
        <v>15.99</v>
      </c>
      <c r="F927" s="84">
        <v>7.9950000000000001</v>
      </c>
      <c r="G927" t="s">
        <v>3901</v>
      </c>
      <c r="H927" t="s">
        <v>4325</v>
      </c>
      <c r="I927" t="s">
        <v>409</v>
      </c>
      <c r="J927" t="s">
        <v>4326</v>
      </c>
      <c r="K927" t="s">
        <v>4347</v>
      </c>
      <c r="L927" t="s">
        <v>670</v>
      </c>
      <c r="N927">
        <v>9</v>
      </c>
      <c r="O927">
        <v>8</v>
      </c>
      <c r="P927">
        <v>6.4800000000000003E-4</v>
      </c>
      <c r="Q927" s="84" t="e">
        <v>#REF!</v>
      </c>
      <c r="R927" s="85"/>
      <c r="S927" s="85"/>
      <c r="T927" s="86">
        <v>0</v>
      </c>
      <c r="U927" s="84">
        <v>0</v>
      </c>
      <c r="V927" s="84">
        <v>11.193</v>
      </c>
      <c r="W927" s="84">
        <v>5.5964999999999998</v>
      </c>
      <c r="X927" s="82">
        <v>0.35</v>
      </c>
      <c r="Y927" s="82"/>
      <c r="Z927" s="84">
        <v>5.5964999999999998</v>
      </c>
      <c r="AA927" s="84">
        <v>11.193</v>
      </c>
      <c r="AB927" s="88" t="e">
        <v>#DIV/0!</v>
      </c>
      <c r="AC927" t="s">
        <v>4359</v>
      </c>
    </row>
    <row r="928" spans="3:29">
      <c r="C928" t="s">
        <v>4361</v>
      </c>
      <c r="D928" t="s">
        <v>4358</v>
      </c>
      <c r="E928" s="84">
        <v>16.989999999999998</v>
      </c>
      <c r="F928" s="84">
        <v>8.4949999999999992</v>
      </c>
      <c r="G928" t="s">
        <v>3901</v>
      </c>
      <c r="H928" t="s">
        <v>4351</v>
      </c>
      <c r="I928" t="s">
        <v>409</v>
      </c>
      <c r="J928" t="s">
        <v>4352</v>
      </c>
      <c r="K928" t="s">
        <v>4347</v>
      </c>
      <c r="L928" t="s">
        <v>670</v>
      </c>
      <c r="N928">
        <v>8.5</v>
      </c>
      <c r="O928">
        <v>12</v>
      </c>
      <c r="P928">
        <v>8.6700000000000004E-4</v>
      </c>
      <c r="Q928" s="84" t="e">
        <v>#REF!</v>
      </c>
      <c r="R928" s="85"/>
      <c r="S928" s="85"/>
      <c r="T928" s="86">
        <v>0</v>
      </c>
      <c r="U928" s="84">
        <v>0</v>
      </c>
      <c r="V928" s="84">
        <v>11.893000000000001</v>
      </c>
      <c r="W928" s="84">
        <v>5.9465000000000003</v>
      </c>
      <c r="X928" s="82">
        <v>0.35</v>
      </c>
      <c r="Y928" s="82"/>
      <c r="Z928" s="84">
        <v>5.9465000000000003</v>
      </c>
      <c r="AA928" s="84">
        <v>11.893000000000001</v>
      </c>
      <c r="AB928" s="88" t="e">
        <v>#DIV/0!</v>
      </c>
      <c r="AC928" t="s">
        <v>4353</v>
      </c>
    </row>
    <row r="929" spans="3:29">
      <c r="D929" t="s">
        <v>4358</v>
      </c>
      <c r="E929" s="84">
        <v>18.989999999999998</v>
      </c>
      <c r="F929" s="84">
        <v>9.4949999999999992</v>
      </c>
      <c r="G929" t="s">
        <v>3901</v>
      </c>
      <c r="H929" t="s">
        <v>4355</v>
      </c>
      <c r="I929" t="s">
        <v>409</v>
      </c>
      <c r="J929" t="s">
        <v>4356</v>
      </c>
      <c r="K929" t="s">
        <v>4347</v>
      </c>
      <c r="L929" t="s">
        <v>670</v>
      </c>
      <c r="N929">
        <v>13</v>
      </c>
      <c r="O929">
        <v>8</v>
      </c>
      <c r="P929">
        <v>1.3519999999999999E-3</v>
      </c>
      <c r="Q929" s="84" t="e">
        <v>#REF!</v>
      </c>
      <c r="R929" s="85"/>
      <c r="S929" s="85"/>
      <c r="T929" s="86">
        <v>0</v>
      </c>
      <c r="U929" s="84">
        <v>0</v>
      </c>
      <c r="V929" s="84">
        <v>13.292999999999999</v>
      </c>
      <c r="W929" s="84">
        <v>6.6464999999999996</v>
      </c>
      <c r="X929" s="82">
        <v>0.35</v>
      </c>
      <c r="Y929" s="82"/>
      <c r="Z929" s="84">
        <v>6.6464999999999996</v>
      </c>
      <c r="AA929" s="84">
        <v>13.292999999999999</v>
      </c>
      <c r="AB929" s="88" t="e">
        <v>#DIV/0!</v>
      </c>
      <c r="AC929" t="s">
        <v>4362</v>
      </c>
    </row>
    <row r="930" spans="3:29">
      <c r="C930" t="s">
        <v>4363</v>
      </c>
      <c r="E930" s="84"/>
      <c r="F930" s="82"/>
      <c r="R930" s="85"/>
      <c r="S930" s="85"/>
      <c r="T930" s="86"/>
      <c r="V930" s="84">
        <v>0</v>
      </c>
      <c r="W930" s="84">
        <v>0</v>
      </c>
      <c r="X930" s="82" t="e">
        <v>#DIV/0!</v>
      </c>
      <c r="Y930" s="82">
        <v>0</v>
      </c>
      <c r="Z930" s="82"/>
      <c r="AA930" s="82"/>
      <c r="AB930" s="88" t="e">
        <v>#DIV/0!</v>
      </c>
    </row>
    <row r="931" spans="3:29">
      <c r="C931" t="s">
        <v>4364</v>
      </c>
      <c r="D931" t="s">
        <v>4365</v>
      </c>
      <c r="E931" s="84">
        <v>55.99</v>
      </c>
      <c r="F931" s="84">
        <v>27.995000000000001</v>
      </c>
      <c r="G931" t="s">
        <v>4366</v>
      </c>
      <c r="H931" t="s">
        <v>4367</v>
      </c>
      <c r="I931" t="s">
        <v>866</v>
      </c>
      <c r="J931" t="s">
        <v>4368</v>
      </c>
      <c r="K931" t="s">
        <v>2564</v>
      </c>
      <c r="L931" t="s">
        <v>670</v>
      </c>
      <c r="N931">
        <v>11</v>
      </c>
      <c r="O931">
        <v>30</v>
      </c>
      <c r="P931">
        <v>3.63E-3</v>
      </c>
      <c r="Q931" s="84" t="e">
        <v>#REF!</v>
      </c>
      <c r="R931" s="85"/>
      <c r="S931" s="85"/>
      <c r="T931" s="86">
        <v>0</v>
      </c>
      <c r="U931" s="84">
        <v>0</v>
      </c>
      <c r="V931" s="84">
        <v>39.192999999999998</v>
      </c>
      <c r="W931" s="84">
        <v>19.596499999999999</v>
      </c>
      <c r="X931" s="82">
        <v>0.35</v>
      </c>
      <c r="Y931" s="82"/>
      <c r="Z931" s="84">
        <v>19.596499999999999</v>
      </c>
      <c r="AA931" s="84">
        <v>39.192999999999998</v>
      </c>
      <c r="AB931" s="88" t="e">
        <v>#DIV/0!</v>
      </c>
      <c r="AC931" t="s">
        <v>4369</v>
      </c>
    </row>
    <row r="932" spans="3:29">
      <c r="C932" t="s">
        <v>4371</v>
      </c>
      <c r="D932" t="s">
        <v>4365</v>
      </c>
      <c r="E932" s="84">
        <v>62.99</v>
      </c>
      <c r="F932" s="84">
        <v>31.495000000000001</v>
      </c>
      <c r="G932" t="s">
        <v>4366</v>
      </c>
      <c r="H932" t="s">
        <v>4372</v>
      </c>
      <c r="I932" t="s">
        <v>866</v>
      </c>
      <c r="J932" t="s">
        <v>4368</v>
      </c>
      <c r="K932" t="s">
        <v>4373</v>
      </c>
      <c r="L932" t="s">
        <v>670</v>
      </c>
      <c r="N932">
        <v>11</v>
      </c>
      <c r="O932">
        <v>30</v>
      </c>
      <c r="P932">
        <v>3.63E-3</v>
      </c>
      <c r="Q932" s="84" t="e">
        <v>#REF!</v>
      </c>
      <c r="R932" s="85"/>
      <c r="S932" s="85"/>
      <c r="T932" s="86">
        <v>0</v>
      </c>
      <c r="U932" s="84">
        <v>0</v>
      </c>
      <c r="V932" s="84">
        <v>44.093000000000004</v>
      </c>
      <c r="W932" s="84">
        <v>22.046500000000002</v>
      </c>
      <c r="X932" s="82">
        <v>0.35</v>
      </c>
      <c r="Y932" s="82"/>
      <c r="Z932" s="84">
        <v>22.046500000000002</v>
      </c>
      <c r="AA932" s="84">
        <v>44.093000000000004</v>
      </c>
      <c r="AB932" s="88" t="e">
        <v>#DIV/0!</v>
      </c>
      <c r="AC932" t="s">
        <v>4374</v>
      </c>
    </row>
    <row r="933" spans="3:29">
      <c r="C933" t="s">
        <v>4375</v>
      </c>
      <c r="D933" t="s">
        <v>4376</v>
      </c>
      <c r="E933" s="84">
        <v>95.99</v>
      </c>
      <c r="F933" s="84">
        <v>47.994999999999997</v>
      </c>
      <c r="G933" t="s">
        <v>4366</v>
      </c>
      <c r="H933" t="s">
        <v>4377</v>
      </c>
      <c r="I933" t="s">
        <v>304</v>
      </c>
      <c r="J933" t="s">
        <v>4378</v>
      </c>
      <c r="K933" t="s">
        <v>2564</v>
      </c>
      <c r="L933" t="s">
        <v>670</v>
      </c>
      <c r="N933">
        <v>24</v>
      </c>
      <c r="O933">
        <v>35</v>
      </c>
      <c r="P933">
        <v>2.0160000000000001E-2</v>
      </c>
      <c r="Q933" s="84" t="e">
        <v>#REF!</v>
      </c>
      <c r="R933" s="85"/>
      <c r="S933" s="85"/>
      <c r="T933" s="86">
        <v>0</v>
      </c>
      <c r="U933" s="84">
        <v>0</v>
      </c>
      <c r="V933" s="84">
        <v>67.192999999999998</v>
      </c>
      <c r="W933" s="84">
        <v>33.596499999999999</v>
      </c>
      <c r="X933" s="82">
        <v>0.35</v>
      </c>
      <c r="Y933" s="82"/>
      <c r="Z933" s="84">
        <v>33.596499999999999</v>
      </c>
      <c r="AA933" s="84">
        <v>67.192999999999998</v>
      </c>
      <c r="AB933" s="88" t="e">
        <v>#DIV/0!</v>
      </c>
      <c r="AC933" t="s">
        <v>4379</v>
      </c>
    </row>
    <row r="934" spans="3:29">
      <c r="C934" t="s">
        <v>4380</v>
      </c>
      <c r="D934" t="s">
        <v>4376</v>
      </c>
      <c r="E934" s="84">
        <v>118.99</v>
      </c>
      <c r="F934" s="84">
        <v>59.494999999999997</v>
      </c>
      <c r="G934" t="s">
        <v>4366</v>
      </c>
      <c r="H934" t="s">
        <v>4381</v>
      </c>
      <c r="I934" t="s">
        <v>304</v>
      </c>
      <c r="J934" t="s">
        <v>4382</v>
      </c>
      <c r="K934" t="s">
        <v>2564</v>
      </c>
      <c r="L934" t="s">
        <v>670</v>
      </c>
      <c r="N934">
        <v>24</v>
      </c>
      <c r="O934">
        <v>50</v>
      </c>
      <c r="P934">
        <v>2.8799999999999999E-2</v>
      </c>
      <c r="Q934" s="84" t="e">
        <v>#REF!</v>
      </c>
      <c r="R934" s="85"/>
      <c r="S934" s="85"/>
      <c r="T934" s="86">
        <v>0</v>
      </c>
      <c r="U934" s="84">
        <v>0</v>
      </c>
      <c r="V934" s="84">
        <v>83.293000000000006</v>
      </c>
      <c r="W934" s="84">
        <v>41.646500000000003</v>
      </c>
      <c r="X934" s="82">
        <v>0.35</v>
      </c>
      <c r="Y934" s="82"/>
      <c r="Z934" s="84">
        <v>41.646500000000003</v>
      </c>
      <c r="AA934" s="84">
        <v>83.293000000000006</v>
      </c>
      <c r="AB934" s="88" t="e">
        <v>#DIV/0!</v>
      </c>
      <c r="AC934" t="s">
        <v>4383</v>
      </c>
    </row>
    <row r="935" spans="3:29">
      <c r="C935" t="s">
        <v>4384</v>
      </c>
      <c r="D935" t="s">
        <v>4376</v>
      </c>
      <c r="E935" s="84">
        <v>98.99</v>
      </c>
      <c r="F935" s="84">
        <v>49.494999999999997</v>
      </c>
      <c r="G935" t="s">
        <v>4366</v>
      </c>
      <c r="H935" t="s">
        <v>4385</v>
      </c>
      <c r="I935" t="s">
        <v>304</v>
      </c>
      <c r="J935" t="s">
        <v>4386</v>
      </c>
      <c r="K935" t="s">
        <v>2564</v>
      </c>
      <c r="L935" t="s">
        <v>670</v>
      </c>
      <c r="N935">
        <v>18</v>
      </c>
      <c r="O935">
        <v>52</v>
      </c>
      <c r="P935">
        <v>1.6847999999999998E-2</v>
      </c>
      <c r="Q935" s="84" t="e">
        <v>#REF!</v>
      </c>
      <c r="R935" s="85"/>
      <c r="S935" s="85"/>
      <c r="T935" s="86">
        <v>0</v>
      </c>
      <c r="U935" s="84">
        <v>0</v>
      </c>
      <c r="V935" s="84">
        <v>69.293000000000006</v>
      </c>
      <c r="W935" s="84">
        <v>34.646500000000003</v>
      </c>
      <c r="X935" s="82">
        <v>0.35</v>
      </c>
      <c r="Y935" s="82"/>
      <c r="Z935" s="84">
        <v>34.646500000000003</v>
      </c>
      <c r="AA935" s="84">
        <v>69.293000000000006</v>
      </c>
      <c r="AB935" s="88" t="e">
        <v>#DIV/0!</v>
      </c>
      <c r="AC935" t="s">
        <v>4387</v>
      </c>
    </row>
    <row r="936" spans="3:29">
      <c r="C936" t="s">
        <v>4388</v>
      </c>
      <c r="D936" t="s">
        <v>4376</v>
      </c>
      <c r="E936" s="84">
        <v>133.99</v>
      </c>
      <c r="F936" s="84">
        <v>66.995000000000005</v>
      </c>
      <c r="G936" t="s">
        <v>4366</v>
      </c>
      <c r="H936" t="s">
        <v>4389</v>
      </c>
      <c r="I936" t="s">
        <v>315</v>
      </c>
      <c r="J936" t="s">
        <v>4378</v>
      </c>
      <c r="K936" t="s">
        <v>2564</v>
      </c>
      <c r="L936" t="s">
        <v>670</v>
      </c>
      <c r="N936">
        <v>24</v>
      </c>
      <c r="O936">
        <v>35</v>
      </c>
      <c r="P936">
        <v>2.0160000000000001E-2</v>
      </c>
      <c r="Q936" s="84" t="e">
        <v>#REF!</v>
      </c>
      <c r="R936" s="85"/>
      <c r="S936" s="85"/>
      <c r="T936" s="86">
        <v>0</v>
      </c>
      <c r="U936" s="84">
        <v>0</v>
      </c>
      <c r="V936" s="84">
        <v>93.793000000000006</v>
      </c>
      <c r="W936" s="84">
        <v>46.896500000000003</v>
      </c>
      <c r="X936" s="82">
        <v>0.35</v>
      </c>
      <c r="Y936" s="82"/>
      <c r="Z936" s="84">
        <v>46.896500000000003</v>
      </c>
      <c r="AA936" s="84">
        <v>93.793000000000006</v>
      </c>
      <c r="AB936" s="88" t="e">
        <v>#DIV/0!</v>
      </c>
      <c r="AC936" t="s">
        <v>4383</v>
      </c>
    </row>
    <row r="937" spans="3:29">
      <c r="C937" t="s">
        <v>4390</v>
      </c>
      <c r="D937" t="s">
        <v>4376</v>
      </c>
      <c r="E937" s="84">
        <v>165.99</v>
      </c>
      <c r="F937" s="84">
        <v>82.995000000000005</v>
      </c>
      <c r="G937" t="s">
        <v>4366</v>
      </c>
      <c r="H937" t="s">
        <v>4391</v>
      </c>
      <c r="I937" t="s">
        <v>315</v>
      </c>
      <c r="J937" t="s">
        <v>4392</v>
      </c>
      <c r="K937" t="s">
        <v>2564</v>
      </c>
      <c r="L937" t="s">
        <v>670</v>
      </c>
      <c r="N937">
        <v>24</v>
      </c>
      <c r="O937">
        <v>50</v>
      </c>
      <c r="P937">
        <v>2.8799999999999999E-2</v>
      </c>
      <c r="Q937" s="84" t="e">
        <v>#REF!</v>
      </c>
      <c r="R937" s="85"/>
      <c r="S937" s="85"/>
      <c r="T937" s="86">
        <v>0</v>
      </c>
      <c r="U937" s="84">
        <v>0</v>
      </c>
      <c r="V937" s="84">
        <v>116.193</v>
      </c>
      <c r="W937" s="84">
        <v>58.096499999999999</v>
      </c>
      <c r="X937" s="82">
        <v>0.35</v>
      </c>
      <c r="Y937" s="82"/>
      <c r="Z937" s="84">
        <v>58.096499999999999</v>
      </c>
      <c r="AA937" s="84">
        <v>116.193</v>
      </c>
      <c r="AB937" s="88" t="e">
        <v>#DIV/0!</v>
      </c>
      <c r="AC937" t="s">
        <v>4393</v>
      </c>
    </row>
    <row r="938" spans="3:29">
      <c r="C938" t="s">
        <v>4394</v>
      </c>
      <c r="D938" t="s">
        <v>4376</v>
      </c>
      <c r="E938" s="84">
        <v>137.99</v>
      </c>
      <c r="F938" s="84">
        <v>68.995000000000005</v>
      </c>
      <c r="G938" t="s">
        <v>4366</v>
      </c>
      <c r="H938" t="s">
        <v>4395</v>
      </c>
      <c r="I938" t="s">
        <v>315</v>
      </c>
      <c r="J938" t="s">
        <v>4396</v>
      </c>
      <c r="K938" t="s">
        <v>2564</v>
      </c>
      <c r="L938" t="s">
        <v>670</v>
      </c>
      <c r="N938">
        <v>18</v>
      </c>
      <c r="O938">
        <v>52</v>
      </c>
      <c r="P938">
        <v>1.6847999999999998E-2</v>
      </c>
      <c r="Q938" s="84" t="e">
        <v>#REF!</v>
      </c>
      <c r="R938" s="85"/>
      <c r="S938" s="85"/>
      <c r="T938" s="86">
        <v>0</v>
      </c>
      <c r="U938" s="84">
        <v>0</v>
      </c>
      <c r="V938" s="84">
        <v>96.593000000000004</v>
      </c>
      <c r="W938" s="84">
        <v>48.296500000000002</v>
      </c>
      <c r="X938" s="82">
        <v>0.35</v>
      </c>
      <c r="Y938" s="82"/>
      <c r="Z938" s="84">
        <v>48.296500000000002</v>
      </c>
      <c r="AA938" s="84">
        <v>96.593000000000004</v>
      </c>
      <c r="AB938" s="88" t="e">
        <v>#DIV/0!</v>
      </c>
      <c r="AC938" t="s">
        <v>4383</v>
      </c>
    </row>
    <row r="939" spans="3:29">
      <c r="C939" t="s">
        <v>4397</v>
      </c>
      <c r="D939" t="s">
        <v>4398</v>
      </c>
      <c r="E939" s="84">
        <v>55.99</v>
      </c>
      <c r="F939" s="84">
        <v>27.995000000000001</v>
      </c>
      <c r="G939" t="s">
        <v>4366</v>
      </c>
      <c r="H939" t="s">
        <v>4399</v>
      </c>
      <c r="I939" t="s">
        <v>311</v>
      </c>
      <c r="J939" t="s">
        <v>4400</v>
      </c>
      <c r="K939" t="s">
        <v>2564</v>
      </c>
      <c r="L939" t="s">
        <v>670</v>
      </c>
      <c r="N939">
        <v>12</v>
      </c>
      <c r="O939">
        <v>30</v>
      </c>
      <c r="P939">
        <v>4.3200000000000001E-3</v>
      </c>
      <c r="Q939" s="84" t="e">
        <v>#REF!</v>
      </c>
      <c r="R939" s="85"/>
      <c r="S939" s="85"/>
      <c r="T939" s="86">
        <v>0</v>
      </c>
      <c r="U939" s="84">
        <v>0</v>
      </c>
      <c r="V939" s="84">
        <v>39.192999999999998</v>
      </c>
      <c r="W939" s="84">
        <v>19.596499999999999</v>
      </c>
      <c r="X939" s="82">
        <v>0.35</v>
      </c>
      <c r="Y939" s="82"/>
      <c r="Z939" s="84">
        <v>19.596499999999999</v>
      </c>
      <c r="AA939" s="84">
        <v>39.192999999999998</v>
      </c>
      <c r="AB939" s="88" t="e">
        <v>#DIV/0!</v>
      </c>
      <c r="AC939" t="s">
        <v>4401</v>
      </c>
    </row>
    <row r="940" spans="3:29">
      <c r="C940" t="s">
        <v>4402</v>
      </c>
      <c r="D940" t="s">
        <v>4403</v>
      </c>
      <c r="E940" s="84">
        <v>51.99</v>
      </c>
      <c r="F940" s="84">
        <v>25.995000000000001</v>
      </c>
      <c r="G940" t="s">
        <v>4366</v>
      </c>
      <c r="H940" t="s">
        <v>4404</v>
      </c>
      <c r="I940" t="s">
        <v>311</v>
      </c>
      <c r="J940" t="s">
        <v>4405</v>
      </c>
      <c r="K940" t="s">
        <v>2564</v>
      </c>
      <c r="L940" t="s">
        <v>670</v>
      </c>
      <c r="N940">
        <v>12</v>
      </c>
      <c r="O940">
        <v>27</v>
      </c>
      <c r="P940">
        <v>3.888E-3</v>
      </c>
      <c r="Q940" s="84" t="e">
        <v>#REF!</v>
      </c>
      <c r="R940" s="85"/>
      <c r="S940" s="85"/>
      <c r="T940" s="86">
        <v>0</v>
      </c>
      <c r="U940" s="84">
        <v>0</v>
      </c>
      <c r="V940" s="84">
        <v>36.393000000000001</v>
      </c>
      <c r="W940" s="84">
        <v>18.1965</v>
      </c>
      <c r="X940" s="82">
        <v>0.35</v>
      </c>
      <c r="Y940" s="82"/>
      <c r="Z940" s="84">
        <v>18.1965</v>
      </c>
      <c r="AA940" s="84">
        <v>36.393000000000001</v>
      </c>
      <c r="AB940" s="88" t="e">
        <v>#DIV/0!</v>
      </c>
      <c r="AC940" t="s">
        <v>4406</v>
      </c>
    </row>
    <row r="941" spans="3:29">
      <c r="C941" t="s">
        <v>4407</v>
      </c>
      <c r="D941" t="s">
        <v>4408</v>
      </c>
      <c r="E941" s="84">
        <v>92.99</v>
      </c>
      <c r="F941" s="84">
        <v>46.494999999999997</v>
      </c>
      <c r="G941" t="s">
        <v>4366</v>
      </c>
      <c r="H941" t="s">
        <v>4409</v>
      </c>
      <c r="I941" t="s">
        <v>342</v>
      </c>
      <c r="J941" t="s">
        <v>4410</v>
      </c>
      <c r="K941" t="s">
        <v>2564</v>
      </c>
      <c r="L941" t="s">
        <v>670</v>
      </c>
      <c r="N941">
        <v>12</v>
      </c>
      <c r="O941">
        <v>30</v>
      </c>
      <c r="P941">
        <v>4.3200000000000001E-3</v>
      </c>
      <c r="Q941" s="84" t="e">
        <v>#REF!</v>
      </c>
      <c r="R941" s="85"/>
      <c r="S941" s="85"/>
      <c r="T941" s="86">
        <v>0</v>
      </c>
      <c r="U941" s="84">
        <v>0</v>
      </c>
      <c r="V941" s="84">
        <v>65.093000000000004</v>
      </c>
      <c r="W941" s="84">
        <v>32.546500000000002</v>
      </c>
      <c r="X941" s="82">
        <v>0.35</v>
      </c>
      <c r="Y941" s="82"/>
      <c r="Z941" s="84">
        <v>32.546500000000002</v>
      </c>
      <c r="AA941" s="84">
        <v>65.093000000000004</v>
      </c>
      <c r="AB941" s="88" t="e">
        <v>#DIV/0!</v>
      </c>
      <c r="AC941" t="s">
        <v>4411</v>
      </c>
    </row>
    <row r="942" spans="3:29">
      <c r="C942" t="s">
        <v>4412</v>
      </c>
      <c r="D942" t="s">
        <v>4408</v>
      </c>
      <c r="E942" s="84">
        <v>84.99</v>
      </c>
      <c r="F942" s="84">
        <v>42.494999999999997</v>
      </c>
      <c r="G942" t="s">
        <v>4366</v>
      </c>
      <c r="H942" t="s">
        <v>4413</v>
      </c>
      <c r="I942" t="s">
        <v>342</v>
      </c>
      <c r="J942" t="s">
        <v>4410</v>
      </c>
      <c r="K942" t="s">
        <v>2564</v>
      </c>
      <c r="L942" t="s">
        <v>670</v>
      </c>
      <c r="N942">
        <v>12</v>
      </c>
      <c r="O942">
        <v>30</v>
      </c>
      <c r="P942">
        <v>4.3200000000000001E-3</v>
      </c>
      <c r="Q942" s="84" t="e">
        <v>#REF!</v>
      </c>
      <c r="R942" s="85"/>
      <c r="S942" s="85"/>
      <c r="T942" s="86">
        <v>0</v>
      </c>
      <c r="U942" s="84">
        <v>0</v>
      </c>
      <c r="V942" s="84">
        <v>59.493000000000002</v>
      </c>
      <c r="W942" s="84">
        <v>29.746500000000001</v>
      </c>
      <c r="X942" s="82">
        <v>0.35</v>
      </c>
      <c r="Y942" s="82"/>
      <c r="Z942" s="84">
        <v>29.746500000000001</v>
      </c>
      <c r="AA942" s="84">
        <v>59.493000000000002</v>
      </c>
      <c r="AB942" s="88" t="e">
        <v>#DIV/0!</v>
      </c>
      <c r="AC942" t="s">
        <v>4414</v>
      </c>
    </row>
    <row r="943" spans="3:29">
      <c r="C943" t="s">
        <v>4415</v>
      </c>
      <c r="D943" t="s">
        <v>4416</v>
      </c>
      <c r="E943" s="84">
        <v>39.99</v>
      </c>
      <c r="F943" s="84">
        <v>19.995000000000001</v>
      </c>
      <c r="G943" t="s">
        <v>4366</v>
      </c>
      <c r="H943" t="s">
        <v>4417</v>
      </c>
      <c r="I943" t="s">
        <v>109</v>
      </c>
      <c r="J943" t="s">
        <v>4418</v>
      </c>
      <c r="K943" t="s">
        <v>2564</v>
      </c>
      <c r="L943" t="s">
        <v>670</v>
      </c>
      <c r="N943">
        <v>17</v>
      </c>
      <c r="O943">
        <v>12</v>
      </c>
      <c r="P943">
        <v>3.4680000000000002E-3</v>
      </c>
      <c r="Q943" s="84" t="e">
        <v>#REF!</v>
      </c>
      <c r="R943" s="85"/>
      <c r="S943" s="85"/>
      <c r="T943" s="86">
        <v>0</v>
      </c>
      <c r="U943" s="84">
        <v>0</v>
      </c>
      <c r="V943" s="84">
        <v>27.992999999999999</v>
      </c>
      <c r="W943" s="84">
        <v>13.996499999999999</v>
      </c>
      <c r="X943" s="82">
        <v>0.35</v>
      </c>
      <c r="Y943" s="82"/>
      <c r="Z943" s="84">
        <v>13.996499999999999</v>
      </c>
      <c r="AA943" s="84">
        <v>27.992999999999999</v>
      </c>
      <c r="AB943" s="88" t="e">
        <v>#DIV/0!</v>
      </c>
      <c r="AC943" t="s">
        <v>4419</v>
      </c>
    </row>
    <row r="944" spans="3:29">
      <c r="C944" t="s">
        <v>4420</v>
      </c>
      <c r="D944" t="s">
        <v>4416</v>
      </c>
      <c r="E944" s="84">
        <v>52.99</v>
      </c>
      <c r="F944" s="84">
        <v>26.495000000000001</v>
      </c>
      <c r="G944" t="s">
        <v>4366</v>
      </c>
      <c r="H944" t="s">
        <v>4421</v>
      </c>
      <c r="I944" t="s">
        <v>109</v>
      </c>
      <c r="J944" t="s">
        <v>4422</v>
      </c>
      <c r="K944" t="s">
        <v>2564</v>
      </c>
      <c r="L944" t="s">
        <v>670</v>
      </c>
      <c r="N944">
        <v>16</v>
      </c>
      <c r="O944">
        <v>18</v>
      </c>
      <c r="P944">
        <v>4.6080000000000001E-3</v>
      </c>
      <c r="Q944" s="84" t="e">
        <v>#REF!</v>
      </c>
      <c r="R944" s="85"/>
      <c r="S944" s="85"/>
      <c r="T944" s="86">
        <v>0</v>
      </c>
      <c r="U944" s="84">
        <v>0</v>
      </c>
      <c r="V944" s="84">
        <v>37.093000000000004</v>
      </c>
      <c r="W944" s="84">
        <v>18.546500000000002</v>
      </c>
      <c r="X944" s="82">
        <v>0.35</v>
      </c>
      <c r="Y944" s="82"/>
      <c r="Z944" s="84">
        <v>18.546500000000002</v>
      </c>
      <c r="AA944" s="84">
        <v>37.093000000000004</v>
      </c>
      <c r="AB944" s="88" t="e">
        <v>#DIV/0!</v>
      </c>
      <c r="AC944" t="s">
        <v>4423</v>
      </c>
    </row>
    <row r="945" spans="3:29">
      <c r="C945" t="s">
        <v>4424</v>
      </c>
      <c r="D945" t="s">
        <v>4416</v>
      </c>
      <c r="E945" s="84">
        <v>71.989999999999995</v>
      </c>
      <c r="F945" s="84">
        <v>35.994999999999997</v>
      </c>
      <c r="G945" t="s">
        <v>4366</v>
      </c>
      <c r="H945" t="s">
        <v>4421</v>
      </c>
      <c r="I945" t="s">
        <v>109</v>
      </c>
      <c r="J945" t="s">
        <v>4425</v>
      </c>
      <c r="K945" t="s">
        <v>2564</v>
      </c>
      <c r="L945" t="s">
        <v>670</v>
      </c>
      <c r="N945">
        <v>16</v>
      </c>
      <c r="O945">
        <v>18</v>
      </c>
      <c r="P945">
        <v>4.6080000000000001E-3</v>
      </c>
      <c r="Q945" s="84" t="e">
        <v>#REF!</v>
      </c>
      <c r="R945" s="85"/>
      <c r="S945" s="85"/>
      <c r="T945" s="86">
        <v>0</v>
      </c>
      <c r="U945" s="84">
        <v>0</v>
      </c>
      <c r="V945" s="84">
        <v>50.393000000000001</v>
      </c>
      <c r="W945" s="84">
        <v>25.1965</v>
      </c>
      <c r="X945" s="82">
        <v>0.35</v>
      </c>
      <c r="Y945" s="82"/>
      <c r="Z945" s="84">
        <v>25.1965</v>
      </c>
      <c r="AA945" s="84">
        <v>50.393000000000001</v>
      </c>
      <c r="AB945" s="88" t="e">
        <v>#DIV/0!</v>
      </c>
      <c r="AC945" t="s">
        <v>4426</v>
      </c>
    </row>
    <row r="946" spans="3:29">
      <c r="C946" t="s">
        <v>2721</v>
      </c>
      <c r="D946" t="s">
        <v>2722</v>
      </c>
      <c r="E946" s="84">
        <v>36.99</v>
      </c>
      <c r="F946" s="84">
        <v>18.495000000000001</v>
      </c>
      <c r="G946" t="s">
        <v>4366</v>
      </c>
      <c r="H946" t="s">
        <v>4427</v>
      </c>
      <c r="I946" t="s">
        <v>469</v>
      </c>
      <c r="J946" t="s">
        <v>2724</v>
      </c>
      <c r="K946" t="s">
        <v>2564</v>
      </c>
      <c r="L946" t="s">
        <v>670</v>
      </c>
      <c r="N946">
        <v>9</v>
      </c>
      <c r="O946">
        <v>22</v>
      </c>
      <c r="P946">
        <v>1.7819999999999999E-3</v>
      </c>
      <c r="Q946" s="84" t="e">
        <v>#REF!</v>
      </c>
      <c r="R946" s="85"/>
      <c r="S946" s="85"/>
      <c r="T946" s="86">
        <v>0</v>
      </c>
      <c r="U946" s="84">
        <v>0</v>
      </c>
      <c r="V946" s="84">
        <v>25.893000000000001</v>
      </c>
      <c r="W946" s="84">
        <v>12.9465</v>
      </c>
      <c r="X946" s="82">
        <v>0.35</v>
      </c>
      <c r="Y946" s="82"/>
      <c r="Z946" s="84">
        <v>12.9465</v>
      </c>
      <c r="AA946" s="84">
        <v>25.893000000000001</v>
      </c>
      <c r="AB946" s="88" t="e">
        <v>#DIV/0!</v>
      </c>
      <c r="AC946" t="s">
        <v>4428</v>
      </c>
    </row>
    <row r="947" spans="3:29">
      <c r="C947" t="s">
        <v>2726</v>
      </c>
      <c r="D947" t="s">
        <v>2722</v>
      </c>
      <c r="E947" s="84">
        <v>43.99</v>
      </c>
      <c r="F947" s="84">
        <v>21.995000000000001</v>
      </c>
      <c r="G947" t="s">
        <v>4366</v>
      </c>
      <c r="H947" t="s">
        <v>4429</v>
      </c>
      <c r="I947" t="s">
        <v>469</v>
      </c>
      <c r="J947" t="s">
        <v>2728</v>
      </c>
      <c r="K947" t="s">
        <v>2564</v>
      </c>
      <c r="L947" t="s">
        <v>670</v>
      </c>
      <c r="N947">
        <v>9</v>
      </c>
      <c r="O947">
        <v>25</v>
      </c>
      <c r="P947">
        <v>2.0249999999999999E-3</v>
      </c>
      <c r="Q947" s="84" t="e">
        <v>#REF!</v>
      </c>
      <c r="R947" s="85"/>
      <c r="S947" s="85"/>
      <c r="T947" s="86">
        <v>0</v>
      </c>
      <c r="U947" s="84">
        <v>0</v>
      </c>
      <c r="V947" s="84">
        <v>30.792999999999999</v>
      </c>
      <c r="W947" s="84">
        <v>15.3965</v>
      </c>
      <c r="X947" s="82">
        <v>0.35</v>
      </c>
      <c r="Y947" s="82"/>
      <c r="Z947" s="84">
        <v>15.3965</v>
      </c>
      <c r="AA947" s="84">
        <v>30.792999999999999</v>
      </c>
      <c r="AB947" s="88" t="e">
        <v>#DIV/0!</v>
      </c>
      <c r="AC947" t="s">
        <v>4430</v>
      </c>
    </row>
    <row r="948" spans="3:29">
      <c r="C948" t="s">
        <v>2730</v>
      </c>
      <c r="D948" t="s">
        <v>2722</v>
      </c>
      <c r="E948" s="84">
        <v>50.99</v>
      </c>
      <c r="F948" s="84">
        <v>25.495000000000001</v>
      </c>
      <c r="G948" t="s">
        <v>4366</v>
      </c>
      <c r="H948" t="s">
        <v>4431</v>
      </c>
      <c r="I948" t="s">
        <v>469</v>
      </c>
      <c r="J948" t="s">
        <v>2732</v>
      </c>
      <c r="K948" t="s">
        <v>2564</v>
      </c>
      <c r="L948" t="s">
        <v>670</v>
      </c>
      <c r="N948">
        <v>9</v>
      </c>
      <c r="O948">
        <v>30</v>
      </c>
      <c r="P948">
        <v>2.4299999999999999E-3</v>
      </c>
      <c r="Q948" s="84" t="e">
        <v>#REF!</v>
      </c>
      <c r="R948" s="85"/>
      <c r="S948" s="85"/>
      <c r="T948" s="86">
        <v>0</v>
      </c>
      <c r="U948" s="84">
        <v>0</v>
      </c>
      <c r="V948" s="84">
        <v>35.692999999999998</v>
      </c>
      <c r="W948" s="84">
        <v>17.846499999999999</v>
      </c>
      <c r="X948" s="82">
        <v>0.35</v>
      </c>
      <c r="Y948" s="82"/>
      <c r="Z948" s="84">
        <v>17.846499999999999</v>
      </c>
      <c r="AA948" s="84">
        <v>35.692999999999998</v>
      </c>
      <c r="AB948" s="88" t="e">
        <v>#DIV/0!</v>
      </c>
      <c r="AC948" t="s">
        <v>4428</v>
      </c>
    </row>
    <row r="949" spans="3:29">
      <c r="C949" t="s">
        <v>4432</v>
      </c>
      <c r="D949" t="s">
        <v>4433</v>
      </c>
      <c r="E949" s="84">
        <v>73.989999999999995</v>
      </c>
      <c r="F949" s="84">
        <v>36.994999999999997</v>
      </c>
      <c r="G949" t="s">
        <v>4366</v>
      </c>
      <c r="H949" t="s">
        <v>4434</v>
      </c>
      <c r="I949" t="s">
        <v>4435</v>
      </c>
      <c r="J949" t="s">
        <v>4436</v>
      </c>
      <c r="K949" t="s">
        <v>2564</v>
      </c>
      <c r="L949" t="s">
        <v>670</v>
      </c>
      <c r="N949">
        <v>19</v>
      </c>
      <c r="O949">
        <v>25</v>
      </c>
      <c r="P949">
        <v>9.025E-3</v>
      </c>
      <c r="Q949" s="84" t="e">
        <v>#REF!</v>
      </c>
      <c r="R949" s="85"/>
      <c r="S949" s="85"/>
      <c r="T949" s="86">
        <v>0</v>
      </c>
      <c r="U949" s="84">
        <v>0</v>
      </c>
      <c r="V949" s="84">
        <v>51.792999999999999</v>
      </c>
      <c r="W949" s="84">
        <v>25.8965</v>
      </c>
      <c r="X949" s="82">
        <v>0.35</v>
      </c>
      <c r="Y949" s="82"/>
      <c r="Z949" s="84">
        <v>25.8965</v>
      </c>
      <c r="AA949" s="84">
        <v>51.792999999999999</v>
      </c>
      <c r="AB949" s="88" t="e">
        <v>#DIV/0!</v>
      </c>
      <c r="AC949" t="s">
        <v>4437</v>
      </c>
    </row>
    <row r="950" spans="3:29">
      <c r="C950" t="s">
        <v>4438</v>
      </c>
      <c r="D950" t="s">
        <v>2689</v>
      </c>
      <c r="E950" s="84">
        <v>97.99</v>
      </c>
      <c r="F950" s="84">
        <v>48.994999999999997</v>
      </c>
      <c r="G950" t="s">
        <v>4366</v>
      </c>
      <c r="H950" t="s">
        <v>4439</v>
      </c>
      <c r="I950" t="s">
        <v>757</v>
      </c>
      <c r="J950" t="s">
        <v>4440</v>
      </c>
      <c r="K950" t="s">
        <v>2564</v>
      </c>
      <c r="L950" t="s">
        <v>670</v>
      </c>
      <c r="N950">
        <v>12</v>
      </c>
      <c r="O950">
        <v>50</v>
      </c>
      <c r="P950">
        <v>7.1999999999999998E-3</v>
      </c>
      <c r="Q950" s="84" t="e">
        <v>#REF!</v>
      </c>
      <c r="R950" s="85"/>
      <c r="S950" s="85"/>
      <c r="T950" s="86">
        <v>0</v>
      </c>
      <c r="U950" s="84">
        <v>0</v>
      </c>
      <c r="V950" s="84">
        <v>68.593000000000004</v>
      </c>
      <c r="W950" s="84">
        <v>34.296500000000002</v>
      </c>
      <c r="X950" s="82">
        <v>0.35</v>
      </c>
      <c r="Y950" s="82"/>
      <c r="Z950" s="84">
        <v>34.296500000000002</v>
      </c>
      <c r="AA950" s="84">
        <v>68.593000000000004</v>
      </c>
      <c r="AB950" s="88" t="e">
        <v>#DIV/0!</v>
      </c>
      <c r="AC950" t="s">
        <v>4441</v>
      </c>
    </row>
    <row r="951" spans="3:29">
      <c r="C951" t="s">
        <v>2688</v>
      </c>
      <c r="D951" t="s">
        <v>2689</v>
      </c>
      <c r="E951" s="84">
        <v>88.99</v>
      </c>
      <c r="F951" s="84">
        <v>44.494999999999997</v>
      </c>
      <c r="G951" t="s">
        <v>4366</v>
      </c>
      <c r="H951" t="s">
        <v>4442</v>
      </c>
      <c r="I951" t="s">
        <v>757</v>
      </c>
      <c r="J951" t="s">
        <v>2692</v>
      </c>
      <c r="K951" t="s">
        <v>2564</v>
      </c>
      <c r="L951" t="s">
        <v>670</v>
      </c>
      <c r="N951">
        <v>12</v>
      </c>
      <c r="O951">
        <v>45</v>
      </c>
      <c r="P951">
        <v>6.4799999999999996E-3</v>
      </c>
      <c r="Q951" s="84" t="e">
        <v>#REF!</v>
      </c>
      <c r="R951" s="85"/>
      <c r="S951" s="85"/>
      <c r="T951" s="86">
        <v>0</v>
      </c>
      <c r="U951" s="84">
        <v>0</v>
      </c>
      <c r="V951" s="84">
        <v>62.292999999999999</v>
      </c>
      <c r="W951" s="84">
        <v>31.1465</v>
      </c>
      <c r="X951" s="82">
        <v>0.35</v>
      </c>
      <c r="Y951" s="82"/>
      <c r="Z951" s="84">
        <v>31.1465</v>
      </c>
      <c r="AA951" s="84">
        <v>62.292999999999999</v>
      </c>
      <c r="AB951" s="88" t="e">
        <v>#DIV/0!</v>
      </c>
      <c r="AC951" t="s">
        <v>4443</v>
      </c>
    </row>
    <row r="952" spans="3:29">
      <c r="C952" t="s">
        <v>4444</v>
      </c>
      <c r="D952" t="s">
        <v>4445</v>
      </c>
      <c r="E952" s="84"/>
      <c r="F952" s="84">
        <v>0</v>
      </c>
      <c r="G952" t="s">
        <v>4366</v>
      </c>
      <c r="H952" t="s">
        <v>4446</v>
      </c>
      <c r="I952" t="s">
        <v>162</v>
      </c>
      <c r="L952" t="s">
        <v>50</v>
      </c>
      <c r="P952">
        <v>0</v>
      </c>
      <c r="Q952" s="84" t="e">
        <v>#REF!</v>
      </c>
      <c r="R952" s="85"/>
      <c r="S952" s="85"/>
      <c r="T952" s="86">
        <v>0</v>
      </c>
      <c r="U952" s="84">
        <v>0</v>
      </c>
      <c r="V952" s="84">
        <v>0</v>
      </c>
      <c r="W952" s="84">
        <v>0</v>
      </c>
      <c r="X952" s="82" t="e">
        <v>#DIV/0!</v>
      </c>
      <c r="Y952" s="82"/>
      <c r="Z952" s="84">
        <v>0</v>
      </c>
      <c r="AA952" s="84">
        <v>0</v>
      </c>
      <c r="AB952" s="88" t="e">
        <v>#DIV/0!</v>
      </c>
      <c r="AC952" t="s">
        <v>4447</v>
      </c>
    </row>
    <row r="953" spans="3:29">
      <c r="C953" t="s">
        <v>4448</v>
      </c>
      <c r="D953" t="s">
        <v>4449</v>
      </c>
      <c r="E953" s="84">
        <v>29.99</v>
      </c>
      <c r="F953" s="84">
        <v>14.994999999999999</v>
      </c>
      <c r="G953" t="s">
        <v>4366</v>
      </c>
      <c r="H953" t="s">
        <v>4450</v>
      </c>
      <c r="I953" t="s">
        <v>950</v>
      </c>
      <c r="J953" t="s">
        <v>4451</v>
      </c>
      <c r="K953" t="s">
        <v>2564</v>
      </c>
      <c r="L953" t="s">
        <v>670</v>
      </c>
      <c r="N953">
        <v>7</v>
      </c>
      <c r="O953">
        <v>13.5</v>
      </c>
      <c r="P953">
        <v>6.6149999999999998E-4</v>
      </c>
      <c r="Q953" s="84" t="e">
        <v>#REF!</v>
      </c>
      <c r="R953" s="85"/>
      <c r="S953" s="85"/>
      <c r="T953" s="86">
        <v>0</v>
      </c>
      <c r="U953" s="84">
        <v>0</v>
      </c>
      <c r="V953" s="84">
        <v>20.992999999999999</v>
      </c>
      <c r="W953" s="84">
        <v>10.496499999999999</v>
      </c>
      <c r="X953" s="82">
        <v>0.35</v>
      </c>
      <c r="Y953" s="82"/>
      <c r="Z953" s="84">
        <v>10.496499999999999</v>
      </c>
      <c r="AA953" s="84">
        <v>20.992999999999999</v>
      </c>
      <c r="AB953" s="88" t="e">
        <v>#DIV/0!</v>
      </c>
      <c r="AC953" t="s">
        <v>4452</v>
      </c>
    </row>
    <row r="954" spans="3:29">
      <c r="C954" t="s">
        <v>4453</v>
      </c>
      <c r="D954" t="s">
        <v>4449</v>
      </c>
      <c r="E954" s="84">
        <v>32.99</v>
      </c>
      <c r="F954" s="84">
        <v>16.495000000000001</v>
      </c>
      <c r="G954" t="s">
        <v>4366</v>
      </c>
      <c r="H954" t="s">
        <v>4454</v>
      </c>
      <c r="I954" t="s">
        <v>950</v>
      </c>
      <c r="J954" t="s">
        <v>4455</v>
      </c>
      <c r="K954" t="s">
        <v>2564</v>
      </c>
      <c r="L954" t="s">
        <v>670</v>
      </c>
      <c r="N954">
        <v>7.5</v>
      </c>
      <c r="O954">
        <v>15</v>
      </c>
      <c r="P954">
        <v>8.4374999999999999E-4</v>
      </c>
      <c r="Q954" s="84" t="e">
        <v>#REF!</v>
      </c>
      <c r="R954" s="85"/>
      <c r="S954" s="85"/>
      <c r="T954" s="86">
        <v>0</v>
      </c>
      <c r="U954" s="84">
        <v>0</v>
      </c>
      <c r="V954" s="84">
        <v>23.093</v>
      </c>
      <c r="W954" s="84">
        <v>11.5465</v>
      </c>
      <c r="X954" s="82">
        <v>0.35</v>
      </c>
      <c r="Y954" s="82"/>
      <c r="Z954" s="84">
        <v>11.5465</v>
      </c>
      <c r="AA954" s="84">
        <v>23.093</v>
      </c>
      <c r="AB954" s="88" t="e">
        <v>#DIV/0!</v>
      </c>
      <c r="AC954" t="s">
        <v>4456</v>
      </c>
    </row>
    <row r="955" spans="3:29">
      <c r="C955" t="s">
        <v>4457</v>
      </c>
      <c r="D955" t="s">
        <v>4449</v>
      </c>
      <c r="E955" s="84">
        <v>39.99</v>
      </c>
      <c r="F955" s="84">
        <v>19.995000000000001</v>
      </c>
      <c r="G955" t="s">
        <v>4366</v>
      </c>
      <c r="H955" t="s">
        <v>4458</v>
      </c>
      <c r="I955" t="s">
        <v>950</v>
      </c>
      <c r="J955" t="s">
        <v>4459</v>
      </c>
      <c r="K955" t="s">
        <v>2564</v>
      </c>
      <c r="L955" t="s">
        <v>670</v>
      </c>
      <c r="N955">
        <v>9</v>
      </c>
      <c r="O955">
        <v>18</v>
      </c>
      <c r="P955">
        <v>1.4580000000000001E-3</v>
      </c>
      <c r="Q955" s="84" t="e">
        <v>#REF!</v>
      </c>
      <c r="R955" s="85"/>
      <c r="S955" s="85"/>
      <c r="T955" s="86">
        <v>0</v>
      </c>
      <c r="U955" s="84">
        <v>0</v>
      </c>
      <c r="V955" s="84">
        <v>27.992999999999999</v>
      </c>
      <c r="W955" s="84">
        <v>13.996499999999999</v>
      </c>
      <c r="X955" s="82">
        <v>0.35</v>
      </c>
      <c r="Y955" s="82"/>
      <c r="Z955" s="84">
        <v>13.996499999999999</v>
      </c>
      <c r="AA955" s="84">
        <v>27.992999999999999</v>
      </c>
      <c r="AB955" s="88" t="e">
        <v>#DIV/0!</v>
      </c>
      <c r="AC955" t="s">
        <v>4460</v>
      </c>
    </row>
    <row r="956" spans="3:29">
      <c r="C956" t="s">
        <v>4461</v>
      </c>
      <c r="D956" t="s">
        <v>4449</v>
      </c>
      <c r="E956" s="84">
        <v>60.99</v>
      </c>
      <c r="F956" s="84">
        <v>30.495000000000001</v>
      </c>
      <c r="G956" t="s">
        <v>4366</v>
      </c>
      <c r="H956" t="s">
        <v>4462</v>
      </c>
      <c r="I956" t="s">
        <v>950</v>
      </c>
      <c r="J956" t="s">
        <v>4463</v>
      </c>
      <c r="K956" t="s">
        <v>2564</v>
      </c>
      <c r="L956" t="s">
        <v>670</v>
      </c>
      <c r="N956">
        <v>12</v>
      </c>
      <c r="O956">
        <v>24</v>
      </c>
      <c r="P956">
        <v>3.4559999999999999E-3</v>
      </c>
      <c r="Q956" s="84" t="e">
        <v>#REF!</v>
      </c>
      <c r="R956" s="85"/>
      <c r="S956" s="85"/>
      <c r="T956" s="86">
        <v>0</v>
      </c>
      <c r="U956" s="84">
        <v>0</v>
      </c>
      <c r="V956" s="84">
        <v>42.692999999999998</v>
      </c>
      <c r="W956" s="84">
        <v>21.346499999999999</v>
      </c>
      <c r="X956" s="82">
        <v>0.35</v>
      </c>
      <c r="Y956" s="82"/>
      <c r="Z956" s="84">
        <v>21.346499999999999</v>
      </c>
      <c r="AA956" s="84">
        <v>42.692999999999998</v>
      </c>
      <c r="AB956" s="88" t="e">
        <v>#DIV/0!</v>
      </c>
      <c r="AC956" t="s">
        <v>4452</v>
      </c>
    </row>
    <row r="957" spans="3:29">
      <c r="C957" t="s">
        <v>4464</v>
      </c>
      <c r="E957" s="84"/>
      <c r="F957" s="82"/>
      <c r="R957" s="85"/>
      <c r="S957" s="85"/>
      <c r="T957" s="86"/>
      <c r="V957" s="84">
        <v>0</v>
      </c>
      <c r="W957" s="84">
        <v>0</v>
      </c>
      <c r="X957" s="82" t="e">
        <v>#DIV/0!</v>
      </c>
      <c r="Y957" s="82">
        <v>0</v>
      </c>
      <c r="Z957" s="82"/>
      <c r="AA957" s="82"/>
      <c r="AB957" s="88" t="e">
        <v>#DIV/0!</v>
      </c>
    </row>
    <row r="958" spans="3:29">
      <c r="C958" t="s">
        <v>4465</v>
      </c>
      <c r="D958" t="s">
        <v>4466</v>
      </c>
      <c r="E958" s="84">
        <v>54.99</v>
      </c>
      <c r="F958" s="84">
        <v>27.495000000000001</v>
      </c>
      <c r="G958" t="s">
        <v>4467</v>
      </c>
      <c r="H958" t="s">
        <v>4468</v>
      </c>
      <c r="I958" t="s">
        <v>4469</v>
      </c>
      <c r="J958" t="s">
        <v>4470</v>
      </c>
      <c r="K958" t="s">
        <v>4471</v>
      </c>
      <c r="L958" t="s">
        <v>670</v>
      </c>
      <c r="N958">
        <v>43</v>
      </c>
      <c r="O958">
        <v>9</v>
      </c>
      <c r="P958">
        <v>1.6641E-2</v>
      </c>
      <c r="Q958" s="84" t="e">
        <v>#REF!</v>
      </c>
      <c r="R958" s="85"/>
      <c r="S958" s="85"/>
      <c r="T958" s="86">
        <v>0</v>
      </c>
      <c r="U958" s="84">
        <v>0</v>
      </c>
      <c r="V958" s="84">
        <v>38.493000000000002</v>
      </c>
      <c r="W958" s="84">
        <v>19.246500000000001</v>
      </c>
      <c r="X958" s="82">
        <v>0.35</v>
      </c>
      <c r="Y958" s="82"/>
      <c r="Z958" s="84">
        <v>19.246500000000001</v>
      </c>
      <c r="AA958" s="84">
        <v>38.493000000000002</v>
      </c>
      <c r="AB958" s="88" t="e">
        <v>#DIV/0!</v>
      </c>
      <c r="AC958" t="s">
        <v>4472</v>
      </c>
    </row>
    <row r="959" spans="3:29">
      <c r="C959" t="s">
        <v>4473</v>
      </c>
      <c r="D959" t="s">
        <v>4474</v>
      </c>
      <c r="E959" s="84">
        <v>44.99</v>
      </c>
      <c r="F959" s="84">
        <v>22.495000000000001</v>
      </c>
      <c r="G959" t="s">
        <v>4467</v>
      </c>
      <c r="H959" t="s">
        <v>4475</v>
      </c>
      <c r="I959" t="s">
        <v>4476</v>
      </c>
      <c r="J959" t="s">
        <v>4477</v>
      </c>
      <c r="K959" t="s">
        <v>4478</v>
      </c>
      <c r="L959" t="s">
        <v>670</v>
      </c>
      <c r="M959">
        <v>15</v>
      </c>
      <c r="N959">
        <v>10</v>
      </c>
      <c r="O959">
        <v>2</v>
      </c>
      <c r="P959">
        <v>2.9999999999999997E-4</v>
      </c>
      <c r="Q959" s="84" t="e">
        <v>#REF!</v>
      </c>
      <c r="R959" s="85"/>
      <c r="S959" s="85"/>
      <c r="T959" s="86">
        <v>0</v>
      </c>
      <c r="U959" s="84">
        <v>0</v>
      </c>
      <c r="V959" s="84">
        <v>31.492999999999999</v>
      </c>
      <c r="W959" s="84">
        <v>15.746499999999999</v>
      </c>
      <c r="X959" s="82">
        <v>0.35</v>
      </c>
      <c r="Y959" s="82"/>
      <c r="Z959" s="84">
        <v>15.746499999999999</v>
      </c>
      <c r="AA959" s="84">
        <v>31.492999999999999</v>
      </c>
      <c r="AB959" s="88" t="e">
        <v>#DIV/0!</v>
      </c>
      <c r="AC959" t="s">
        <v>4479</v>
      </c>
    </row>
    <row r="960" spans="3:29">
      <c r="C960" t="s">
        <v>4480</v>
      </c>
      <c r="D960" t="s">
        <v>4481</v>
      </c>
      <c r="E960" s="84">
        <v>11.99</v>
      </c>
      <c r="F960" s="84">
        <v>5.9950000000000001</v>
      </c>
      <c r="G960" t="s">
        <v>4467</v>
      </c>
      <c r="H960" t="s">
        <v>4482</v>
      </c>
      <c r="I960" t="s">
        <v>982</v>
      </c>
      <c r="J960" t="s">
        <v>4483</v>
      </c>
      <c r="K960" t="s">
        <v>4484</v>
      </c>
      <c r="L960" t="s">
        <v>670</v>
      </c>
      <c r="M960">
        <v>8</v>
      </c>
      <c r="N960">
        <v>12</v>
      </c>
      <c r="O960">
        <v>1</v>
      </c>
      <c r="P960">
        <v>9.6000000000000002E-5</v>
      </c>
      <c r="Q960" s="84" t="e">
        <v>#REF!</v>
      </c>
      <c r="R960" s="85">
        <v>34.762994865701302</v>
      </c>
      <c r="S960" s="85">
        <v>26400</v>
      </c>
      <c r="T960" s="86">
        <v>26434.762994865701</v>
      </c>
      <c r="U960" s="84">
        <v>1.7623175329910501</v>
      </c>
      <c r="V960" s="84">
        <v>8.3930000000000007</v>
      </c>
      <c r="W960" s="84">
        <v>4.1965000000000003</v>
      </c>
      <c r="X960" s="82">
        <v>0.35</v>
      </c>
      <c r="Y960" s="82"/>
      <c r="Z960" s="84">
        <v>4.1965000000000003</v>
      </c>
      <c r="AA960" s="84">
        <v>8.3930000000000007</v>
      </c>
      <c r="AB960" s="88">
        <v>2.3812394312831899</v>
      </c>
      <c r="AC960" t="s">
        <v>4485</v>
      </c>
    </row>
    <row r="961" spans="3:29">
      <c r="C961" t="s">
        <v>4486</v>
      </c>
      <c r="D961" t="s">
        <v>4481</v>
      </c>
      <c r="E961" s="84">
        <v>17.989999999999998</v>
      </c>
      <c r="F961" s="84">
        <v>8.9949999999999992</v>
      </c>
      <c r="G961" t="s">
        <v>4467</v>
      </c>
      <c r="H961" t="s">
        <v>4487</v>
      </c>
      <c r="I961" t="s">
        <v>982</v>
      </c>
      <c r="J961" t="s">
        <v>4488</v>
      </c>
      <c r="K961" t="s">
        <v>4484</v>
      </c>
      <c r="L961" t="s">
        <v>670</v>
      </c>
      <c r="M961">
        <v>12</v>
      </c>
      <c r="N961">
        <v>18</v>
      </c>
      <c r="O961">
        <v>1</v>
      </c>
      <c r="P961">
        <v>2.1599999999999999E-4</v>
      </c>
      <c r="Q961" s="84" t="e">
        <v>#REF!</v>
      </c>
      <c r="R961" s="85">
        <v>104.28898459699801</v>
      </c>
      <c r="S961" s="85">
        <v>37400</v>
      </c>
      <c r="T961" s="86">
        <v>37504.288984596998</v>
      </c>
      <c r="U961" s="84">
        <v>2.5002859323064701</v>
      </c>
      <c r="V961" s="84">
        <v>12.593</v>
      </c>
      <c r="W961" s="84">
        <v>6.2965</v>
      </c>
      <c r="X961" s="82">
        <v>0.35</v>
      </c>
      <c r="Y961" s="82"/>
      <c r="Z961" s="84">
        <v>6.2965</v>
      </c>
      <c r="AA961" s="84">
        <v>12.593</v>
      </c>
      <c r="AB961" s="88">
        <v>2.51831197329963</v>
      </c>
      <c r="AC961" t="s">
        <v>4489</v>
      </c>
    </row>
    <row r="962" spans="3:29">
      <c r="C962" t="s">
        <v>4490</v>
      </c>
      <c r="D962" t="s">
        <v>4481</v>
      </c>
      <c r="E962" s="84">
        <v>26.99</v>
      </c>
      <c r="F962" s="84">
        <v>13.494999999999999</v>
      </c>
      <c r="G962" t="s">
        <v>4467</v>
      </c>
      <c r="H962" t="s">
        <v>4491</v>
      </c>
      <c r="I962" t="s">
        <v>982</v>
      </c>
      <c r="J962" t="s">
        <v>4492</v>
      </c>
      <c r="K962" t="s">
        <v>4484</v>
      </c>
      <c r="L962" t="s">
        <v>670</v>
      </c>
      <c r="M962">
        <v>19</v>
      </c>
      <c r="N962">
        <v>22</v>
      </c>
      <c r="O962">
        <v>1</v>
      </c>
      <c r="P962">
        <v>4.1800000000000002E-4</v>
      </c>
      <c r="Q962" s="84" t="e">
        <v>#REF!</v>
      </c>
      <c r="R962" s="85">
        <v>100.90924898510301</v>
      </c>
      <c r="S962" s="85">
        <v>52250</v>
      </c>
      <c r="T962" s="86">
        <v>52350.909248985103</v>
      </c>
      <c r="U962" s="84">
        <v>3.4900606165990098</v>
      </c>
      <c r="V962" s="84">
        <v>18.893000000000001</v>
      </c>
      <c r="W962" s="84">
        <v>9.4465000000000003</v>
      </c>
      <c r="X962" s="82">
        <v>0.35</v>
      </c>
      <c r="Y962" s="82"/>
      <c r="Z962" s="84">
        <v>9.4465000000000003</v>
      </c>
      <c r="AA962" s="84">
        <v>18.893000000000001</v>
      </c>
      <c r="AB962" s="88">
        <v>2.7066865128564501</v>
      </c>
      <c r="AC962" t="s">
        <v>4493</v>
      </c>
    </row>
    <row r="963" spans="3:29">
      <c r="C963" t="s">
        <v>4494</v>
      </c>
      <c r="D963" t="s">
        <v>4481</v>
      </c>
      <c r="E963" s="84">
        <v>28.99</v>
      </c>
      <c r="F963" s="84">
        <v>14.494999999999999</v>
      </c>
      <c r="G963" t="s">
        <v>4467</v>
      </c>
      <c r="H963" t="s">
        <v>4495</v>
      </c>
      <c r="I963" t="s">
        <v>982</v>
      </c>
      <c r="J963" t="s">
        <v>4496</v>
      </c>
      <c r="K963" t="s">
        <v>4484</v>
      </c>
      <c r="L963" t="s">
        <v>670</v>
      </c>
      <c r="M963">
        <v>20</v>
      </c>
      <c r="N963">
        <v>27</v>
      </c>
      <c r="O963">
        <v>1</v>
      </c>
      <c r="P963">
        <v>5.4000000000000001E-4</v>
      </c>
      <c r="Q963" s="84" t="e">
        <v>#REF!</v>
      </c>
      <c r="R963" s="85">
        <v>130.36123074630399</v>
      </c>
      <c r="S963" s="85">
        <v>74250</v>
      </c>
      <c r="T963" s="86">
        <v>74380.361230746304</v>
      </c>
      <c r="U963" s="84">
        <v>4.9586907487164202</v>
      </c>
      <c r="V963" s="84">
        <v>20.292999999999999</v>
      </c>
      <c r="W963" s="84">
        <v>10.1465</v>
      </c>
      <c r="X963" s="82">
        <v>0.35</v>
      </c>
      <c r="Y963" s="82"/>
      <c r="Z963" s="84">
        <v>10.1465</v>
      </c>
      <c r="AA963" s="84">
        <v>20.292999999999999</v>
      </c>
      <c r="AB963" s="88">
        <v>2.0462054429642502</v>
      </c>
      <c r="AC963" t="s">
        <v>4497</v>
      </c>
    </row>
    <row r="964" spans="3:29">
      <c r="C964" t="s">
        <v>4498</v>
      </c>
      <c r="D964" t="s">
        <v>4481</v>
      </c>
      <c r="E964" s="84">
        <v>39.99</v>
      </c>
      <c r="F964" s="84">
        <v>19.995000000000001</v>
      </c>
      <c r="G964" t="s">
        <v>4467</v>
      </c>
      <c r="H964" t="s">
        <v>4499</v>
      </c>
      <c r="I964" t="s">
        <v>982</v>
      </c>
      <c r="J964" t="s">
        <v>4500</v>
      </c>
      <c r="K964" t="s">
        <v>4484</v>
      </c>
      <c r="L964" t="s">
        <v>670</v>
      </c>
      <c r="M964">
        <v>24</v>
      </c>
      <c r="N964">
        <v>34</v>
      </c>
      <c r="O964">
        <v>1</v>
      </c>
      <c r="P964">
        <v>8.1599999999999999E-4</v>
      </c>
      <c r="Q964" s="84" t="e">
        <v>#REF!</v>
      </c>
      <c r="R964" s="85">
        <v>196.99030423880299</v>
      </c>
      <c r="S964" s="85">
        <v>90750</v>
      </c>
      <c r="T964" s="86">
        <v>90946.990304238803</v>
      </c>
      <c r="U964" s="84">
        <v>6.0631326869492499</v>
      </c>
      <c r="V964" s="84">
        <v>27.992999999999999</v>
      </c>
      <c r="W964" s="84">
        <v>13.996499999999999</v>
      </c>
      <c r="X964" s="82">
        <v>0.35</v>
      </c>
      <c r="Y964" s="82"/>
      <c r="Z964" s="84">
        <v>13.996499999999999</v>
      </c>
      <c r="AA964" s="84">
        <v>27.992999999999999</v>
      </c>
      <c r="AB964" s="88">
        <v>2.3084601183357099</v>
      </c>
      <c r="AC964" t="s">
        <v>4493</v>
      </c>
    </row>
    <row r="965" spans="3:29">
      <c r="C965" t="s">
        <v>4501</v>
      </c>
      <c r="D965" t="s">
        <v>4502</v>
      </c>
      <c r="E965" s="84">
        <v>14.99</v>
      </c>
      <c r="F965" s="84">
        <v>7.4950000000000001</v>
      </c>
      <c r="G965" t="s">
        <v>4467</v>
      </c>
      <c r="H965" t="s">
        <v>4503</v>
      </c>
      <c r="I965" t="s">
        <v>335</v>
      </c>
      <c r="J965" t="s">
        <v>4504</v>
      </c>
      <c r="K965" t="s">
        <v>4484</v>
      </c>
      <c r="L965" t="s">
        <v>670</v>
      </c>
      <c r="N965">
        <v>13</v>
      </c>
      <c r="O965">
        <v>2</v>
      </c>
      <c r="P965">
        <v>3.3799999999999998E-4</v>
      </c>
      <c r="Q965" s="84" t="e">
        <v>#REF!</v>
      </c>
      <c r="R965" s="85">
        <v>81.5964740596974</v>
      </c>
      <c r="S965" s="85">
        <v>33000</v>
      </c>
      <c r="T965" s="86">
        <v>33081.596474059697</v>
      </c>
      <c r="U965" s="84">
        <v>2.2054397649373101</v>
      </c>
      <c r="V965" s="84">
        <v>10.493</v>
      </c>
      <c r="W965" s="84">
        <v>5.2465000000000002</v>
      </c>
      <c r="X965" s="82">
        <v>0.35</v>
      </c>
      <c r="Y965" s="82"/>
      <c r="Z965" s="84">
        <v>5.2465000000000002</v>
      </c>
      <c r="AA965" s="84">
        <v>10.493</v>
      </c>
      <c r="AB965" s="88">
        <v>2.3788906337004998</v>
      </c>
      <c r="AC965" t="s">
        <v>4505</v>
      </c>
    </row>
    <row r="966" spans="3:29">
      <c r="C966" t="s">
        <v>4506</v>
      </c>
      <c r="D966" t="s">
        <v>4502</v>
      </c>
      <c r="E966" s="84">
        <v>16.989999999999998</v>
      </c>
      <c r="F966" s="84">
        <v>8.4949999999999992</v>
      </c>
      <c r="G966" t="s">
        <v>4467</v>
      </c>
      <c r="H966" t="s">
        <v>4507</v>
      </c>
      <c r="I966" t="s">
        <v>335</v>
      </c>
      <c r="J966" t="s">
        <v>4508</v>
      </c>
      <c r="K966" t="s">
        <v>4484</v>
      </c>
      <c r="L966" t="s">
        <v>670</v>
      </c>
      <c r="N966">
        <v>18</v>
      </c>
      <c r="O966">
        <v>2</v>
      </c>
      <c r="P966">
        <v>6.4800000000000003E-4</v>
      </c>
      <c r="Q966" s="84" t="e">
        <v>#REF!</v>
      </c>
      <c r="R966" s="85">
        <v>156.433476895501</v>
      </c>
      <c r="S966" s="85">
        <v>38500</v>
      </c>
      <c r="T966" s="86">
        <v>38656.433476895501</v>
      </c>
      <c r="U966" s="84">
        <v>2.5770955651263701</v>
      </c>
      <c r="V966" s="84">
        <v>11.893000000000001</v>
      </c>
      <c r="W966" s="84">
        <v>5.9465000000000003</v>
      </c>
      <c r="X966" s="82">
        <v>0.35</v>
      </c>
      <c r="Y966" s="82"/>
      <c r="Z966" s="84">
        <v>5.9465000000000003</v>
      </c>
      <c r="AA966" s="84">
        <v>11.893000000000001</v>
      </c>
      <c r="AB966" s="88">
        <v>2.3074425645943801</v>
      </c>
      <c r="AC966" t="s">
        <v>4509</v>
      </c>
    </row>
    <row r="967" spans="3:29">
      <c r="C967" t="s">
        <v>4510</v>
      </c>
      <c r="D967" t="s">
        <v>4502</v>
      </c>
      <c r="E967" s="84">
        <v>21.99</v>
      </c>
      <c r="F967" s="84">
        <v>10.994999999999999</v>
      </c>
      <c r="G967" t="s">
        <v>4467</v>
      </c>
      <c r="H967" t="s">
        <v>4511</v>
      </c>
      <c r="I967" t="s">
        <v>335</v>
      </c>
      <c r="J967" t="s">
        <v>4512</v>
      </c>
      <c r="K967" t="s">
        <v>4484</v>
      </c>
      <c r="L967" t="s">
        <v>670</v>
      </c>
      <c r="N967">
        <v>22</v>
      </c>
      <c r="O967">
        <v>2</v>
      </c>
      <c r="P967">
        <v>9.68E-4</v>
      </c>
      <c r="Q967" s="84" t="e">
        <v>#REF!</v>
      </c>
      <c r="R967" s="85">
        <v>233.68457659699899</v>
      </c>
      <c r="S967" s="85">
        <v>49500</v>
      </c>
      <c r="T967" s="86">
        <v>49733.684576596999</v>
      </c>
      <c r="U967" s="84">
        <v>3.3155789717731299</v>
      </c>
      <c r="V967" s="84">
        <v>15.393000000000001</v>
      </c>
      <c r="W967" s="84">
        <v>7.6965000000000003</v>
      </c>
      <c r="X967" s="82">
        <v>0.35</v>
      </c>
      <c r="Y967" s="82"/>
      <c r="Z967" s="84">
        <v>7.6965000000000003</v>
      </c>
      <c r="AA967" s="84">
        <v>15.393000000000001</v>
      </c>
      <c r="AB967" s="88">
        <v>2.32131403459951</v>
      </c>
      <c r="AC967" t="s">
        <v>4505</v>
      </c>
    </row>
    <row r="968" spans="3:29">
      <c r="C968" t="s">
        <v>4513</v>
      </c>
      <c r="D968" t="s">
        <v>4502</v>
      </c>
      <c r="E968" s="84">
        <v>31.99</v>
      </c>
      <c r="F968" s="84">
        <v>15.994999999999999</v>
      </c>
      <c r="G968" t="s">
        <v>4467</v>
      </c>
      <c r="H968" t="s">
        <v>4514</v>
      </c>
      <c r="I968" t="s">
        <v>335</v>
      </c>
      <c r="J968" t="s">
        <v>4515</v>
      </c>
      <c r="K968" t="s">
        <v>4484</v>
      </c>
      <c r="L968" t="s">
        <v>670</v>
      </c>
      <c r="N968">
        <v>27</v>
      </c>
      <c r="O968">
        <v>2</v>
      </c>
      <c r="P968">
        <v>1.4580000000000001E-3</v>
      </c>
      <c r="Q968" s="84" t="e">
        <v>#REF!</v>
      </c>
      <c r="R968" s="85">
        <v>351.97532301490702</v>
      </c>
      <c r="S968" s="85">
        <v>77000</v>
      </c>
      <c r="T968" s="86">
        <v>77351.975323014907</v>
      </c>
      <c r="U968" s="84">
        <v>5.1567983548676599</v>
      </c>
      <c r="V968" s="84">
        <v>22.393000000000001</v>
      </c>
      <c r="W968" s="84">
        <v>11.1965</v>
      </c>
      <c r="X968" s="82">
        <v>0.35</v>
      </c>
      <c r="Y968" s="82"/>
      <c r="Z968" s="84">
        <v>11.1965</v>
      </c>
      <c r="AA968" s="84">
        <v>22.393000000000001</v>
      </c>
      <c r="AB968" s="88">
        <v>2.1712115210848402</v>
      </c>
      <c r="AC968" t="s">
        <v>4509</v>
      </c>
    </row>
    <row r="969" spans="3:29">
      <c r="C969" t="s">
        <v>4516</v>
      </c>
      <c r="D969" t="s">
        <v>4502</v>
      </c>
      <c r="E969" s="84">
        <v>38.99</v>
      </c>
      <c r="F969" s="84">
        <v>19.495000000000001</v>
      </c>
      <c r="G969" t="s">
        <v>4467</v>
      </c>
      <c r="H969" t="s">
        <v>4517</v>
      </c>
      <c r="I969" t="s">
        <v>335</v>
      </c>
      <c r="J969" t="s">
        <v>4518</v>
      </c>
      <c r="K969" t="s">
        <v>4484</v>
      </c>
      <c r="L969" t="s">
        <v>670</v>
      </c>
      <c r="N969">
        <v>32</v>
      </c>
      <c r="O969">
        <v>2</v>
      </c>
      <c r="P969">
        <v>2.0479999999999999E-3</v>
      </c>
      <c r="Q969" s="84" t="e">
        <v>#REF!</v>
      </c>
      <c r="R969" s="85">
        <v>494.40703808960097</v>
      </c>
      <c r="S969" s="85">
        <v>93500</v>
      </c>
      <c r="T969" s="86">
        <v>93994.407038089601</v>
      </c>
      <c r="U969" s="84">
        <v>6.2662938025393098</v>
      </c>
      <c r="V969" s="84">
        <v>27.292999999999999</v>
      </c>
      <c r="W969" s="84">
        <v>13.6465</v>
      </c>
      <c r="X969" s="82">
        <v>0.35</v>
      </c>
      <c r="Y969" s="82"/>
      <c r="Z969" s="84">
        <v>13.6465</v>
      </c>
      <c r="AA969" s="84">
        <v>27.292999999999999</v>
      </c>
      <c r="AB969" s="88">
        <v>2.17776255471296</v>
      </c>
      <c r="AC969" t="s">
        <v>4505</v>
      </c>
    </row>
    <row r="970" spans="3:29">
      <c r="C970" t="s">
        <v>4519</v>
      </c>
      <c r="D970" t="s">
        <v>4520</v>
      </c>
      <c r="E970" s="84">
        <v>19.989999999999998</v>
      </c>
      <c r="F970" s="84">
        <v>9.9949999999999992</v>
      </c>
      <c r="G970" t="s">
        <v>4467</v>
      </c>
      <c r="H970" t="s">
        <v>4521</v>
      </c>
      <c r="I970" t="s">
        <v>425</v>
      </c>
      <c r="J970" t="s">
        <v>4522</v>
      </c>
      <c r="K970" t="s">
        <v>3413</v>
      </c>
      <c r="L970" t="s">
        <v>670</v>
      </c>
      <c r="M970">
        <v>13.5</v>
      </c>
      <c r="N970">
        <v>17</v>
      </c>
      <c r="O970">
        <v>1</v>
      </c>
      <c r="P970">
        <v>2.2949999999999999E-4</v>
      </c>
      <c r="Q970" s="84" t="e">
        <v>#REF!</v>
      </c>
      <c r="R970" s="85">
        <v>55.403523067201597</v>
      </c>
      <c r="S970" s="85">
        <v>44000</v>
      </c>
      <c r="T970" s="86">
        <v>44055.403523067202</v>
      </c>
      <c r="U970" s="84">
        <v>2.9370269015378101</v>
      </c>
      <c r="V970" s="84">
        <v>13.993</v>
      </c>
      <c r="W970" s="84">
        <v>6.9965000000000002</v>
      </c>
      <c r="X970" s="82">
        <v>0.35</v>
      </c>
      <c r="Y970" s="82"/>
      <c r="Z970" s="84">
        <v>6.9965000000000002</v>
      </c>
      <c r="AA970" s="84">
        <v>13.993</v>
      </c>
      <c r="AB970" s="88">
        <v>2.38217089408908</v>
      </c>
      <c r="AC970" t="s">
        <v>4523</v>
      </c>
    </row>
    <row r="971" spans="3:29">
      <c r="C971" t="s">
        <v>4524</v>
      </c>
      <c r="D971" t="s">
        <v>4520</v>
      </c>
      <c r="E971" s="84">
        <v>29.99</v>
      </c>
      <c r="F971" s="84">
        <v>14.994999999999999</v>
      </c>
      <c r="G971" t="s">
        <v>4467</v>
      </c>
      <c r="H971" t="s">
        <v>4525</v>
      </c>
      <c r="I971" t="s">
        <v>425</v>
      </c>
      <c r="J971" t="s">
        <v>4526</v>
      </c>
      <c r="K971" t="s">
        <v>3413</v>
      </c>
      <c r="L971" t="s">
        <v>670</v>
      </c>
      <c r="M971">
        <v>13</v>
      </c>
      <c r="N971">
        <v>23</v>
      </c>
      <c r="O971">
        <v>1</v>
      </c>
      <c r="P971">
        <v>2.99E-4</v>
      </c>
      <c r="Q971" s="84" t="e">
        <v>#REF!</v>
      </c>
      <c r="R971" s="85">
        <v>72.181496283607004</v>
      </c>
      <c r="S971" s="85">
        <v>66000</v>
      </c>
      <c r="T971" s="86">
        <v>66072.181496283607</v>
      </c>
      <c r="U971" s="84">
        <v>4.40481209975224</v>
      </c>
      <c r="V971" s="84">
        <v>20.992999999999999</v>
      </c>
      <c r="W971" s="84">
        <v>10.496499999999999</v>
      </c>
      <c r="X971" s="82">
        <v>0.35</v>
      </c>
      <c r="Y971" s="82"/>
      <c r="Z971" s="84">
        <v>10.496499999999999</v>
      </c>
      <c r="AA971" s="84">
        <v>20.992999999999999</v>
      </c>
      <c r="AB971" s="88">
        <v>2.38296203386074</v>
      </c>
      <c r="AC971" t="s">
        <v>4527</v>
      </c>
    </row>
    <row r="972" spans="3:29">
      <c r="C972" t="s">
        <v>4528</v>
      </c>
      <c r="D972" t="s">
        <v>4520</v>
      </c>
      <c r="E972" s="84">
        <v>60.99</v>
      </c>
      <c r="F972" s="84">
        <v>30.495000000000001</v>
      </c>
      <c r="G972" t="s">
        <v>4467</v>
      </c>
      <c r="H972" t="s">
        <v>4529</v>
      </c>
      <c r="I972" t="s">
        <v>425</v>
      </c>
      <c r="J972" t="s">
        <v>4530</v>
      </c>
      <c r="K972" t="s">
        <v>3413</v>
      </c>
      <c r="L972" t="s">
        <v>670</v>
      </c>
      <c r="M972">
        <v>13</v>
      </c>
      <c r="N972">
        <v>29</v>
      </c>
      <c r="O972">
        <v>1</v>
      </c>
      <c r="P972">
        <v>3.77E-4</v>
      </c>
      <c r="Q972" s="84" t="e">
        <v>#REF!</v>
      </c>
      <c r="R972" s="85">
        <v>91.011451836006003</v>
      </c>
      <c r="S972" s="85">
        <v>137500</v>
      </c>
      <c r="T972" s="86">
        <v>137591.01145183601</v>
      </c>
      <c r="U972" s="84">
        <v>9.1727340967890694</v>
      </c>
      <c r="V972" s="84">
        <v>42.692999999999998</v>
      </c>
      <c r="W972" s="84">
        <v>21.346499999999999</v>
      </c>
      <c r="X972" s="82">
        <v>0.35</v>
      </c>
      <c r="Y972" s="82"/>
      <c r="Z972" s="84">
        <v>21.346499999999999</v>
      </c>
      <c r="AA972" s="84">
        <v>42.692999999999998</v>
      </c>
      <c r="AB972" s="88">
        <v>2.3271687345076701</v>
      </c>
      <c r="AC972" t="s">
        <v>4531</v>
      </c>
    </row>
    <row r="973" spans="3:29">
      <c r="C973" t="s">
        <v>4532</v>
      </c>
      <c r="D973" t="s">
        <v>2914</v>
      </c>
      <c r="E973" s="84">
        <v>21.99</v>
      </c>
      <c r="F973" s="84">
        <v>10.994999999999999</v>
      </c>
      <c r="G973" t="s">
        <v>4467</v>
      </c>
      <c r="H973" t="s">
        <v>4533</v>
      </c>
      <c r="I973" t="s">
        <v>442</v>
      </c>
      <c r="J973" t="s">
        <v>4534</v>
      </c>
      <c r="K973" t="s">
        <v>2866</v>
      </c>
      <c r="L973" t="s">
        <v>670</v>
      </c>
      <c r="N973">
        <v>25</v>
      </c>
      <c r="O973">
        <v>2</v>
      </c>
      <c r="P973">
        <v>1.25E-3</v>
      </c>
      <c r="Q973" s="84" t="e">
        <v>#REF!</v>
      </c>
      <c r="R973" s="85"/>
      <c r="S973" s="85"/>
      <c r="T973" s="86">
        <v>0</v>
      </c>
      <c r="U973" s="84">
        <v>0</v>
      </c>
      <c r="V973" s="84">
        <v>15.393000000000001</v>
      </c>
      <c r="W973" s="84">
        <v>7.6965000000000003</v>
      </c>
      <c r="X973" s="82">
        <v>0.35</v>
      </c>
      <c r="Y973" s="82"/>
      <c r="Z973" s="84">
        <v>7.6965000000000003</v>
      </c>
      <c r="AA973" s="84">
        <v>15.393000000000001</v>
      </c>
      <c r="AB973" s="88" t="e">
        <v>#DIV/0!</v>
      </c>
      <c r="AC973" t="s">
        <v>4535</v>
      </c>
    </row>
    <row r="974" spans="3:29">
      <c r="C974" t="s">
        <v>4536</v>
      </c>
      <c r="D974" t="s">
        <v>2914</v>
      </c>
      <c r="E974" s="84">
        <v>24.99</v>
      </c>
      <c r="F974" s="84">
        <v>12.494999999999999</v>
      </c>
      <c r="G974" t="s">
        <v>4467</v>
      </c>
      <c r="H974" t="s">
        <v>4537</v>
      </c>
      <c r="I974" t="s">
        <v>442</v>
      </c>
      <c r="J974" t="s">
        <v>4538</v>
      </c>
      <c r="K974" t="s">
        <v>2866</v>
      </c>
      <c r="L974" t="s">
        <v>670</v>
      </c>
      <c r="N974">
        <v>30</v>
      </c>
      <c r="O974">
        <v>2</v>
      </c>
      <c r="P974">
        <v>1.8E-3</v>
      </c>
      <c r="Q974" s="84" t="e">
        <v>#REF!</v>
      </c>
      <c r="R974" s="85">
        <v>434.53743582090101</v>
      </c>
      <c r="S974" s="85">
        <v>38500</v>
      </c>
      <c r="T974" s="86">
        <v>38934.537435820901</v>
      </c>
      <c r="U974" s="84">
        <v>2.5956358290547299</v>
      </c>
      <c r="V974" s="84">
        <v>17.492999999999999</v>
      </c>
      <c r="W974" s="84">
        <v>8.7464999999999993</v>
      </c>
      <c r="X974" s="82">
        <v>0.35</v>
      </c>
      <c r="Y974" s="82"/>
      <c r="Z974" s="84">
        <v>8.7464999999999993</v>
      </c>
      <c r="AA974" s="84">
        <v>17.492999999999999</v>
      </c>
      <c r="AB974" s="88">
        <v>3.3696945858484599</v>
      </c>
      <c r="AC974" t="s">
        <v>4539</v>
      </c>
    </row>
    <row r="975" spans="3:29">
      <c r="C975" t="s">
        <v>4540</v>
      </c>
      <c r="D975" t="s">
        <v>2914</v>
      </c>
      <c r="E975" s="84">
        <v>25.99</v>
      </c>
      <c r="F975" s="84">
        <v>12.994999999999999</v>
      </c>
      <c r="G975" t="s">
        <v>4467</v>
      </c>
      <c r="H975" t="s">
        <v>4541</v>
      </c>
      <c r="I975" t="s">
        <v>442</v>
      </c>
      <c r="J975" t="s">
        <v>4542</v>
      </c>
      <c r="K975" t="s">
        <v>2866</v>
      </c>
      <c r="L975" t="s">
        <v>670</v>
      </c>
      <c r="N975">
        <v>32</v>
      </c>
      <c r="O975">
        <v>2</v>
      </c>
      <c r="P975">
        <v>2.0479999999999999E-3</v>
      </c>
      <c r="Q975" s="84" t="e">
        <v>#REF!</v>
      </c>
      <c r="R975" s="85">
        <v>494.40703808960097</v>
      </c>
      <c r="S975" s="85">
        <v>41250</v>
      </c>
      <c r="T975" s="86">
        <v>41744.407038089601</v>
      </c>
      <c r="U975" s="84">
        <v>2.7829604692059702</v>
      </c>
      <c r="V975" s="84">
        <v>18.193000000000001</v>
      </c>
      <c r="W975" s="84">
        <v>9.0965000000000007</v>
      </c>
      <c r="X975" s="82">
        <v>0.35</v>
      </c>
      <c r="Y975" s="82"/>
      <c r="Z975" s="84">
        <v>9.0965000000000007</v>
      </c>
      <c r="AA975" s="84">
        <v>18.193000000000001</v>
      </c>
      <c r="AB975" s="88">
        <v>3.2686414703531099</v>
      </c>
      <c r="AC975" t="s">
        <v>4543</v>
      </c>
    </row>
    <row r="976" spans="3:29">
      <c r="C976" t="s">
        <v>2071</v>
      </c>
      <c r="D976" t="s">
        <v>2072</v>
      </c>
      <c r="E976" s="84">
        <v>11.99</v>
      </c>
      <c r="F976" s="84">
        <v>5.9950000000000001</v>
      </c>
      <c r="G976" t="s">
        <v>4467</v>
      </c>
      <c r="H976" t="s">
        <v>4544</v>
      </c>
      <c r="I976" t="s">
        <v>279</v>
      </c>
      <c r="J976" t="s">
        <v>2075</v>
      </c>
      <c r="K976" t="s">
        <v>2973</v>
      </c>
      <c r="L976" t="s">
        <v>646</v>
      </c>
      <c r="M976">
        <v>12</v>
      </c>
      <c r="N976">
        <v>12</v>
      </c>
      <c r="O976">
        <v>6</v>
      </c>
      <c r="P976">
        <v>8.6399999999999997E-4</v>
      </c>
      <c r="Q976" s="84" t="e">
        <v>#REF!</v>
      </c>
      <c r="R976" s="85"/>
      <c r="S976" s="85"/>
      <c r="T976" s="86">
        <v>0</v>
      </c>
      <c r="U976" s="84">
        <v>0</v>
      </c>
      <c r="V976" s="84">
        <v>8.3930000000000007</v>
      </c>
      <c r="W976" s="84">
        <v>4.1965000000000003</v>
      </c>
      <c r="X976" s="82">
        <v>0.35</v>
      </c>
      <c r="Y976" s="82"/>
      <c r="Z976" s="84">
        <v>4.1965000000000003</v>
      </c>
      <c r="AA976" s="84">
        <v>8.3930000000000007</v>
      </c>
      <c r="AB976" s="88" t="e">
        <v>#DIV/0!</v>
      </c>
      <c r="AC976" t="s">
        <v>4545</v>
      </c>
    </row>
    <row r="977" spans="3:29">
      <c r="C977" t="s">
        <v>2078</v>
      </c>
      <c r="D977" t="s">
        <v>2072</v>
      </c>
      <c r="E977" s="84">
        <v>17.989999999999998</v>
      </c>
      <c r="F977" s="84">
        <v>8.9949999999999992</v>
      </c>
      <c r="G977" t="s">
        <v>4467</v>
      </c>
      <c r="H977" t="s">
        <v>4546</v>
      </c>
      <c r="I977" t="s">
        <v>279</v>
      </c>
      <c r="J977" t="s">
        <v>2081</v>
      </c>
      <c r="K977" t="s">
        <v>2973</v>
      </c>
      <c r="L977" t="s">
        <v>646</v>
      </c>
      <c r="M977">
        <v>18</v>
      </c>
      <c r="N977">
        <v>18</v>
      </c>
      <c r="O977">
        <v>6</v>
      </c>
      <c r="P977">
        <v>1.944E-3</v>
      </c>
      <c r="Q977" s="84" t="e">
        <v>#REF!</v>
      </c>
      <c r="R977" s="85"/>
      <c r="S977" s="85"/>
      <c r="T977" s="86">
        <v>0</v>
      </c>
      <c r="U977" s="84">
        <v>0</v>
      </c>
      <c r="V977" s="84">
        <v>12.593</v>
      </c>
      <c r="W977" s="84">
        <v>6.2965</v>
      </c>
      <c r="X977" s="82">
        <v>0.35</v>
      </c>
      <c r="Y977" s="82"/>
      <c r="Z977" s="84">
        <v>6.2965</v>
      </c>
      <c r="AA977" s="84">
        <v>12.593</v>
      </c>
      <c r="AB977" s="88" t="e">
        <v>#DIV/0!</v>
      </c>
      <c r="AC977" t="s">
        <v>4547</v>
      </c>
    </row>
    <row r="978" spans="3:29">
      <c r="C978" t="s">
        <v>2083</v>
      </c>
      <c r="D978" t="s">
        <v>2072</v>
      </c>
      <c r="E978" s="84">
        <v>44.99</v>
      </c>
      <c r="F978" s="84">
        <v>22.495000000000001</v>
      </c>
      <c r="G978" t="s">
        <v>4467</v>
      </c>
      <c r="H978" t="s">
        <v>4548</v>
      </c>
      <c r="I978" t="s">
        <v>279</v>
      </c>
      <c r="J978" t="s">
        <v>2086</v>
      </c>
      <c r="K978" t="s">
        <v>2973</v>
      </c>
      <c r="L978" t="s">
        <v>646</v>
      </c>
      <c r="M978">
        <v>28</v>
      </c>
      <c r="N978">
        <v>28</v>
      </c>
      <c r="O978">
        <v>6</v>
      </c>
      <c r="P978">
        <v>4.7039999999999998E-3</v>
      </c>
      <c r="Q978" s="84" t="e">
        <v>#REF!</v>
      </c>
      <c r="R978" s="85"/>
      <c r="S978" s="85"/>
      <c r="T978" s="86">
        <v>0</v>
      </c>
      <c r="U978" s="84">
        <v>0</v>
      </c>
      <c r="V978" s="84">
        <v>31.492999999999999</v>
      </c>
      <c r="W978" s="84">
        <v>15.746499999999999</v>
      </c>
      <c r="X978" s="82">
        <v>0.35</v>
      </c>
      <c r="Y978" s="82"/>
      <c r="Z978" s="84">
        <v>15.746499999999999</v>
      </c>
      <c r="AA978" s="84">
        <v>31.492999999999999</v>
      </c>
      <c r="AB978" s="88" t="e">
        <v>#DIV/0!</v>
      </c>
      <c r="AC978" t="s">
        <v>4549</v>
      </c>
    </row>
    <row r="979" spans="3:29">
      <c r="C979" t="s">
        <v>2088</v>
      </c>
      <c r="D979" t="s">
        <v>2089</v>
      </c>
      <c r="E979" s="84">
        <v>29.99</v>
      </c>
      <c r="F979" s="84">
        <v>14.994999999999999</v>
      </c>
      <c r="G979" t="s">
        <v>4467</v>
      </c>
      <c r="H979" t="s">
        <v>4550</v>
      </c>
      <c r="I979" t="s">
        <v>271</v>
      </c>
      <c r="J979" t="s">
        <v>2092</v>
      </c>
      <c r="K979" t="s">
        <v>2973</v>
      </c>
      <c r="L979" t="s">
        <v>646</v>
      </c>
      <c r="M979">
        <v>24</v>
      </c>
      <c r="N979">
        <v>16</v>
      </c>
      <c r="O979">
        <v>6</v>
      </c>
      <c r="P979">
        <v>2.3040000000000001E-3</v>
      </c>
      <c r="Q979" s="84" t="e">
        <v>#REF!</v>
      </c>
      <c r="R979" s="85"/>
      <c r="S979" s="85"/>
      <c r="T979" s="86">
        <v>0</v>
      </c>
      <c r="U979" s="84">
        <v>0</v>
      </c>
      <c r="V979" s="84">
        <v>20.992999999999999</v>
      </c>
      <c r="W979" s="84">
        <v>10.496499999999999</v>
      </c>
      <c r="X979" s="82">
        <v>0.35</v>
      </c>
      <c r="Y979" s="82"/>
      <c r="Z979" s="84">
        <v>10.496499999999999</v>
      </c>
      <c r="AA979" s="84">
        <v>20.992999999999999</v>
      </c>
      <c r="AB979" s="88" t="e">
        <v>#DIV/0!</v>
      </c>
      <c r="AC979" t="s">
        <v>4551</v>
      </c>
    </row>
    <row r="980" spans="3:29">
      <c r="C980" t="s">
        <v>2094</v>
      </c>
      <c r="D980" t="s">
        <v>2089</v>
      </c>
      <c r="E980" s="84">
        <v>58.99</v>
      </c>
      <c r="F980" s="84">
        <v>29.495000000000001</v>
      </c>
      <c r="G980" t="s">
        <v>4467</v>
      </c>
      <c r="H980" t="s">
        <v>4552</v>
      </c>
      <c r="I980" t="s">
        <v>271</v>
      </c>
      <c r="J980" t="s">
        <v>2097</v>
      </c>
      <c r="K980" t="s">
        <v>2973</v>
      </c>
      <c r="L980" t="s">
        <v>646</v>
      </c>
      <c r="M980">
        <v>40</v>
      </c>
      <c r="N980">
        <v>30</v>
      </c>
      <c r="O980">
        <v>6</v>
      </c>
      <c r="P980">
        <v>7.1999999999999998E-3</v>
      </c>
      <c r="Q980" s="84" t="e">
        <v>#REF!</v>
      </c>
      <c r="R980" s="85"/>
      <c r="S980" s="85"/>
      <c r="T980" s="86">
        <v>0</v>
      </c>
      <c r="U980" s="84">
        <v>0</v>
      </c>
      <c r="V980" s="84">
        <v>41.292999999999999</v>
      </c>
      <c r="W980" s="84">
        <v>20.6465</v>
      </c>
      <c r="X980" s="82">
        <v>0.35</v>
      </c>
      <c r="Y980" s="82"/>
      <c r="Z980" s="84">
        <v>20.6465</v>
      </c>
      <c r="AA980" s="84">
        <v>41.292999999999999</v>
      </c>
      <c r="AB980" s="88" t="e">
        <v>#DIV/0!</v>
      </c>
      <c r="AC980" t="s">
        <v>4553</v>
      </c>
    </row>
    <row r="981" spans="3:29">
      <c r="C981" t="s">
        <v>2099</v>
      </c>
      <c r="D981" t="s">
        <v>2089</v>
      </c>
      <c r="E981" s="84">
        <v>76.989999999999995</v>
      </c>
      <c r="F981" s="84">
        <v>38.494999999999997</v>
      </c>
      <c r="G981" t="s">
        <v>4467</v>
      </c>
      <c r="H981" t="s">
        <v>4554</v>
      </c>
      <c r="I981" t="s">
        <v>271</v>
      </c>
      <c r="J981" t="s">
        <v>2102</v>
      </c>
      <c r="K981" t="s">
        <v>2973</v>
      </c>
      <c r="L981" t="s">
        <v>646</v>
      </c>
      <c r="M981">
        <v>60</v>
      </c>
      <c r="N981">
        <v>22</v>
      </c>
      <c r="O981">
        <v>6</v>
      </c>
      <c r="P981">
        <v>7.92E-3</v>
      </c>
      <c r="Q981" s="84" t="e">
        <v>#REF!</v>
      </c>
      <c r="R981" s="85"/>
      <c r="S981" s="85"/>
      <c r="T981" s="86">
        <v>0</v>
      </c>
      <c r="U981" s="84">
        <v>0</v>
      </c>
      <c r="V981" s="84">
        <v>53.893000000000001</v>
      </c>
      <c r="W981" s="84">
        <v>26.9465</v>
      </c>
      <c r="X981" s="82">
        <v>0.35</v>
      </c>
      <c r="Y981" s="82"/>
      <c r="Z981" s="84">
        <v>26.9465</v>
      </c>
      <c r="AA981" s="84">
        <v>53.893000000000001</v>
      </c>
      <c r="AB981" s="88" t="e">
        <v>#DIV/0!</v>
      </c>
      <c r="AC981" t="s">
        <v>4551</v>
      </c>
    </row>
    <row r="982" spans="3:29">
      <c r="C982" t="s">
        <v>2104</v>
      </c>
      <c r="D982" t="s">
        <v>2105</v>
      </c>
      <c r="E982" s="84">
        <v>17.989999999999998</v>
      </c>
      <c r="F982" s="84">
        <v>8.9949999999999992</v>
      </c>
      <c r="G982" t="s">
        <v>4467</v>
      </c>
      <c r="H982" t="s">
        <v>4555</v>
      </c>
      <c r="I982" t="s">
        <v>275</v>
      </c>
      <c r="J982" t="s">
        <v>4556</v>
      </c>
      <c r="K982" t="s">
        <v>2973</v>
      </c>
      <c r="L982" t="s">
        <v>646</v>
      </c>
      <c r="N982">
        <v>18</v>
      </c>
      <c r="O982">
        <v>6</v>
      </c>
      <c r="P982">
        <v>1.944E-3</v>
      </c>
      <c r="Q982" s="84" t="e">
        <v>#REF!</v>
      </c>
      <c r="R982" s="85">
        <v>6799.6504306866</v>
      </c>
      <c r="S982" s="85">
        <v>33000</v>
      </c>
      <c r="T982" s="86">
        <v>39799.650430686597</v>
      </c>
      <c r="U982" s="84">
        <v>2.6533100287124398</v>
      </c>
      <c r="V982" s="84">
        <v>12.593</v>
      </c>
      <c r="W982" s="84">
        <v>6.2965</v>
      </c>
      <c r="X982" s="82">
        <v>0.35</v>
      </c>
      <c r="Y982" s="82"/>
      <c r="Z982" s="84">
        <v>6.2965</v>
      </c>
      <c r="AA982" s="84">
        <v>12.593</v>
      </c>
      <c r="AB982" s="88">
        <v>2.3730736068771701</v>
      </c>
      <c r="AC982" t="s">
        <v>4557</v>
      </c>
    </row>
    <row r="983" spans="3:29">
      <c r="C983" t="s">
        <v>2110</v>
      </c>
      <c r="D983" t="s">
        <v>2105</v>
      </c>
      <c r="E983" s="84">
        <v>36.99</v>
      </c>
      <c r="F983" s="84">
        <v>18.495000000000001</v>
      </c>
      <c r="G983" t="s">
        <v>4467</v>
      </c>
      <c r="H983" t="s">
        <v>4558</v>
      </c>
      <c r="I983" t="s">
        <v>275</v>
      </c>
      <c r="J983" t="s">
        <v>4559</v>
      </c>
      <c r="K983" t="s">
        <v>2973</v>
      </c>
      <c r="L983" t="s">
        <v>646</v>
      </c>
      <c r="N983">
        <v>26</v>
      </c>
      <c r="O983">
        <v>6</v>
      </c>
      <c r="P983">
        <v>4.0559999999999997E-3</v>
      </c>
      <c r="Q983" s="84" t="e">
        <v>#REF!</v>
      </c>
      <c r="R983" s="85">
        <v>14520</v>
      </c>
      <c r="S983" s="85">
        <v>72600</v>
      </c>
      <c r="T983" s="86">
        <v>87120</v>
      </c>
      <c r="U983" s="84">
        <v>5.8079999999999998</v>
      </c>
      <c r="V983" s="84">
        <v>25.893000000000001</v>
      </c>
      <c r="W983" s="84">
        <v>12.9465</v>
      </c>
      <c r="X983" s="82">
        <v>0.35</v>
      </c>
      <c r="Y983" s="87"/>
      <c r="Z983" s="84">
        <v>12.9465</v>
      </c>
      <c r="AA983" s="84">
        <v>25.893000000000001</v>
      </c>
      <c r="AB983" s="88">
        <v>2.2290805785123999</v>
      </c>
      <c r="AC983" t="s">
        <v>4560</v>
      </c>
    </row>
    <row r="984" spans="3:29">
      <c r="C984" t="s">
        <v>4561</v>
      </c>
      <c r="D984" t="s">
        <v>4562</v>
      </c>
      <c r="E984" s="84">
        <v>47.99</v>
      </c>
      <c r="F984" s="84">
        <v>23.995000000000001</v>
      </c>
      <c r="G984" t="s">
        <v>4467</v>
      </c>
      <c r="H984" t="s">
        <v>4563</v>
      </c>
      <c r="I984" t="s">
        <v>4564</v>
      </c>
      <c r="J984" t="s">
        <v>4565</v>
      </c>
      <c r="K984" t="s">
        <v>2407</v>
      </c>
      <c r="L984" t="s">
        <v>646</v>
      </c>
      <c r="M984">
        <v>32</v>
      </c>
      <c r="N984">
        <v>16</v>
      </c>
      <c r="O984">
        <v>5</v>
      </c>
      <c r="P984">
        <v>2.5600000000000002E-3</v>
      </c>
      <c r="Q984" s="84" t="e">
        <v>#REF!</v>
      </c>
      <c r="R984" s="85">
        <v>15083.934897313</v>
      </c>
      <c r="S984" s="85">
        <v>150000</v>
      </c>
      <c r="T984" s="86">
        <v>165083.93489731301</v>
      </c>
      <c r="U984" s="84">
        <v>11.0055956598209</v>
      </c>
      <c r="V984" s="84">
        <v>33.593000000000004</v>
      </c>
      <c r="W984" s="84">
        <v>16.796500000000002</v>
      </c>
      <c r="X984" s="82">
        <v>0.35</v>
      </c>
      <c r="Y984" s="87">
        <v>22.0111913196417</v>
      </c>
      <c r="Z984" s="84">
        <v>22.0111913196417</v>
      </c>
      <c r="AA984" s="84">
        <v>44.022382639283499</v>
      </c>
      <c r="AB984" s="88">
        <v>2</v>
      </c>
      <c r="AC984" t="s">
        <v>4566</v>
      </c>
    </row>
    <row r="985" spans="3:29">
      <c r="C985" t="s">
        <v>4567</v>
      </c>
      <c r="D985" t="s">
        <v>4568</v>
      </c>
      <c r="E985" s="84">
        <v>36.99</v>
      </c>
      <c r="F985" s="84">
        <v>18.495000000000001</v>
      </c>
      <c r="G985" t="s">
        <v>4467</v>
      </c>
      <c r="H985" t="s">
        <v>4569</v>
      </c>
      <c r="I985" t="s">
        <v>873</v>
      </c>
      <c r="J985" t="s">
        <v>4570</v>
      </c>
      <c r="K985" t="s">
        <v>2407</v>
      </c>
      <c r="L985" t="s">
        <v>646</v>
      </c>
      <c r="M985">
        <v>30</v>
      </c>
      <c r="N985">
        <v>20</v>
      </c>
      <c r="O985">
        <v>4</v>
      </c>
      <c r="P985">
        <v>2.3999999999999998E-3</v>
      </c>
      <c r="Q985" s="84" t="e">
        <v>#REF!</v>
      </c>
      <c r="R985" s="85">
        <v>4546.8568502457101</v>
      </c>
      <c r="S985" s="85">
        <v>80000</v>
      </c>
      <c r="T985" s="86">
        <v>84546.856850245706</v>
      </c>
      <c r="U985" s="84">
        <v>5.6364571233497101</v>
      </c>
      <c r="V985" s="84">
        <v>25.893000000000001</v>
      </c>
      <c r="W985" s="84">
        <v>12.9465</v>
      </c>
      <c r="X985" s="82">
        <v>0.35</v>
      </c>
      <c r="Y985" s="82"/>
      <c r="Z985" s="84">
        <v>12.9465</v>
      </c>
      <c r="AA985" s="84">
        <v>25.893000000000001</v>
      </c>
      <c r="AB985" s="88">
        <v>2.2969215797575302</v>
      </c>
      <c r="AC985" t="s">
        <v>4571</v>
      </c>
    </row>
    <row r="986" spans="3:29">
      <c r="C986" t="s">
        <v>4572</v>
      </c>
      <c r="D986" t="s">
        <v>4568</v>
      </c>
      <c r="E986" s="84">
        <v>38.99</v>
      </c>
      <c r="F986" s="84">
        <v>19.495000000000001</v>
      </c>
      <c r="G986" t="s">
        <v>4467</v>
      </c>
      <c r="H986" t="s">
        <v>4573</v>
      </c>
      <c r="I986" t="s">
        <v>873</v>
      </c>
      <c r="J986" t="s">
        <v>4574</v>
      </c>
      <c r="K986" t="s">
        <v>2407</v>
      </c>
      <c r="L986" t="s">
        <v>646</v>
      </c>
      <c r="M986">
        <v>37</v>
      </c>
      <c r="N986">
        <v>20</v>
      </c>
      <c r="O986">
        <v>4</v>
      </c>
      <c r="P986">
        <v>2.96E-3</v>
      </c>
      <c r="Q986" s="84" t="e">
        <v>#REF!</v>
      </c>
      <c r="R986" s="85">
        <v>5507.7060055720904</v>
      </c>
      <c r="S986" s="85">
        <v>90000</v>
      </c>
      <c r="T986" s="86">
        <v>95507.706005572094</v>
      </c>
      <c r="U986" s="84">
        <v>6.3671804003714696</v>
      </c>
      <c r="V986" s="84">
        <v>27.292999999999999</v>
      </c>
      <c r="W986" s="84">
        <v>13.6465</v>
      </c>
      <c r="X986" s="82">
        <v>0.35</v>
      </c>
      <c r="Y986" s="82"/>
      <c r="Z986" s="84">
        <v>13.6465</v>
      </c>
      <c r="AA986" s="84">
        <v>27.292999999999999</v>
      </c>
      <c r="AB986" s="88">
        <v>2.1432563775331102</v>
      </c>
      <c r="AC986" t="s">
        <v>4571</v>
      </c>
    </row>
    <row r="987" spans="3:29">
      <c r="C987" t="s">
        <v>4575</v>
      </c>
      <c r="D987" t="s">
        <v>4568</v>
      </c>
      <c r="E987" s="84">
        <v>88.99</v>
      </c>
      <c r="F987" s="84">
        <v>44.494999999999997</v>
      </c>
      <c r="G987" t="s">
        <v>4467</v>
      </c>
      <c r="H987" t="s">
        <v>4576</v>
      </c>
      <c r="I987" t="s">
        <v>873</v>
      </c>
      <c r="J987" t="s">
        <v>4577</v>
      </c>
      <c r="K987" t="s">
        <v>2407</v>
      </c>
      <c r="L987" t="s">
        <v>646</v>
      </c>
      <c r="M987">
        <v>45</v>
      </c>
      <c r="N987">
        <v>25</v>
      </c>
      <c r="O987">
        <v>4</v>
      </c>
      <c r="P987">
        <v>4.4999999999999997E-3</v>
      </c>
      <c r="Q987" s="84" t="e">
        <v>#REF!</v>
      </c>
      <c r="R987" s="85">
        <v>8520.5935895520106</v>
      </c>
      <c r="S987" s="85">
        <v>150000</v>
      </c>
      <c r="T987" s="86">
        <v>158520.59358955201</v>
      </c>
      <c r="U987" s="84">
        <v>10.568039572636801</v>
      </c>
      <c r="V987" s="84">
        <v>62.292999999999999</v>
      </c>
      <c r="W987" s="84">
        <v>31.1465</v>
      </c>
      <c r="X987" s="82">
        <v>0.35</v>
      </c>
      <c r="Y987" s="82"/>
      <c r="Z987" s="84">
        <v>31.1465</v>
      </c>
      <c r="AA987" s="84">
        <v>62.292999999999999</v>
      </c>
      <c r="AB987" s="88">
        <v>2.9472353681042001</v>
      </c>
      <c r="AC987" t="s">
        <v>4578</v>
      </c>
    </row>
    <row r="988" spans="3:29">
      <c r="C988" t="s">
        <v>4579</v>
      </c>
      <c r="D988" t="s">
        <v>4568</v>
      </c>
      <c r="E988" s="84">
        <v>81.99</v>
      </c>
      <c r="F988" s="84">
        <v>40.994999999999997</v>
      </c>
      <c r="G988" t="s">
        <v>4467</v>
      </c>
      <c r="H988" t="s">
        <v>4580</v>
      </c>
      <c r="I988" t="s">
        <v>873</v>
      </c>
      <c r="J988" t="s">
        <v>4581</v>
      </c>
      <c r="K988" t="s">
        <v>2407</v>
      </c>
      <c r="L988" t="s">
        <v>646</v>
      </c>
      <c r="M988">
        <v>60</v>
      </c>
      <c r="N988">
        <v>25</v>
      </c>
      <c r="O988">
        <v>4</v>
      </c>
      <c r="P988">
        <v>6.0000000000000001E-3</v>
      </c>
      <c r="Q988" s="84" t="e">
        <v>#REF!</v>
      </c>
      <c r="R988" s="85">
        <v>16926.124786069999</v>
      </c>
      <c r="S988" s="85">
        <v>160000</v>
      </c>
      <c r="T988" s="86">
        <v>176926.12478607</v>
      </c>
      <c r="U988" s="84">
        <v>11.795074985737999</v>
      </c>
      <c r="V988" s="84">
        <v>57.393000000000001</v>
      </c>
      <c r="W988" s="84">
        <v>28.6965</v>
      </c>
      <c r="X988" s="82">
        <v>0.35</v>
      </c>
      <c r="Y988" s="82"/>
      <c r="Z988" s="84">
        <v>28.6965</v>
      </c>
      <c r="AA988" s="84">
        <v>57.393000000000001</v>
      </c>
      <c r="AB988" s="88">
        <v>2.43292221835795</v>
      </c>
      <c r="AC988" t="s">
        <v>4582</v>
      </c>
    </row>
    <row r="989" spans="3:29">
      <c r="C989" t="s">
        <v>4583</v>
      </c>
      <c r="D989" t="s">
        <v>4584</v>
      </c>
      <c r="E989" s="84">
        <v>17.989999999999998</v>
      </c>
      <c r="F989" s="84">
        <v>8.9949999999999992</v>
      </c>
      <c r="G989" t="s">
        <v>4467</v>
      </c>
      <c r="H989" t="s">
        <v>4585</v>
      </c>
      <c r="I989" t="s">
        <v>73</v>
      </c>
      <c r="J989" t="s">
        <v>4586</v>
      </c>
      <c r="K989" t="s">
        <v>3227</v>
      </c>
      <c r="L989" t="s">
        <v>646</v>
      </c>
      <c r="M989">
        <v>12</v>
      </c>
      <c r="N989">
        <v>12</v>
      </c>
      <c r="O989">
        <v>10</v>
      </c>
      <c r="P989">
        <v>1.4400000000000001E-3</v>
      </c>
      <c r="Q989" s="84" t="e">
        <v>#REF!</v>
      </c>
      <c r="R989" s="85"/>
      <c r="S989" s="85"/>
      <c r="T989" s="86">
        <v>0</v>
      </c>
      <c r="U989" s="84">
        <v>0</v>
      </c>
      <c r="V989" s="84">
        <v>12.593</v>
      </c>
      <c r="W989" s="84">
        <v>6.2965</v>
      </c>
      <c r="X989" s="82">
        <v>0.35</v>
      </c>
      <c r="Y989" s="82"/>
      <c r="Z989" s="84">
        <v>6.2965</v>
      </c>
      <c r="AA989" s="84">
        <v>12.593</v>
      </c>
      <c r="AB989" s="88" t="e">
        <v>#DIV/0!</v>
      </c>
      <c r="AC989" t="s">
        <v>4587</v>
      </c>
    </row>
    <row r="990" spans="3:29">
      <c r="C990" t="s">
        <v>4588</v>
      </c>
      <c r="D990" t="s">
        <v>4584</v>
      </c>
      <c r="E990" s="84">
        <v>17.989999999999998</v>
      </c>
      <c r="F990" s="84">
        <v>8.9949999999999992</v>
      </c>
      <c r="G990" t="s">
        <v>4467</v>
      </c>
      <c r="H990" t="s">
        <v>4589</v>
      </c>
      <c r="I990" t="s">
        <v>73</v>
      </c>
      <c r="J990" t="s">
        <v>4590</v>
      </c>
      <c r="K990" t="s">
        <v>3227</v>
      </c>
      <c r="L990" t="s">
        <v>646</v>
      </c>
      <c r="M990">
        <v>15</v>
      </c>
      <c r="N990">
        <v>12</v>
      </c>
      <c r="O990">
        <v>10</v>
      </c>
      <c r="P990">
        <v>1.8E-3</v>
      </c>
      <c r="Q990" s="84" t="e">
        <v>#REF!</v>
      </c>
      <c r="R990" s="85"/>
      <c r="S990" s="85"/>
      <c r="T990" s="86">
        <v>0</v>
      </c>
      <c r="U990" s="84">
        <v>0</v>
      </c>
      <c r="V990" s="84">
        <v>12.593</v>
      </c>
      <c r="W990" s="84">
        <v>6.2965</v>
      </c>
      <c r="X990" s="82">
        <v>0.35</v>
      </c>
      <c r="Y990" s="82"/>
      <c r="Z990" s="84">
        <v>6.2965</v>
      </c>
      <c r="AA990" s="84">
        <v>12.593</v>
      </c>
      <c r="AB990" s="88" t="e">
        <v>#DIV/0!</v>
      </c>
      <c r="AC990" t="s">
        <v>4591</v>
      </c>
    </row>
    <row r="991" spans="3:29">
      <c r="C991" t="s">
        <v>4592</v>
      </c>
      <c r="D991" t="s">
        <v>4584</v>
      </c>
      <c r="E991" s="84">
        <v>35.99</v>
      </c>
      <c r="F991" s="84">
        <v>17.995000000000001</v>
      </c>
      <c r="G991" t="s">
        <v>4467</v>
      </c>
      <c r="H991" t="s">
        <v>4593</v>
      </c>
      <c r="I991" t="s">
        <v>73</v>
      </c>
      <c r="J991" t="s">
        <v>4594</v>
      </c>
      <c r="K991" t="s">
        <v>3227</v>
      </c>
      <c r="L991" t="s">
        <v>646</v>
      </c>
      <c r="M991">
        <v>20</v>
      </c>
      <c r="N991">
        <v>12</v>
      </c>
      <c r="O991">
        <v>10</v>
      </c>
      <c r="P991">
        <v>2.3999999999999998E-3</v>
      </c>
      <c r="Q991" s="84" t="e">
        <v>#REF!</v>
      </c>
      <c r="R991" s="85"/>
      <c r="S991" s="85"/>
      <c r="T991" s="86">
        <v>0</v>
      </c>
      <c r="U991" s="84">
        <v>0</v>
      </c>
      <c r="V991" s="84">
        <v>25.193000000000001</v>
      </c>
      <c r="W991" s="84">
        <v>12.596500000000001</v>
      </c>
      <c r="X991" s="82">
        <v>0.35</v>
      </c>
      <c r="Y991" s="82"/>
      <c r="Z991" s="84">
        <v>12.596500000000001</v>
      </c>
      <c r="AA991" s="84">
        <v>25.193000000000001</v>
      </c>
      <c r="AB991" s="88" t="e">
        <v>#DIV/0!</v>
      </c>
      <c r="AC991" t="s">
        <v>4595</v>
      </c>
    </row>
    <row r="992" spans="3:29">
      <c r="C992" t="s">
        <v>4596</v>
      </c>
      <c r="D992" t="s">
        <v>4584</v>
      </c>
      <c r="E992" s="84">
        <v>47.99</v>
      </c>
      <c r="F992" s="84">
        <v>23.995000000000001</v>
      </c>
      <c r="G992" t="s">
        <v>4467</v>
      </c>
      <c r="H992" t="s">
        <v>4597</v>
      </c>
      <c r="I992" t="s">
        <v>73</v>
      </c>
      <c r="J992" t="s">
        <v>4598</v>
      </c>
      <c r="K992" t="s">
        <v>3227</v>
      </c>
      <c r="L992" t="s">
        <v>646</v>
      </c>
      <c r="M992">
        <v>30</v>
      </c>
      <c r="N992">
        <v>12</v>
      </c>
      <c r="O992">
        <v>10</v>
      </c>
      <c r="P992">
        <v>3.5999999999999999E-3</v>
      </c>
      <c r="Q992" s="84" t="e">
        <v>#REF!</v>
      </c>
      <c r="R992" s="85"/>
      <c r="S992" s="85"/>
      <c r="T992" s="86">
        <v>0</v>
      </c>
      <c r="U992" s="84">
        <v>0</v>
      </c>
      <c r="V992" s="84">
        <v>33.593000000000004</v>
      </c>
      <c r="W992" s="84">
        <v>16.796500000000002</v>
      </c>
      <c r="X992" s="82">
        <v>0.35</v>
      </c>
      <c r="Y992" s="82"/>
      <c r="Z992" s="84">
        <v>16.796500000000002</v>
      </c>
      <c r="AA992" s="84">
        <v>33.593000000000004</v>
      </c>
      <c r="AB992" s="88" t="e">
        <v>#DIV/0!</v>
      </c>
      <c r="AC992" t="s">
        <v>4599</v>
      </c>
    </row>
    <row r="993" spans="3:29">
      <c r="C993" t="s">
        <v>4600</v>
      </c>
      <c r="D993" t="s">
        <v>4584</v>
      </c>
      <c r="E993" s="84">
        <v>47.99</v>
      </c>
      <c r="F993" s="84">
        <v>23.995000000000001</v>
      </c>
      <c r="G993" t="s">
        <v>4467</v>
      </c>
      <c r="H993" t="s">
        <v>4601</v>
      </c>
      <c r="I993" t="s">
        <v>73</v>
      </c>
      <c r="J993" t="s">
        <v>4602</v>
      </c>
      <c r="K993" t="s">
        <v>3227</v>
      </c>
      <c r="L993" t="s">
        <v>646</v>
      </c>
      <c r="M993">
        <v>40</v>
      </c>
      <c r="N993">
        <v>12</v>
      </c>
      <c r="O993">
        <v>10</v>
      </c>
      <c r="P993">
        <v>4.7999999999999996E-3</v>
      </c>
      <c r="Q993" s="84" t="e">
        <v>#REF!</v>
      </c>
      <c r="R993" s="85"/>
      <c r="S993" s="85"/>
      <c r="T993" s="86">
        <v>0</v>
      </c>
      <c r="U993" s="84">
        <v>0</v>
      </c>
      <c r="V993" s="84">
        <v>33.593000000000004</v>
      </c>
      <c r="W993" s="84">
        <v>16.796500000000002</v>
      </c>
      <c r="X993" s="82">
        <v>0.35</v>
      </c>
      <c r="Y993" s="82"/>
      <c r="Z993" s="84">
        <v>16.796500000000002</v>
      </c>
      <c r="AA993" s="84">
        <v>33.593000000000004</v>
      </c>
      <c r="AB993" s="88" t="e">
        <v>#DIV/0!</v>
      </c>
      <c r="AC993" t="s">
        <v>4587</v>
      </c>
    </row>
    <row r="994" spans="3:29">
      <c r="C994" t="s">
        <v>4603</v>
      </c>
      <c r="D994" t="s">
        <v>4604</v>
      </c>
      <c r="E994" s="84">
        <v>1.99</v>
      </c>
      <c r="F994" s="84">
        <v>0.995</v>
      </c>
      <c r="G994" t="s">
        <v>4467</v>
      </c>
      <c r="H994" t="s">
        <v>4605</v>
      </c>
      <c r="I994" t="s">
        <v>478</v>
      </c>
      <c r="J994" t="s">
        <v>4606</v>
      </c>
      <c r="K994" t="s">
        <v>2407</v>
      </c>
      <c r="L994" t="s">
        <v>646</v>
      </c>
      <c r="M994">
        <v>8</v>
      </c>
      <c r="N994">
        <v>5</v>
      </c>
      <c r="O994">
        <v>1</v>
      </c>
      <c r="P994">
        <v>4.0000000000000003E-5</v>
      </c>
      <c r="Q994" s="84" t="e">
        <v>#REF!</v>
      </c>
      <c r="R994" s="85"/>
      <c r="S994" s="85"/>
      <c r="T994" s="86">
        <v>0</v>
      </c>
      <c r="U994" s="84">
        <v>0</v>
      </c>
      <c r="V994" s="84">
        <v>1.393</v>
      </c>
      <c r="W994" s="84">
        <v>0.69650000000000001</v>
      </c>
      <c r="X994" s="82">
        <v>0.35</v>
      </c>
      <c r="Y994" s="82"/>
      <c r="Z994" s="84">
        <v>0.69650000000000001</v>
      </c>
      <c r="AA994" s="84">
        <v>1.393</v>
      </c>
      <c r="AB994" s="88" t="e">
        <v>#DIV/0!</v>
      </c>
      <c r="AC994" t="s">
        <v>4607</v>
      </c>
    </row>
    <row r="995" spans="3:29">
      <c r="C995" t="s">
        <v>4608</v>
      </c>
      <c r="D995" t="s">
        <v>4604</v>
      </c>
      <c r="E995" s="84">
        <v>2.99</v>
      </c>
      <c r="F995" s="84">
        <v>1.4950000000000001</v>
      </c>
      <c r="G995" t="s">
        <v>4467</v>
      </c>
      <c r="H995" t="s">
        <v>4609</v>
      </c>
      <c r="I995" t="s">
        <v>478</v>
      </c>
      <c r="J995" t="s">
        <v>4610</v>
      </c>
      <c r="K995" t="s">
        <v>2407</v>
      </c>
      <c r="L995" t="s">
        <v>646</v>
      </c>
      <c r="M995">
        <v>8</v>
      </c>
      <c r="N995">
        <v>7</v>
      </c>
      <c r="O995">
        <v>0.3</v>
      </c>
      <c r="P995">
        <v>1.6799999999999998E-5</v>
      </c>
      <c r="Q995" s="84" t="e">
        <v>#REF!</v>
      </c>
      <c r="R995" s="85"/>
      <c r="S995" s="85"/>
      <c r="T995" s="86">
        <v>0</v>
      </c>
      <c r="U995" s="84">
        <v>0</v>
      </c>
      <c r="V995" s="84">
        <v>2.093</v>
      </c>
      <c r="W995" s="84">
        <v>1.0465</v>
      </c>
      <c r="X995" s="82">
        <v>0.35</v>
      </c>
      <c r="Y995" s="82"/>
      <c r="Z995" s="84">
        <v>1.0465</v>
      </c>
      <c r="AA995" s="84">
        <v>2.093</v>
      </c>
      <c r="AB995" s="88" t="e">
        <v>#DIV/0!</v>
      </c>
      <c r="AC995" t="s">
        <v>4611</v>
      </c>
    </row>
    <row r="996" spans="3:29">
      <c r="C996" t="s">
        <v>4612</v>
      </c>
      <c r="D996" t="s">
        <v>4604</v>
      </c>
      <c r="E996" s="84">
        <v>5.99</v>
      </c>
      <c r="F996" s="84">
        <v>2.9950000000000001</v>
      </c>
      <c r="G996" t="s">
        <v>4467</v>
      </c>
      <c r="H996" t="s">
        <v>4613</v>
      </c>
      <c r="I996" t="s">
        <v>478</v>
      </c>
      <c r="J996" t="s">
        <v>4614</v>
      </c>
      <c r="K996" t="s">
        <v>2407</v>
      </c>
      <c r="L996" t="s">
        <v>646</v>
      </c>
      <c r="M996">
        <v>15</v>
      </c>
      <c r="N996">
        <v>10</v>
      </c>
      <c r="O996">
        <v>0.3</v>
      </c>
      <c r="P996">
        <v>4.5000000000000003E-5</v>
      </c>
      <c r="Q996" s="84" t="e">
        <v>#REF!</v>
      </c>
      <c r="R996" s="85"/>
      <c r="S996" s="85"/>
      <c r="T996" s="86">
        <v>0</v>
      </c>
      <c r="U996" s="84">
        <v>0</v>
      </c>
      <c r="V996" s="84">
        <v>4.1929999999999996</v>
      </c>
      <c r="W996" s="84">
        <v>2.0964999999999998</v>
      </c>
      <c r="X996" s="82">
        <v>0.35</v>
      </c>
      <c r="Y996" s="82"/>
      <c r="Z996" s="84">
        <v>2.0964999999999998</v>
      </c>
      <c r="AA996" s="84">
        <v>4.1929999999999996</v>
      </c>
      <c r="AB996" s="88" t="e">
        <v>#DIV/0!</v>
      </c>
      <c r="AC996" t="s">
        <v>4615</v>
      </c>
    </row>
    <row r="997" spans="3:29">
      <c r="C997" t="s">
        <v>4616</v>
      </c>
      <c r="D997" t="s">
        <v>4604</v>
      </c>
      <c r="E997" s="84">
        <v>27.99</v>
      </c>
      <c r="F997" s="84">
        <v>13.994999999999999</v>
      </c>
      <c r="G997" t="s">
        <v>4467</v>
      </c>
      <c r="H997" t="s">
        <v>4617</v>
      </c>
      <c r="I997" t="s">
        <v>478</v>
      </c>
      <c r="J997" t="s">
        <v>4618</v>
      </c>
      <c r="K997" t="s">
        <v>2407</v>
      </c>
      <c r="L997" t="s">
        <v>646</v>
      </c>
      <c r="M997">
        <v>40</v>
      </c>
      <c r="N997">
        <v>30</v>
      </c>
      <c r="O997">
        <v>0.3</v>
      </c>
      <c r="P997">
        <v>3.6000000000000002E-4</v>
      </c>
      <c r="Q997" s="84" t="e">
        <v>#REF!</v>
      </c>
      <c r="R997" s="85"/>
      <c r="S997" s="85"/>
      <c r="T997" s="86">
        <v>0</v>
      </c>
      <c r="U997" s="84">
        <v>0</v>
      </c>
      <c r="V997" s="84">
        <v>19.593</v>
      </c>
      <c r="W997" s="84">
        <v>9.7965</v>
      </c>
      <c r="X997" s="82">
        <v>0.35</v>
      </c>
      <c r="Y997" s="82"/>
      <c r="Z997" s="84">
        <v>9.7965</v>
      </c>
      <c r="AA997" s="84">
        <v>19.593</v>
      </c>
      <c r="AB997" s="88" t="e">
        <v>#DIV/0!</v>
      </c>
      <c r="AC997" t="s">
        <v>4611</v>
      </c>
    </row>
    <row r="998" spans="3:29">
      <c r="C998" t="s">
        <v>4619</v>
      </c>
      <c r="D998" t="s">
        <v>4620</v>
      </c>
      <c r="E998" s="84">
        <v>11.99</v>
      </c>
      <c r="F998" s="84">
        <v>5.9950000000000001</v>
      </c>
      <c r="G998" t="s">
        <v>4467</v>
      </c>
      <c r="H998" t="s">
        <v>4621</v>
      </c>
      <c r="I998" t="s">
        <v>296</v>
      </c>
      <c r="J998" t="s">
        <v>4622</v>
      </c>
      <c r="K998" t="s">
        <v>2407</v>
      </c>
      <c r="L998" t="s">
        <v>646</v>
      </c>
      <c r="N998">
        <v>18</v>
      </c>
      <c r="O998">
        <v>1</v>
      </c>
      <c r="P998">
        <v>3.2400000000000001E-4</v>
      </c>
      <c r="Q998" s="84" t="e">
        <v>#REF!</v>
      </c>
      <c r="R998" s="85"/>
      <c r="S998" s="85"/>
      <c r="T998" s="86">
        <v>0</v>
      </c>
      <c r="U998" s="84">
        <v>0</v>
      </c>
      <c r="V998" s="84">
        <v>8.3930000000000007</v>
      </c>
      <c r="W998" s="84">
        <v>4.1965000000000003</v>
      </c>
      <c r="X998" s="82">
        <v>0.35</v>
      </c>
      <c r="Y998" s="82"/>
      <c r="Z998" s="84">
        <v>4.1965000000000003</v>
      </c>
      <c r="AA998" s="84">
        <v>8.3930000000000007</v>
      </c>
      <c r="AB998" s="88" t="e">
        <v>#DIV/0!</v>
      </c>
      <c r="AC998" t="s">
        <v>4623</v>
      </c>
    </row>
    <row r="999" spans="3:29">
      <c r="C999" t="s">
        <v>4624</v>
      </c>
      <c r="D999" t="s">
        <v>4620</v>
      </c>
      <c r="E999" s="84">
        <v>14.99</v>
      </c>
      <c r="F999" s="84">
        <v>7.4950000000000001</v>
      </c>
      <c r="G999" t="s">
        <v>4467</v>
      </c>
      <c r="H999" t="s">
        <v>4625</v>
      </c>
      <c r="I999" t="s">
        <v>296</v>
      </c>
      <c r="J999" t="s">
        <v>4626</v>
      </c>
      <c r="K999" t="s">
        <v>2407</v>
      </c>
      <c r="L999" t="s">
        <v>646</v>
      </c>
      <c r="N999">
        <v>24</v>
      </c>
      <c r="O999">
        <v>1</v>
      </c>
      <c r="P999">
        <v>5.7600000000000001E-4</v>
      </c>
      <c r="Q999" s="84" t="e">
        <v>#REF!</v>
      </c>
      <c r="R999" s="85"/>
      <c r="S999" s="85"/>
      <c r="T999" s="86">
        <v>0</v>
      </c>
      <c r="U999" s="84">
        <v>0</v>
      </c>
      <c r="V999" s="84">
        <v>10.493</v>
      </c>
      <c r="W999" s="84">
        <v>5.2465000000000002</v>
      </c>
      <c r="X999" s="82">
        <v>0.35</v>
      </c>
      <c r="Y999" s="82"/>
      <c r="Z999" s="84">
        <v>5.2465000000000002</v>
      </c>
      <c r="AA999" s="84">
        <v>10.493</v>
      </c>
      <c r="AB999" s="88" t="e">
        <v>#DIV/0!</v>
      </c>
      <c r="AC999" t="s">
        <v>4623</v>
      </c>
    </row>
    <row r="1000" spans="3:29">
      <c r="C1000" t="s">
        <v>4627</v>
      </c>
      <c r="D1000" t="s">
        <v>4620</v>
      </c>
      <c r="E1000" s="84">
        <v>17.989999999999998</v>
      </c>
      <c r="F1000" s="84">
        <v>8.9949999999999992</v>
      </c>
      <c r="G1000" t="s">
        <v>4467</v>
      </c>
      <c r="H1000" t="s">
        <v>4628</v>
      </c>
      <c r="I1000" t="s">
        <v>296</v>
      </c>
      <c r="J1000" t="s">
        <v>4629</v>
      </c>
      <c r="K1000" t="s">
        <v>2407</v>
      </c>
      <c r="L1000" t="s">
        <v>646</v>
      </c>
      <c r="N1000">
        <v>27</v>
      </c>
      <c r="O1000">
        <v>1</v>
      </c>
      <c r="P1000">
        <v>7.2900000000000005E-4</v>
      </c>
      <c r="Q1000" s="84" t="e">
        <v>#REF!</v>
      </c>
      <c r="R1000" s="85"/>
      <c r="S1000" s="85"/>
      <c r="T1000" s="86">
        <v>0</v>
      </c>
      <c r="U1000" s="84">
        <v>0</v>
      </c>
      <c r="V1000" s="84">
        <v>12.593</v>
      </c>
      <c r="W1000" s="84">
        <v>6.2965</v>
      </c>
      <c r="X1000" s="82">
        <v>0.35</v>
      </c>
      <c r="Y1000" s="82"/>
      <c r="Z1000" s="84">
        <v>6.2965</v>
      </c>
      <c r="AA1000" s="84">
        <v>12.593</v>
      </c>
      <c r="AB1000" s="88" t="e">
        <v>#DIV/0!</v>
      </c>
      <c r="AC1000" t="s">
        <v>4630</v>
      </c>
    </row>
    <row r="1001" spans="3:29">
      <c r="C1001" t="s">
        <v>4631</v>
      </c>
      <c r="D1001" t="s">
        <v>4620</v>
      </c>
      <c r="E1001" s="84">
        <v>20.99</v>
      </c>
      <c r="F1001" s="84">
        <v>10.494999999999999</v>
      </c>
      <c r="G1001" t="s">
        <v>4467</v>
      </c>
      <c r="H1001" t="s">
        <v>4632</v>
      </c>
      <c r="I1001" t="s">
        <v>296</v>
      </c>
      <c r="J1001" t="s">
        <v>4633</v>
      </c>
      <c r="K1001" t="s">
        <v>2407</v>
      </c>
      <c r="L1001" t="s">
        <v>646</v>
      </c>
      <c r="N1001">
        <v>32</v>
      </c>
      <c r="O1001">
        <v>1</v>
      </c>
      <c r="P1001">
        <v>1.024E-3</v>
      </c>
      <c r="Q1001" s="84" t="e">
        <v>#REF!</v>
      </c>
      <c r="R1001" s="85"/>
      <c r="S1001" s="85"/>
      <c r="T1001" s="86">
        <v>0</v>
      </c>
      <c r="U1001" s="84">
        <v>0</v>
      </c>
      <c r="V1001" s="84">
        <v>14.693</v>
      </c>
      <c r="W1001" s="84">
        <v>7.3464999999999998</v>
      </c>
      <c r="X1001" s="82">
        <v>0.35</v>
      </c>
      <c r="Y1001" s="82"/>
      <c r="Z1001" s="84">
        <v>7.3464999999999998</v>
      </c>
      <c r="AA1001" s="84">
        <v>14.693</v>
      </c>
      <c r="AB1001" s="88" t="e">
        <v>#DIV/0!</v>
      </c>
      <c r="AC1001" t="s">
        <v>4634</v>
      </c>
    </row>
    <row r="1002" spans="3:29">
      <c r="C1002" t="s">
        <v>4635</v>
      </c>
      <c r="D1002" t="s">
        <v>4636</v>
      </c>
      <c r="E1002" s="84">
        <v>4.99</v>
      </c>
      <c r="F1002" s="84">
        <v>2.4950000000000001</v>
      </c>
      <c r="G1002" t="s">
        <v>4467</v>
      </c>
      <c r="H1002" t="s">
        <v>4637</v>
      </c>
      <c r="I1002" t="s">
        <v>4638</v>
      </c>
      <c r="J1002" t="s">
        <v>4639</v>
      </c>
      <c r="K1002" t="s">
        <v>2973</v>
      </c>
      <c r="L1002" t="s">
        <v>646</v>
      </c>
      <c r="N1002">
        <v>14</v>
      </c>
      <c r="O1002">
        <v>2</v>
      </c>
      <c r="P1002">
        <v>3.9199999999999999E-4</v>
      </c>
      <c r="Q1002" s="84" t="e">
        <v>#REF!</v>
      </c>
      <c r="R1002" s="85"/>
      <c r="S1002" s="85"/>
      <c r="T1002" s="86">
        <v>0</v>
      </c>
      <c r="U1002" s="84">
        <v>0</v>
      </c>
      <c r="V1002" s="84">
        <v>3.4929999999999999</v>
      </c>
      <c r="W1002" s="84">
        <v>1.7464999999999999</v>
      </c>
      <c r="X1002" s="82">
        <v>0.35</v>
      </c>
      <c r="Y1002" s="82"/>
      <c r="Z1002" s="84">
        <v>1.7464999999999999</v>
      </c>
      <c r="AA1002" s="84">
        <v>3.4929999999999999</v>
      </c>
      <c r="AB1002" s="88" t="e">
        <v>#DIV/0!</v>
      </c>
      <c r="AC1002" t="s">
        <v>4640</v>
      </c>
    </row>
    <row r="1003" spans="3:29">
      <c r="C1003" t="s">
        <v>4641</v>
      </c>
      <c r="D1003" t="s">
        <v>4642</v>
      </c>
      <c r="E1003" s="84">
        <v>15.99</v>
      </c>
      <c r="F1003" s="84">
        <v>7.9950000000000001</v>
      </c>
      <c r="G1003" t="s">
        <v>4467</v>
      </c>
      <c r="H1003" t="s">
        <v>4643</v>
      </c>
      <c r="I1003" t="s">
        <v>665</v>
      </c>
      <c r="J1003" t="s">
        <v>4644</v>
      </c>
      <c r="K1003" t="s">
        <v>2973</v>
      </c>
      <c r="L1003" t="s">
        <v>646</v>
      </c>
      <c r="M1003">
        <v>25</v>
      </c>
      <c r="N1003">
        <v>20</v>
      </c>
      <c r="O1003">
        <v>4</v>
      </c>
      <c r="P1003">
        <v>2E-3</v>
      </c>
      <c r="Q1003" s="84" t="e">
        <v>#REF!</v>
      </c>
      <c r="R1003" s="85"/>
      <c r="S1003" s="85"/>
      <c r="T1003" s="86">
        <v>0</v>
      </c>
      <c r="U1003" s="84">
        <v>0</v>
      </c>
      <c r="V1003" s="84">
        <v>11.193</v>
      </c>
      <c r="W1003" s="84">
        <v>5.5964999999999998</v>
      </c>
      <c r="X1003" s="82">
        <v>0.35</v>
      </c>
      <c r="Y1003" s="82"/>
      <c r="Z1003" s="84">
        <v>5.5964999999999998</v>
      </c>
      <c r="AA1003" s="84">
        <v>11.193</v>
      </c>
      <c r="AB1003" s="88" t="e">
        <v>#DIV/0!</v>
      </c>
      <c r="AC1003" t="s">
        <v>4645</v>
      </c>
    </row>
    <row r="1004" spans="3:29">
      <c r="C1004" t="s">
        <v>4646</v>
      </c>
      <c r="D1004" t="s">
        <v>4642</v>
      </c>
      <c r="E1004" s="84">
        <v>37.99</v>
      </c>
      <c r="F1004" s="84">
        <v>18.995000000000001</v>
      </c>
      <c r="G1004" t="s">
        <v>4467</v>
      </c>
      <c r="H1004" t="s">
        <v>4647</v>
      </c>
      <c r="I1004" t="s">
        <v>665</v>
      </c>
      <c r="J1004" t="s">
        <v>4648</v>
      </c>
      <c r="K1004" t="s">
        <v>2973</v>
      </c>
      <c r="L1004" t="s">
        <v>646</v>
      </c>
      <c r="M1004">
        <v>40</v>
      </c>
      <c r="N1004">
        <v>30</v>
      </c>
      <c r="O1004">
        <v>4</v>
      </c>
      <c r="P1004">
        <v>4.7999999999999996E-3</v>
      </c>
      <c r="Q1004" s="84" t="e">
        <v>#REF!</v>
      </c>
      <c r="R1004" s="85"/>
      <c r="S1004" s="85"/>
      <c r="T1004" s="86">
        <v>0</v>
      </c>
      <c r="U1004" s="84">
        <v>0</v>
      </c>
      <c r="V1004" s="84">
        <v>26.593</v>
      </c>
      <c r="W1004" s="84">
        <v>13.2965</v>
      </c>
      <c r="X1004" s="82">
        <v>0.35</v>
      </c>
      <c r="Y1004" s="82"/>
      <c r="Z1004" s="84">
        <v>13.2965</v>
      </c>
      <c r="AA1004" s="84">
        <v>26.593</v>
      </c>
      <c r="AB1004" s="88" t="e">
        <v>#DIV/0!</v>
      </c>
      <c r="AC1004" t="s">
        <v>4649</v>
      </c>
    </row>
    <row r="1005" spans="3:29">
      <c r="C1005" t="s">
        <v>4650</v>
      </c>
      <c r="D1005" t="s">
        <v>4651</v>
      </c>
      <c r="E1005" s="84">
        <v>11.99</v>
      </c>
      <c r="F1005" s="84">
        <v>5.9950000000000001</v>
      </c>
      <c r="G1005" t="s">
        <v>4467</v>
      </c>
      <c r="H1005" t="s">
        <v>4652</v>
      </c>
      <c r="I1005" t="s">
        <v>546</v>
      </c>
      <c r="J1005" t="s">
        <v>4653</v>
      </c>
      <c r="K1005" t="s">
        <v>2973</v>
      </c>
      <c r="L1005" t="s">
        <v>646</v>
      </c>
      <c r="M1005">
        <v>30</v>
      </c>
      <c r="N1005">
        <v>5</v>
      </c>
      <c r="O1005">
        <v>5</v>
      </c>
      <c r="P1005">
        <v>7.5000000000000002E-4</v>
      </c>
      <c r="Q1005" s="84" t="e">
        <v>#REF!</v>
      </c>
      <c r="R1005" s="85"/>
      <c r="S1005" s="85"/>
      <c r="T1005" s="86">
        <v>0</v>
      </c>
      <c r="U1005" s="84">
        <v>0</v>
      </c>
      <c r="V1005" s="84">
        <v>8.3930000000000007</v>
      </c>
      <c r="W1005" s="84">
        <v>4.1965000000000003</v>
      </c>
      <c r="X1005" s="82">
        <v>0.35</v>
      </c>
      <c r="Y1005" s="82"/>
      <c r="Z1005" s="84">
        <v>4.1965000000000003</v>
      </c>
      <c r="AA1005" s="84">
        <v>8.3930000000000007</v>
      </c>
      <c r="AB1005" s="88" t="e">
        <v>#DIV/0!</v>
      </c>
      <c r="AC1005" t="s">
        <v>4654</v>
      </c>
    </row>
    <row r="1006" spans="3:29">
      <c r="C1006" t="s">
        <v>4655</v>
      </c>
      <c r="D1006" t="s">
        <v>4651</v>
      </c>
      <c r="E1006" s="84">
        <v>14.99</v>
      </c>
      <c r="F1006" s="84">
        <v>7.4950000000000001</v>
      </c>
      <c r="G1006" t="s">
        <v>4467</v>
      </c>
      <c r="H1006" t="s">
        <v>4656</v>
      </c>
      <c r="I1006" t="s">
        <v>546</v>
      </c>
      <c r="J1006" t="s">
        <v>4657</v>
      </c>
      <c r="K1006" t="s">
        <v>2973</v>
      </c>
      <c r="L1006" t="s">
        <v>646</v>
      </c>
      <c r="M1006">
        <v>30</v>
      </c>
      <c r="N1006">
        <v>15</v>
      </c>
      <c r="O1006">
        <v>10</v>
      </c>
      <c r="P1006">
        <v>4.4999999999999997E-3</v>
      </c>
      <c r="Q1006" s="84" t="e">
        <v>#REF!</v>
      </c>
      <c r="R1006" s="85"/>
      <c r="S1006" s="85"/>
      <c r="T1006" s="86">
        <v>0</v>
      </c>
      <c r="U1006" s="84">
        <v>0</v>
      </c>
      <c r="V1006" s="84">
        <v>10.493</v>
      </c>
      <c r="W1006" s="84">
        <v>5.2465000000000002</v>
      </c>
      <c r="X1006" s="82">
        <v>0.35</v>
      </c>
      <c r="Y1006" s="82"/>
      <c r="Z1006" s="84">
        <v>5.2465000000000002</v>
      </c>
      <c r="AA1006" s="84">
        <v>10.493</v>
      </c>
      <c r="AB1006" s="88" t="e">
        <v>#DIV/0!</v>
      </c>
      <c r="AC1006" t="s">
        <v>4654</v>
      </c>
    </row>
    <row r="1007" spans="3:29">
      <c r="C1007" t="s">
        <v>4658</v>
      </c>
      <c r="D1007" t="s">
        <v>4659</v>
      </c>
      <c r="E1007" s="84">
        <v>35.99</v>
      </c>
      <c r="F1007" s="84">
        <v>17.995000000000001</v>
      </c>
      <c r="G1007" t="s">
        <v>4467</v>
      </c>
      <c r="H1007" t="s">
        <v>4660</v>
      </c>
      <c r="I1007" t="s">
        <v>4661</v>
      </c>
      <c r="J1007" t="s">
        <v>4662</v>
      </c>
      <c r="K1007" t="s">
        <v>2973</v>
      </c>
      <c r="L1007" t="s">
        <v>646</v>
      </c>
      <c r="M1007">
        <v>12</v>
      </c>
      <c r="N1007">
        <v>20</v>
      </c>
      <c r="O1007">
        <v>50</v>
      </c>
      <c r="P1007">
        <v>1.2E-2</v>
      </c>
      <c r="Q1007" s="84" t="e">
        <v>#REF!</v>
      </c>
      <c r="R1007" s="85"/>
      <c r="S1007" s="85"/>
      <c r="T1007" s="86">
        <v>0</v>
      </c>
      <c r="U1007" s="84">
        <v>0</v>
      </c>
      <c r="V1007" s="84">
        <v>25.193000000000001</v>
      </c>
      <c r="W1007" s="84">
        <v>12.596500000000001</v>
      </c>
      <c r="X1007" s="82">
        <v>0.35</v>
      </c>
      <c r="Y1007" s="82"/>
      <c r="Z1007" s="84">
        <v>12.596500000000001</v>
      </c>
      <c r="AA1007" s="84">
        <v>25.193000000000001</v>
      </c>
      <c r="AB1007" s="88" t="e">
        <v>#DIV/0!</v>
      </c>
      <c r="AC1007" t="s">
        <v>4663</v>
      </c>
    </row>
    <row r="1008" spans="3:29">
      <c r="C1008" t="s">
        <v>4664</v>
      </c>
      <c r="D1008" t="s">
        <v>4665</v>
      </c>
      <c r="E1008" s="84">
        <v>35.99</v>
      </c>
      <c r="F1008" s="84">
        <v>17.995000000000001</v>
      </c>
      <c r="G1008" t="s">
        <v>4467</v>
      </c>
      <c r="H1008" t="s">
        <v>4666</v>
      </c>
      <c r="I1008" t="s">
        <v>4667</v>
      </c>
      <c r="J1008" t="s">
        <v>4668</v>
      </c>
      <c r="K1008" t="s">
        <v>2973</v>
      </c>
      <c r="L1008" t="s">
        <v>646</v>
      </c>
      <c r="M1008">
        <v>12</v>
      </c>
      <c r="N1008">
        <v>25</v>
      </c>
      <c r="O1008">
        <v>50</v>
      </c>
      <c r="P1008">
        <v>1.4999999999999999E-2</v>
      </c>
      <c r="Q1008" s="84" t="e">
        <v>#REF!</v>
      </c>
      <c r="R1008" s="85"/>
      <c r="S1008" s="85"/>
      <c r="T1008" s="86">
        <v>0</v>
      </c>
      <c r="U1008" s="84">
        <v>0</v>
      </c>
      <c r="V1008" s="84">
        <v>25.193000000000001</v>
      </c>
      <c r="W1008" s="84">
        <v>12.596500000000001</v>
      </c>
      <c r="X1008" s="82">
        <v>0.35</v>
      </c>
      <c r="Y1008" s="82"/>
      <c r="Z1008" s="84">
        <v>12.596500000000001</v>
      </c>
      <c r="AA1008" s="84">
        <v>25.193000000000001</v>
      </c>
      <c r="AB1008" s="88" t="e">
        <v>#DIV/0!</v>
      </c>
      <c r="AC1008" t="s">
        <v>4669</v>
      </c>
    </row>
    <row r="1009" spans="3:29">
      <c r="C1009" t="s">
        <v>4670</v>
      </c>
      <c r="D1009" t="s">
        <v>4671</v>
      </c>
      <c r="E1009" s="84">
        <v>53.99</v>
      </c>
      <c r="F1009" s="84">
        <v>26.995000000000001</v>
      </c>
      <c r="G1009" t="s">
        <v>4467</v>
      </c>
      <c r="H1009" t="s">
        <v>4672</v>
      </c>
      <c r="I1009" t="s">
        <v>4673</v>
      </c>
      <c r="J1009" t="s">
        <v>4674</v>
      </c>
      <c r="K1009" t="s">
        <v>2973</v>
      </c>
      <c r="L1009" t="s">
        <v>646</v>
      </c>
      <c r="M1009">
        <v>12</v>
      </c>
      <c r="N1009">
        <v>35</v>
      </c>
      <c r="O1009">
        <v>50</v>
      </c>
      <c r="P1009">
        <v>2.1000000000000001E-2</v>
      </c>
      <c r="Q1009" s="84" t="e">
        <v>#REF!</v>
      </c>
      <c r="R1009" s="85"/>
      <c r="S1009" s="85"/>
      <c r="T1009" s="86">
        <v>0</v>
      </c>
      <c r="U1009" s="84">
        <v>0</v>
      </c>
      <c r="V1009" s="84">
        <v>37.792999999999999</v>
      </c>
      <c r="W1009" s="84">
        <v>18.8965</v>
      </c>
      <c r="X1009" s="82">
        <v>0.35</v>
      </c>
      <c r="Y1009" s="82"/>
      <c r="Z1009" s="84">
        <v>18.8965</v>
      </c>
      <c r="AA1009" s="84">
        <v>37.792999999999999</v>
      </c>
      <c r="AB1009" s="88" t="e">
        <v>#DIV/0!</v>
      </c>
      <c r="AC1009" t="s">
        <v>4675</v>
      </c>
    </row>
    <row r="1010" spans="3:29">
      <c r="C1010" t="s">
        <v>4676</v>
      </c>
      <c r="D1010" t="s">
        <v>4677</v>
      </c>
      <c r="E1010" s="84">
        <v>83.99</v>
      </c>
      <c r="F1010" s="84">
        <v>41.994999999999997</v>
      </c>
      <c r="G1010" t="s">
        <v>4467</v>
      </c>
      <c r="H1010" t="s">
        <v>4678</v>
      </c>
      <c r="I1010" t="s">
        <v>4679</v>
      </c>
      <c r="J1010" t="s">
        <v>4680</v>
      </c>
      <c r="K1010" t="s">
        <v>2973</v>
      </c>
      <c r="L1010" t="s">
        <v>646</v>
      </c>
      <c r="M1010">
        <v>12</v>
      </c>
      <c r="N1010">
        <v>50</v>
      </c>
      <c r="O1010">
        <v>50</v>
      </c>
      <c r="P1010">
        <v>0.03</v>
      </c>
      <c r="Q1010" s="84" t="e">
        <v>#REF!</v>
      </c>
      <c r="R1010" s="85"/>
      <c r="S1010" s="85"/>
      <c r="T1010" s="86">
        <v>0</v>
      </c>
      <c r="U1010" s="84">
        <v>0</v>
      </c>
      <c r="V1010" s="84">
        <v>58.792999999999999</v>
      </c>
      <c r="W1010" s="84">
        <v>29.3965</v>
      </c>
      <c r="X1010" s="82">
        <v>0.35</v>
      </c>
      <c r="Y1010" s="82"/>
      <c r="Z1010" s="84">
        <v>29.3965</v>
      </c>
      <c r="AA1010" s="84">
        <v>58.792999999999999</v>
      </c>
      <c r="AB1010" s="88" t="e">
        <v>#DIV/0!</v>
      </c>
      <c r="AC1010" t="s">
        <v>4681</v>
      </c>
    </row>
    <row r="1011" spans="3:29">
      <c r="C1011" t="s">
        <v>4682</v>
      </c>
      <c r="D1011" t="s">
        <v>4683</v>
      </c>
      <c r="E1011" s="84">
        <v>107.99</v>
      </c>
      <c r="F1011" s="84">
        <v>53.994999999999997</v>
      </c>
      <c r="G1011" t="s">
        <v>4467</v>
      </c>
      <c r="H1011" t="s">
        <v>4684</v>
      </c>
      <c r="I1011" t="s">
        <v>4685</v>
      </c>
      <c r="J1011" t="s">
        <v>4686</v>
      </c>
      <c r="K1011" t="s">
        <v>2973</v>
      </c>
      <c r="L1011" t="s">
        <v>646</v>
      </c>
      <c r="M1011">
        <v>12</v>
      </c>
      <c r="N1011">
        <v>70</v>
      </c>
      <c r="O1011">
        <v>50</v>
      </c>
      <c r="P1011">
        <v>4.2000000000000003E-2</v>
      </c>
      <c r="Q1011" s="84" t="e">
        <v>#REF!</v>
      </c>
      <c r="R1011" s="85"/>
      <c r="S1011" s="85"/>
      <c r="T1011" s="86">
        <v>0</v>
      </c>
      <c r="U1011" s="84">
        <v>0</v>
      </c>
      <c r="V1011" s="84">
        <v>75.593000000000004</v>
      </c>
      <c r="W1011" s="84">
        <v>37.796500000000002</v>
      </c>
      <c r="X1011" s="82">
        <v>0.35</v>
      </c>
      <c r="Y1011" s="82"/>
      <c r="Z1011" s="84">
        <v>37.796500000000002</v>
      </c>
      <c r="AA1011" s="84">
        <v>75.593000000000004</v>
      </c>
      <c r="AB1011" s="88" t="e">
        <v>#DIV/0!</v>
      </c>
      <c r="AC1011" t="s">
        <v>4687</v>
      </c>
    </row>
    <row r="1012" spans="3:29">
      <c r="C1012" t="s">
        <v>4688</v>
      </c>
      <c r="D1012" t="s">
        <v>4689</v>
      </c>
      <c r="E1012" s="84">
        <v>25.99</v>
      </c>
      <c r="F1012" s="84">
        <v>12.994999999999999</v>
      </c>
      <c r="G1012" t="s">
        <v>4467</v>
      </c>
      <c r="H1012" t="s">
        <v>4690</v>
      </c>
      <c r="I1012" t="s">
        <v>4691</v>
      </c>
      <c r="J1012" t="s">
        <v>4692</v>
      </c>
      <c r="K1012" t="s">
        <v>4693</v>
      </c>
      <c r="L1012" t="s">
        <v>646</v>
      </c>
      <c r="N1012">
        <v>40</v>
      </c>
      <c r="O1012">
        <v>20</v>
      </c>
      <c r="P1012">
        <v>3.2000000000000001E-2</v>
      </c>
      <c r="Q1012" s="84" t="e">
        <v>#REF!</v>
      </c>
      <c r="R1012" s="85">
        <v>20070.6925558482</v>
      </c>
      <c r="S1012" s="85">
        <v>33000</v>
      </c>
      <c r="T1012" s="86">
        <v>53070.692555848203</v>
      </c>
      <c r="U1012" s="84">
        <v>3.53804617038988</v>
      </c>
      <c r="V1012" s="84">
        <v>18.193000000000001</v>
      </c>
      <c r="W1012" s="84">
        <v>9.0965000000000007</v>
      </c>
      <c r="X1012" s="82">
        <v>0.35</v>
      </c>
      <c r="Y1012" s="82"/>
      <c r="Z1012" s="84">
        <v>9.0965000000000007</v>
      </c>
      <c r="AA1012" s="84">
        <v>18.193000000000001</v>
      </c>
      <c r="AB1012" s="88">
        <v>2.5710518071044799</v>
      </c>
      <c r="AC1012" t="s">
        <v>4694</v>
      </c>
    </row>
    <row r="1013" spans="3:29">
      <c r="C1013" t="s">
        <v>4695</v>
      </c>
      <c r="D1013" t="s">
        <v>4696</v>
      </c>
      <c r="E1013" s="84">
        <v>438.99</v>
      </c>
      <c r="F1013" s="84">
        <v>219.495</v>
      </c>
      <c r="G1013" t="s">
        <v>4467</v>
      </c>
      <c r="H1013" t="s">
        <v>4697</v>
      </c>
      <c r="I1013" t="s">
        <v>4698</v>
      </c>
      <c r="J1013" t="s">
        <v>4699</v>
      </c>
      <c r="K1013" t="s">
        <v>4693</v>
      </c>
      <c r="L1013" t="s">
        <v>646</v>
      </c>
      <c r="M1013">
        <v>25</v>
      </c>
      <c r="N1013">
        <v>60</v>
      </c>
      <c r="O1013">
        <v>25</v>
      </c>
      <c r="P1013">
        <v>3.7499999999999999E-2</v>
      </c>
      <c r="Q1013" s="84" t="e">
        <v>#REF!</v>
      </c>
      <c r="R1013" s="85">
        <v>29182.988460199002</v>
      </c>
      <c r="S1013" s="85">
        <v>900000</v>
      </c>
      <c r="T1013" s="86">
        <v>929182.98846019898</v>
      </c>
      <c r="U1013" s="84">
        <v>61.945532564013298</v>
      </c>
      <c r="V1013" s="84">
        <v>307.29300000000001</v>
      </c>
      <c r="W1013" s="84">
        <v>153.6465</v>
      </c>
      <c r="X1013" s="82">
        <v>0.35</v>
      </c>
      <c r="Y1013" s="82"/>
      <c r="Z1013" s="84">
        <v>153.6465</v>
      </c>
      <c r="AA1013" s="84">
        <v>307.29300000000001</v>
      </c>
      <c r="AB1013" s="88">
        <v>2.4803483583134098</v>
      </c>
      <c r="AC1013" t="s">
        <v>4700</v>
      </c>
    </row>
    <row r="1014" spans="3:29">
      <c r="C1014" t="s">
        <v>4701</v>
      </c>
      <c r="D1014" t="s">
        <v>4702</v>
      </c>
      <c r="E1014" s="84">
        <v>441.99</v>
      </c>
      <c r="F1014" s="84">
        <v>220.995</v>
      </c>
      <c r="G1014" t="s">
        <v>4467</v>
      </c>
      <c r="H1014" t="s">
        <v>4703</v>
      </c>
      <c r="I1014" t="s">
        <v>4704</v>
      </c>
      <c r="J1014" t="s">
        <v>4705</v>
      </c>
      <c r="K1014" t="s">
        <v>4693</v>
      </c>
      <c r="L1014" t="s">
        <v>646</v>
      </c>
      <c r="N1014">
        <v>60</v>
      </c>
      <c r="O1014">
        <v>15</v>
      </c>
      <c r="P1014">
        <v>5.3999999999999999E-2</v>
      </c>
      <c r="Q1014" s="84" t="e">
        <v>#REF!</v>
      </c>
      <c r="R1014" s="85"/>
      <c r="S1014" s="85"/>
      <c r="T1014" s="86">
        <v>0</v>
      </c>
      <c r="U1014" s="84">
        <v>0</v>
      </c>
      <c r="V1014" s="84">
        <v>309.39299999999997</v>
      </c>
      <c r="W1014" s="84">
        <v>154.69649999999999</v>
      </c>
      <c r="X1014" s="82">
        <v>0.35</v>
      </c>
      <c r="Y1014" s="82"/>
      <c r="Z1014" s="84">
        <v>154.69649999999999</v>
      </c>
      <c r="AA1014" s="84">
        <v>309.39299999999997</v>
      </c>
      <c r="AB1014" s="88" t="e">
        <v>#DIV/0!</v>
      </c>
      <c r="AC1014" t="s">
        <v>4706</v>
      </c>
    </row>
    <row r="1015" spans="3:29">
      <c r="C1015" t="s">
        <v>4707</v>
      </c>
      <c r="D1015" t="s">
        <v>4708</v>
      </c>
      <c r="E1015" s="84">
        <v>37.99</v>
      </c>
      <c r="F1015" s="84">
        <v>18.995000000000001</v>
      </c>
      <c r="G1015" t="s">
        <v>4467</v>
      </c>
      <c r="H1015" t="s">
        <v>4709</v>
      </c>
      <c r="I1015" t="s">
        <v>4710</v>
      </c>
      <c r="J1015" t="s">
        <v>4711</v>
      </c>
      <c r="K1015" t="s">
        <v>2973</v>
      </c>
      <c r="L1015" t="s">
        <v>646</v>
      </c>
      <c r="M1015">
        <v>40</v>
      </c>
      <c r="N1015">
        <v>40</v>
      </c>
      <c r="O1015">
        <v>30</v>
      </c>
      <c r="P1015">
        <v>4.8000000000000001E-2</v>
      </c>
      <c r="Q1015" s="84" t="e">
        <v>#REF!</v>
      </c>
      <c r="R1015" s="85"/>
      <c r="S1015" s="85"/>
      <c r="T1015" s="86">
        <v>0</v>
      </c>
      <c r="U1015" s="84">
        <v>0</v>
      </c>
      <c r="V1015" s="84">
        <v>26.593</v>
      </c>
      <c r="W1015" s="84">
        <v>13.2965</v>
      </c>
      <c r="X1015" s="82">
        <v>0.35</v>
      </c>
      <c r="Y1015" s="82"/>
      <c r="Z1015" s="84">
        <v>13.2965</v>
      </c>
      <c r="AA1015" s="84">
        <v>26.593</v>
      </c>
      <c r="AB1015" s="88" t="e">
        <v>#DIV/0!</v>
      </c>
      <c r="AC1015" t="s">
        <v>4712</v>
      </c>
    </row>
    <row r="1016" spans="3:29">
      <c r="C1016">
        <v>33014</v>
      </c>
      <c r="D1016" t="s">
        <v>4713</v>
      </c>
      <c r="E1016" s="84">
        <v>66.989999999999995</v>
      </c>
      <c r="F1016" s="84">
        <v>33.494999999999997</v>
      </c>
      <c r="G1016" t="s">
        <v>4467</v>
      </c>
      <c r="H1016" t="s">
        <v>4714</v>
      </c>
      <c r="I1016" t="s">
        <v>4715</v>
      </c>
      <c r="J1016" t="s">
        <v>4716</v>
      </c>
      <c r="K1016" t="s">
        <v>4717</v>
      </c>
      <c r="L1016" t="s">
        <v>670</v>
      </c>
      <c r="M1016">
        <v>45</v>
      </c>
      <c r="N1016">
        <v>27</v>
      </c>
      <c r="O1016">
        <v>8</v>
      </c>
      <c r="P1016">
        <v>9.7199999999999995E-3</v>
      </c>
      <c r="Q1016" s="84" t="e">
        <v>#REF!</v>
      </c>
      <c r="R1016" s="85">
        <v>2346.5021534329899</v>
      </c>
      <c r="S1016" s="85">
        <v>210000</v>
      </c>
      <c r="T1016" s="86">
        <v>212346.50215343299</v>
      </c>
      <c r="U1016" s="84">
        <v>14.156433476895501</v>
      </c>
      <c r="V1016" s="84">
        <v>46.893000000000001</v>
      </c>
      <c r="W1016" s="84">
        <v>23.4465</v>
      </c>
      <c r="X1016" s="82">
        <v>0.35</v>
      </c>
      <c r="Y1016" s="87">
        <v>28.312866953791101</v>
      </c>
      <c r="Z1016" s="84">
        <v>28.312866953791101</v>
      </c>
      <c r="AA1016" s="84">
        <v>56.625733907582102</v>
      </c>
      <c r="AB1016" s="88">
        <v>2</v>
      </c>
      <c r="AC1016" t="s">
        <v>4718</v>
      </c>
    </row>
    <row r="1017" spans="3:29">
      <c r="C1017" t="s">
        <v>4719</v>
      </c>
      <c r="D1017" t="s">
        <v>4720</v>
      </c>
      <c r="E1017" s="84">
        <v>11.99</v>
      </c>
      <c r="F1017" s="84">
        <v>5.9950000000000001</v>
      </c>
      <c r="G1017" t="s">
        <v>4467</v>
      </c>
      <c r="H1017" t="s">
        <v>4721</v>
      </c>
      <c r="I1017" t="s">
        <v>818</v>
      </c>
      <c r="J1017" t="s">
        <v>4722</v>
      </c>
      <c r="K1017" t="s">
        <v>4723</v>
      </c>
      <c r="L1017" t="s">
        <v>670</v>
      </c>
      <c r="N1017">
        <v>13</v>
      </c>
      <c r="O1017">
        <v>1.5</v>
      </c>
      <c r="P1017">
        <v>2.5349999999999998E-4</v>
      </c>
      <c r="Q1017" s="84" t="e">
        <v>#REF!</v>
      </c>
      <c r="R1017" s="85">
        <v>61.197355544805802</v>
      </c>
      <c r="S1017" s="85">
        <v>88000</v>
      </c>
      <c r="T1017" s="86">
        <v>88061.197355544806</v>
      </c>
      <c r="U1017" s="84">
        <v>5.8707464903696502</v>
      </c>
      <c r="V1017" s="84">
        <v>8.3930000000000007</v>
      </c>
      <c r="W1017" s="84">
        <v>4.1965000000000003</v>
      </c>
      <c r="X1017" s="82">
        <v>0.35</v>
      </c>
      <c r="Y1017" s="87">
        <v>11.7414929807393</v>
      </c>
      <c r="Z1017" s="84">
        <v>11.7414929807393</v>
      </c>
      <c r="AA1017" s="84">
        <v>23.482985961478601</v>
      </c>
      <c r="AB1017" s="88">
        <v>2</v>
      </c>
      <c r="AC1017" t="s">
        <v>4724</v>
      </c>
    </row>
    <row r="1018" spans="3:29">
      <c r="C1018" t="s">
        <v>4725</v>
      </c>
      <c r="D1018" t="s">
        <v>4720</v>
      </c>
      <c r="E1018" s="84">
        <v>15.99</v>
      </c>
      <c r="F1018" s="84">
        <v>7.9950000000000001</v>
      </c>
      <c r="G1018" t="s">
        <v>4467</v>
      </c>
      <c r="H1018" t="s">
        <v>4726</v>
      </c>
      <c r="I1018" t="s">
        <v>818</v>
      </c>
      <c r="J1018" t="s">
        <v>4727</v>
      </c>
      <c r="K1018" t="s">
        <v>4723</v>
      </c>
      <c r="L1018" t="s">
        <v>670</v>
      </c>
      <c r="N1018">
        <v>18</v>
      </c>
      <c r="O1018">
        <v>1.5</v>
      </c>
      <c r="P1018">
        <v>4.86E-4</v>
      </c>
      <c r="Q1018" s="84" t="e">
        <v>#REF!</v>
      </c>
      <c r="R1018" s="85">
        <v>117.32510767199</v>
      </c>
      <c r="S1018" s="85">
        <v>132000</v>
      </c>
      <c r="T1018" s="86">
        <v>132117.32510767199</v>
      </c>
      <c r="U1018" s="84">
        <v>8.8078216738447992</v>
      </c>
      <c r="V1018" s="84">
        <v>11.193</v>
      </c>
      <c r="W1018" s="84">
        <v>5.5964999999999998</v>
      </c>
      <c r="X1018" s="82">
        <v>0.35</v>
      </c>
      <c r="Y1018" s="87">
        <v>17.615643347689598</v>
      </c>
      <c r="Z1018" s="84">
        <v>17.615643347689598</v>
      </c>
      <c r="AA1018" s="84">
        <v>35.231286695379197</v>
      </c>
      <c r="AB1018" s="88">
        <v>2</v>
      </c>
      <c r="AC1018" t="s">
        <v>4728</v>
      </c>
    </row>
    <row r="1019" spans="3:29">
      <c r="C1019" t="s">
        <v>4729</v>
      </c>
      <c r="D1019" t="s">
        <v>4720</v>
      </c>
      <c r="E1019" s="84">
        <v>17.989999999999998</v>
      </c>
      <c r="F1019" s="84">
        <v>8.9949999999999992</v>
      </c>
      <c r="G1019" t="s">
        <v>4467</v>
      </c>
      <c r="H1019" t="s">
        <v>4730</v>
      </c>
      <c r="I1019" t="s">
        <v>818</v>
      </c>
      <c r="J1019" t="s">
        <v>4731</v>
      </c>
      <c r="K1019" t="s">
        <v>4723</v>
      </c>
      <c r="L1019" t="s">
        <v>670</v>
      </c>
      <c r="N1019">
        <v>24</v>
      </c>
      <c r="O1019">
        <v>1.5</v>
      </c>
      <c r="P1019">
        <v>8.6399999999999997E-4</v>
      </c>
      <c r="Q1019" s="84" t="e">
        <v>#REF!</v>
      </c>
      <c r="R1019" s="85">
        <v>208.57796919401201</v>
      </c>
      <c r="S1019" s="85">
        <v>187000</v>
      </c>
      <c r="T1019" s="86">
        <v>187208.57796919401</v>
      </c>
      <c r="U1019" s="84">
        <v>12.4805718646129</v>
      </c>
      <c r="V1019" s="84">
        <v>12.593</v>
      </c>
      <c r="W1019" s="84">
        <v>6.2965</v>
      </c>
      <c r="X1019" s="82">
        <v>0.35</v>
      </c>
      <c r="Y1019" s="87">
        <v>24.961143729225899</v>
      </c>
      <c r="Z1019" s="84">
        <v>24.961143729225899</v>
      </c>
      <c r="AA1019" s="84">
        <v>49.922287458451699</v>
      </c>
      <c r="AB1019" s="88">
        <v>2</v>
      </c>
      <c r="AC1019" t="s">
        <v>4732</v>
      </c>
    </row>
    <row r="1020" spans="3:29">
      <c r="C1020" t="s">
        <v>4733</v>
      </c>
      <c r="D1020" t="s">
        <v>4720</v>
      </c>
      <c r="E1020" s="84">
        <v>23.99</v>
      </c>
      <c r="F1020" s="84">
        <v>11.994999999999999</v>
      </c>
      <c r="G1020" t="s">
        <v>4467</v>
      </c>
      <c r="H1020" t="s">
        <v>4734</v>
      </c>
      <c r="I1020" t="s">
        <v>818</v>
      </c>
      <c r="J1020" t="s">
        <v>4735</v>
      </c>
      <c r="K1020" t="s">
        <v>4723</v>
      </c>
      <c r="L1020" t="s">
        <v>670</v>
      </c>
      <c r="N1020">
        <v>27</v>
      </c>
      <c r="O1020">
        <v>1.5</v>
      </c>
      <c r="P1020">
        <v>1.0935000000000001E-3</v>
      </c>
      <c r="Q1020" s="84" t="e">
        <v>#REF!</v>
      </c>
      <c r="R1020" s="85">
        <v>263.98149226099503</v>
      </c>
      <c r="S1020" s="85">
        <v>220000</v>
      </c>
      <c r="T1020" s="86">
        <v>220263.98149226099</v>
      </c>
      <c r="U1020" s="84">
        <v>14.6842654328174</v>
      </c>
      <c r="V1020" s="84">
        <v>16.792999999999999</v>
      </c>
      <c r="W1020" s="84">
        <v>8.3964999999999996</v>
      </c>
      <c r="X1020" s="82">
        <v>0.35</v>
      </c>
      <c r="Y1020" s="87">
        <v>29.368530865634799</v>
      </c>
      <c r="Z1020" s="84">
        <v>29.368530865634799</v>
      </c>
      <c r="AA1020" s="84">
        <v>58.737061731269598</v>
      </c>
      <c r="AB1020" s="88">
        <v>2</v>
      </c>
      <c r="AC1020" t="s">
        <v>4736</v>
      </c>
    </row>
    <row r="1021" spans="3:29">
      <c r="C1021" t="s">
        <v>4737</v>
      </c>
      <c r="D1021" t="s">
        <v>4720</v>
      </c>
      <c r="E1021" s="84">
        <v>30.99</v>
      </c>
      <c r="F1021" s="84">
        <v>15.494999999999999</v>
      </c>
      <c r="G1021" t="s">
        <v>4467</v>
      </c>
      <c r="H1021" t="s">
        <v>4738</v>
      </c>
      <c r="I1021" t="s">
        <v>818</v>
      </c>
      <c r="J1021" t="s">
        <v>4739</v>
      </c>
      <c r="K1021" t="s">
        <v>4723</v>
      </c>
      <c r="L1021" t="s">
        <v>670</v>
      </c>
      <c r="N1021">
        <v>32</v>
      </c>
      <c r="O1021">
        <v>1.5</v>
      </c>
      <c r="P1021">
        <v>1.536E-3</v>
      </c>
      <c r="Q1021" s="84" t="e">
        <v>#REF!</v>
      </c>
      <c r="R1021" s="85">
        <v>370.80527856701502</v>
      </c>
      <c r="S1021" s="85">
        <v>275000</v>
      </c>
      <c r="T1021" s="86">
        <v>275370.80527856702</v>
      </c>
      <c r="U1021" s="84">
        <v>18.358053685237799</v>
      </c>
      <c r="V1021" s="84">
        <v>21.693000000000001</v>
      </c>
      <c r="W1021" s="84">
        <v>10.846500000000001</v>
      </c>
      <c r="X1021" s="82">
        <v>0.35</v>
      </c>
      <c r="Y1021" s="87">
        <v>36.716107370475598</v>
      </c>
      <c r="Z1021" s="84">
        <v>36.716107370475598</v>
      </c>
      <c r="AA1021" s="84">
        <v>73.432214740951196</v>
      </c>
      <c r="AB1021" s="88">
        <v>2</v>
      </c>
      <c r="AC1021" t="s">
        <v>4732</v>
      </c>
    </row>
    <row r="1022" spans="3:29">
      <c r="C1022" t="s">
        <v>4740</v>
      </c>
      <c r="D1022" t="s">
        <v>4741</v>
      </c>
      <c r="E1022" s="84">
        <v>12.99</v>
      </c>
      <c r="F1022" s="84">
        <v>6.4950000000000001</v>
      </c>
      <c r="G1022" t="s">
        <v>4467</v>
      </c>
      <c r="H1022" t="s">
        <v>4721</v>
      </c>
      <c r="I1022" t="s">
        <v>841</v>
      </c>
      <c r="J1022" t="s">
        <v>4722</v>
      </c>
      <c r="K1022" t="s">
        <v>4723</v>
      </c>
      <c r="L1022" t="s">
        <v>670</v>
      </c>
      <c r="N1022">
        <v>13</v>
      </c>
      <c r="O1022">
        <v>1.5</v>
      </c>
      <c r="P1022">
        <v>2.5349999999999998E-4</v>
      </c>
      <c r="Q1022" s="84" t="e">
        <v>#REF!</v>
      </c>
      <c r="R1022" s="85">
        <v>61.197355544805802</v>
      </c>
      <c r="S1022" s="85">
        <v>88000</v>
      </c>
      <c r="T1022" s="86">
        <v>88061.197355544806</v>
      </c>
      <c r="U1022" s="84">
        <v>5.8707464903696502</v>
      </c>
      <c r="V1022" s="84">
        <v>9.093</v>
      </c>
      <c r="W1022" s="84">
        <v>4.5465</v>
      </c>
      <c r="X1022" s="82">
        <v>0.35</v>
      </c>
      <c r="Y1022" s="87">
        <v>11.7414929807393</v>
      </c>
      <c r="Z1022" s="84">
        <v>11.7414929807393</v>
      </c>
      <c r="AA1022" s="84">
        <v>23.482985961478601</v>
      </c>
      <c r="AB1022" s="88">
        <v>2</v>
      </c>
      <c r="AC1022" t="s">
        <v>4742</v>
      </c>
    </row>
    <row r="1023" spans="3:29">
      <c r="C1023" t="s">
        <v>4743</v>
      </c>
      <c r="D1023" t="s">
        <v>4741</v>
      </c>
      <c r="E1023" s="84">
        <v>16.989999999999998</v>
      </c>
      <c r="F1023" s="84">
        <v>8.4949999999999992</v>
      </c>
      <c r="G1023" t="s">
        <v>4467</v>
      </c>
      <c r="H1023" t="s">
        <v>4726</v>
      </c>
      <c r="I1023" t="s">
        <v>841</v>
      </c>
      <c r="J1023" t="s">
        <v>4727</v>
      </c>
      <c r="K1023" t="s">
        <v>4723</v>
      </c>
      <c r="L1023" t="s">
        <v>670</v>
      </c>
      <c r="N1023">
        <v>18</v>
      </c>
      <c r="O1023">
        <v>1.5</v>
      </c>
      <c r="P1023">
        <v>4.86E-4</v>
      </c>
      <c r="Q1023" s="84" t="e">
        <v>#REF!</v>
      </c>
      <c r="R1023" s="85">
        <v>117.32510767199</v>
      </c>
      <c r="S1023" s="85">
        <v>132000</v>
      </c>
      <c r="T1023" s="86">
        <v>132117.32510767199</v>
      </c>
      <c r="U1023" s="84">
        <v>8.8078216738447992</v>
      </c>
      <c r="V1023" s="84">
        <v>11.893000000000001</v>
      </c>
      <c r="W1023" s="84">
        <v>5.9465000000000003</v>
      </c>
      <c r="X1023" s="82">
        <v>0.35</v>
      </c>
      <c r="Y1023" s="87">
        <v>17.615643347689598</v>
      </c>
      <c r="Z1023" s="84">
        <v>17.615643347689598</v>
      </c>
      <c r="AA1023" s="84">
        <v>35.231286695379197</v>
      </c>
      <c r="AB1023" s="88">
        <v>2</v>
      </c>
      <c r="AC1023" t="s">
        <v>4744</v>
      </c>
    </row>
    <row r="1024" spans="3:29">
      <c r="C1024" t="s">
        <v>4745</v>
      </c>
      <c r="D1024" t="s">
        <v>4741</v>
      </c>
      <c r="E1024" s="84">
        <v>20.99</v>
      </c>
      <c r="F1024" s="84">
        <v>10.494999999999999</v>
      </c>
      <c r="G1024" t="s">
        <v>4467</v>
      </c>
      <c r="H1024" t="s">
        <v>4730</v>
      </c>
      <c r="I1024" t="s">
        <v>841</v>
      </c>
      <c r="J1024" t="s">
        <v>4731</v>
      </c>
      <c r="K1024" t="s">
        <v>4723</v>
      </c>
      <c r="L1024" t="s">
        <v>670</v>
      </c>
      <c r="N1024">
        <v>24</v>
      </c>
      <c r="O1024">
        <v>1.5</v>
      </c>
      <c r="P1024">
        <v>8.6399999999999997E-4</v>
      </c>
      <c r="Q1024" s="84" t="e">
        <v>#REF!</v>
      </c>
      <c r="R1024" s="85">
        <v>208.57796919401201</v>
      </c>
      <c r="S1024" s="85">
        <v>198000</v>
      </c>
      <c r="T1024" s="86">
        <v>198208.57796919401</v>
      </c>
      <c r="U1024" s="84">
        <v>13.2139051979463</v>
      </c>
      <c r="V1024" s="84">
        <v>14.693</v>
      </c>
      <c r="W1024" s="84">
        <v>7.3464999999999998</v>
      </c>
      <c r="X1024" s="82">
        <v>0.35</v>
      </c>
      <c r="Y1024" s="87">
        <v>26.4278103958925</v>
      </c>
      <c r="Z1024" s="84">
        <v>26.4278103958925</v>
      </c>
      <c r="AA1024" s="84">
        <v>52.8556207917851</v>
      </c>
      <c r="AB1024" s="88">
        <v>2</v>
      </c>
      <c r="AC1024" t="s">
        <v>4746</v>
      </c>
    </row>
    <row r="1025" spans="3:29" ht="60.75">
      <c r="C1025" t="s">
        <v>4747</v>
      </c>
      <c r="D1025" t="s">
        <v>4741</v>
      </c>
      <c r="E1025" s="84">
        <v>27.99</v>
      </c>
      <c r="F1025" s="84">
        <v>13.994999999999999</v>
      </c>
      <c r="G1025" t="s">
        <v>4467</v>
      </c>
      <c r="H1025" t="s">
        <v>4748</v>
      </c>
      <c r="I1025" t="s">
        <v>841</v>
      </c>
      <c r="J1025" s="83" t="s">
        <v>4749</v>
      </c>
      <c r="K1025" s="83" t="s">
        <v>4750</v>
      </c>
      <c r="L1025" t="s">
        <v>670</v>
      </c>
      <c r="P1025">
        <v>0</v>
      </c>
      <c r="Q1025" s="84" t="e">
        <v>#REF!</v>
      </c>
      <c r="R1025" s="85">
        <v>263.98149226099503</v>
      </c>
      <c r="S1025" s="85">
        <v>231000</v>
      </c>
      <c r="T1025" s="86">
        <v>231263.98149226099</v>
      </c>
      <c r="U1025" s="84">
        <v>15.4175987661507</v>
      </c>
      <c r="V1025" s="84">
        <v>19.593</v>
      </c>
      <c r="W1025" s="84">
        <v>9.7965</v>
      </c>
      <c r="X1025" s="82">
        <v>0.35</v>
      </c>
      <c r="Y1025" s="87">
        <v>30.8351975323015</v>
      </c>
      <c r="Z1025" s="84">
        <v>30.8351975323015</v>
      </c>
      <c r="AA1025" s="84">
        <v>61.6703950646029</v>
      </c>
      <c r="AB1025" s="88">
        <v>2</v>
      </c>
      <c r="AC1025" t="s">
        <v>4744</v>
      </c>
    </row>
    <row r="1026" spans="3:29">
      <c r="C1026" t="s">
        <v>4751</v>
      </c>
      <c r="D1026" t="s">
        <v>4741</v>
      </c>
      <c r="E1026" s="84">
        <v>31.99</v>
      </c>
      <c r="F1026" s="84">
        <v>15.994999999999999</v>
      </c>
      <c r="G1026" t="s">
        <v>4467</v>
      </c>
      <c r="H1026" t="s">
        <v>4738</v>
      </c>
      <c r="I1026" t="s">
        <v>841</v>
      </c>
      <c r="J1026" t="s">
        <v>4739</v>
      </c>
      <c r="K1026" t="s">
        <v>4723</v>
      </c>
      <c r="L1026" t="s">
        <v>670</v>
      </c>
      <c r="N1026">
        <v>32</v>
      </c>
      <c r="O1026">
        <v>1.5</v>
      </c>
      <c r="P1026">
        <v>1.536E-3</v>
      </c>
      <c r="Q1026" s="84" t="e">
        <v>#REF!</v>
      </c>
      <c r="R1026" s="85">
        <v>370.80527856701502</v>
      </c>
      <c r="S1026" s="85">
        <v>297000</v>
      </c>
      <c r="T1026" s="86">
        <v>297370.80527856702</v>
      </c>
      <c r="U1026" s="84">
        <v>19.824720351904499</v>
      </c>
      <c r="V1026" s="84">
        <v>22.393000000000001</v>
      </c>
      <c r="W1026" s="84">
        <v>11.1965</v>
      </c>
      <c r="X1026" s="82">
        <v>0.35</v>
      </c>
      <c r="Y1026" s="87">
        <v>39.649440703808899</v>
      </c>
      <c r="Z1026" s="84">
        <v>39.649440703808899</v>
      </c>
      <c r="AA1026" s="84">
        <v>79.298881407617898</v>
      </c>
      <c r="AB1026" s="88">
        <v>2</v>
      </c>
      <c r="AC1026" t="s">
        <v>4752</v>
      </c>
    </row>
    <row r="1027" spans="3:29">
      <c r="C1027" t="s">
        <v>4753</v>
      </c>
      <c r="D1027" t="s">
        <v>4754</v>
      </c>
      <c r="E1027" s="84">
        <v>12.99</v>
      </c>
      <c r="F1027" s="84">
        <v>6.4950000000000001</v>
      </c>
      <c r="G1027" t="s">
        <v>4467</v>
      </c>
      <c r="H1027" t="s">
        <v>4755</v>
      </c>
      <c r="I1027" t="s">
        <v>830</v>
      </c>
      <c r="J1027" t="s">
        <v>4756</v>
      </c>
      <c r="K1027" t="s">
        <v>4723</v>
      </c>
      <c r="L1027" t="s">
        <v>670</v>
      </c>
      <c r="N1027">
        <v>13</v>
      </c>
      <c r="O1027">
        <v>3</v>
      </c>
      <c r="P1027">
        <v>5.0699999999999996E-4</v>
      </c>
      <c r="Q1027" s="84" t="e">
        <v>#REF!</v>
      </c>
      <c r="R1027" s="85">
        <v>122.39471109000399</v>
      </c>
      <c r="S1027" s="85">
        <v>110000</v>
      </c>
      <c r="T1027" s="86">
        <v>110122.39471109</v>
      </c>
      <c r="U1027" s="84">
        <v>7.3414929807393303</v>
      </c>
      <c r="V1027" s="84">
        <v>9.093</v>
      </c>
      <c r="W1027" s="84">
        <v>4.5465</v>
      </c>
      <c r="X1027" s="82">
        <v>0.35</v>
      </c>
      <c r="Y1027" s="87">
        <v>14.6829859614787</v>
      </c>
      <c r="Z1027" s="84">
        <v>14.6829859614787</v>
      </c>
      <c r="AA1027" s="84">
        <v>29.3659719229573</v>
      </c>
      <c r="AB1027" s="88">
        <v>2</v>
      </c>
      <c r="AC1027" t="s">
        <v>4757</v>
      </c>
    </row>
    <row r="1028" spans="3:29">
      <c r="C1028" t="s">
        <v>4758</v>
      </c>
      <c r="D1028" t="s">
        <v>4754</v>
      </c>
      <c r="E1028" s="84">
        <v>17.989999999999998</v>
      </c>
      <c r="F1028" s="84">
        <v>8.9949999999999992</v>
      </c>
      <c r="G1028" t="s">
        <v>4467</v>
      </c>
      <c r="H1028" t="s">
        <v>4759</v>
      </c>
      <c r="I1028" t="s">
        <v>830</v>
      </c>
      <c r="J1028" t="s">
        <v>4760</v>
      </c>
      <c r="K1028" t="s">
        <v>4723</v>
      </c>
      <c r="L1028" t="s">
        <v>670</v>
      </c>
      <c r="N1028">
        <v>20</v>
      </c>
      <c r="O1028">
        <v>3</v>
      </c>
      <c r="P1028">
        <v>1.1999999999999999E-3</v>
      </c>
      <c r="Q1028" s="84" t="e">
        <v>#REF!</v>
      </c>
      <c r="R1028" s="85">
        <v>289.69162388099397</v>
      </c>
      <c r="S1028" s="85">
        <v>165000</v>
      </c>
      <c r="T1028" s="86">
        <v>165289.69162388099</v>
      </c>
      <c r="U1028" s="84">
        <v>11.0193127749254</v>
      </c>
      <c r="V1028" s="84">
        <v>12.593</v>
      </c>
      <c r="W1028" s="84">
        <v>6.2965</v>
      </c>
      <c r="X1028" s="82">
        <v>0.35</v>
      </c>
      <c r="Y1028" s="87">
        <v>22.038625549850799</v>
      </c>
      <c r="Z1028" s="84">
        <v>22.038625549850799</v>
      </c>
      <c r="AA1028" s="84">
        <v>44.077251099701598</v>
      </c>
      <c r="AB1028" s="88">
        <v>2</v>
      </c>
      <c r="AC1028" t="s">
        <v>4761</v>
      </c>
    </row>
    <row r="1029" spans="3:29">
      <c r="C1029" t="s">
        <v>4762</v>
      </c>
      <c r="D1029" t="s">
        <v>4754</v>
      </c>
      <c r="E1029" s="84">
        <v>20.99</v>
      </c>
      <c r="F1029" s="84">
        <v>10.494999999999999</v>
      </c>
      <c r="G1029" t="s">
        <v>4467</v>
      </c>
      <c r="H1029" t="s">
        <v>4763</v>
      </c>
      <c r="I1029" t="s">
        <v>830</v>
      </c>
      <c r="J1029" t="s">
        <v>4764</v>
      </c>
      <c r="K1029" t="s">
        <v>4723</v>
      </c>
      <c r="L1029" t="s">
        <v>670</v>
      </c>
      <c r="N1029">
        <v>22</v>
      </c>
      <c r="O1029">
        <v>3</v>
      </c>
      <c r="P1029">
        <v>1.4519999999999999E-3</v>
      </c>
      <c r="Q1029" s="84" t="e">
        <v>#REF!</v>
      </c>
      <c r="R1029" s="85">
        <v>350.52686489600501</v>
      </c>
      <c r="S1029" s="85">
        <v>198000</v>
      </c>
      <c r="T1029" s="86">
        <v>198350.526864896</v>
      </c>
      <c r="U1029" s="84">
        <v>13.223368457659699</v>
      </c>
      <c r="V1029" s="84">
        <v>14.693</v>
      </c>
      <c r="W1029" s="84">
        <v>7.3464999999999998</v>
      </c>
      <c r="X1029" s="82">
        <v>0.35</v>
      </c>
      <c r="Y1029" s="87">
        <v>26.446736915319502</v>
      </c>
      <c r="Z1029" s="84">
        <v>26.446736915319502</v>
      </c>
      <c r="AA1029" s="84">
        <v>52.893473830638897</v>
      </c>
      <c r="AB1029" s="88">
        <v>2</v>
      </c>
      <c r="AC1029" t="s">
        <v>4757</v>
      </c>
    </row>
    <row r="1030" spans="3:29">
      <c r="C1030" t="s">
        <v>4765</v>
      </c>
      <c r="D1030" t="s">
        <v>4754</v>
      </c>
      <c r="E1030" s="84">
        <v>26.99</v>
      </c>
      <c r="F1030" s="84">
        <v>13.494999999999999</v>
      </c>
      <c r="G1030" t="s">
        <v>4467</v>
      </c>
      <c r="H1030" t="s">
        <v>4766</v>
      </c>
      <c r="I1030" t="s">
        <v>830</v>
      </c>
      <c r="J1030" t="s">
        <v>4767</v>
      </c>
      <c r="K1030" t="s">
        <v>4723</v>
      </c>
      <c r="L1030" t="s">
        <v>670</v>
      </c>
      <c r="N1030">
        <v>27</v>
      </c>
      <c r="O1030">
        <v>3</v>
      </c>
      <c r="P1030">
        <v>2.1870000000000001E-3</v>
      </c>
      <c r="Q1030" s="84" t="e">
        <v>#REF!</v>
      </c>
      <c r="R1030" s="85">
        <v>527.96298452199005</v>
      </c>
      <c r="S1030" s="85">
        <v>264000</v>
      </c>
      <c r="T1030" s="86">
        <v>264527.96298452199</v>
      </c>
      <c r="U1030" s="84">
        <v>17.6351975323015</v>
      </c>
      <c r="V1030" s="84">
        <v>18.893000000000001</v>
      </c>
      <c r="W1030" s="84">
        <v>9.4465000000000003</v>
      </c>
      <c r="X1030" s="82">
        <v>0.35</v>
      </c>
      <c r="Y1030" s="87">
        <v>35.270395064602901</v>
      </c>
      <c r="Z1030" s="84">
        <v>35.270395064602901</v>
      </c>
      <c r="AA1030" s="84">
        <v>70.540790129205902</v>
      </c>
      <c r="AB1030" s="88">
        <v>2</v>
      </c>
      <c r="AC1030" t="s">
        <v>4757</v>
      </c>
    </row>
    <row r="1031" spans="3:29">
      <c r="C1031" t="s">
        <v>4768</v>
      </c>
      <c r="D1031" t="s">
        <v>4754</v>
      </c>
      <c r="E1031" s="84">
        <v>32.99</v>
      </c>
      <c r="F1031" s="84">
        <v>16.495000000000001</v>
      </c>
      <c r="G1031" t="s">
        <v>4467</v>
      </c>
      <c r="H1031" t="s">
        <v>4769</v>
      </c>
      <c r="I1031" t="s">
        <v>830</v>
      </c>
      <c r="J1031" t="s">
        <v>4770</v>
      </c>
      <c r="K1031" t="s">
        <v>4723</v>
      </c>
      <c r="L1031" t="s">
        <v>670</v>
      </c>
      <c r="N1031">
        <v>32</v>
      </c>
      <c r="O1031">
        <v>3</v>
      </c>
      <c r="P1031">
        <v>3.0720000000000001E-3</v>
      </c>
      <c r="Q1031" s="84" t="e">
        <v>#REF!</v>
      </c>
      <c r="R1031" s="85">
        <v>741.61055713397195</v>
      </c>
      <c r="S1031" s="85">
        <v>330000</v>
      </c>
      <c r="T1031" s="86">
        <v>330741.61055713397</v>
      </c>
      <c r="U1031" s="84">
        <v>22.049440703808902</v>
      </c>
      <c r="V1031" s="84">
        <v>23.093</v>
      </c>
      <c r="W1031" s="84">
        <v>11.5465</v>
      </c>
      <c r="X1031" s="82">
        <v>0.35</v>
      </c>
      <c r="Y1031" s="87">
        <v>44.098881407617903</v>
      </c>
      <c r="Z1031" s="84">
        <v>44.098881407617903</v>
      </c>
      <c r="AA1031" s="84">
        <v>88.197762815235706</v>
      </c>
      <c r="AB1031" s="88">
        <v>2</v>
      </c>
      <c r="AC1031" t="s">
        <v>4771</v>
      </c>
    </row>
    <row r="1032" spans="3:29">
      <c r="C1032" t="s">
        <v>4772</v>
      </c>
      <c r="D1032" t="s">
        <v>4773</v>
      </c>
      <c r="E1032" s="84">
        <v>11.99</v>
      </c>
      <c r="F1032" s="84">
        <v>5.9950000000000001</v>
      </c>
      <c r="G1032" t="s">
        <v>4467</v>
      </c>
      <c r="H1032" t="s">
        <v>4774</v>
      </c>
      <c r="I1032" t="s">
        <v>810</v>
      </c>
      <c r="J1032" t="s">
        <v>4722</v>
      </c>
      <c r="K1032" t="s">
        <v>4723</v>
      </c>
      <c r="L1032" t="s">
        <v>670</v>
      </c>
      <c r="N1032">
        <v>13</v>
      </c>
      <c r="O1032">
        <v>1.5</v>
      </c>
      <c r="P1032">
        <v>2.5349999999999998E-4</v>
      </c>
      <c r="Q1032" s="84" t="e">
        <v>#REF!</v>
      </c>
      <c r="R1032" s="85">
        <v>61.197355544805802</v>
      </c>
      <c r="S1032" s="85">
        <v>96800</v>
      </c>
      <c r="T1032" s="86">
        <v>96861.197355544806</v>
      </c>
      <c r="U1032" s="84">
        <v>6.4574131570363198</v>
      </c>
      <c r="V1032" s="84">
        <v>8.3930000000000007</v>
      </c>
      <c r="W1032" s="84">
        <v>4.1965000000000003</v>
      </c>
      <c r="X1032" s="82">
        <v>0.35</v>
      </c>
      <c r="Y1032" s="87">
        <v>12.914826314072601</v>
      </c>
      <c r="Z1032" s="84">
        <v>12.914826314072601</v>
      </c>
      <c r="AA1032" s="84">
        <v>25.8296526281453</v>
      </c>
      <c r="AB1032" s="88">
        <v>2</v>
      </c>
      <c r="AC1032" t="s">
        <v>4775</v>
      </c>
    </row>
    <row r="1033" spans="3:29">
      <c r="C1033" t="s">
        <v>4776</v>
      </c>
      <c r="D1033" t="s">
        <v>4773</v>
      </c>
      <c r="E1033" s="84">
        <v>17.989999999999998</v>
      </c>
      <c r="F1033" s="84">
        <v>8.9949999999999992</v>
      </c>
      <c r="G1033" t="s">
        <v>4467</v>
      </c>
      <c r="H1033" t="s">
        <v>4777</v>
      </c>
      <c r="I1033" t="s">
        <v>810</v>
      </c>
      <c r="J1033" t="s">
        <v>4727</v>
      </c>
      <c r="K1033" t="s">
        <v>4723</v>
      </c>
      <c r="L1033" t="s">
        <v>670</v>
      </c>
      <c r="N1033">
        <v>18</v>
      </c>
      <c r="O1033">
        <v>1.5</v>
      </c>
      <c r="P1033">
        <v>4.86E-4</v>
      </c>
      <c r="Q1033" s="84" t="e">
        <v>#REF!</v>
      </c>
      <c r="R1033" s="85">
        <v>117.32510767199</v>
      </c>
      <c r="S1033" s="85">
        <v>145200</v>
      </c>
      <c r="T1033" s="86">
        <v>145317.32510767199</v>
      </c>
      <c r="U1033" s="84">
        <v>9.6878216738448</v>
      </c>
      <c r="V1033" s="84">
        <v>12.593</v>
      </c>
      <c r="W1033" s="84">
        <v>6.2965</v>
      </c>
      <c r="X1033" s="82">
        <v>0.35</v>
      </c>
      <c r="Y1033" s="87">
        <v>19.3756433476896</v>
      </c>
      <c r="Z1033" s="84">
        <v>19.3756433476896</v>
      </c>
      <c r="AA1033" s="84">
        <v>38.7512866953792</v>
      </c>
      <c r="AB1033" s="88">
        <v>2</v>
      </c>
      <c r="AC1033" t="s">
        <v>4778</v>
      </c>
    </row>
    <row r="1034" spans="3:29">
      <c r="C1034" t="s">
        <v>4779</v>
      </c>
      <c r="D1034" t="s">
        <v>4773</v>
      </c>
      <c r="E1034" s="84">
        <v>19.989999999999998</v>
      </c>
      <c r="F1034" s="84">
        <v>9.9949999999999992</v>
      </c>
      <c r="G1034" t="s">
        <v>4467</v>
      </c>
      <c r="H1034" t="s">
        <v>4780</v>
      </c>
      <c r="I1034" t="s">
        <v>810</v>
      </c>
      <c r="J1034" t="s">
        <v>4731</v>
      </c>
      <c r="K1034" t="s">
        <v>4723</v>
      </c>
      <c r="L1034" t="s">
        <v>670</v>
      </c>
      <c r="N1034">
        <v>24</v>
      </c>
      <c r="O1034">
        <v>1.5</v>
      </c>
      <c r="P1034">
        <v>8.6399999999999997E-4</v>
      </c>
      <c r="Q1034" s="84" t="e">
        <v>#REF!</v>
      </c>
      <c r="R1034" s="85">
        <v>208.57796919401201</v>
      </c>
      <c r="S1034" s="85">
        <v>205700</v>
      </c>
      <c r="T1034" s="86">
        <v>205908.57796919401</v>
      </c>
      <c r="U1034" s="84">
        <v>13.7272385312796</v>
      </c>
      <c r="V1034" s="84">
        <v>13.993</v>
      </c>
      <c r="W1034" s="84">
        <v>6.9965000000000002</v>
      </c>
      <c r="X1034" s="82">
        <v>0.35</v>
      </c>
      <c r="Y1034" s="87">
        <v>27.454477062559199</v>
      </c>
      <c r="Z1034" s="84">
        <v>27.454477062559199</v>
      </c>
      <c r="AA1034" s="84">
        <v>54.908954125118399</v>
      </c>
      <c r="AB1034" s="88">
        <v>2</v>
      </c>
      <c r="AC1034" t="s">
        <v>4781</v>
      </c>
    </row>
    <row r="1035" spans="3:29">
      <c r="C1035" t="s">
        <v>4782</v>
      </c>
      <c r="D1035" t="s">
        <v>4773</v>
      </c>
      <c r="E1035" s="84">
        <v>26.99</v>
      </c>
      <c r="F1035" s="84">
        <v>13.494999999999999</v>
      </c>
      <c r="G1035" t="s">
        <v>4467</v>
      </c>
      <c r="H1035" t="s">
        <v>4783</v>
      </c>
      <c r="I1035" t="s">
        <v>810</v>
      </c>
      <c r="J1035" t="s">
        <v>4735</v>
      </c>
      <c r="K1035" t="s">
        <v>4723</v>
      </c>
      <c r="L1035" t="s">
        <v>670</v>
      </c>
      <c r="N1035">
        <v>27</v>
      </c>
      <c r="O1035">
        <v>1.5</v>
      </c>
      <c r="P1035">
        <v>1.0935000000000001E-3</v>
      </c>
      <c r="Q1035" s="84" t="e">
        <v>#REF!</v>
      </c>
      <c r="R1035" s="85">
        <v>263.98149226099503</v>
      </c>
      <c r="S1035" s="85">
        <v>242000</v>
      </c>
      <c r="T1035" s="86">
        <v>242263.98149226099</v>
      </c>
      <c r="U1035" s="84">
        <v>16.150932099484098</v>
      </c>
      <c r="V1035" s="84">
        <v>18.893000000000001</v>
      </c>
      <c r="W1035" s="84">
        <v>9.4465000000000003</v>
      </c>
      <c r="X1035" s="82">
        <v>0.35</v>
      </c>
      <c r="Y1035" s="87">
        <v>32.301864198968097</v>
      </c>
      <c r="Z1035" s="84">
        <v>32.301864198968097</v>
      </c>
      <c r="AA1035" s="84">
        <v>64.603728397936294</v>
      </c>
      <c r="AB1035" s="88">
        <v>2</v>
      </c>
      <c r="AC1035" t="s">
        <v>4778</v>
      </c>
    </row>
    <row r="1036" spans="3:29">
      <c r="C1036" t="s">
        <v>4784</v>
      </c>
      <c r="D1036" t="s">
        <v>4773</v>
      </c>
      <c r="E1036" s="84">
        <v>30.99</v>
      </c>
      <c r="F1036" s="84">
        <v>15.494999999999999</v>
      </c>
      <c r="G1036" t="s">
        <v>4467</v>
      </c>
      <c r="H1036" t="s">
        <v>4785</v>
      </c>
      <c r="I1036" t="s">
        <v>810</v>
      </c>
      <c r="J1036" t="s">
        <v>4739</v>
      </c>
      <c r="K1036" t="s">
        <v>4723</v>
      </c>
      <c r="L1036" t="s">
        <v>670</v>
      </c>
      <c r="N1036">
        <v>32</v>
      </c>
      <c r="O1036">
        <v>1.5</v>
      </c>
      <c r="P1036">
        <v>1.536E-3</v>
      </c>
      <c r="Q1036" s="84" t="e">
        <v>#REF!</v>
      </c>
      <c r="R1036" s="85">
        <v>370.80527856701502</v>
      </c>
      <c r="S1036" s="85">
        <v>302500</v>
      </c>
      <c r="T1036" s="86">
        <v>302870.80527856702</v>
      </c>
      <c r="U1036" s="84">
        <v>20.191387018571099</v>
      </c>
      <c r="V1036" s="84">
        <v>21.693000000000001</v>
      </c>
      <c r="W1036" s="84">
        <v>10.846500000000001</v>
      </c>
      <c r="X1036" s="82">
        <v>0.35</v>
      </c>
      <c r="Y1036" s="87">
        <v>40.382774037142298</v>
      </c>
      <c r="Z1036" s="84">
        <v>40.382774037142298</v>
      </c>
      <c r="AA1036" s="84">
        <v>80.765548074284496</v>
      </c>
      <c r="AB1036" s="88">
        <v>2</v>
      </c>
      <c r="AC1036" t="s">
        <v>4786</v>
      </c>
    </row>
    <row r="1037" spans="3:29">
      <c r="C1037" t="s">
        <v>4787</v>
      </c>
      <c r="D1037" t="s">
        <v>4788</v>
      </c>
      <c r="E1037" s="84">
        <v>12.99</v>
      </c>
      <c r="F1037" s="84">
        <v>6.4950000000000001</v>
      </c>
      <c r="G1037" t="s">
        <v>4467</v>
      </c>
      <c r="H1037" t="s">
        <v>4774</v>
      </c>
      <c r="I1037" t="s">
        <v>834</v>
      </c>
      <c r="J1037" t="s">
        <v>4722</v>
      </c>
      <c r="K1037" t="s">
        <v>4723</v>
      </c>
      <c r="L1037" t="s">
        <v>670</v>
      </c>
      <c r="N1037">
        <v>13</v>
      </c>
      <c r="O1037">
        <v>1.5</v>
      </c>
      <c r="P1037">
        <v>2.5349999999999998E-4</v>
      </c>
      <c r="Q1037" s="84" t="e">
        <v>#REF!</v>
      </c>
      <c r="R1037" s="85">
        <v>61.197355544805802</v>
      </c>
      <c r="S1037" s="85">
        <v>96800</v>
      </c>
      <c r="T1037" s="86">
        <v>96861.197355544806</v>
      </c>
      <c r="U1037" s="84">
        <v>6.4574131570363198</v>
      </c>
      <c r="V1037" s="84">
        <v>9.093</v>
      </c>
      <c r="W1037" s="84">
        <v>4.5465</v>
      </c>
      <c r="X1037" s="82">
        <v>0.35</v>
      </c>
      <c r="Y1037" s="87">
        <v>12.914826314072601</v>
      </c>
      <c r="Z1037" s="84">
        <v>12.914826314072601</v>
      </c>
      <c r="AA1037" s="84">
        <v>25.8296526281453</v>
      </c>
      <c r="AB1037" s="88">
        <v>2</v>
      </c>
      <c r="AC1037" t="s">
        <v>4789</v>
      </c>
    </row>
    <row r="1038" spans="3:29">
      <c r="C1038" t="s">
        <v>4790</v>
      </c>
      <c r="D1038" t="s">
        <v>4788</v>
      </c>
      <c r="E1038" s="84">
        <v>18.989999999999998</v>
      </c>
      <c r="F1038" s="84">
        <v>9.4949999999999992</v>
      </c>
      <c r="G1038" t="s">
        <v>4467</v>
      </c>
      <c r="H1038" t="s">
        <v>4777</v>
      </c>
      <c r="I1038" t="s">
        <v>834</v>
      </c>
      <c r="J1038" t="s">
        <v>4727</v>
      </c>
      <c r="K1038" t="s">
        <v>4723</v>
      </c>
      <c r="L1038" t="s">
        <v>670</v>
      </c>
      <c r="N1038">
        <v>18</v>
      </c>
      <c r="O1038">
        <v>1.5</v>
      </c>
      <c r="P1038">
        <v>4.86E-4</v>
      </c>
      <c r="Q1038" s="84" t="e">
        <v>#REF!</v>
      </c>
      <c r="R1038" s="85">
        <v>117.32510767199</v>
      </c>
      <c r="S1038" s="85">
        <v>145200</v>
      </c>
      <c r="T1038" s="86">
        <v>145317.32510767199</v>
      </c>
      <c r="U1038" s="84">
        <v>9.6878216738448</v>
      </c>
      <c r="V1038" s="84">
        <v>13.292999999999999</v>
      </c>
      <c r="W1038" s="84">
        <v>6.6464999999999996</v>
      </c>
      <c r="X1038" s="82">
        <v>0.35</v>
      </c>
      <c r="Y1038" s="87">
        <v>19.3756433476896</v>
      </c>
      <c r="Z1038" s="84">
        <v>19.3756433476896</v>
      </c>
      <c r="AA1038" s="84">
        <v>38.7512866953792</v>
      </c>
      <c r="AB1038" s="88">
        <v>2</v>
      </c>
      <c r="AC1038" t="s">
        <v>4791</v>
      </c>
    </row>
    <row r="1039" spans="3:29">
      <c r="C1039" t="s">
        <v>4792</v>
      </c>
      <c r="D1039" t="s">
        <v>4788</v>
      </c>
      <c r="E1039" s="84">
        <v>23.99</v>
      </c>
      <c r="F1039" s="84">
        <v>11.994999999999999</v>
      </c>
      <c r="G1039" t="s">
        <v>4467</v>
      </c>
      <c r="H1039" t="s">
        <v>4780</v>
      </c>
      <c r="I1039" t="s">
        <v>834</v>
      </c>
      <c r="J1039" t="s">
        <v>4731</v>
      </c>
      <c r="K1039" t="s">
        <v>4723</v>
      </c>
      <c r="L1039" t="s">
        <v>670</v>
      </c>
      <c r="N1039">
        <v>24</v>
      </c>
      <c r="O1039">
        <v>1.5</v>
      </c>
      <c r="P1039">
        <v>8.6399999999999997E-4</v>
      </c>
      <c r="Q1039" s="84" t="e">
        <v>#REF!</v>
      </c>
      <c r="R1039" s="85">
        <v>208.57796919401201</v>
      </c>
      <c r="S1039" s="85">
        <v>217800</v>
      </c>
      <c r="T1039" s="86">
        <v>218008.57796919401</v>
      </c>
      <c r="U1039" s="84">
        <v>14.5339051979463</v>
      </c>
      <c r="V1039" s="84">
        <v>16.792999999999999</v>
      </c>
      <c r="W1039" s="84">
        <v>8.3964999999999996</v>
      </c>
      <c r="X1039" s="82">
        <v>0.35</v>
      </c>
      <c r="Y1039" s="87">
        <v>29.067810395892501</v>
      </c>
      <c r="Z1039" s="84">
        <v>29.067810395892501</v>
      </c>
      <c r="AA1039" s="84">
        <v>58.135620791785101</v>
      </c>
      <c r="AB1039" s="88">
        <v>2</v>
      </c>
      <c r="AC1039" t="s">
        <v>4793</v>
      </c>
    </row>
    <row r="1040" spans="3:29">
      <c r="C1040" t="s">
        <v>4794</v>
      </c>
      <c r="D1040" t="s">
        <v>4788</v>
      </c>
      <c r="E1040" s="84">
        <v>30.99</v>
      </c>
      <c r="F1040" s="84">
        <v>15.494999999999999</v>
      </c>
      <c r="G1040" t="s">
        <v>4467</v>
      </c>
      <c r="H1040" t="s">
        <v>4783</v>
      </c>
      <c r="I1040" t="s">
        <v>834</v>
      </c>
      <c r="J1040" t="s">
        <v>4735</v>
      </c>
      <c r="K1040" t="s">
        <v>4723</v>
      </c>
      <c r="L1040" t="s">
        <v>670</v>
      </c>
      <c r="N1040">
        <v>27</v>
      </c>
      <c r="O1040">
        <v>1.5</v>
      </c>
      <c r="P1040">
        <v>1.0935000000000001E-3</v>
      </c>
      <c r="Q1040" s="84" t="e">
        <v>#REF!</v>
      </c>
      <c r="R1040" s="85">
        <v>263.98149226099503</v>
      </c>
      <c r="S1040" s="85">
        <v>254100</v>
      </c>
      <c r="T1040" s="86">
        <v>254363.98149226099</v>
      </c>
      <c r="U1040" s="84">
        <v>16.957598766150699</v>
      </c>
      <c r="V1040" s="84">
        <v>21.693000000000001</v>
      </c>
      <c r="W1040" s="84">
        <v>10.846500000000001</v>
      </c>
      <c r="X1040" s="82">
        <v>0.35</v>
      </c>
      <c r="Y1040" s="87">
        <v>33.915197532301498</v>
      </c>
      <c r="Z1040" s="84">
        <v>33.915197532301498</v>
      </c>
      <c r="AA1040" s="84">
        <v>67.830395064602897</v>
      </c>
      <c r="AB1040" s="88">
        <v>2</v>
      </c>
      <c r="AC1040" t="s">
        <v>4795</v>
      </c>
    </row>
    <row r="1041" spans="3:29">
      <c r="C1041" t="s">
        <v>4796</v>
      </c>
      <c r="D1041" t="s">
        <v>4788</v>
      </c>
      <c r="E1041" s="84">
        <v>34.99</v>
      </c>
      <c r="F1041" s="84">
        <v>17.495000000000001</v>
      </c>
      <c r="G1041" t="s">
        <v>4467</v>
      </c>
      <c r="H1041" t="s">
        <v>4785</v>
      </c>
      <c r="I1041" t="s">
        <v>834</v>
      </c>
      <c r="J1041" t="s">
        <v>4739</v>
      </c>
      <c r="K1041" t="s">
        <v>4723</v>
      </c>
      <c r="L1041" t="s">
        <v>670</v>
      </c>
      <c r="N1041">
        <v>32</v>
      </c>
      <c r="O1041">
        <v>1.5</v>
      </c>
      <c r="P1041">
        <v>1.536E-3</v>
      </c>
      <c r="Q1041" s="84" t="e">
        <v>#REF!</v>
      </c>
      <c r="R1041" s="85">
        <v>370.80527856701502</v>
      </c>
      <c r="S1041" s="85">
        <v>326700</v>
      </c>
      <c r="T1041" s="86">
        <v>327070.80527856702</v>
      </c>
      <c r="U1041" s="84">
        <v>21.8047203519045</v>
      </c>
      <c r="V1041" s="84">
        <v>24.492999999999999</v>
      </c>
      <c r="W1041" s="84">
        <v>12.246499999999999</v>
      </c>
      <c r="X1041" s="82">
        <v>0.35</v>
      </c>
      <c r="Y1041" s="87">
        <v>43.6094407038089</v>
      </c>
      <c r="Z1041" s="84">
        <v>43.6094407038089</v>
      </c>
      <c r="AA1041" s="84">
        <v>87.2188814076179</v>
      </c>
      <c r="AB1041" s="88">
        <v>2</v>
      </c>
      <c r="AC1041" t="s">
        <v>4793</v>
      </c>
    </row>
    <row r="1042" spans="3:29">
      <c r="C1042" t="s">
        <v>4797</v>
      </c>
      <c r="D1042" t="s">
        <v>4798</v>
      </c>
      <c r="E1042" s="84">
        <v>12.99</v>
      </c>
      <c r="F1042" s="84">
        <v>6.4950000000000001</v>
      </c>
      <c r="G1042" t="s">
        <v>4467</v>
      </c>
      <c r="H1042" t="s">
        <v>4799</v>
      </c>
      <c r="I1042" t="s">
        <v>824</v>
      </c>
      <c r="J1042" t="s">
        <v>4756</v>
      </c>
      <c r="K1042" t="s">
        <v>4723</v>
      </c>
      <c r="L1042" t="s">
        <v>670</v>
      </c>
      <c r="N1042">
        <v>13</v>
      </c>
      <c r="O1042">
        <v>3</v>
      </c>
      <c r="P1042">
        <v>5.0699999999999996E-4</v>
      </c>
      <c r="Q1042" s="84" t="e">
        <v>#REF!</v>
      </c>
      <c r="R1042" s="85">
        <v>122.39471109000399</v>
      </c>
      <c r="S1042" s="85">
        <v>121000</v>
      </c>
      <c r="T1042" s="86">
        <v>121122.39471109</v>
      </c>
      <c r="U1042" s="84">
        <v>8.0748263140726699</v>
      </c>
      <c r="V1042" s="84">
        <v>9.093</v>
      </c>
      <c r="W1042" s="84">
        <v>4.5465</v>
      </c>
      <c r="X1042" s="82">
        <v>0.35</v>
      </c>
      <c r="Y1042" s="87">
        <v>16.149652628145301</v>
      </c>
      <c r="Z1042" s="84">
        <v>16.149652628145301</v>
      </c>
      <c r="AA1042" s="84">
        <v>32.299305256290701</v>
      </c>
      <c r="AB1042" s="88">
        <v>2</v>
      </c>
      <c r="AC1042" t="s">
        <v>4800</v>
      </c>
    </row>
    <row r="1043" spans="3:29">
      <c r="C1043" t="s">
        <v>4801</v>
      </c>
      <c r="D1043" t="s">
        <v>4798</v>
      </c>
      <c r="E1043" s="84">
        <v>19.989999999999998</v>
      </c>
      <c r="F1043" s="84">
        <v>9.9949999999999992</v>
      </c>
      <c r="G1043" t="s">
        <v>4467</v>
      </c>
      <c r="H1043" t="s">
        <v>4802</v>
      </c>
      <c r="I1043" t="s">
        <v>824</v>
      </c>
      <c r="J1043" t="s">
        <v>4760</v>
      </c>
      <c r="K1043" t="s">
        <v>4723</v>
      </c>
      <c r="L1043" t="s">
        <v>670</v>
      </c>
      <c r="N1043">
        <v>20</v>
      </c>
      <c r="O1043">
        <v>3</v>
      </c>
      <c r="P1043">
        <v>1.1999999999999999E-3</v>
      </c>
      <c r="Q1043" s="84" t="e">
        <v>#REF!</v>
      </c>
      <c r="R1043" s="85">
        <v>289.69162388099397</v>
      </c>
      <c r="S1043" s="85">
        <v>181500</v>
      </c>
      <c r="T1043" s="86">
        <v>181789.69162388099</v>
      </c>
      <c r="U1043" s="84">
        <v>12.119312774925399</v>
      </c>
      <c r="V1043" s="84">
        <v>13.993</v>
      </c>
      <c r="W1043" s="84">
        <v>6.9965000000000002</v>
      </c>
      <c r="X1043" s="82">
        <v>0.35</v>
      </c>
      <c r="Y1043" s="87">
        <v>24.238625549850799</v>
      </c>
      <c r="Z1043" s="84">
        <v>24.238625549850799</v>
      </c>
      <c r="AA1043" s="84">
        <v>48.477251099701597</v>
      </c>
      <c r="AB1043" s="88">
        <v>2</v>
      </c>
      <c r="AC1043" t="s">
        <v>4800</v>
      </c>
    </row>
    <row r="1044" spans="3:29">
      <c r="C1044" t="s">
        <v>4803</v>
      </c>
      <c r="D1044" t="s">
        <v>4798</v>
      </c>
      <c r="E1044" s="84">
        <v>20.99</v>
      </c>
      <c r="F1044" s="84">
        <v>10.494999999999999</v>
      </c>
      <c r="G1044" t="s">
        <v>4467</v>
      </c>
      <c r="H1044" t="s">
        <v>4804</v>
      </c>
      <c r="I1044" t="s">
        <v>824</v>
      </c>
      <c r="J1044" t="s">
        <v>4764</v>
      </c>
      <c r="K1044" t="s">
        <v>4723</v>
      </c>
      <c r="L1044" t="s">
        <v>670</v>
      </c>
      <c r="N1044">
        <v>22</v>
      </c>
      <c r="O1044">
        <v>3</v>
      </c>
      <c r="P1044">
        <v>1.4519999999999999E-3</v>
      </c>
      <c r="Q1044" s="84" t="e">
        <v>#REF!</v>
      </c>
      <c r="R1044" s="85">
        <v>350.52686489600501</v>
      </c>
      <c r="S1044" s="85">
        <v>217800</v>
      </c>
      <c r="T1044" s="86">
        <v>218150.526864896</v>
      </c>
      <c r="U1044" s="84">
        <v>14.5433684576597</v>
      </c>
      <c r="V1044" s="84">
        <v>14.693</v>
      </c>
      <c r="W1044" s="84">
        <v>7.3464999999999998</v>
      </c>
      <c r="X1044" s="82">
        <v>0.35</v>
      </c>
      <c r="Y1044" s="87">
        <v>29.086736915319499</v>
      </c>
      <c r="Z1044" s="84">
        <v>29.086736915319499</v>
      </c>
      <c r="AA1044" s="84">
        <v>58.173473830638898</v>
      </c>
      <c r="AB1044" s="88">
        <v>2</v>
      </c>
      <c r="AC1044" t="s">
        <v>4805</v>
      </c>
    </row>
    <row r="1045" spans="3:29">
      <c r="C1045" t="s">
        <v>4806</v>
      </c>
      <c r="D1045" t="s">
        <v>4798</v>
      </c>
      <c r="E1045" s="84">
        <v>30.99</v>
      </c>
      <c r="F1045" s="84">
        <v>15.494999999999999</v>
      </c>
      <c r="G1045" t="s">
        <v>4467</v>
      </c>
      <c r="H1045" t="s">
        <v>4807</v>
      </c>
      <c r="I1045" t="s">
        <v>824</v>
      </c>
      <c r="J1045" t="s">
        <v>4767</v>
      </c>
      <c r="K1045" t="s">
        <v>4723</v>
      </c>
      <c r="L1045" t="s">
        <v>670</v>
      </c>
      <c r="N1045">
        <v>27</v>
      </c>
      <c r="O1045">
        <v>3</v>
      </c>
      <c r="P1045">
        <v>2.1870000000000001E-3</v>
      </c>
      <c r="Q1045" s="84" t="e">
        <v>#REF!</v>
      </c>
      <c r="R1045" s="85">
        <v>527.96298452199005</v>
      </c>
      <c r="S1045" s="85">
        <v>290400</v>
      </c>
      <c r="T1045" s="86">
        <v>290927.96298452199</v>
      </c>
      <c r="U1045" s="84">
        <v>19.395197532301498</v>
      </c>
      <c r="V1045" s="84">
        <v>21.693000000000001</v>
      </c>
      <c r="W1045" s="84">
        <v>10.846500000000001</v>
      </c>
      <c r="X1045" s="82">
        <v>0.35</v>
      </c>
      <c r="Y1045" s="87">
        <v>38.790395064602897</v>
      </c>
      <c r="Z1045" s="84">
        <v>38.790395064602897</v>
      </c>
      <c r="AA1045" s="84">
        <v>77.580790129205894</v>
      </c>
      <c r="AB1045" s="88">
        <v>2</v>
      </c>
      <c r="AC1045" t="s">
        <v>4808</v>
      </c>
    </row>
    <row r="1046" spans="3:29">
      <c r="C1046" t="s">
        <v>4809</v>
      </c>
      <c r="D1046" t="s">
        <v>4798</v>
      </c>
      <c r="E1046" s="84">
        <v>33.99</v>
      </c>
      <c r="F1046" s="84">
        <v>16.995000000000001</v>
      </c>
      <c r="G1046" t="s">
        <v>4467</v>
      </c>
      <c r="H1046" t="s">
        <v>4810</v>
      </c>
      <c r="I1046" t="s">
        <v>824</v>
      </c>
      <c r="J1046" t="s">
        <v>4770</v>
      </c>
      <c r="K1046" t="s">
        <v>4723</v>
      </c>
      <c r="L1046" t="s">
        <v>670</v>
      </c>
      <c r="N1046">
        <v>32</v>
      </c>
      <c r="O1046">
        <v>3</v>
      </c>
      <c r="P1046">
        <v>3.0720000000000001E-3</v>
      </c>
      <c r="Q1046" s="84" t="e">
        <v>#REF!</v>
      </c>
      <c r="R1046" s="85">
        <v>741.61055713397195</v>
      </c>
      <c r="S1046" s="85">
        <v>363000</v>
      </c>
      <c r="T1046" s="86">
        <v>363741.61055713397</v>
      </c>
      <c r="U1046" s="84">
        <v>24.249440703808901</v>
      </c>
      <c r="V1046" s="84">
        <v>23.792999999999999</v>
      </c>
      <c r="W1046" s="84">
        <v>11.8965</v>
      </c>
      <c r="X1046" s="82">
        <v>0.35</v>
      </c>
      <c r="Y1046" s="87">
        <v>48.498881407617901</v>
      </c>
      <c r="Z1046" s="84">
        <v>48.498881407617901</v>
      </c>
      <c r="AA1046" s="84">
        <v>96.997762815235703</v>
      </c>
      <c r="AB1046" s="88">
        <v>2</v>
      </c>
      <c r="AC1046" t="s">
        <v>4811</v>
      </c>
    </row>
    <row r="1047" spans="3:29">
      <c r="C1047" t="s">
        <v>4812</v>
      </c>
      <c r="D1047" t="s">
        <v>4813</v>
      </c>
      <c r="E1047" s="84">
        <v>11.99</v>
      </c>
      <c r="F1047" s="84">
        <v>5.9950000000000001</v>
      </c>
      <c r="G1047" t="s">
        <v>4467</v>
      </c>
      <c r="H1047" t="s">
        <v>4814</v>
      </c>
      <c r="I1047" t="s">
        <v>356</v>
      </c>
      <c r="J1047" t="s">
        <v>4815</v>
      </c>
      <c r="K1047" t="s">
        <v>4723</v>
      </c>
      <c r="L1047" t="s">
        <v>670</v>
      </c>
      <c r="N1047">
        <v>8</v>
      </c>
      <c r="O1047">
        <v>4</v>
      </c>
      <c r="P1047">
        <v>2.5599999999999999E-4</v>
      </c>
      <c r="Q1047" s="84" t="e">
        <v>#REF!</v>
      </c>
      <c r="R1047" s="85">
        <v>61.800879761198303</v>
      </c>
      <c r="S1047" s="85">
        <v>77000</v>
      </c>
      <c r="T1047" s="86">
        <v>77061.800879761198</v>
      </c>
      <c r="U1047" s="84">
        <v>5.1374533919840797</v>
      </c>
      <c r="V1047" s="84">
        <v>8.3930000000000007</v>
      </c>
      <c r="W1047" s="84">
        <v>4.1965000000000003</v>
      </c>
      <c r="X1047" s="82">
        <v>0.35</v>
      </c>
      <c r="Y1047" s="87">
        <v>10.2749067839682</v>
      </c>
      <c r="Z1047" s="84">
        <v>10.2749067839682</v>
      </c>
      <c r="AA1047" s="84">
        <v>20.549813567936301</v>
      </c>
      <c r="AB1047" s="88">
        <v>2</v>
      </c>
      <c r="AC1047" t="s">
        <v>4816</v>
      </c>
    </row>
    <row r="1048" spans="3:29">
      <c r="C1048" t="s">
        <v>4817</v>
      </c>
      <c r="D1048" t="s">
        <v>4813</v>
      </c>
      <c r="E1048" s="84">
        <v>12.99</v>
      </c>
      <c r="F1048" s="84">
        <v>6.4950000000000001</v>
      </c>
      <c r="G1048" t="s">
        <v>4467</v>
      </c>
      <c r="H1048" t="s">
        <v>4818</v>
      </c>
      <c r="I1048" t="s">
        <v>356</v>
      </c>
      <c r="J1048" t="s">
        <v>4819</v>
      </c>
      <c r="K1048" t="s">
        <v>4723</v>
      </c>
      <c r="L1048" t="s">
        <v>670</v>
      </c>
      <c r="N1048">
        <v>12</v>
      </c>
      <c r="O1048">
        <v>6</v>
      </c>
      <c r="P1048">
        <v>8.6399999999999997E-4</v>
      </c>
      <c r="Q1048" s="84" t="e">
        <v>#REF!</v>
      </c>
      <c r="R1048" s="85">
        <v>208.57796919399701</v>
      </c>
      <c r="S1048" s="85">
        <v>121000</v>
      </c>
      <c r="T1048" s="86">
        <v>121208.577969194</v>
      </c>
      <c r="U1048" s="84">
        <v>8.0805718646129296</v>
      </c>
      <c r="V1048" s="84">
        <v>9.093</v>
      </c>
      <c r="W1048" s="84">
        <v>4.5465</v>
      </c>
      <c r="X1048" s="82">
        <v>0.35</v>
      </c>
      <c r="Y1048" s="87">
        <v>16.161143729225898</v>
      </c>
      <c r="Z1048" s="84">
        <v>16.161143729225898</v>
      </c>
      <c r="AA1048" s="84">
        <v>32.322287458451697</v>
      </c>
      <c r="AB1048" s="88">
        <v>2</v>
      </c>
      <c r="AC1048" t="s">
        <v>4816</v>
      </c>
    </row>
    <row r="1049" spans="3:29">
      <c r="C1049" t="s">
        <v>4820</v>
      </c>
      <c r="D1049" t="s">
        <v>4813</v>
      </c>
      <c r="E1049" s="84">
        <v>12.99</v>
      </c>
      <c r="F1049" s="84">
        <v>6.4950000000000001</v>
      </c>
      <c r="G1049" t="s">
        <v>4467</v>
      </c>
      <c r="H1049" t="s">
        <v>4821</v>
      </c>
      <c r="I1049" t="s">
        <v>356</v>
      </c>
      <c r="J1049" t="s">
        <v>4822</v>
      </c>
      <c r="K1049" t="s">
        <v>4723</v>
      </c>
      <c r="L1049" t="s">
        <v>670</v>
      </c>
      <c r="N1049">
        <v>12</v>
      </c>
      <c r="O1049">
        <v>4</v>
      </c>
      <c r="P1049">
        <v>5.7600000000000001E-4</v>
      </c>
      <c r="Q1049" s="84" t="e">
        <v>#REF!</v>
      </c>
      <c r="R1049" s="85">
        <v>139.05197946299401</v>
      </c>
      <c r="S1049" s="85">
        <v>110000</v>
      </c>
      <c r="T1049" s="86">
        <v>110139.05197946299</v>
      </c>
      <c r="U1049" s="84">
        <v>7.3426034652975298</v>
      </c>
      <c r="V1049" s="84">
        <v>9.093</v>
      </c>
      <c r="W1049" s="84">
        <v>4.5465</v>
      </c>
      <c r="X1049" s="82">
        <v>0.35</v>
      </c>
      <c r="Y1049" s="87">
        <v>14.685206930595101</v>
      </c>
      <c r="Z1049" s="84">
        <v>14.685206930595101</v>
      </c>
      <c r="AA1049" s="84">
        <v>29.370413861190102</v>
      </c>
      <c r="AB1049" s="88">
        <v>2</v>
      </c>
      <c r="AC1049" t="s">
        <v>4816</v>
      </c>
    </row>
    <row r="1050" spans="3:29">
      <c r="C1050" t="s">
        <v>4823</v>
      </c>
      <c r="D1050" t="s">
        <v>4813</v>
      </c>
      <c r="E1050" s="84">
        <v>14.99</v>
      </c>
      <c r="F1050" s="84">
        <v>7.4950000000000001</v>
      </c>
      <c r="G1050" t="s">
        <v>4467</v>
      </c>
      <c r="H1050" t="s">
        <v>4824</v>
      </c>
      <c r="I1050" t="s">
        <v>356</v>
      </c>
      <c r="J1050" t="s">
        <v>4825</v>
      </c>
      <c r="K1050" t="s">
        <v>4723</v>
      </c>
      <c r="L1050" t="s">
        <v>670</v>
      </c>
      <c r="N1050">
        <v>13.5</v>
      </c>
      <c r="O1050">
        <v>5</v>
      </c>
      <c r="P1050">
        <v>9.1124999999999995E-4</v>
      </c>
      <c r="Q1050" s="84" t="e">
        <v>#REF!</v>
      </c>
      <c r="R1050" s="85">
        <v>219.98457688398801</v>
      </c>
      <c r="S1050" s="85">
        <v>137500</v>
      </c>
      <c r="T1050" s="86">
        <v>137719.98457688399</v>
      </c>
      <c r="U1050" s="84">
        <v>9.1813323051256006</v>
      </c>
      <c r="V1050" s="84">
        <v>10.493</v>
      </c>
      <c r="W1050" s="84">
        <v>5.2465000000000002</v>
      </c>
      <c r="X1050" s="82">
        <v>0.35</v>
      </c>
      <c r="Y1050" s="87">
        <v>18.362664610251201</v>
      </c>
      <c r="Z1050" s="84">
        <v>18.362664610251201</v>
      </c>
      <c r="AA1050" s="84">
        <v>36.725329220502402</v>
      </c>
      <c r="AB1050" s="88">
        <v>2</v>
      </c>
      <c r="AC1050" t="s">
        <v>4826</v>
      </c>
    </row>
    <row r="1051" spans="3:29">
      <c r="C1051" t="s">
        <v>4768</v>
      </c>
      <c r="D1051" t="s">
        <v>4813</v>
      </c>
      <c r="E1051" s="84">
        <v>32.99</v>
      </c>
      <c r="F1051" s="84">
        <v>16.495000000000001</v>
      </c>
      <c r="G1051" t="s">
        <v>4467</v>
      </c>
      <c r="H1051" t="s">
        <v>4827</v>
      </c>
      <c r="I1051" t="s">
        <v>356</v>
      </c>
      <c r="J1051" t="s">
        <v>4828</v>
      </c>
      <c r="K1051" t="s">
        <v>4723</v>
      </c>
      <c r="L1051" t="s">
        <v>670</v>
      </c>
      <c r="N1051">
        <v>26</v>
      </c>
      <c r="O1051">
        <v>8</v>
      </c>
      <c r="P1051">
        <v>5.4079999999999996E-3</v>
      </c>
      <c r="Q1051" s="84" t="e">
        <v>#REF!</v>
      </c>
      <c r="R1051" s="85">
        <v>618.00879761201202</v>
      </c>
      <c r="S1051" s="85">
        <v>192500</v>
      </c>
      <c r="T1051" s="86">
        <v>193118.00879761201</v>
      </c>
      <c r="U1051" s="84">
        <v>12.8745339198408</v>
      </c>
      <c r="V1051" s="84">
        <v>23.093</v>
      </c>
      <c r="W1051" s="84">
        <v>11.5465</v>
      </c>
      <c r="X1051" s="82">
        <v>0.35</v>
      </c>
      <c r="Y1051" s="87">
        <v>25.749067839681601</v>
      </c>
      <c r="Z1051" s="84">
        <v>25.749067839681601</v>
      </c>
      <c r="AA1051" s="84">
        <v>51.498135679363202</v>
      </c>
      <c r="AB1051" s="88">
        <v>2</v>
      </c>
      <c r="AC1051" t="s">
        <v>4816</v>
      </c>
    </row>
    <row r="1052" spans="3:29">
      <c r="C1052" t="s">
        <v>4829</v>
      </c>
      <c r="D1052" t="s">
        <v>4813</v>
      </c>
      <c r="E1052" s="84">
        <v>23.99</v>
      </c>
      <c r="F1052" s="84">
        <v>11.994999999999999</v>
      </c>
      <c r="G1052" t="s">
        <v>4467</v>
      </c>
      <c r="H1052" t="s">
        <v>4830</v>
      </c>
      <c r="I1052" t="s">
        <v>356</v>
      </c>
      <c r="J1052" t="s">
        <v>4831</v>
      </c>
      <c r="K1052" t="s">
        <v>4723</v>
      </c>
      <c r="L1052" t="s">
        <v>670</v>
      </c>
      <c r="N1052">
        <v>16</v>
      </c>
      <c r="O1052">
        <v>10</v>
      </c>
      <c r="P1052">
        <v>2.5600000000000002E-3</v>
      </c>
      <c r="Q1052" s="84" t="e">
        <v>#REF!</v>
      </c>
      <c r="R1052" s="85">
        <v>348.83699708999501</v>
      </c>
      <c r="S1052" s="85">
        <v>159500</v>
      </c>
      <c r="T1052" s="86">
        <v>159848.83699708999</v>
      </c>
      <c r="U1052" s="84">
        <v>10.656589133139301</v>
      </c>
      <c r="V1052" s="84">
        <v>16.792999999999999</v>
      </c>
      <c r="W1052" s="84">
        <v>8.3964999999999996</v>
      </c>
      <c r="X1052" s="82">
        <v>0.35</v>
      </c>
      <c r="Y1052" s="87">
        <v>21.313178266278701</v>
      </c>
      <c r="Z1052" s="84">
        <v>21.313178266278701</v>
      </c>
      <c r="AA1052" s="84">
        <v>42.626356532557303</v>
      </c>
      <c r="AB1052" s="88">
        <v>2</v>
      </c>
      <c r="AC1052" t="s">
        <v>4826</v>
      </c>
    </row>
    <row r="1053" spans="3:29">
      <c r="C1053" t="s">
        <v>4832</v>
      </c>
      <c r="D1053" t="s">
        <v>4813</v>
      </c>
      <c r="E1053" s="84">
        <v>26.99</v>
      </c>
      <c r="F1053" s="84">
        <v>13.494999999999999</v>
      </c>
      <c r="G1053" t="s">
        <v>4467</v>
      </c>
      <c r="H1053" t="s">
        <v>4833</v>
      </c>
      <c r="I1053" t="s">
        <v>356</v>
      </c>
      <c r="J1053" t="s">
        <v>4834</v>
      </c>
      <c r="K1053" t="s">
        <v>4723</v>
      </c>
      <c r="L1053" t="s">
        <v>670</v>
      </c>
      <c r="N1053">
        <v>17</v>
      </c>
      <c r="O1053">
        <v>5</v>
      </c>
      <c r="P1053">
        <v>1.4450000000000001E-3</v>
      </c>
      <c r="Q1053" s="84" t="e">
        <v>#REF!</v>
      </c>
      <c r="R1053" s="85">
        <v>482.81937313399999</v>
      </c>
      <c r="S1053" s="85">
        <v>181500</v>
      </c>
      <c r="T1053" s="86">
        <v>181982.819373134</v>
      </c>
      <c r="U1053" s="84">
        <v>12.132187958208901</v>
      </c>
      <c r="V1053" s="84">
        <v>18.893000000000001</v>
      </c>
      <c r="W1053" s="84">
        <v>9.4465000000000003</v>
      </c>
      <c r="X1053" s="82">
        <v>0.35</v>
      </c>
      <c r="Y1053" s="87">
        <v>24.264375916417901</v>
      </c>
      <c r="Z1053" s="84">
        <v>24.264375916417901</v>
      </c>
      <c r="AA1053" s="84">
        <v>48.528751832835702</v>
      </c>
      <c r="AB1053" s="88">
        <v>2</v>
      </c>
      <c r="AC1053" t="s">
        <v>4835</v>
      </c>
    </row>
    <row r="1054" spans="3:29">
      <c r="C1054" t="s">
        <v>4836</v>
      </c>
      <c r="D1054" t="s">
        <v>4813</v>
      </c>
      <c r="E1054" s="84">
        <v>34.99</v>
      </c>
      <c r="F1054" s="84">
        <v>17.495000000000001</v>
      </c>
      <c r="G1054" t="s">
        <v>4467</v>
      </c>
      <c r="H1054" t="s">
        <v>4837</v>
      </c>
      <c r="I1054" t="s">
        <v>356</v>
      </c>
      <c r="J1054" t="s">
        <v>4838</v>
      </c>
      <c r="K1054" t="s">
        <v>4723</v>
      </c>
      <c r="L1054" t="s">
        <v>670</v>
      </c>
      <c r="N1054">
        <v>20</v>
      </c>
      <c r="O1054">
        <v>5</v>
      </c>
      <c r="P1054">
        <v>2E-3</v>
      </c>
      <c r="Q1054" s="84" t="e">
        <v>#REF!</v>
      </c>
      <c r="R1054" s="85">
        <v>772.51099701499299</v>
      </c>
      <c r="S1054" s="85">
        <v>203500</v>
      </c>
      <c r="T1054" s="86">
        <v>204272.51099701499</v>
      </c>
      <c r="U1054" s="84">
        <v>13.618167399801001</v>
      </c>
      <c r="V1054" s="84">
        <v>24.492999999999999</v>
      </c>
      <c r="W1054" s="84">
        <v>12.246499999999999</v>
      </c>
      <c r="X1054" s="82">
        <v>0.35</v>
      </c>
      <c r="Y1054" s="87">
        <v>27.236334799602002</v>
      </c>
      <c r="Z1054" s="84">
        <v>27.236334799602002</v>
      </c>
      <c r="AA1054" s="84">
        <v>54.472669599204004</v>
      </c>
      <c r="AB1054" s="88">
        <v>2</v>
      </c>
      <c r="AC1054" t="s">
        <v>4839</v>
      </c>
    </row>
    <row r="1055" spans="3:29">
      <c r="C1055" t="s">
        <v>4840</v>
      </c>
      <c r="D1055" t="s">
        <v>4813</v>
      </c>
      <c r="E1055" s="84">
        <v>21.99</v>
      </c>
      <c r="F1055" s="84">
        <v>10.994999999999999</v>
      </c>
      <c r="G1055" t="s">
        <v>4467</v>
      </c>
      <c r="H1055" t="s">
        <v>4841</v>
      </c>
      <c r="I1055" t="s">
        <v>356</v>
      </c>
      <c r="J1055" t="s">
        <v>4842</v>
      </c>
      <c r="K1055" t="s">
        <v>4723</v>
      </c>
      <c r="L1055" t="s">
        <v>670</v>
      </c>
      <c r="N1055">
        <v>20</v>
      </c>
      <c r="O1055">
        <v>8</v>
      </c>
      <c r="P1055">
        <v>3.2000000000000002E-3</v>
      </c>
      <c r="Q1055" s="84" t="e">
        <v>#REF!</v>
      </c>
      <c r="R1055" s="85">
        <v>1207.0484328360201</v>
      </c>
      <c r="S1055" s="85">
        <v>275000</v>
      </c>
      <c r="T1055" s="86">
        <v>276207.04843283602</v>
      </c>
      <c r="U1055" s="84">
        <v>18.413803228855699</v>
      </c>
      <c r="V1055" s="84">
        <v>15.393000000000001</v>
      </c>
      <c r="W1055" s="84">
        <v>7.6965000000000003</v>
      </c>
      <c r="X1055" s="82">
        <v>0.35</v>
      </c>
      <c r="Y1055" s="87">
        <v>36.827606457711497</v>
      </c>
      <c r="Z1055" s="84">
        <v>36.827606457711497</v>
      </c>
      <c r="AA1055" s="84">
        <v>73.655212915422894</v>
      </c>
      <c r="AB1055" s="88">
        <v>2</v>
      </c>
      <c r="AC1055" t="s">
        <v>4835</v>
      </c>
    </row>
    <row r="1056" spans="3:29">
      <c r="C1056" t="s">
        <v>4843</v>
      </c>
      <c r="D1056" t="s">
        <v>4813</v>
      </c>
      <c r="E1056" s="84">
        <v>27.99</v>
      </c>
      <c r="F1056" s="84">
        <v>13.994999999999999</v>
      </c>
      <c r="G1056" t="s">
        <v>4467</v>
      </c>
      <c r="H1056" t="s">
        <v>4844</v>
      </c>
      <c r="I1056" t="s">
        <v>356</v>
      </c>
      <c r="J1056" t="s">
        <v>4845</v>
      </c>
      <c r="K1056" t="s">
        <v>4723</v>
      </c>
      <c r="L1056" t="s">
        <v>670</v>
      </c>
      <c r="N1056">
        <v>25</v>
      </c>
      <c r="O1056">
        <v>8</v>
      </c>
      <c r="P1056">
        <v>5.0000000000000001E-3</v>
      </c>
      <c r="Q1056" s="84" t="e">
        <v>#REF!</v>
      </c>
      <c r="R1056" s="85">
        <v>2112.3347574630202</v>
      </c>
      <c r="S1056" s="85">
        <v>330000</v>
      </c>
      <c r="T1056" s="86">
        <v>332112.33475746302</v>
      </c>
      <c r="U1056" s="84">
        <v>22.140822317164201</v>
      </c>
      <c r="V1056" s="84">
        <v>19.593</v>
      </c>
      <c r="W1056" s="84">
        <v>9.7965</v>
      </c>
      <c r="X1056" s="82">
        <v>0.35</v>
      </c>
      <c r="Y1056" s="87">
        <v>44.281644634328401</v>
      </c>
      <c r="Z1056" s="84">
        <v>44.281644634328401</v>
      </c>
      <c r="AA1056" s="84">
        <v>88.563289268656803</v>
      </c>
      <c r="AB1056" s="88">
        <v>2</v>
      </c>
      <c r="AC1056" t="s">
        <v>4846</v>
      </c>
    </row>
    <row r="1057" spans="3:29">
      <c r="C1057" t="s">
        <v>4847</v>
      </c>
      <c r="D1057" t="s">
        <v>4813</v>
      </c>
      <c r="E1057" s="84">
        <v>44.99</v>
      </c>
      <c r="F1057" s="84">
        <v>22.495000000000001</v>
      </c>
      <c r="G1057" t="s">
        <v>4467</v>
      </c>
      <c r="H1057" t="s">
        <v>4848</v>
      </c>
      <c r="I1057" t="s">
        <v>356</v>
      </c>
      <c r="J1057" t="s">
        <v>4849</v>
      </c>
      <c r="K1057" t="s">
        <v>4723</v>
      </c>
      <c r="L1057" t="s">
        <v>670</v>
      </c>
      <c r="N1057">
        <v>25</v>
      </c>
      <c r="O1057">
        <v>14</v>
      </c>
      <c r="P1057">
        <v>8.7500000000000008E-3</v>
      </c>
      <c r="Q1057" s="84" t="e">
        <v>#REF!</v>
      </c>
      <c r="R1057" s="85">
        <v>2232.5567813729899</v>
      </c>
      <c r="S1057" s="85">
        <v>396000</v>
      </c>
      <c r="T1057" s="86">
        <v>398232.55678137299</v>
      </c>
      <c r="U1057" s="84">
        <v>26.5488371187582</v>
      </c>
      <c r="V1057" s="84">
        <v>31.492999999999999</v>
      </c>
      <c r="W1057" s="84">
        <v>15.746499999999999</v>
      </c>
      <c r="X1057" s="82">
        <v>0.35</v>
      </c>
      <c r="Y1057" s="87">
        <v>53.097674237516401</v>
      </c>
      <c r="Z1057" s="84">
        <v>53.097674237516401</v>
      </c>
      <c r="AA1057" s="84">
        <v>106.195348475033</v>
      </c>
      <c r="AB1057" s="88">
        <v>2</v>
      </c>
      <c r="AC1057" t="s">
        <v>4826</v>
      </c>
    </row>
    <row r="1058" spans="3:29">
      <c r="C1058" t="s">
        <v>4850</v>
      </c>
      <c r="D1058" t="s">
        <v>4813</v>
      </c>
      <c r="E1058" s="84">
        <v>44.99</v>
      </c>
      <c r="F1058" s="84">
        <v>22.495000000000001</v>
      </c>
      <c r="G1058" t="s">
        <v>4467</v>
      </c>
      <c r="H1058" t="s">
        <v>4851</v>
      </c>
      <c r="I1058" t="s">
        <v>356</v>
      </c>
      <c r="J1058" t="s">
        <v>4852</v>
      </c>
      <c r="K1058" t="s">
        <v>4723</v>
      </c>
      <c r="L1058" t="s">
        <v>670</v>
      </c>
      <c r="N1058">
        <v>34</v>
      </c>
      <c r="O1058">
        <v>8</v>
      </c>
      <c r="P1058">
        <v>9.2479999999999993E-3</v>
      </c>
      <c r="Q1058" s="84" t="e">
        <v>#REF!</v>
      </c>
      <c r="R1058" s="85"/>
      <c r="S1058" s="85"/>
      <c r="T1058" s="86">
        <v>0</v>
      </c>
      <c r="U1058" s="84">
        <v>0</v>
      </c>
      <c r="V1058" s="84">
        <v>31.492999999999999</v>
      </c>
      <c r="W1058" s="84">
        <v>15.746499999999999</v>
      </c>
      <c r="X1058" s="82">
        <v>0.35</v>
      </c>
      <c r="Y1058" s="82"/>
      <c r="Z1058" s="84">
        <v>15.746499999999999</v>
      </c>
      <c r="AA1058" s="84">
        <v>31.492999999999999</v>
      </c>
      <c r="AB1058" s="88" t="e">
        <v>#DIV/0!</v>
      </c>
      <c r="AC1058" t="s">
        <v>4846</v>
      </c>
    </row>
    <row r="1059" spans="3:29">
      <c r="C1059" t="s">
        <v>4853</v>
      </c>
      <c r="D1059" t="s">
        <v>4854</v>
      </c>
      <c r="E1059" s="84">
        <v>14.99</v>
      </c>
      <c r="F1059" s="84">
        <v>7.4950000000000001</v>
      </c>
      <c r="G1059" t="s">
        <v>4467</v>
      </c>
      <c r="H1059" t="s">
        <v>4855</v>
      </c>
      <c r="I1059" t="s">
        <v>356</v>
      </c>
      <c r="J1059" t="s">
        <v>4856</v>
      </c>
      <c r="K1059" t="s">
        <v>4723</v>
      </c>
      <c r="L1059" t="s">
        <v>670</v>
      </c>
      <c r="N1059">
        <v>13</v>
      </c>
      <c r="O1059">
        <v>6.5</v>
      </c>
      <c r="P1059">
        <v>1.0985000000000001E-3</v>
      </c>
      <c r="Q1059" s="84" t="e">
        <v>#REF!</v>
      </c>
      <c r="R1059" s="85"/>
      <c r="S1059" s="85"/>
      <c r="T1059" s="86">
        <v>0</v>
      </c>
      <c r="U1059" s="84">
        <v>0</v>
      </c>
      <c r="V1059" s="84">
        <v>10.493</v>
      </c>
      <c r="W1059" s="84">
        <v>5.2465000000000002</v>
      </c>
      <c r="X1059" s="82">
        <v>0.35</v>
      </c>
      <c r="Y1059" s="82"/>
      <c r="Z1059" s="84">
        <v>5.2465000000000002</v>
      </c>
      <c r="AA1059" s="84">
        <v>10.493</v>
      </c>
      <c r="AB1059" s="88" t="e">
        <v>#DIV/0!</v>
      </c>
      <c r="AC1059" t="s">
        <v>4846</v>
      </c>
    </row>
    <row r="1060" spans="3:29">
      <c r="C1060" t="s">
        <v>4857</v>
      </c>
      <c r="D1060" t="s">
        <v>4854</v>
      </c>
      <c r="E1060" s="84">
        <v>14.99</v>
      </c>
      <c r="F1060" s="84">
        <v>7.4950000000000001</v>
      </c>
      <c r="G1060" t="s">
        <v>4467</v>
      </c>
      <c r="H1060" t="s">
        <v>4858</v>
      </c>
      <c r="I1060" t="s">
        <v>356</v>
      </c>
      <c r="J1060" t="s">
        <v>4859</v>
      </c>
      <c r="K1060" t="s">
        <v>4723</v>
      </c>
      <c r="L1060" t="s">
        <v>670</v>
      </c>
      <c r="N1060">
        <v>16</v>
      </c>
      <c r="O1060">
        <v>8</v>
      </c>
      <c r="P1060">
        <v>2.0479999999999999E-3</v>
      </c>
      <c r="Q1060" s="84" t="e">
        <v>#REF!</v>
      </c>
      <c r="R1060" s="85"/>
      <c r="S1060" s="85"/>
      <c r="T1060" s="86">
        <v>0</v>
      </c>
      <c r="U1060" s="84">
        <v>0</v>
      </c>
      <c r="V1060" s="84">
        <v>10.493</v>
      </c>
      <c r="W1060" s="84">
        <v>5.2465000000000002</v>
      </c>
      <c r="X1060" s="82">
        <v>0.35</v>
      </c>
      <c r="Y1060" s="82"/>
      <c r="Z1060" s="84">
        <v>5.2465000000000002</v>
      </c>
      <c r="AA1060" s="84">
        <v>10.493</v>
      </c>
      <c r="AB1060" s="88" t="e">
        <v>#DIV/0!</v>
      </c>
      <c r="AC1060" t="s">
        <v>4835</v>
      </c>
    </row>
    <row r="1061" spans="3:29">
      <c r="C1061" t="s">
        <v>4860</v>
      </c>
      <c r="D1061" t="s">
        <v>4854</v>
      </c>
      <c r="E1061" s="84">
        <v>21.99</v>
      </c>
      <c r="F1061" s="84">
        <v>10.994999999999999</v>
      </c>
      <c r="G1061" t="s">
        <v>4467</v>
      </c>
      <c r="H1061" t="s">
        <v>4861</v>
      </c>
      <c r="I1061" t="s">
        <v>356</v>
      </c>
      <c r="J1061" t="s">
        <v>4862</v>
      </c>
      <c r="K1061" t="s">
        <v>4723</v>
      </c>
      <c r="L1061" t="s">
        <v>670</v>
      </c>
      <c r="N1061">
        <v>19.5</v>
      </c>
      <c r="O1061">
        <v>9.5</v>
      </c>
      <c r="P1061">
        <v>3.6123750000000001E-3</v>
      </c>
      <c r="Q1061" s="84" t="e">
        <v>#REF!</v>
      </c>
      <c r="R1061" s="85"/>
      <c r="S1061" s="85"/>
      <c r="T1061" s="86">
        <v>0</v>
      </c>
      <c r="U1061" s="84">
        <v>0</v>
      </c>
      <c r="V1061" s="84">
        <v>15.393000000000001</v>
      </c>
      <c r="W1061" s="84">
        <v>7.6965000000000003</v>
      </c>
      <c r="X1061" s="82">
        <v>0.35</v>
      </c>
      <c r="Y1061" s="82"/>
      <c r="Z1061" s="84">
        <v>7.6965000000000003</v>
      </c>
      <c r="AA1061" s="84">
        <v>15.393000000000001</v>
      </c>
      <c r="AB1061" s="88" t="e">
        <v>#DIV/0!</v>
      </c>
      <c r="AC1061" t="s">
        <v>4839</v>
      </c>
    </row>
    <row r="1062" spans="3:29">
      <c r="C1062" t="s">
        <v>4863</v>
      </c>
      <c r="D1062" t="s">
        <v>4854</v>
      </c>
      <c r="E1062" s="84">
        <v>31.99</v>
      </c>
      <c r="F1062" s="84">
        <v>15.994999999999999</v>
      </c>
      <c r="G1062" t="s">
        <v>4467</v>
      </c>
      <c r="H1062" t="s">
        <v>4864</v>
      </c>
      <c r="I1062" t="s">
        <v>356</v>
      </c>
      <c r="J1062" t="s">
        <v>4865</v>
      </c>
      <c r="K1062" t="s">
        <v>4723</v>
      </c>
      <c r="L1062" t="s">
        <v>670</v>
      </c>
      <c r="N1062">
        <v>26</v>
      </c>
      <c r="O1062">
        <v>13</v>
      </c>
      <c r="P1062">
        <v>8.7880000000000007E-3</v>
      </c>
      <c r="Q1062" s="84" t="e">
        <v>#REF!</v>
      </c>
      <c r="R1062" s="85"/>
      <c r="S1062" s="85"/>
      <c r="T1062" s="86">
        <v>0</v>
      </c>
      <c r="U1062" s="84">
        <v>0</v>
      </c>
      <c r="V1062" s="84">
        <v>22.393000000000001</v>
      </c>
      <c r="W1062" s="84">
        <v>11.1965</v>
      </c>
      <c r="X1062" s="82">
        <v>0.35</v>
      </c>
      <c r="Y1062" s="82"/>
      <c r="Z1062" s="84">
        <v>11.1965</v>
      </c>
      <c r="AA1062" s="84">
        <v>22.393000000000001</v>
      </c>
      <c r="AB1062" s="88" t="e">
        <v>#DIV/0!</v>
      </c>
      <c r="AC1062" t="s">
        <v>4839</v>
      </c>
    </row>
    <row r="1063" spans="3:29">
      <c r="C1063" t="s">
        <v>4866</v>
      </c>
      <c r="D1063" t="s">
        <v>4867</v>
      </c>
      <c r="E1063" s="84">
        <v>10.99</v>
      </c>
      <c r="F1063" s="84">
        <v>5.4950000000000001</v>
      </c>
      <c r="G1063" t="s">
        <v>4467</v>
      </c>
      <c r="H1063" t="s">
        <v>4868</v>
      </c>
      <c r="I1063" t="s">
        <v>991</v>
      </c>
      <c r="J1063" t="s">
        <v>4869</v>
      </c>
      <c r="K1063" t="s">
        <v>4723</v>
      </c>
      <c r="L1063" t="s">
        <v>670</v>
      </c>
      <c r="M1063">
        <v>8</v>
      </c>
      <c r="N1063">
        <v>12</v>
      </c>
      <c r="O1063">
        <v>1.5</v>
      </c>
      <c r="P1063">
        <v>1.44E-4</v>
      </c>
      <c r="Q1063" s="84" t="e">
        <v>#REF!</v>
      </c>
      <c r="R1063" s="85">
        <v>34.762994865697699</v>
      </c>
      <c r="S1063" s="85">
        <v>88000</v>
      </c>
      <c r="T1063" s="86">
        <v>88034.762994865698</v>
      </c>
      <c r="U1063" s="84">
        <v>5.8689841996577101</v>
      </c>
      <c r="V1063" s="84">
        <v>7.6929999999999996</v>
      </c>
      <c r="W1063" s="84">
        <v>3.8464999999999998</v>
      </c>
      <c r="X1063" s="82">
        <v>0.35</v>
      </c>
      <c r="Y1063" s="87">
        <v>11.737968399315401</v>
      </c>
      <c r="Z1063" s="84">
        <v>11.737968399315401</v>
      </c>
      <c r="AA1063" s="84">
        <v>23.475936798630901</v>
      </c>
      <c r="AB1063" s="88">
        <v>2</v>
      </c>
      <c r="AC1063" t="s">
        <v>4870</v>
      </c>
    </row>
    <row r="1064" spans="3:29">
      <c r="C1064" t="s">
        <v>4871</v>
      </c>
      <c r="D1064" t="s">
        <v>4867</v>
      </c>
      <c r="E1064" s="84">
        <v>12.99</v>
      </c>
      <c r="F1064" s="84">
        <v>6.4950000000000001</v>
      </c>
      <c r="G1064" t="s">
        <v>4467</v>
      </c>
      <c r="H1064" t="s">
        <v>4872</v>
      </c>
      <c r="I1064" t="s">
        <v>991</v>
      </c>
      <c r="J1064" t="s">
        <v>4873</v>
      </c>
      <c r="K1064" t="s">
        <v>4723</v>
      </c>
      <c r="L1064" t="s">
        <v>670</v>
      </c>
      <c r="M1064">
        <v>18</v>
      </c>
      <c r="N1064">
        <v>12</v>
      </c>
      <c r="O1064">
        <v>1.5</v>
      </c>
      <c r="P1064">
        <v>3.2400000000000001E-4</v>
      </c>
      <c r="Q1064" s="84" t="e">
        <v>#REF!</v>
      </c>
      <c r="R1064" s="85">
        <v>78.216738448012606</v>
      </c>
      <c r="S1064" s="85">
        <v>132000</v>
      </c>
      <c r="T1064" s="86">
        <v>132078.21673844801</v>
      </c>
      <c r="U1064" s="84">
        <v>8.8052144492298705</v>
      </c>
      <c r="V1064" s="84">
        <v>9.093</v>
      </c>
      <c r="W1064" s="84">
        <v>4.5465</v>
      </c>
      <c r="X1064" s="82">
        <v>0.35</v>
      </c>
      <c r="Y1064" s="87">
        <v>17.610428898459698</v>
      </c>
      <c r="Z1064" s="84">
        <v>17.610428898459698</v>
      </c>
      <c r="AA1064" s="84">
        <v>35.220857796919503</v>
      </c>
      <c r="AB1064" s="88">
        <v>2</v>
      </c>
      <c r="AC1064" t="s">
        <v>4874</v>
      </c>
    </row>
    <row r="1065" spans="3:29">
      <c r="C1065" t="s">
        <v>4875</v>
      </c>
      <c r="D1065" t="s">
        <v>4867</v>
      </c>
      <c r="E1065" s="84">
        <v>18.989999999999998</v>
      </c>
      <c r="F1065" s="84">
        <v>9.4949999999999992</v>
      </c>
      <c r="G1065" t="s">
        <v>4467</v>
      </c>
      <c r="H1065" t="s">
        <v>4876</v>
      </c>
      <c r="I1065" t="s">
        <v>991</v>
      </c>
      <c r="J1065" t="s">
        <v>4877</v>
      </c>
      <c r="K1065" t="s">
        <v>4723</v>
      </c>
      <c r="L1065" t="s">
        <v>670</v>
      </c>
      <c r="M1065">
        <v>27</v>
      </c>
      <c r="N1065">
        <v>20</v>
      </c>
      <c r="O1065">
        <v>1.5</v>
      </c>
      <c r="P1065">
        <v>8.0999999999999996E-4</v>
      </c>
      <c r="Q1065" s="84" t="e">
        <v>#REF!</v>
      </c>
      <c r="R1065" s="85">
        <v>195.541846119013</v>
      </c>
      <c r="S1065" s="85">
        <v>231000</v>
      </c>
      <c r="T1065" s="86">
        <v>231195.54184611901</v>
      </c>
      <c r="U1065" s="84">
        <v>15.413036123074599</v>
      </c>
      <c r="V1065" s="84">
        <v>13.292999999999999</v>
      </c>
      <c r="W1065" s="84">
        <v>6.6464999999999996</v>
      </c>
      <c r="X1065" s="82">
        <v>0.35</v>
      </c>
      <c r="Y1065" s="87">
        <v>30.826072246149199</v>
      </c>
      <c r="Z1065" s="84">
        <v>30.826072246149199</v>
      </c>
      <c r="AA1065" s="84">
        <v>61.652144492298397</v>
      </c>
      <c r="AB1065" s="88">
        <v>2</v>
      </c>
      <c r="AC1065" t="s">
        <v>4874</v>
      </c>
    </row>
    <row r="1066" spans="3:29">
      <c r="C1066" t="s">
        <v>4878</v>
      </c>
      <c r="D1066" t="s">
        <v>4867</v>
      </c>
      <c r="E1066" s="84">
        <v>35.99</v>
      </c>
      <c r="F1066" s="84">
        <v>17.995000000000001</v>
      </c>
      <c r="G1066" t="s">
        <v>4467</v>
      </c>
      <c r="H1066" t="s">
        <v>4879</v>
      </c>
      <c r="I1066" t="s">
        <v>991</v>
      </c>
      <c r="J1066" t="s">
        <v>4880</v>
      </c>
      <c r="K1066" t="s">
        <v>4723</v>
      </c>
      <c r="L1066" t="s">
        <v>670</v>
      </c>
      <c r="M1066">
        <v>34</v>
      </c>
      <c r="N1066">
        <v>24</v>
      </c>
      <c r="O1066">
        <v>1.5</v>
      </c>
      <c r="P1066">
        <v>1.224E-3</v>
      </c>
      <c r="Q1066" s="84" t="e">
        <v>#REF!</v>
      </c>
      <c r="R1066" s="85">
        <v>295.48545635800099</v>
      </c>
      <c r="S1066" s="85">
        <v>330000</v>
      </c>
      <c r="T1066" s="86">
        <v>330295.485456358</v>
      </c>
      <c r="U1066" s="84">
        <v>22.019699030423901</v>
      </c>
      <c r="V1066" s="84">
        <v>25.193000000000001</v>
      </c>
      <c r="W1066" s="84">
        <v>12.596500000000001</v>
      </c>
      <c r="X1066" s="82">
        <v>0.35</v>
      </c>
      <c r="Y1066" s="87">
        <v>44.039398060847702</v>
      </c>
      <c r="Z1066" s="84">
        <v>44.039398060847702</v>
      </c>
      <c r="AA1066" s="84">
        <v>88.078796121695504</v>
      </c>
      <c r="AB1066" s="88">
        <v>2</v>
      </c>
      <c r="AC1066" t="s">
        <v>4881</v>
      </c>
    </row>
    <row r="1067" spans="3:29">
      <c r="C1067" t="s">
        <v>4882</v>
      </c>
      <c r="D1067" t="s">
        <v>4867</v>
      </c>
      <c r="E1067" s="84">
        <v>50.99</v>
      </c>
      <c r="F1067" s="84">
        <v>25.495000000000001</v>
      </c>
      <c r="G1067" t="s">
        <v>4467</v>
      </c>
      <c r="H1067" t="s">
        <v>4883</v>
      </c>
      <c r="I1067" t="s">
        <v>991</v>
      </c>
      <c r="J1067" t="s">
        <v>4884</v>
      </c>
      <c r="K1067" t="s">
        <v>4723</v>
      </c>
      <c r="L1067" t="s">
        <v>670</v>
      </c>
      <c r="M1067">
        <v>42</v>
      </c>
      <c r="N1067">
        <v>27</v>
      </c>
      <c r="O1067">
        <v>1.5</v>
      </c>
      <c r="P1067">
        <v>1.701E-3</v>
      </c>
      <c r="Q1067" s="84" t="e">
        <v>#REF!</v>
      </c>
      <c r="R1067" s="85">
        <v>410.63787685101897</v>
      </c>
      <c r="S1067" s="85">
        <v>440000</v>
      </c>
      <c r="T1067" s="86">
        <v>440410.63787685102</v>
      </c>
      <c r="U1067" s="84">
        <v>29.3607091917901</v>
      </c>
      <c r="V1067" s="84">
        <v>35.692999999999998</v>
      </c>
      <c r="W1067" s="84">
        <v>17.846499999999999</v>
      </c>
      <c r="X1067" s="82">
        <v>0.35</v>
      </c>
      <c r="Y1067" s="87">
        <v>58.721418383580101</v>
      </c>
      <c r="Z1067" s="84">
        <v>58.721418383580101</v>
      </c>
      <c r="AA1067" s="84">
        <v>117.44283676716</v>
      </c>
      <c r="AB1067" s="88">
        <v>2</v>
      </c>
      <c r="AC1067" t="s">
        <v>4881</v>
      </c>
    </row>
    <row r="1068" spans="3:29">
      <c r="C1068" t="s">
        <v>4885</v>
      </c>
      <c r="D1068" t="s">
        <v>4886</v>
      </c>
      <c r="E1068" s="84">
        <v>11.99</v>
      </c>
      <c r="F1068" s="84">
        <v>5.9950000000000001</v>
      </c>
      <c r="G1068" t="s">
        <v>4467</v>
      </c>
      <c r="H1068" t="s">
        <v>4887</v>
      </c>
      <c r="I1068" t="s">
        <v>352</v>
      </c>
      <c r="J1068" t="s">
        <v>4815</v>
      </c>
      <c r="K1068" t="s">
        <v>4723</v>
      </c>
      <c r="L1068" t="s">
        <v>670</v>
      </c>
      <c r="N1068">
        <v>8</v>
      </c>
      <c r="O1068">
        <v>4</v>
      </c>
      <c r="P1068">
        <v>2.5599999999999999E-4</v>
      </c>
      <c r="Q1068" s="84" t="e">
        <v>#REF!</v>
      </c>
      <c r="R1068" s="85">
        <v>61.800879761198303</v>
      </c>
      <c r="S1068" s="85">
        <v>84700</v>
      </c>
      <c r="T1068" s="86">
        <v>84761.800879761198</v>
      </c>
      <c r="U1068" s="84">
        <v>5.6507867253174098</v>
      </c>
      <c r="V1068" s="84">
        <v>8.3930000000000007</v>
      </c>
      <c r="W1068" s="84">
        <v>4.1965000000000003</v>
      </c>
      <c r="X1068" s="82">
        <v>0.35</v>
      </c>
      <c r="Y1068" s="87">
        <v>11.3015734506348</v>
      </c>
      <c r="Z1068" s="84">
        <v>11.3015734506348</v>
      </c>
      <c r="AA1068" s="84">
        <v>22.603146901269699</v>
      </c>
      <c r="AB1068" s="88">
        <v>2</v>
      </c>
      <c r="AC1068" t="s">
        <v>4888</v>
      </c>
    </row>
    <row r="1069" spans="3:29">
      <c r="C1069" t="s">
        <v>4889</v>
      </c>
      <c r="D1069" t="s">
        <v>4886</v>
      </c>
      <c r="E1069" s="84">
        <v>12.99</v>
      </c>
      <c r="F1069" s="84">
        <v>6.4950000000000001</v>
      </c>
      <c r="G1069" t="s">
        <v>4467</v>
      </c>
      <c r="H1069" t="s">
        <v>4890</v>
      </c>
      <c r="I1069" t="s">
        <v>352</v>
      </c>
      <c r="J1069" t="s">
        <v>4819</v>
      </c>
      <c r="K1069" t="s">
        <v>4723</v>
      </c>
      <c r="L1069" t="s">
        <v>670</v>
      </c>
      <c r="N1069">
        <v>12</v>
      </c>
      <c r="O1069">
        <v>6</v>
      </c>
      <c r="P1069">
        <v>8.6399999999999997E-4</v>
      </c>
      <c r="Q1069" s="84" t="e">
        <v>#REF!</v>
      </c>
      <c r="R1069" s="85">
        <v>208.57796919401201</v>
      </c>
      <c r="S1069" s="85">
        <v>133100</v>
      </c>
      <c r="T1069" s="86">
        <v>133308.57796919401</v>
      </c>
      <c r="U1069" s="84">
        <v>8.8872385312795998</v>
      </c>
      <c r="V1069" s="84">
        <v>9.093</v>
      </c>
      <c r="W1069" s="84">
        <v>4.5465</v>
      </c>
      <c r="X1069" s="82">
        <v>0.35</v>
      </c>
      <c r="Y1069" s="87">
        <v>17.7744770625592</v>
      </c>
      <c r="Z1069" s="84">
        <v>17.7744770625592</v>
      </c>
      <c r="AA1069" s="84">
        <v>35.548954125118399</v>
      </c>
      <c r="AB1069" s="88">
        <v>2</v>
      </c>
      <c r="AC1069" t="s">
        <v>4891</v>
      </c>
    </row>
    <row r="1070" spans="3:29">
      <c r="C1070" t="s">
        <v>4892</v>
      </c>
      <c r="D1070" t="s">
        <v>4886</v>
      </c>
      <c r="E1070" s="84">
        <v>14.99</v>
      </c>
      <c r="F1070" s="84">
        <v>7.4950000000000001</v>
      </c>
      <c r="G1070" t="s">
        <v>4467</v>
      </c>
      <c r="H1070" t="s">
        <v>4893</v>
      </c>
      <c r="I1070" t="s">
        <v>352</v>
      </c>
      <c r="J1070" t="s">
        <v>4822</v>
      </c>
      <c r="K1070" t="s">
        <v>4723</v>
      </c>
      <c r="L1070" t="s">
        <v>670</v>
      </c>
      <c r="N1070">
        <v>12</v>
      </c>
      <c r="O1070">
        <v>4</v>
      </c>
      <c r="P1070">
        <v>5.7600000000000001E-4</v>
      </c>
      <c r="Q1070" s="84" t="e">
        <v>#REF!</v>
      </c>
      <c r="R1070" s="85">
        <v>139.05197946299401</v>
      </c>
      <c r="S1070" s="85">
        <v>121000</v>
      </c>
      <c r="T1070" s="86">
        <v>121139.05197946299</v>
      </c>
      <c r="U1070" s="84">
        <v>8.0759367986308703</v>
      </c>
      <c r="V1070" s="84">
        <v>10.493</v>
      </c>
      <c r="W1070" s="84">
        <v>5.2465000000000002</v>
      </c>
      <c r="X1070" s="82">
        <v>0.35</v>
      </c>
      <c r="Y1070" s="87">
        <v>16.151873597261702</v>
      </c>
      <c r="Z1070" s="84">
        <v>16.151873597261702</v>
      </c>
      <c r="AA1070" s="84">
        <v>32.303747194523503</v>
      </c>
      <c r="AB1070" s="88">
        <v>2</v>
      </c>
      <c r="AC1070" t="s">
        <v>4891</v>
      </c>
    </row>
    <row r="1071" spans="3:29">
      <c r="C1071" t="s">
        <v>4894</v>
      </c>
      <c r="D1071" t="s">
        <v>4886</v>
      </c>
      <c r="E1071" s="84">
        <v>13.99</v>
      </c>
      <c r="F1071" s="84">
        <v>6.9950000000000001</v>
      </c>
      <c r="G1071" t="s">
        <v>4467</v>
      </c>
      <c r="H1071" t="s">
        <v>4895</v>
      </c>
      <c r="I1071" t="s">
        <v>352</v>
      </c>
      <c r="J1071" t="s">
        <v>4825</v>
      </c>
      <c r="K1071" t="s">
        <v>4723</v>
      </c>
      <c r="L1071" t="s">
        <v>670</v>
      </c>
      <c r="N1071">
        <v>13.5</v>
      </c>
      <c r="O1071">
        <v>5</v>
      </c>
      <c r="P1071">
        <v>9.1124999999999995E-4</v>
      </c>
      <c r="Q1071" s="84" t="e">
        <v>#REF!</v>
      </c>
      <c r="R1071" s="85">
        <v>219.98457688398801</v>
      </c>
      <c r="S1071" s="85">
        <v>151250</v>
      </c>
      <c r="T1071" s="86">
        <v>151469.98457688399</v>
      </c>
      <c r="U1071" s="84">
        <v>10.0979989717923</v>
      </c>
      <c r="V1071" s="84">
        <v>9.7929999999999993</v>
      </c>
      <c r="W1071" s="84">
        <v>4.8964999999999996</v>
      </c>
      <c r="X1071" s="82">
        <v>0.35</v>
      </c>
      <c r="Y1071" s="87">
        <v>20.195997943584501</v>
      </c>
      <c r="Z1071" s="84">
        <v>20.195997943584501</v>
      </c>
      <c r="AA1071" s="84">
        <v>40.391995887169102</v>
      </c>
      <c r="AB1071" s="88">
        <v>2</v>
      </c>
      <c r="AC1071" t="s">
        <v>4896</v>
      </c>
    </row>
    <row r="1072" spans="3:29">
      <c r="C1072" t="s">
        <v>4897</v>
      </c>
      <c r="D1072" t="s">
        <v>4886</v>
      </c>
      <c r="E1072" s="84">
        <v>15.99</v>
      </c>
      <c r="F1072" s="84">
        <v>7.9950000000000001</v>
      </c>
      <c r="G1072" t="s">
        <v>4467</v>
      </c>
      <c r="H1072" t="s">
        <v>4898</v>
      </c>
      <c r="I1072" t="s">
        <v>352</v>
      </c>
      <c r="J1072" t="s">
        <v>4828</v>
      </c>
      <c r="K1072" t="s">
        <v>4723</v>
      </c>
      <c r="L1072" t="s">
        <v>670</v>
      </c>
      <c r="N1072">
        <v>26</v>
      </c>
      <c r="O1072">
        <v>8</v>
      </c>
      <c r="P1072">
        <v>5.4079999999999996E-3</v>
      </c>
      <c r="Q1072" s="84" t="e">
        <v>#REF!</v>
      </c>
      <c r="R1072" s="85">
        <v>618.00879761201202</v>
      </c>
      <c r="S1072" s="85">
        <v>211750</v>
      </c>
      <c r="T1072" s="86">
        <v>212368.00879761201</v>
      </c>
      <c r="U1072" s="84">
        <v>14.1578672531741</v>
      </c>
      <c r="V1072" s="84">
        <v>11.193</v>
      </c>
      <c r="W1072" s="84">
        <v>5.5964999999999998</v>
      </c>
      <c r="X1072" s="82">
        <v>0.35</v>
      </c>
      <c r="Y1072" s="87">
        <v>28.315734506348299</v>
      </c>
      <c r="Z1072" s="84">
        <v>28.315734506348299</v>
      </c>
      <c r="AA1072" s="84">
        <v>56.631469012696499</v>
      </c>
      <c r="AB1072" s="88">
        <v>2</v>
      </c>
      <c r="AC1072" t="s">
        <v>4888</v>
      </c>
    </row>
    <row r="1073" spans="3:29">
      <c r="C1073" t="s">
        <v>4899</v>
      </c>
      <c r="D1073" t="s">
        <v>4886</v>
      </c>
      <c r="E1073" s="84">
        <v>26.99</v>
      </c>
      <c r="F1073" s="84">
        <v>13.494999999999999</v>
      </c>
      <c r="G1073" t="s">
        <v>4467</v>
      </c>
      <c r="H1073" t="s">
        <v>4900</v>
      </c>
      <c r="I1073" t="s">
        <v>352</v>
      </c>
      <c r="J1073" t="s">
        <v>4831</v>
      </c>
      <c r="K1073" t="s">
        <v>4723</v>
      </c>
      <c r="L1073" t="s">
        <v>670</v>
      </c>
      <c r="N1073">
        <v>16</v>
      </c>
      <c r="O1073">
        <v>10</v>
      </c>
      <c r="P1073">
        <v>2.5600000000000002E-3</v>
      </c>
      <c r="Q1073" s="84" t="e">
        <v>#REF!</v>
      </c>
      <c r="R1073" s="85">
        <v>348.83699708999501</v>
      </c>
      <c r="S1073" s="85">
        <v>175450</v>
      </c>
      <c r="T1073" s="86">
        <v>175798.83699708999</v>
      </c>
      <c r="U1073" s="84">
        <v>11.719922466472701</v>
      </c>
      <c r="V1073" s="84">
        <v>18.893000000000001</v>
      </c>
      <c r="W1073" s="84">
        <v>9.4465000000000003</v>
      </c>
      <c r="X1073" s="82">
        <v>0.35</v>
      </c>
      <c r="Y1073" s="87">
        <v>23.439844932945299</v>
      </c>
      <c r="Z1073" s="84">
        <v>23.439844932945299</v>
      </c>
      <c r="AA1073" s="84">
        <v>46.879689865890697</v>
      </c>
      <c r="AB1073" s="88">
        <v>2</v>
      </c>
      <c r="AC1073" t="s">
        <v>4888</v>
      </c>
    </row>
    <row r="1074" spans="3:29">
      <c r="C1074" t="s">
        <v>4901</v>
      </c>
      <c r="D1074" t="s">
        <v>4886</v>
      </c>
      <c r="E1074" s="84">
        <v>29.99</v>
      </c>
      <c r="F1074" s="84">
        <v>14.994999999999999</v>
      </c>
      <c r="G1074" t="s">
        <v>4467</v>
      </c>
      <c r="H1074" t="s">
        <v>4902</v>
      </c>
      <c r="I1074" t="s">
        <v>352</v>
      </c>
      <c r="J1074" t="s">
        <v>4834</v>
      </c>
      <c r="K1074" t="s">
        <v>4723</v>
      </c>
      <c r="L1074" t="s">
        <v>670</v>
      </c>
      <c r="N1074">
        <v>17</v>
      </c>
      <c r="O1074">
        <v>5</v>
      </c>
      <c r="P1074">
        <v>1.4450000000000001E-3</v>
      </c>
      <c r="Q1074" s="84" t="e">
        <v>#REF!</v>
      </c>
      <c r="R1074" s="85">
        <v>482.81937313399999</v>
      </c>
      <c r="S1074" s="85">
        <v>199650</v>
      </c>
      <c r="T1074" s="86">
        <v>200132.819373134</v>
      </c>
      <c r="U1074" s="84">
        <v>13.3421879582089</v>
      </c>
      <c r="V1074" s="84">
        <v>20.992999999999999</v>
      </c>
      <c r="W1074" s="84">
        <v>10.496499999999999</v>
      </c>
      <c r="X1074" s="82">
        <v>0.35</v>
      </c>
      <c r="Y1074" s="87">
        <v>26.684375916417899</v>
      </c>
      <c r="Z1074" s="84">
        <v>26.684375916417899</v>
      </c>
      <c r="AA1074" s="84">
        <v>53.368751832835699</v>
      </c>
      <c r="AB1074" s="88">
        <v>2</v>
      </c>
      <c r="AC1074" t="s">
        <v>4903</v>
      </c>
    </row>
    <row r="1075" spans="3:29" ht="60.75">
      <c r="C1075" t="s">
        <v>4904</v>
      </c>
      <c r="D1075" t="s">
        <v>4886</v>
      </c>
      <c r="E1075" s="84">
        <v>39.99</v>
      </c>
      <c r="F1075" s="84">
        <v>19.995000000000001</v>
      </c>
      <c r="G1075" t="s">
        <v>4467</v>
      </c>
      <c r="I1075" t="s">
        <v>352</v>
      </c>
      <c r="K1075" s="83" t="s">
        <v>4750</v>
      </c>
      <c r="L1075" t="s">
        <v>670</v>
      </c>
      <c r="P1075">
        <v>0</v>
      </c>
      <c r="Q1075" s="84" t="e">
        <v>#REF!</v>
      </c>
      <c r="R1075" s="85">
        <v>772.51099701499299</v>
      </c>
      <c r="S1075" s="85">
        <v>223850</v>
      </c>
      <c r="T1075" s="86">
        <v>224622.51099701499</v>
      </c>
      <c r="U1075" s="84">
        <v>14.9748340664677</v>
      </c>
      <c r="V1075" s="84">
        <v>27.992999999999999</v>
      </c>
      <c r="W1075" s="84">
        <v>13.996499999999999</v>
      </c>
      <c r="X1075" s="82">
        <v>0.35</v>
      </c>
      <c r="Y1075" s="87">
        <v>29.949668132935301</v>
      </c>
      <c r="Z1075" s="84">
        <v>29.949668132935301</v>
      </c>
      <c r="AA1075" s="84">
        <v>59.899336265870701</v>
      </c>
      <c r="AB1075" s="88">
        <v>2</v>
      </c>
      <c r="AC1075" t="s">
        <v>4891</v>
      </c>
    </row>
    <row r="1076" spans="3:29">
      <c r="C1076" t="s">
        <v>4905</v>
      </c>
      <c r="D1076" t="s">
        <v>4886</v>
      </c>
      <c r="E1076" s="84">
        <v>21.99</v>
      </c>
      <c r="F1076" s="84">
        <v>10.994999999999999</v>
      </c>
      <c r="G1076" t="s">
        <v>4467</v>
      </c>
      <c r="H1076" t="s">
        <v>4906</v>
      </c>
      <c r="I1076" t="s">
        <v>352</v>
      </c>
      <c r="J1076" t="s">
        <v>4842</v>
      </c>
      <c r="K1076" t="s">
        <v>4723</v>
      </c>
      <c r="L1076" t="s">
        <v>670</v>
      </c>
      <c r="N1076">
        <v>20</v>
      </c>
      <c r="O1076">
        <v>8</v>
      </c>
      <c r="P1076">
        <v>3.2000000000000002E-3</v>
      </c>
      <c r="Q1076" s="84" t="e">
        <v>#REF!</v>
      </c>
      <c r="R1076" s="85">
        <v>1207.0484328360201</v>
      </c>
      <c r="S1076" s="85">
        <v>302500</v>
      </c>
      <c r="T1076" s="86">
        <v>303707.04843283602</v>
      </c>
      <c r="U1076" s="84">
        <v>20.247136562189102</v>
      </c>
      <c r="V1076" s="84">
        <v>15.393000000000001</v>
      </c>
      <c r="W1076" s="84">
        <v>7.6965000000000003</v>
      </c>
      <c r="X1076" s="82">
        <v>0.35</v>
      </c>
      <c r="Y1076" s="87">
        <v>40.494273124378097</v>
      </c>
      <c r="Z1076" s="84">
        <v>40.494273124378097</v>
      </c>
      <c r="AA1076" s="84">
        <v>80.988546248756293</v>
      </c>
      <c r="AB1076" s="88">
        <v>2</v>
      </c>
      <c r="AC1076" t="s">
        <v>4888</v>
      </c>
    </row>
    <row r="1077" spans="3:29">
      <c r="C1077" t="s">
        <v>4907</v>
      </c>
      <c r="D1077" t="s">
        <v>4886</v>
      </c>
      <c r="E1077" s="84">
        <v>27.99</v>
      </c>
      <c r="F1077" s="84">
        <v>13.994999999999999</v>
      </c>
      <c r="G1077" t="s">
        <v>4467</v>
      </c>
      <c r="H1077" t="s">
        <v>4908</v>
      </c>
      <c r="I1077" t="s">
        <v>352</v>
      </c>
      <c r="J1077" t="s">
        <v>4845</v>
      </c>
      <c r="K1077" t="s">
        <v>4723</v>
      </c>
      <c r="L1077" t="s">
        <v>670</v>
      </c>
      <c r="N1077">
        <v>25</v>
      </c>
      <c r="O1077">
        <v>8</v>
      </c>
      <c r="P1077">
        <v>5.0000000000000001E-3</v>
      </c>
      <c r="Q1077" s="84" t="e">
        <v>#REF!</v>
      </c>
      <c r="R1077" s="85">
        <v>2112.3347574630202</v>
      </c>
      <c r="S1077" s="85">
        <v>363000</v>
      </c>
      <c r="T1077" s="86">
        <v>365112.33475746302</v>
      </c>
      <c r="U1077" s="84">
        <v>24.3408223171642</v>
      </c>
      <c r="V1077" s="84">
        <v>19.593</v>
      </c>
      <c r="W1077" s="84">
        <v>9.7965</v>
      </c>
      <c r="X1077" s="82">
        <v>0.35</v>
      </c>
      <c r="Y1077" s="87">
        <v>48.6816446343284</v>
      </c>
      <c r="Z1077" s="84">
        <v>48.6816446343284</v>
      </c>
      <c r="AA1077" s="84">
        <v>97.3632892686568</v>
      </c>
      <c r="AB1077" s="88">
        <v>2</v>
      </c>
      <c r="AC1077" t="s">
        <v>4909</v>
      </c>
    </row>
    <row r="1078" spans="3:29">
      <c r="C1078" t="s">
        <v>4910</v>
      </c>
      <c r="D1078" t="s">
        <v>4886</v>
      </c>
      <c r="E1078" s="84">
        <v>50.99</v>
      </c>
      <c r="F1078" s="84">
        <v>25.495000000000001</v>
      </c>
      <c r="G1078" t="s">
        <v>4467</v>
      </c>
      <c r="H1078" t="s">
        <v>4911</v>
      </c>
      <c r="I1078" t="s">
        <v>352</v>
      </c>
      <c r="J1078" t="s">
        <v>4849</v>
      </c>
      <c r="K1078" t="s">
        <v>4723</v>
      </c>
      <c r="L1078" t="s">
        <v>670</v>
      </c>
      <c r="N1078">
        <v>25</v>
      </c>
      <c r="O1078">
        <v>14</v>
      </c>
      <c r="P1078">
        <v>8.7500000000000008E-3</v>
      </c>
      <c r="Q1078" s="84" t="e">
        <v>#REF!</v>
      </c>
      <c r="R1078" s="85">
        <v>2232.5567813729899</v>
      </c>
      <c r="S1078" s="85">
        <v>435600</v>
      </c>
      <c r="T1078" s="86">
        <v>437832.55678137299</v>
      </c>
      <c r="U1078" s="84">
        <v>29.188837118758201</v>
      </c>
      <c r="V1078" s="84">
        <v>35.692999999999998</v>
      </c>
      <c r="W1078" s="84">
        <v>17.846499999999999</v>
      </c>
      <c r="X1078" s="82">
        <v>0.35</v>
      </c>
      <c r="Y1078" s="87">
        <v>58.377674237516402</v>
      </c>
      <c r="Z1078" s="84">
        <v>58.377674237516402</v>
      </c>
      <c r="AA1078" s="84">
        <v>116.755348475033</v>
      </c>
      <c r="AB1078" s="88">
        <v>2</v>
      </c>
      <c r="AC1078" t="s">
        <v>4888</v>
      </c>
    </row>
    <row r="1079" spans="3:29">
      <c r="C1079" t="s">
        <v>4912</v>
      </c>
      <c r="D1079" t="s">
        <v>4886</v>
      </c>
      <c r="E1079" s="84">
        <v>50.99</v>
      </c>
      <c r="F1079" s="84">
        <v>25.495000000000001</v>
      </c>
      <c r="G1079" t="s">
        <v>4467</v>
      </c>
      <c r="H1079" t="s">
        <v>4913</v>
      </c>
      <c r="I1079" t="s">
        <v>352</v>
      </c>
      <c r="J1079" t="s">
        <v>4852</v>
      </c>
      <c r="K1079" t="s">
        <v>4723</v>
      </c>
      <c r="L1079" t="s">
        <v>670</v>
      </c>
      <c r="N1079">
        <v>34</v>
      </c>
      <c r="O1079">
        <v>8</v>
      </c>
      <c r="P1079">
        <v>9.2479999999999993E-3</v>
      </c>
      <c r="Q1079" s="84" t="e">
        <v>#REF!</v>
      </c>
      <c r="R1079" s="85"/>
      <c r="S1079" s="85"/>
      <c r="T1079" s="86">
        <v>0</v>
      </c>
      <c r="U1079" s="84">
        <v>0</v>
      </c>
      <c r="V1079" s="84">
        <v>35.692999999999998</v>
      </c>
      <c r="W1079" s="84">
        <v>17.846499999999999</v>
      </c>
      <c r="X1079" s="82">
        <v>0.35</v>
      </c>
      <c r="Y1079" s="82"/>
      <c r="Z1079" s="84">
        <v>17.846499999999999</v>
      </c>
      <c r="AA1079" s="84">
        <v>35.692999999999998</v>
      </c>
      <c r="AB1079" s="88" t="e">
        <v>#DIV/0!</v>
      </c>
      <c r="AC1079" t="s">
        <v>4891</v>
      </c>
    </row>
    <row r="1080" spans="3:29">
      <c r="C1080" t="s">
        <v>4914</v>
      </c>
      <c r="D1080" t="s">
        <v>4915</v>
      </c>
      <c r="E1080" s="84">
        <v>14.99</v>
      </c>
      <c r="F1080" s="84">
        <v>7.4950000000000001</v>
      </c>
      <c r="G1080" t="s">
        <v>4467</v>
      </c>
      <c r="H1080" t="s">
        <v>4916</v>
      </c>
      <c r="I1080" t="s">
        <v>345</v>
      </c>
      <c r="J1080" t="s">
        <v>4856</v>
      </c>
      <c r="K1080" t="s">
        <v>4723</v>
      </c>
      <c r="L1080" t="s">
        <v>670</v>
      </c>
      <c r="N1080">
        <v>13</v>
      </c>
      <c r="O1080">
        <v>6.5</v>
      </c>
      <c r="P1080">
        <v>1.0985000000000001E-3</v>
      </c>
      <c r="Q1080" s="84" t="e">
        <v>#REF!</v>
      </c>
      <c r="R1080" s="85"/>
      <c r="S1080" s="85"/>
      <c r="T1080" s="86">
        <v>0</v>
      </c>
      <c r="U1080" s="84">
        <v>0</v>
      </c>
      <c r="V1080" s="84">
        <v>10.493</v>
      </c>
      <c r="W1080" s="84">
        <v>5.2465000000000002</v>
      </c>
      <c r="X1080" s="82">
        <v>0.35</v>
      </c>
      <c r="Y1080" s="82"/>
      <c r="Z1080" s="84">
        <v>5.2465000000000002</v>
      </c>
      <c r="AA1080" s="84">
        <v>10.493</v>
      </c>
      <c r="AB1080" s="88" t="e">
        <v>#DIV/0!</v>
      </c>
      <c r="AC1080" t="s">
        <v>4917</v>
      </c>
    </row>
    <row r="1081" spans="3:29">
      <c r="C1081" t="s">
        <v>4918</v>
      </c>
      <c r="D1081" t="s">
        <v>4915</v>
      </c>
      <c r="E1081" s="84">
        <v>14.99</v>
      </c>
      <c r="F1081" s="84">
        <v>7.4950000000000001</v>
      </c>
      <c r="G1081" t="s">
        <v>4467</v>
      </c>
      <c r="H1081" t="s">
        <v>4919</v>
      </c>
      <c r="I1081" t="s">
        <v>345</v>
      </c>
      <c r="J1081" t="s">
        <v>4859</v>
      </c>
      <c r="K1081" t="s">
        <v>4723</v>
      </c>
      <c r="L1081" t="s">
        <v>670</v>
      </c>
      <c r="N1081">
        <v>16</v>
      </c>
      <c r="O1081">
        <v>8</v>
      </c>
      <c r="P1081">
        <v>2.0479999999999999E-3</v>
      </c>
      <c r="Q1081" s="84" t="e">
        <v>#REF!</v>
      </c>
      <c r="R1081" s="85"/>
      <c r="S1081" s="85"/>
      <c r="T1081" s="86">
        <v>0</v>
      </c>
      <c r="U1081" s="84">
        <v>0</v>
      </c>
      <c r="V1081" s="84">
        <v>10.493</v>
      </c>
      <c r="W1081" s="84">
        <v>5.2465000000000002</v>
      </c>
      <c r="X1081" s="82">
        <v>0.35</v>
      </c>
      <c r="Y1081" s="82"/>
      <c r="Z1081" s="84">
        <v>5.2465000000000002</v>
      </c>
      <c r="AA1081" s="84">
        <v>10.493</v>
      </c>
      <c r="AB1081" s="88" t="e">
        <v>#DIV/0!</v>
      </c>
      <c r="AC1081" t="s">
        <v>4917</v>
      </c>
    </row>
    <row r="1082" spans="3:29">
      <c r="C1082" t="s">
        <v>4920</v>
      </c>
      <c r="D1082" t="s">
        <v>4915</v>
      </c>
      <c r="E1082" s="84">
        <v>21.99</v>
      </c>
      <c r="F1082" s="84">
        <v>10.994999999999999</v>
      </c>
      <c r="G1082" t="s">
        <v>4467</v>
      </c>
      <c r="H1082" t="s">
        <v>4921</v>
      </c>
      <c r="I1082" t="s">
        <v>345</v>
      </c>
      <c r="J1082" t="s">
        <v>4862</v>
      </c>
      <c r="K1082" t="s">
        <v>4723</v>
      </c>
      <c r="L1082" t="s">
        <v>670</v>
      </c>
      <c r="N1082">
        <v>19.5</v>
      </c>
      <c r="O1082">
        <v>9.5</v>
      </c>
      <c r="P1082">
        <v>3.6123750000000001E-3</v>
      </c>
      <c r="Q1082" s="84" t="e">
        <v>#REF!</v>
      </c>
      <c r="R1082" s="85"/>
      <c r="S1082" s="85"/>
      <c r="T1082" s="86">
        <v>0</v>
      </c>
      <c r="U1082" s="84">
        <v>0</v>
      </c>
      <c r="V1082" s="84">
        <v>15.393000000000001</v>
      </c>
      <c r="W1082" s="84">
        <v>7.6965000000000003</v>
      </c>
      <c r="X1082" s="82">
        <v>0.35</v>
      </c>
      <c r="Y1082" s="82"/>
      <c r="Z1082" s="84">
        <v>7.6965000000000003</v>
      </c>
      <c r="AA1082" s="84">
        <v>15.393000000000001</v>
      </c>
      <c r="AB1082" s="88" t="e">
        <v>#DIV/0!</v>
      </c>
      <c r="AC1082" t="s">
        <v>4922</v>
      </c>
    </row>
    <row r="1083" spans="3:29">
      <c r="C1083" t="s">
        <v>4923</v>
      </c>
      <c r="D1083" t="s">
        <v>4915</v>
      </c>
      <c r="E1083" s="84">
        <v>31.99</v>
      </c>
      <c r="F1083" s="84">
        <v>15.994999999999999</v>
      </c>
      <c r="G1083" t="s">
        <v>4467</v>
      </c>
      <c r="H1083" t="s">
        <v>4924</v>
      </c>
      <c r="I1083" t="s">
        <v>345</v>
      </c>
      <c r="J1083" t="s">
        <v>4865</v>
      </c>
      <c r="K1083" t="s">
        <v>4723</v>
      </c>
      <c r="L1083" t="s">
        <v>670</v>
      </c>
      <c r="N1083">
        <v>26</v>
      </c>
      <c r="O1083">
        <v>13</v>
      </c>
      <c r="P1083">
        <v>8.7880000000000007E-3</v>
      </c>
      <c r="Q1083" s="84" t="e">
        <v>#REF!</v>
      </c>
      <c r="R1083" s="85"/>
      <c r="S1083" s="85"/>
      <c r="T1083" s="86">
        <v>0</v>
      </c>
      <c r="U1083" s="84">
        <v>0</v>
      </c>
      <c r="V1083" s="84">
        <v>22.393000000000001</v>
      </c>
      <c r="W1083" s="84">
        <v>11.1965</v>
      </c>
      <c r="X1083" s="82">
        <v>0.35</v>
      </c>
      <c r="Y1083" s="82"/>
      <c r="Z1083" s="84">
        <v>11.1965</v>
      </c>
      <c r="AA1083" s="84">
        <v>22.393000000000001</v>
      </c>
      <c r="AB1083" s="88" t="e">
        <v>#DIV/0!</v>
      </c>
      <c r="AC1083" t="s">
        <v>4925</v>
      </c>
    </row>
    <row r="1084" spans="3:29">
      <c r="C1084" t="s">
        <v>4926</v>
      </c>
      <c r="D1084" t="s">
        <v>4927</v>
      </c>
      <c r="E1084" s="84">
        <v>10.99</v>
      </c>
      <c r="F1084" s="84">
        <v>5.4950000000000001</v>
      </c>
      <c r="G1084" t="s">
        <v>4467</v>
      </c>
      <c r="H1084" t="s">
        <v>4928</v>
      </c>
      <c r="I1084" t="s">
        <v>976</v>
      </c>
      <c r="J1084" t="s">
        <v>4869</v>
      </c>
      <c r="K1084" t="s">
        <v>4929</v>
      </c>
      <c r="L1084" t="s">
        <v>670</v>
      </c>
      <c r="M1084">
        <v>8</v>
      </c>
      <c r="N1084">
        <v>12</v>
      </c>
      <c r="O1084">
        <v>1.5</v>
      </c>
      <c r="P1084">
        <v>1.44E-4</v>
      </c>
      <c r="Q1084" s="84" t="e">
        <v>#REF!</v>
      </c>
      <c r="R1084" s="85"/>
      <c r="S1084" s="85"/>
      <c r="T1084" s="86">
        <v>0</v>
      </c>
      <c r="U1084" s="84">
        <v>0</v>
      </c>
      <c r="V1084" s="84">
        <v>7.6929999999999996</v>
      </c>
      <c r="W1084" s="84">
        <v>3.8464999999999998</v>
      </c>
      <c r="X1084" s="82">
        <v>0.35</v>
      </c>
      <c r="Y1084" s="82"/>
      <c r="Z1084" s="84">
        <v>3.8464999999999998</v>
      </c>
      <c r="AA1084" s="84">
        <v>7.6929999999999996</v>
      </c>
      <c r="AB1084" s="88" t="e">
        <v>#DIV/0!</v>
      </c>
      <c r="AC1084" t="s">
        <v>4930</v>
      </c>
    </row>
    <row r="1085" spans="3:29">
      <c r="C1085" t="s">
        <v>4931</v>
      </c>
      <c r="D1085" t="s">
        <v>4927</v>
      </c>
      <c r="E1085" s="84">
        <v>12.99</v>
      </c>
      <c r="F1085" s="84">
        <v>6.4950000000000001</v>
      </c>
      <c r="G1085" t="s">
        <v>4467</v>
      </c>
      <c r="H1085" t="s">
        <v>4932</v>
      </c>
      <c r="I1085" t="s">
        <v>976</v>
      </c>
      <c r="J1085" t="s">
        <v>4873</v>
      </c>
      <c r="K1085" t="s">
        <v>4929</v>
      </c>
      <c r="L1085" t="s">
        <v>670</v>
      </c>
      <c r="M1085">
        <v>18</v>
      </c>
      <c r="N1085">
        <v>12</v>
      </c>
      <c r="O1085">
        <v>1.5</v>
      </c>
      <c r="P1085">
        <v>3.2400000000000001E-4</v>
      </c>
      <c r="Q1085" s="84" t="e">
        <v>#REF!</v>
      </c>
      <c r="R1085" s="85"/>
      <c r="S1085" s="85"/>
      <c r="T1085" s="86">
        <v>0</v>
      </c>
      <c r="U1085" s="84">
        <v>0</v>
      </c>
      <c r="V1085" s="84">
        <v>9.093</v>
      </c>
      <c r="W1085" s="84">
        <v>4.5465</v>
      </c>
      <c r="X1085" s="82">
        <v>0.35</v>
      </c>
      <c r="Y1085" s="82"/>
      <c r="Z1085" s="84">
        <v>4.5465</v>
      </c>
      <c r="AA1085" s="84">
        <v>9.093</v>
      </c>
      <c r="AB1085" s="88" t="e">
        <v>#DIV/0!</v>
      </c>
      <c r="AC1085" t="s">
        <v>4933</v>
      </c>
    </row>
    <row r="1086" spans="3:29">
      <c r="C1086" t="s">
        <v>4934</v>
      </c>
      <c r="D1086" t="s">
        <v>4927</v>
      </c>
      <c r="E1086" s="84">
        <v>18.989999999999998</v>
      </c>
      <c r="F1086" s="84">
        <v>9.4949999999999992</v>
      </c>
      <c r="G1086" t="s">
        <v>4467</v>
      </c>
      <c r="H1086" t="s">
        <v>4935</v>
      </c>
      <c r="I1086" t="s">
        <v>976</v>
      </c>
      <c r="J1086" t="s">
        <v>4877</v>
      </c>
      <c r="K1086" t="s">
        <v>4929</v>
      </c>
      <c r="L1086" t="s">
        <v>670</v>
      </c>
      <c r="M1086">
        <v>27</v>
      </c>
      <c r="N1086">
        <v>20</v>
      </c>
      <c r="O1086">
        <v>1.5</v>
      </c>
      <c r="P1086">
        <v>8.0999999999999996E-4</v>
      </c>
      <c r="Q1086" s="84" t="e">
        <v>#REF!</v>
      </c>
      <c r="R1086" s="85"/>
      <c r="S1086" s="85"/>
      <c r="T1086" s="86">
        <v>0</v>
      </c>
      <c r="U1086" s="84">
        <v>0</v>
      </c>
      <c r="V1086" s="84">
        <v>13.292999999999999</v>
      </c>
      <c r="W1086" s="84">
        <v>6.6464999999999996</v>
      </c>
      <c r="X1086" s="82">
        <v>0.35</v>
      </c>
      <c r="Y1086" s="82"/>
      <c r="Z1086" s="84">
        <v>6.6464999999999996</v>
      </c>
      <c r="AA1086" s="84">
        <v>13.292999999999999</v>
      </c>
      <c r="AB1086" s="88" t="e">
        <v>#DIV/0!</v>
      </c>
      <c r="AC1086" t="s">
        <v>4936</v>
      </c>
    </row>
    <row r="1087" spans="3:29">
      <c r="C1087" t="s">
        <v>4937</v>
      </c>
      <c r="D1087" t="s">
        <v>4927</v>
      </c>
      <c r="E1087" s="84">
        <v>35.99</v>
      </c>
      <c r="F1087" s="84">
        <v>17.995000000000001</v>
      </c>
      <c r="G1087" t="s">
        <v>4467</v>
      </c>
      <c r="H1087" t="s">
        <v>4938</v>
      </c>
      <c r="I1087" t="s">
        <v>976</v>
      </c>
      <c r="J1087" t="s">
        <v>4880</v>
      </c>
      <c r="K1087" t="s">
        <v>4929</v>
      </c>
      <c r="L1087" t="s">
        <v>670</v>
      </c>
      <c r="M1087">
        <v>34</v>
      </c>
      <c r="N1087">
        <v>24</v>
      </c>
      <c r="O1087">
        <v>1.5</v>
      </c>
      <c r="P1087">
        <v>1.224E-3</v>
      </c>
      <c r="Q1087" s="84" t="e">
        <v>#REF!</v>
      </c>
      <c r="R1087" s="85"/>
      <c r="S1087" s="85"/>
      <c r="T1087" s="86">
        <v>0</v>
      </c>
      <c r="U1087" s="84">
        <v>0</v>
      </c>
      <c r="V1087" s="84">
        <v>25.193000000000001</v>
      </c>
      <c r="W1087" s="84">
        <v>12.596500000000001</v>
      </c>
      <c r="X1087" s="82">
        <v>0.35</v>
      </c>
      <c r="Y1087" s="82"/>
      <c r="Z1087" s="84">
        <v>12.596500000000001</v>
      </c>
      <c r="AA1087" s="84">
        <v>25.193000000000001</v>
      </c>
      <c r="AB1087" s="88" t="e">
        <v>#DIV/0!</v>
      </c>
      <c r="AC1087" t="s">
        <v>4930</v>
      </c>
    </row>
    <row r="1088" spans="3:29">
      <c r="C1088" t="s">
        <v>4939</v>
      </c>
      <c r="D1088" t="s">
        <v>4927</v>
      </c>
      <c r="E1088" s="84">
        <v>50.99</v>
      </c>
      <c r="F1088" s="84">
        <v>25.495000000000001</v>
      </c>
      <c r="G1088" t="s">
        <v>4467</v>
      </c>
      <c r="H1088" t="s">
        <v>4940</v>
      </c>
      <c r="I1088" t="s">
        <v>976</v>
      </c>
      <c r="J1088" t="s">
        <v>4884</v>
      </c>
      <c r="K1088" t="s">
        <v>4929</v>
      </c>
      <c r="L1088" t="s">
        <v>670</v>
      </c>
      <c r="M1088">
        <v>42</v>
      </c>
      <c r="N1088">
        <v>27</v>
      </c>
      <c r="O1088">
        <v>1.5</v>
      </c>
      <c r="P1088">
        <v>1.701E-3</v>
      </c>
      <c r="Q1088" s="84" t="e">
        <v>#REF!</v>
      </c>
      <c r="R1088" s="85"/>
      <c r="S1088" s="85"/>
      <c r="T1088" s="86">
        <v>0</v>
      </c>
      <c r="U1088" s="84">
        <v>0</v>
      </c>
      <c r="V1088" s="84">
        <v>35.692999999999998</v>
      </c>
      <c r="W1088" s="84">
        <v>17.846499999999999</v>
      </c>
      <c r="X1088" s="82">
        <v>0.35</v>
      </c>
      <c r="Y1088" s="82"/>
      <c r="Z1088" s="84">
        <v>17.846499999999999</v>
      </c>
      <c r="AA1088" s="84">
        <v>35.692999999999998</v>
      </c>
      <c r="AB1088" s="88" t="e">
        <v>#DIV/0!</v>
      </c>
      <c r="AC1088" t="s">
        <v>4941</v>
      </c>
    </row>
    <row r="1089" spans="3:29">
      <c r="C1089" t="s">
        <v>4942</v>
      </c>
      <c r="D1089" t="s">
        <v>4943</v>
      </c>
      <c r="E1089" s="84">
        <v>21.99</v>
      </c>
      <c r="F1089" s="84">
        <v>10.994999999999999</v>
      </c>
      <c r="G1089" t="s">
        <v>4467</v>
      </c>
      <c r="H1089" t="s">
        <v>4944</v>
      </c>
      <c r="I1089" t="s">
        <v>932</v>
      </c>
      <c r="J1089" t="s">
        <v>4945</v>
      </c>
      <c r="K1089" t="s">
        <v>4946</v>
      </c>
      <c r="L1089" t="s">
        <v>670</v>
      </c>
      <c r="N1089">
        <v>9</v>
      </c>
      <c r="O1089">
        <v>4</v>
      </c>
      <c r="P1089">
        <v>3.2400000000000001E-4</v>
      </c>
      <c r="Q1089" s="84" t="e">
        <v>#REF!</v>
      </c>
      <c r="R1089" s="85"/>
      <c r="S1089" s="85"/>
      <c r="T1089" s="86">
        <v>0</v>
      </c>
      <c r="U1089" s="84">
        <v>0</v>
      </c>
      <c r="V1089" s="84">
        <v>15.393000000000001</v>
      </c>
      <c r="W1089" s="84">
        <v>7.6965000000000003</v>
      </c>
      <c r="X1089" s="82">
        <v>0.35</v>
      </c>
      <c r="Y1089" s="82"/>
      <c r="Z1089" s="84">
        <v>7.6965000000000003</v>
      </c>
      <c r="AA1089" s="84">
        <v>15.393000000000001</v>
      </c>
      <c r="AB1089" s="88" t="e">
        <v>#DIV/0!</v>
      </c>
      <c r="AC1089" t="s">
        <v>4947</v>
      </c>
    </row>
    <row r="1090" spans="3:29">
      <c r="C1090" t="s">
        <v>4948</v>
      </c>
      <c r="D1090" t="s">
        <v>4943</v>
      </c>
      <c r="E1090" s="84">
        <v>26.99</v>
      </c>
      <c r="F1090" s="84">
        <v>13.494999999999999</v>
      </c>
      <c r="G1090" t="s">
        <v>4467</v>
      </c>
      <c r="H1090" t="s">
        <v>4949</v>
      </c>
      <c r="I1090" t="s">
        <v>932</v>
      </c>
      <c r="J1090" t="s">
        <v>4950</v>
      </c>
      <c r="K1090" t="s">
        <v>4946</v>
      </c>
      <c r="L1090" t="s">
        <v>670</v>
      </c>
      <c r="N1090">
        <v>15</v>
      </c>
      <c r="O1090">
        <v>5</v>
      </c>
      <c r="P1090">
        <v>1.1249999999999999E-3</v>
      </c>
      <c r="Q1090" s="84" t="e">
        <v>#REF!</v>
      </c>
      <c r="R1090" s="85"/>
      <c r="S1090" s="85"/>
      <c r="T1090" s="86">
        <v>0</v>
      </c>
      <c r="U1090" s="84">
        <v>0</v>
      </c>
      <c r="V1090" s="84">
        <v>18.893000000000001</v>
      </c>
      <c r="W1090" s="84">
        <v>9.4465000000000003</v>
      </c>
      <c r="X1090" s="82">
        <v>0.35</v>
      </c>
      <c r="Y1090" s="82"/>
      <c r="Z1090" s="84">
        <v>9.4465000000000003</v>
      </c>
      <c r="AA1090" s="84">
        <v>18.893000000000001</v>
      </c>
      <c r="AB1090" s="88" t="e">
        <v>#DIV/0!</v>
      </c>
      <c r="AC1090" t="s">
        <v>4951</v>
      </c>
    </row>
    <row r="1091" spans="3:29">
      <c r="C1091" t="s">
        <v>4952</v>
      </c>
      <c r="D1091" t="s">
        <v>4943</v>
      </c>
      <c r="E1091" s="84">
        <v>33.99</v>
      </c>
      <c r="F1091" s="84">
        <v>16.995000000000001</v>
      </c>
      <c r="G1091" t="s">
        <v>4467</v>
      </c>
      <c r="H1091" t="s">
        <v>4953</v>
      </c>
      <c r="I1091" t="s">
        <v>932</v>
      </c>
      <c r="J1091" t="s">
        <v>4954</v>
      </c>
      <c r="K1091" t="s">
        <v>4946</v>
      </c>
      <c r="L1091" t="s">
        <v>670</v>
      </c>
      <c r="N1091">
        <v>16</v>
      </c>
      <c r="O1091">
        <v>6</v>
      </c>
      <c r="P1091">
        <v>1.536E-3</v>
      </c>
      <c r="Q1091" s="84" t="e">
        <v>#REF!</v>
      </c>
      <c r="R1091" s="85"/>
      <c r="S1091" s="85"/>
      <c r="T1091" s="86">
        <v>0</v>
      </c>
      <c r="U1091" s="84">
        <v>0</v>
      </c>
      <c r="V1091" s="84">
        <v>23.792999999999999</v>
      </c>
      <c r="W1091" s="84">
        <v>11.8965</v>
      </c>
      <c r="X1091" s="82">
        <v>0.35</v>
      </c>
      <c r="Y1091" s="82"/>
      <c r="Z1091" s="84">
        <v>11.8965</v>
      </c>
      <c r="AA1091" s="84">
        <v>23.792999999999999</v>
      </c>
      <c r="AB1091" s="88" t="e">
        <v>#DIV/0!</v>
      </c>
      <c r="AC1091" t="s">
        <v>4955</v>
      </c>
    </row>
    <row r="1092" spans="3:29">
      <c r="C1092" t="s">
        <v>4956</v>
      </c>
      <c r="D1092" t="s">
        <v>4943</v>
      </c>
      <c r="E1092" s="84">
        <v>29.99</v>
      </c>
      <c r="F1092" s="84">
        <v>14.994999999999999</v>
      </c>
      <c r="G1092" t="s">
        <v>4467</v>
      </c>
      <c r="H1092" t="s">
        <v>4957</v>
      </c>
      <c r="I1092" t="s">
        <v>932</v>
      </c>
      <c r="J1092" t="s">
        <v>4834</v>
      </c>
      <c r="K1092" t="s">
        <v>4946</v>
      </c>
      <c r="L1092" t="s">
        <v>670</v>
      </c>
      <c r="N1092">
        <v>17</v>
      </c>
      <c r="O1092">
        <v>5</v>
      </c>
      <c r="P1092">
        <v>1.4450000000000001E-3</v>
      </c>
      <c r="Q1092" s="84" t="e">
        <v>#REF!</v>
      </c>
      <c r="R1092" s="85"/>
      <c r="S1092" s="85"/>
      <c r="T1092" s="86">
        <v>0</v>
      </c>
      <c r="U1092" s="84">
        <v>0</v>
      </c>
      <c r="V1092" s="84">
        <v>20.992999999999999</v>
      </c>
      <c r="W1092" s="84">
        <v>10.496499999999999</v>
      </c>
      <c r="X1092" s="82">
        <v>0.35</v>
      </c>
      <c r="Y1092" s="82"/>
      <c r="Z1092" s="84">
        <v>10.496499999999999</v>
      </c>
      <c r="AA1092" s="84">
        <v>20.992999999999999</v>
      </c>
      <c r="AB1092" s="88" t="e">
        <v>#DIV/0!</v>
      </c>
      <c r="AC1092" t="s">
        <v>4958</v>
      </c>
    </row>
    <row r="1093" spans="3:29">
      <c r="C1093" t="s">
        <v>4959</v>
      </c>
      <c r="D1093" t="s">
        <v>4943</v>
      </c>
      <c r="E1093" s="84">
        <v>41.99</v>
      </c>
      <c r="F1093" s="84">
        <v>20.995000000000001</v>
      </c>
      <c r="G1093" t="s">
        <v>4467</v>
      </c>
      <c r="H1093" t="s">
        <v>4960</v>
      </c>
      <c r="I1093" t="s">
        <v>932</v>
      </c>
      <c r="J1093" t="s">
        <v>4961</v>
      </c>
      <c r="K1093" t="s">
        <v>4946</v>
      </c>
      <c r="L1093" t="s">
        <v>670</v>
      </c>
      <c r="N1093">
        <v>20</v>
      </c>
      <c r="O1093">
        <v>6</v>
      </c>
      <c r="P1093">
        <v>2.3999999999999998E-3</v>
      </c>
      <c r="Q1093" s="84" t="e">
        <v>#REF!</v>
      </c>
      <c r="R1093" s="85"/>
      <c r="S1093" s="85"/>
      <c r="T1093" s="86">
        <v>0</v>
      </c>
      <c r="U1093" s="84">
        <v>0</v>
      </c>
      <c r="V1093" s="84">
        <v>29.393000000000001</v>
      </c>
      <c r="W1093" s="84">
        <v>14.6965</v>
      </c>
      <c r="X1093" s="82">
        <v>0.35</v>
      </c>
      <c r="Y1093" s="82"/>
      <c r="Z1093" s="84">
        <v>14.6965</v>
      </c>
      <c r="AA1093" s="84">
        <v>29.393000000000001</v>
      </c>
      <c r="AB1093" s="88" t="e">
        <v>#DIV/0!</v>
      </c>
      <c r="AC1093" t="s">
        <v>4962</v>
      </c>
    </row>
    <row r="1094" spans="3:29">
      <c r="C1094" t="s">
        <v>4963</v>
      </c>
      <c r="D1094" t="s">
        <v>4943</v>
      </c>
      <c r="E1094" s="84">
        <v>52.99</v>
      </c>
      <c r="F1094" s="84">
        <v>26.495000000000001</v>
      </c>
      <c r="G1094" t="s">
        <v>4467</v>
      </c>
      <c r="H1094" t="s">
        <v>4964</v>
      </c>
      <c r="I1094" t="s">
        <v>932</v>
      </c>
      <c r="J1094" t="s">
        <v>4965</v>
      </c>
      <c r="K1094" t="s">
        <v>4946</v>
      </c>
      <c r="L1094" t="s">
        <v>670</v>
      </c>
      <c r="N1094">
        <v>20</v>
      </c>
      <c r="O1094">
        <v>9</v>
      </c>
      <c r="P1094">
        <v>3.5999999999999999E-3</v>
      </c>
      <c r="Q1094" s="84" t="e">
        <v>#REF!</v>
      </c>
      <c r="R1094" s="85"/>
      <c r="S1094" s="85"/>
      <c r="T1094" s="86">
        <v>0</v>
      </c>
      <c r="U1094" s="84">
        <v>0</v>
      </c>
      <c r="V1094" s="84">
        <v>37.093000000000004</v>
      </c>
      <c r="W1094" s="84">
        <v>18.546500000000002</v>
      </c>
      <c r="X1094" s="82">
        <v>0.35</v>
      </c>
      <c r="Y1094" s="82"/>
      <c r="Z1094" s="84">
        <v>18.546500000000002</v>
      </c>
      <c r="AA1094" s="84">
        <v>37.093000000000004</v>
      </c>
      <c r="AB1094" s="88" t="e">
        <v>#DIV/0!</v>
      </c>
      <c r="AC1094" t="s">
        <v>4951</v>
      </c>
    </row>
    <row r="1095" spans="3:29">
      <c r="C1095" t="s">
        <v>4966</v>
      </c>
      <c r="D1095" t="s">
        <v>4943</v>
      </c>
      <c r="E1095" s="84">
        <v>77.989999999999995</v>
      </c>
      <c r="F1095" s="84">
        <v>38.994999999999997</v>
      </c>
      <c r="G1095" t="s">
        <v>4467</v>
      </c>
      <c r="H1095" t="s">
        <v>4967</v>
      </c>
      <c r="I1095" t="s">
        <v>932</v>
      </c>
      <c r="J1095" t="s">
        <v>4968</v>
      </c>
      <c r="K1095" t="s">
        <v>4946</v>
      </c>
      <c r="L1095" t="s">
        <v>670</v>
      </c>
      <c r="N1095">
        <v>28</v>
      </c>
      <c r="O1095">
        <v>6</v>
      </c>
      <c r="P1095">
        <v>4.7039999999999998E-3</v>
      </c>
      <c r="Q1095" s="84" t="e">
        <v>#REF!</v>
      </c>
      <c r="R1095" s="85"/>
      <c r="S1095" s="85"/>
      <c r="T1095" s="86">
        <v>0</v>
      </c>
      <c r="U1095" s="84">
        <v>0</v>
      </c>
      <c r="V1095" s="84">
        <v>54.593000000000004</v>
      </c>
      <c r="W1095" s="84">
        <v>27.296500000000002</v>
      </c>
      <c r="X1095" s="82">
        <v>0.35</v>
      </c>
      <c r="Y1095" s="82"/>
      <c r="Z1095" s="84">
        <v>27.296500000000002</v>
      </c>
      <c r="AA1095" s="84">
        <v>54.593000000000004</v>
      </c>
      <c r="AB1095" s="88" t="e">
        <v>#DIV/0!</v>
      </c>
      <c r="AC1095" t="s">
        <v>4955</v>
      </c>
    </row>
    <row r="1096" spans="3:29">
      <c r="C1096" t="s">
        <v>4969</v>
      </c>
      <c r="D1096" t="s">
        <v>4943</v>
      </c>
      <c r="E1096" s="84">
        <v>91.99</v>
      </c>
      <c r="F1096" s="84">
        <v>45.994999999999997</v>
      </c>
      <c r="G1096" t="s">
        <v>4467</v>
      </c>
      <c r="H1096" t="s">
        <v>4970</v>
      </c>
      <c r="I1096" t="s">
        <v>932</v>
      </c>
      <c r="J1096" t="s">
        <v>4971</v>
      </c>
      <c r="K1096" t="s">
        <v>4946</v>
      </c>
      <c r="L1096" t="s">
        <v>670</v>
      </c>
      <c r="N1096">
        <v>28</v>
      </c>
      <c r="O1096">
        <v>9</v>
      </c>
      <c r="P1096">
        <v>7.0559999999999998E-3</v>
      </c>
      <c r="Q1096" s="84" t="e">
        <v>#REF!</v>
      </c>
      <c r="R1096" s="85"/>
      <c r="S1096" s="85"/>
      <c r="T1096" s="86">
        <v>0</v>
      </c>
      <c r="U1096" s="84">
        <v>0</v>
      </c>
      <c r="V1096" s="84">
        <v>64.393000000000001</v>
      </c>
      <c r="W1096" s="84">
        <v>32.1965</v>
      </c>
      <c r="X1096" s="82">
        <v>0.35</v>
      </c>
      <c r="Y1096" s="82"/>
      <c r="Z1096" s="84">
        <v>32.1965</v>
      </c>
      <c r="AA1096" s="84">
        <v>64.393000000000001</v>
      </c>
      <c r="AB1096" s="88" t="e">
        <v>#DIV/0!</v>
      </c>
      <c r="AC1096" t="s">
        <v>4951</v>
      </c>
    </row>
    <row r="1097" spans="3:29">
      <c r="C1097" t="s">
        <v>4972</v>
      </c>
      <c r="D1097" t="s">
        <v>4973</v>
      </c>
      <c r="E1097" s="84">
        <v>23.99</v>
      </c>
      <c r="F1097" s="84">
        <v>11.994999999999999</v>
      </c>
      <c r="G1097" t="s">
        <v>4467</v>
      </c>
      <c r="H1097" t="s">
        <v>4944</v>
      </c>
      <c r="I1097" t="s">
        <v>938</v>
      </c>
      <c r="J1097" t="s">
        <v>4945</v>
      </c>
      <c r="K1097" t="s">
        <v>4974</v>
      </c>
      <c r="L1097" t="s">
        <v>670</v>
      </c>
      <c r="N1097">
        <v>9</v>
      </c>
      <c r="O1097">
        <v>4</v>
      </c>
      <c r="P1097">
        <v>3.2400000000000001E-4</v>
      </c>
      <c r="Q1097" s="84" t="e">
        <v>#REF!</v>
      </c>
      <c r="R1097" s="85"/>
      <c r="S1097" s="85"/>
      <c r="T1097" s="86">
        <v>0</v>
      </c>
      <c r="U1097" s="84">
        <v>0</v>
      </c>
      <c r="V1097" s="84">
        <v>16.792999999999999</v>
      </c>
      <c r="W1097" s="84">
        <v>8.3964999999999996</v>
      </c>
      <c r="X1097" s="82">
        <v>0.35</v>
      </c>
      <c r="Y1097" s="82"/>
      <c r="Z1097" s="84">
        <v>8.3964999999999996</v>
      </c>
      <c r="AA1097" s="84">
        <v>16.792999999999999</v>
      </c>
      <c r="AB1097" s="88" t="e">
        <v>#DIV/0!</v>
      </c>
      <c r="AC1097" t="s">
        <v>4975</v>
      </c>
    </row>
    <row r="1098" spans="3:29">
      <c r="C1098" t="s">
        <v>4976</v>
      </c>
      <c r="D1098" t="s">
        <v>4973</v>
      </c>
      <c r="E1098" s="84">
        <v>30.99</v>
      </c>
      <c r="F1098" s="84">
        <v>15.494999999999999</v>
      </c>
      <c r="G1098" t="s">
        <v>4467</v>
      </c>
      <c r="H1098" t="s">
        <v>4949</v>
      </c>
      <c r="I1098" t="s">
        <v>938</v>
      </c>
      <c r="J1098" t="s">
        <v>4977</v>
      </c>
      <c r="K1098" t="s">
        <v>4974</v>
      </c>
      <c r="L1098" t="s">
        <v>670</v>
      </c>
      <c r="N1098">
        <v>15</v>
      </c>
      <c r="O1098">
        <v>5</v>
      </c>
      <c r="P1098">
        <v>1.1249999999999999E-3</v>
      </c>
      <c r="Q1098" s="84" t="e">
        <v>#REF!</v>
      </c>
      <c r="R1098" s="85"/>
      <c r="S1098" s="85"/>
      <c r="T1098" s="86">
        <v>0</v>
      </c>
      <c r="U1098" s="84">
        <v>0</v>
      </c>
      <c r="V1098" s="84">
        <v>21.693000000000001</v>
      </c>
      <c r="W1098" s="84">
        <v>10.846500000000001</v>
      </c>
      <c r="X1098" s="82">
        <v>0.35</v>
      </c>
      <c r="Y1098" s="82"/>
      <c r="Z1098" s="84">
        <v>10.846500000000001</v>
      </c>
      <c r="AA1098" s="84">
        <v>21.693000000000001</v>
      </c>
      <c r="AB1098" s="88" t="e">
        <v>#DIV/0!</v>
      </c>
      <c r="AC1098" t="s">
        <v>4978</v>
      </c>
    </row>
    <row r="1099" spans="3:29">
      <c r="C1099" t="s">
        <v>4979</v>
      </c>
      <c r="D1099" t="s">
        <v>10</v>
      </c>
      <c r="E1099" s="84">
        <v>34.99</v>
      </c>
      <c r="F1099" s="84">
        <v>17.495000000000001</v>
      </c>
      <c r="G1099" t="s">
        <v>4467</v>
      </c>
      <c r="H1099" t="s">
        <v>4957</v>
      </c>
      <c r="I1099" t="s">
        <v>938</v>
      </c>
      <c r="J1099" t="s">
        <v>4834</v>
      </c>
      <c r="K1099" t="s">
        <v>4974</v>
      </c>
      <c r="L1099" t="s">
        <v>670</v>
      </c>
      <c r="N1099">
        <v>17</v>
      </c>
      <c r="O1099">
        <v>5</v>
      </c>
      <c r="P1099">
        <v>1.4450000000000001E-3</v>
      </c>
      <c r="Q1099" s="84" t="e">
        <v>#REF!</v>
      </c>
      <c r="R1099" s="85"/>
      <c r="S1099" s="85"/>
      <c r="T1099" s="86">
        <v>0</v>
      </c>
      <c r="U1099" s="84">
        <v>0</v>
      </c>
      <c r="V1099" s="84">
        <v>24.492999999999999</v>
      </c>
      <c r="W1099" s="84">
        <v>12.246499999999999</v>
      </c>
      <c r="X1099" s="82">
        <v>0.35</v>
      </c>
      <c r="Y1099" s="82"/>
      <c r="Z1099" s="84">
        <v>12.246499999999999</v>
      </c>
      <c r="AA1099" s="84">
        <v>24.492999999999999</v>
      </c>
      <c r="AB1099" s="88" t="e">
        <v>#DIV/0!</v>
      </c>
      <c r="AC1099" t="s">
        <v>4980</v>
      </c>
    </row>
    <row r="1100" spans="3:29">
      <c r="C1100" t="s">
        <v>4981</v>
      </c>
      <c r="D1100" t="s">
        <v>4973</v>
      </c>
      <c r="E1100" s="84">
        <v>38.99</v>
      </c>
      <c r="F1100" s="84">
        <v>19.495000000000001</v>
      </c>
      <c r="G1100" t="s">
        <v>4467</v>
      </c>
      <c r="H1100" t="s">
        <v>4953</v>
      </c>
      <c r="I1100" t="s">
        <v>938</v>
      </c>
      <c r="J1100" t="s">
        <v>4982</v>
      </c>
      <c r="K1100" t="s">
        <v>4974</v>
      </c>
      <c r="L1100" t="s">
        <v>670</v>
      </c>
      <c r="N1100">
        <v>16</v>
      </c>
      <c r="O1100">
        <v>6</v>
      </c>
      <c r="P1100">
        <v>1.536E-3</v>
      </c>
      <c r="Q1100" s="84" t="e">
        <v>#REF!</v>
      </c>
      <c r="R1100" s="85"/>
      <c r="S1100" s="85"/>
      <c r="T1100" s="86">
        <v>0</v>
      </c>
      <c r="U1100" s="84">
        <v>0</v>
      </c>
      <c r="V1100" s="84">
        <v>27.292999999999999</v>
      </c>
      <c r="W1100" s="84">
        <v>13.6465</v>
      </c>
      <c r="X1100" s="82">
        <v>0.35</v>
      </c>
      <c r="Y1100" s="82"/>
      <c r="Z1100" s="84">
        <v>13.6465</v>
      </c>
      <c r="AA1100" s="84">
        <v>27.292999999999999</v>
      </c>
      <c r="AB1100" s="88" t="e">
        <v>#DIV/0!</v>
      </c>
      <c r="AC1100" t="s">
        <v>4983</v>
      </c>
    </row>
    <row r="1101" spans="3:29">
      <c r="C1101" t="s">
        <v>4984</v>
      </c>
      <c r="D1101" t="s">
        <v>4973</v>
      </c>
      <c r="E1101" s="84">
        <v>49.99</v>
      </c>
      <c r="F1101" s="84">
        <v>24.995000000000001</v>
      </c>
      <c r="G1101" t="s">
        <v>4467</v>
      </c>
      <c r="H1101" t="s">
        <v>4960</v>
      </c>
      <c r="I1101" t="s">
        <v>938</v>
      </c>
      <c r="J1101" t="s">
        <v>4961</v>
      </c>
      <c r="K1101" t="s">
        <v>4974</v>
      </c>
      <c r="L1101" t="s">
        <v>670</v>
      </c>
      <c r="N1101">
        <v>20</v>
      </c>
      <c r="O1101">
        <v>6</v>
      </c>
      <c r="P1101">
        <v>2.3999999999999998E-3</v>
      </c>
      <c r="Q1101" s="84" t="e">
        <v>#REF!</v>
      </c>
      <c r="R1101" s="85"/>
      <c r="S1101" s="85"/>
      <c r="T1101" s="86">
        <v>0</v>
      </c>
      <c r="U1101" s="84">
        <v>0</v>
      </c>
      <c r="V1101" s="84">
        <v>34.993000000000002</v>
      </c>
      <c r="W1101" s="84">
        <v>17.496500000000001</v>
      </c>
      <c r="X1101" s="82">
        <v>0.35</v>
      </c>
      <c r="Y1101" s="82"/>
      <c r="Z1101" s="84">
        <v>17.496500000000001</v>
      </c>
      <c r="AA1101" s="84">
        <v>34.993000000000002</v>
      </c>
      <c r="AB1101" s="88" t="e">
        <v>#DIV/0!</v>
      </c>
      <c r="AC1101" t="s">
        <v>4978</v>
      </c>
    </row>
    <row r="1102" spans="3:29">
      <c r="C1102" t="s">
        <v>4985</v>
      </c>
      <c r="D1102" t="s">
        <v>4986</v>
      </c>
      <c r="E1102" s="84">
        <v>29.99</v>
      </c>
      <c r="F1102" s="84">
        <v>14.994999999999999</v>
      </c>
      <c r="G1102" t="s">
        <v>4467</v>
      </c>
      <c r="H1102" t="s">
        <v>4987</v>
      </c>
      <c r="I1102" t="s">
        <v>941</v>
      </c>
      <c r="J1102" t="s">
        <v>4945</v>
      </c>
      <c r="K1102" t="s">
        <v>4988</v>
      </c>
      <c r="L1102" t="s">
        <v>670</v>
      </c>
      <c r="N1102">
        <v>9</v>
      </c>
      <c r="O1102">
        <v>4</v>
      </c>
      <c r="P1102">
        <v>3.2400000000000001E-4</v>
      </c>
      <c r="Q1102" s="84" t="e">
        <v>#REF!</v>
      </c>
      <c r="R1102" s="85"/>
      <c r="S1102" s="85"/>
      <c r="T1102" s="86">
        <v>0</v>
      </c>
      <c r="U1102" s="84">
        <v>0</v>
      </c>
      <c r="V1102" s="84">
        <v>20.992999999999999</v>
      </c>
      <c r="W1102" s="84">
        <v>10.496499999999999</v>
      </c>
      <c r="X1102" s="82">
        <v>0.35</v>
      </c>
      <c r="Y1102" s="82"/>
      <c r="Z1102" s="84">
        <v>10.496499999999999</v>
      </c>
      <c r="AA1102" s="84">
        <v>20.992999999999999</v>
      </c>
      <c r="AB1102" s="88" t="e">
        <v>#DIV/0!</v>
      </c>
      <c r="AC1102" t="s">
        <v>4989</v>
      </c>
    </row>
    <row r="1103" spans="3:29">
      <c r="C1103" t="s">
        <v>4990</v>
      </c>
      <c r="D1103" t="s">
        <v>4986</v>
      </c>
      <c r="E1103" s="84">
        <v>36.99</v>
      </c>
      <c r="F1103" s="84">
        <v>18.495000000000001</v>
      </c>
      <c r="G1103" t="s">
        <v>4467</v>
      </c>
      <c r="H1103" t="s">
        <v>4991</v>
      </c>
      <c r="I1103" t="s">
        <v>941</v>
      </c>
      <c r="J1103" t="s">
        <v>4977</v>
      </c>
      <c r="K1103" t="s">
        <v>4988</v>
      </c>
      <c r="L1103" t="s">
        <v>670</v>
      </c>
      <c r="N1103">
        <v>15</v>
      </c>
      <c r="O1103">
        <v>5</v>
      </c>
      <c r="P1103">
        <v>1.1249999999999999E-3</v>
      </c>
      <c r="Q1103" s="84" t="e">
        <v>#REF!</v>
      </c>
      <c r="R1103" s="85"/>
      <c r="S1103" s="85"/>
      <c r="T1103" s="86">
        <v>0</v>
      </c>
      <c r="U1103" s="84">
        <v>0</v>
      </c>
      <c r="V1103" s="84">
        <v>25.893000000000001</v>
      </c>
      <c r="W1103" s="84">
        <v>12.9465</v>
      </c>
      <c r="X1103" s="82">
        <v>0.35</v>
      </c>
      <c r="Y1103" s="82"/>
      <c r="Z1103" s="84">
        <v>12.9465</v>
      </c>
      <c r="AA1103" s="84">
        <v>25.893000000000001</v>
      </c>
      <c r="AB1103" s="88" t="e">
        <v>#DIV/0!</v>
      </c>
      <c r="AC1103" t="s">
        <v>4992</v>
      </c>
    </row>
    <row r="1104" spans="3:29">
      <c r="C1104" t="s">
        <v>4993</v>
      </c>
      <c r="D1104" t="s">
        <v>4986</v>
      </c>
      <c r="E1104" s="84">
        <v>41.99</v>
      </c>
      <c r="F1104" s="84">
        <v>20.995000000000001</v>
      </c>
      <c r="G1104" t="s">
        <v>4467</v>
      </c>
      <c r="H1104" t="s">
        <v>4994</v>
      </c>
      <c r="I1104" t="s">
        <v>941</v>
      </c>
      <c r="J1104" t="s">
        <v>4834</v>
      </c>
      <c r="K1104" t="s">
        <v>4988</v>
      </c>
      <c r="L1104" t="s">
        <v>670</v>
      </c>
      <c r="N1104">
        <v>17</v>
      </c>
      <c r="O1104">
        <v>5</v>
      </c>
      <c r="P1104">
        <v>1.4450000000000001E-3</v>
      </c>
      <c r="Q1104" s="84" t="e">
        <v>#REF!</v>
      </c>
      <c r="R1104" s="85"/>
      <c r="S1104" s="85"/>
      <c r="T1104" s="86">
        <v>0</v>
      </c>
      <c r="U1104" s="84">
        <v>0</v>
      </c>
      <c r="V1104" s="84">
        <v>29.393000000000001</v>
      </c>
      <c r="W1104" s="84">
        <v>14.6965</v>
      </c>
      <c r="X1104" s="82">
        <v>0.35</v>
      </c>
      <c r="Y1104" s="82"/>
      <c r="Z1104" s="84">
        <v>14.6965</v>
      </c>
      <c r="AA1104" s="84">
        <v>29.393000000000001</v>
      </c>
      <c r="AB1104" s="88" t="e">
        <v>#DIV/0!</v>
      </c>
      <c r="AC1104" t="s">
        <v>4992</v>
      </c>
    </row>
    <row r="1105" spans="3:29">
      <c r="C1105" t="s">
        <v>4995</v>
      </c>
      <c r="D1105" t="s">
        <v>4996</v>
      </c>
      <c r="E1105" s="84">
        <v>32.99</v>
      </c>
      <c r="F1105" s="84">
        <v>16.495000000000001</v>
      </c>
      <c r="G1105" t="s">
        <v>4467</v>
      </c>
      <c r="H1105" t="s">
        <v>4997</v>
      </c>
      <c r="I1105" t="s">
        <v>947</v>
      </c>
      <c r="J1105" t="s">
        <v>4945</v>
      </c>
      <c r="K1105" t="s">
        <v>4998</v>
      </c>
      <c r="L1105" t="s">
        <v>670</v>
      </c>
      <c r="N1105">
        <v>9</v>
      </c>
      <c r="O1105">
        <v>4</v>
      </c>
      <c r="P1105">
        <v>3.2400000000000001E-4</v>
      </c>
      <c r="Q1105" s="84" t="e">
        <v>#REF!</v>
      </c>
      <c r="R1105" s="85"/>
      <c r="S1105" s="85"/>
      <c r="T1105" s="86">
        <v>0</v>
      </c>
      <c r="U1105" s="84">
        <v>0</v>
      </c>
      <c r="V1105" s="84">
        <v>23.093</v>
      </c>
      <c r="W1105" s="84">
        <v>11.5465</v>
      </c>
      <c r="X1105" s="82">
        <v>0.35</v>
      </c>
      <c r="Y1105" s="82"/>
      <c r="Z1105" s="84">
        <v>11.5465</v>
      </c>
      <c r="AA1105" s="84">
        <v>23.093</v>
      </c>
      <c r="AB1105" s="88" t="e">
        <v>#DIV/0!</v>
      </c>
      <c r="AC1105" t="s">
        <v>4999</v>
      </c>
    </row>
    <row r="1106" spans="3:29">
      <c r="C1106" t="s">
        <v>5000</v>
      </c>
      <c r="D1106" t="s">
        <v>4996</v>
      </c>
      <c r="E1106" s="84">
        <v>41.99</v>
      </c>
      <c r="F1106" s="84">
        <v>20.995000000000001</v>
      </c>
      <c r="G1106" t="s">
        <v>4467</v>
      </c>
      <c r="H1106" t="s">
        <v>5001</v>
      </c>
      <c r="I1106" t="s">
        <v>947</v>
      </c>
      <c r="J1106" t="s">
        <v>4950</v>
      </c>
      <c r="K1106" t="s">
        <v>4998</v>
      </c>
      <c r="L1106" t="s">
        <v>670</v>
      </c>
      <c r="N1106">
        <v>15</v>
      </c>
      <c r="O1106">
        <v>5</v>
      </c>
      <c r="P1106">
        <v>1.1249999999999999E-3</v>
      </c>
      <c r="Q1106" s="84" t="e">
        <v>#REF!</v>
      </c>
      <c r="R1106" s="85"/>
      <c r="S1106" s="85"/>
      <c r="T1106" s="86">
        <v>0</v>
      </c>
      <c r="U1106" s="84">
        <v>0</v>
      </c>
      <c r="V1106" s="84">
        <v>29.393000000000001</v>
      </c>
      <c r="W1106" s="84">
        <v>14.6965</v>
      </c>
      <c r="X1106" s="82">
        <v>0.35</v>
      </c>
      <c r="Y1106" s="82"/>
      <c r="Z1106" s="84">
        <v>14.6965</v>
      </c>
      <c r="AA1106" s="84">
        <v>29.393000000000001</v>
      </c>
      <c r="AB1106" s="88" t="e">
        <v>#DIV/0!</v>
      </c>
      <c r="AC1106" t="s">
        <v>5002</v>
      </c>
    </row>
    <row r="1107" spans="3:29">
      <c r="C1107" t="s">
        <v>5003</v>
      </c>
      <c r="D1107" t="s">
        <v>4996</v>
      </c>
      <c r="E1107" s="84">
        <v>51.99</v>
      </c>
      <c r="F1107" s="84">
        <v>25.995000000000001</v>
      </c>
      <c r="G1107" t="s">
        <v>4467</v>
      </c>
      <c r="H1107" t="s">
        <v>5004</v>
      </c>
      <c r="I1107" t="s">
        <v>947</v>
      </c>
      <c r="J1107" t="s">
        <v>4982</v>
      </c>
      <c r="K1107" t="s">
        <v>4998</v>
      </c>
      <c r="L1107" t="s">
        <v>670</v>
      </c>
      <c r="N1107">
        <v>16</v>
      </c>
      <c r="O1107">
        <v>6</v>
      </c>
      <c r="P1107">
        <v>1.536E-3</v>
      </c>
      <c r="Q1107" s="84" t="e">
        <v>#REF!</v>
      </c>
      <c r="R1107" s="85"/>
      <c r="S1107" s="85"/>
      <c r="T1107" s="86">
        <v>0</v>
      </c>
      <c r="U1107" s="84">
        <v>0</v>
      </c>
      <c r="V1107" s="84">
        <v>36.393000000000001</v>
      </c>
      <c r="W1107" s="84">
        <v>18.1965</v>
      </c>
      <c r="X1107" s="82">
        <v>0.35</v>
      </c>
      <c r="Y1107" s="82"/>
      <c r="Z1107" s="84">
        <v>18.1965</v>
      </c>
      <c r="AA1107" s="84">
        <v>36.393000000000001</v>
      </c>
      <c r="AB1107" s="88" t="e">
        <v>#DIV/0!</v>
      </c>
      <c r="AC1107" t="s">
        <v>5005</v>
      </c>
    </row>
    <row r="1108" spans="3:29">
      <c r="C1108" t="s">
        <v>5006</v>
      </c>
      <c r="D1108" t="s">
        <v>4996</v>
      </c>
      <c r="E1108" s="84">
        <v>46.99</v>
      </c>
      <c r="F1108" s="84">
        <v>23.495000000000001</v>
      </c>
      <c r="G1108" t="s">
        <v>4467</v>
      </c>
      <c r="H1108" t="s">
        <v>5007</v>
      </c>
      <c r="I1108" t="s">
        <v>947</v>
      </c>
      <c r="J1108" t="s">
        <v>4834</v>
      </c>
      <c r="K1108" t="s">
        <v>4998</v>
      </c>
      <c r="L1108" t="s">
        <v>670</v>
      </c>
      <c r="N1108">
        <v>17</v>
      </c>
      <c r="O1108">
        <v>5</v>
      </c>
      <c r="P1108">
        <v>1.4450000000000001E-3</v>
      </c>
      <c r="Q1108" s="84" t="e">
        <v>#REF!</v>
      </c>
      <c r="R1108" s="85"/>
      <c r="S1108" s="85"/>
      <c r="T1108" s="86">
        <v>0</v>
      </c>
      <c r="U1108" s="84">
        <v>0</v>
      </c>
      <c r="V1108" s="84">
        <v>32.893000000000001</v>
      </c>
      <c r="W1108" s="84">
        <v>16.4465</v>
      </c>
      <c r="X1108" s="82">
        <v>0.35</v>
      </c>
      <c r="Y1108" s="82"/>
      <c r="Z1108" s="84">
        <v>16.4465</v>
      </c>
      <c r="AA1108" s="84">
        <v>32.893000000000001</v>
      </c>
      <c r="AB1108" s="88" t="e">
        <v>#DIV/0!</v>
      </c>
      <c r="AC1108" t="s">
        <v>5008</v>
      </c>
    </row>
    <row r="1109" spans="3:29">
      <c r="C1109" t="s">
        <v>5009</v>
      </c>
      <c r="D1109" t="s">
        <v>4996</v>
      </c>
      <c r="E1109" s="84">
        <v>64.989999999999995</v>
      </c>
      <c r="F1109" s="84">
        <v>32.494999999999997</v>
      </c>
      <c r="G1109" t="s">
        <v>4467</v>
      </c>
      <c r="H1109" t="s">
        <v>5010</v>
      </c>
      <c r="I1109" t="s">
        <v>947</v>
      </c>
      <c r="J1109" t="s">
        <v>4961</v>
      </c>
      <c r="K1109" t="s">
        <v>4998</v>
      </c>
      <c r="L1109" t="s">
        <v>670</v>
      </c>
      <c r="N1109">
        <v>20</v>
      </c>
      <c r="O1109">
        <v>6</v>
      </c>
      <c r="P1109">
        <v>2.3999999999999998E-3</v>
      </c>
      <c r="Q1109" s="84" t="e">
        <v>#REF!</v>
      </c>
      <c r="R1109" s="85"/>
      <c r="S1109" s="85"/>
      <c r="T1109" s="86">
        <v>0</v>
      </c>
      <c r="U1109" s="84">
        <v>0</v>
      </c>
      <c r="V1109" s="84">
        <v>45.493000000000002</v>
      </c>
      <c r="W1109" s="84">
        <v>22.746500000000001</v>
      </c>
      <c r="X1109" s="82">
        <v>0.35</v>
      </c>
      <c r="Y1109" s="82"/>
      <c r="Z1109" s="84">
        <v>22.746500000000001</v>
      </c>
      <c r="AA1109" s="84">
        <v>45.493000000000002</v>
      </c>
      <c r="AB1109" s="88" t="e">
        <v>#DIV/0!</v>
      </c>
      <c r="AC1109" t="s">
        <v>5008</v>
      </c>
    </row>
    <row r="1110" spans="3:29">
      <c r="C1110" t="s">
        <v>5011</v>
      </c>
      <c r="D1110" t="s">
        <v>4996</v>
      </c>
      <c r="E1110" s="84">
        <v>141.99</v>
      </c>
      <c r="F1110" s="84">
        <v>70.995000000000005</v>
      </c>
      <c r="G1110" t="s">
        <v>4467</v>
      </c>
      <c r="H1110" t="s">
        <v>5012</v>
      </c>
      <c r="I1110" t="s">
        <v>947</v>
      </c>
      <c r="J1110" t="s">
        <v>4971</v>
      </c>
      <c r="K1110" t="s">
        <v>4998</v>
      </c>
      <c r="L1110" t="s">
        <v>670</v>
      </c>
      <c r="N1110">
        <v>28</v>
      </c>
      <c r="O1110">
        <v>9</v>
      </c>
      <c r="P1110">
        <v>7.0559999999999998E-3</v>
      </c>
      <c r="Q1110" s="84" t="e">
        <v>#REF!</v>
      </c>
      <c r="R1110" s="85"/>
      <c r="S1110" s="85"/>
      <c r="T1110" s="86">
        <v>0</v>
      </c>
      <c r="U1110" s="84">
        <v>0</v>
      </c>
      <c r="V1110" s="84">
        <v>99.393000000000001</v>
      </c>
      <c r="W1110" s="84">
        <v>49.6965</v>
      </c>
      <c r="X1110" s="82">
        <v>0.35</v>
      </c>
      <c r="Y1110" s="82"/>
      <c r="Z1110" s="84">
        <v>49.6965</v>
      </c>
      <c r="AA1110" s="84">
        <v>99.393000000000001</v>
      </c>
      <c r="AB1110" s="88" t="e">
        <v>#DIV/0!</v>
      </c>
      <c r="AC1110" t="s">
        <v>5013</v>
      </c>
    </row>
    <row r="1111" spans="3:29">
      <c r="C1111" t="s">
        <v>2699</v>
      </c>
      <c r="D1111" t="s">
        <v>5014</v>
      </c>
      <c r="E1111" s="84">
        <v>269.99</v>
      </c>
      <c r="F1111" s="84">
        <v>134.995</v>
      </c>
      <c r="G1111" t="s">
        <v>4467</v>
      </c>
      <c r="H1111" t="s">
        <v>5015</v>
      </c>
      <c r="I1111" t="s">
        <v>639</v>
      </c>
      <c r="J1111" t="s">
        <v>2702</v>
      </c>
      <c r="K1111" t="s">
        <v>2564</v>
      </c>
      <c r="L1111" t="s">
        <v>670</v>
      </c>
      <c r="N1111">
        <v>25</v>
      </c>
      <c r="O1111">
        <v>30</v>
      </c>
      <c r="P1111">
        <v>1.8749999999999999E-2</v>
      </c>
      <c r="Q1111" s="84" t="e">
        <v>#REF!</v>
      </c>
      <c r="R1111" s="85"/>
      <c r="S1111" s="85"/>
      <c r="T1111" s="86">
        <v>0</v>
      </c>
      <c r="U1111" s="84">
        <v>0</v>
      </c>
      <c r="V1111" s="84">
        <v>188.99299999999999</v>
      </c>
      <c r="W1111" s="84">
        <v>94.496499999999997</v>
      </c>
      <c r="X1111" s="82">
        <v>0.35</v>
      </c>
      <c r="Y1111" s="82"/>
      <c r="Z1111" s="84">
        <v>94.496499999999997</v>
      </c>
      <c r="AA1111" s="84">
        <v>188.99299999999999</v>
      </c>
      <c r="AB1111" s="88" t="e">
        <v>#DIV/0!</v>
      </c>
      <c r="AC1111" t="s">
        <v>5016</v>
      </c>
    </row>
    <row r="1112" spans="3:29">
      <c r="C1112" t="s">
        <v>5017</v>
      </c>
      <c r="D1112" t="s">
        <v>5014</v>
      </c>
      <c r="E1112" s="84">
        <v>364.99</v>
      </c>
      <c r="F1112" s="84">
        <v>182.495</v>
      </c>
      <c r="G1112" t="s">
        <v>4467</v>
      </c>
      <c r="H1112" t="s">
        <v>5018</v>
      </c>
      <c r="I1112" t="s">
        <v>639</v>
      </c>
      <c r="J1112" t="s">
        <v>2706</v>
      </c>
      <c r="K1112" t="s">
        <v>2564</v>
      </c>
      <c r="L1112" t="s">
        <v>670</v>
      </c>
      <c r="N1112">
        <v>30</v>
      </c>
      <c r="O1112">
        <v>35</v>
      </c>
      <c r="P1112">
        <v>3.15E-2</v>
      </c>
      <c r="Q1112" s="84" t="e">
        <v>#REF!</v>
      </c>
      <c r="R1112" s="85"/>
      <c r="S1112" s="85"/>
      <c r="T1112" s="86">
        <v>0</v>
      </c>
      <c r="U1112" s="84">
        <v>0</v>
      </c>
      <c r="V1112" s="84">
        <v>255.49299999999999</v>
      </c>
      <c r="W1112" s="84">
        <v>127.7465</v>
      </c>
      <c r="X1112" s="82">
        <v>0.35</v>
      </c>
      <c r="Y1112" s="82"/>
      <c r="Z1112" s="84">
        <v>127.7465</v>
      </c>
      <c r="AA1112" s="84">
        <v>255.49299999999999</v>
      </c>
      <c r="AB1112" s="88" t="e">
        <v>#DIV/0!</v>
      </c>
      <c r="AC1112" t="s">
        <v>5019</v>
      </c>
    </row>
    <row r="1113" spans="3:29">
      <c r="C1113" t="s">
        <v>5020</v>
      </c>
      <c r="D1113" t="s">
        <v>5021</v>
      </c>
      <c r="E1113" s="84">
        <v>119.99</v>
      </c>
      <c r="F1113" s="84">
        <v>59.994999999999997</v>
      </c>
      <c r="G1113" t="s">
        <v>4467</v>
      </c>
      <c r="H1113" t="s">
        <v>5022</v>
      </c>
      <c r="I1113" t="s">
        <v>5023</v>
      </c>
      <c r="J1113" t="s">
        <v>2764</v>
      </c>
      <c r="K1113" t="s">
        <v>2564</v>
      </c>
      <c r="L1113" t="s">
        <v>670</v>
      </c>
      <c r="N1113">
        <v>30</v>
      </c>
      <c r="O1113">
        <v>30</v>
      </c>
      <c r="P1113">
        <v>2.7E-2</v>
      </c>
      <c r="Q1113" s="84" t="e">
        <v>#REF!</v>
      </c>
      <c r="R1113" s="85"/>
      <c r="S1113" s="85"/>
      <c r="T1113" s="86">
        <v>0</v>
      </c>
      <c r="U1113" s="84">
        <v>0</v>
      </c>
      <c r="V1113" s="84">
        <v>83.992999999999995</v>
      </c>
      <c r="W1113" s="84">
        <v>41.996499999999997</v>
      </c>
      <c r="X1113" s="82">
        <v>0.35</v>
      </c>
      <c r="Y1113" s="82"/>
      <c r="Z1113" s="84">
        <v>41.996499999999997</v>
      </c>
      <c r="AA1113" s="84">
        <v>83.992999999999995</v>
      </c>
      <c r="AB1113" s="88" t="e">
        <v>#DIV/0!</v>
      </c>
      <c r="AC1113" t="s">
        <v>5024</v>
      </c>
    </row>
    <row r="1114" spans="3:29">
      <c r="C1114" t="s">
        <v>5025</v>
      </c>
      <c r="D1114" t="s">
        <v>5026</v>
      </c>
      <c r="E1114" s="84">
        <v>34.99</v>
      </c>
      <c r="F1114" s="84">
        <v>17.495000000000001</v>
      </c>
      <c r="G1114" t="s">
        <v>4467</v>
      </c>
      <c r="H1114" t="s">
        <v>5027</v>
      </c>
      <c r="I1114" t="s">
        <v>437</v>
      </c>
      <c r="J1114" t="s">
        <v>5028</v>
      </c>
      <c r="K1114" t="s">
        <v>4946</v>
      </c>
      <c r="L1114" t="s">
        <v>670</v>
      </c>
      <c r="N1114">
        <v>12</v>
      </c>
      <c r="O1114">
        <v>7</v>
      </c>
      <c r="P1114">
        <v>1.008E-3</v>
      </c>
      <c r="Q1114" s="84" t="e">
        <v>#REF!</v>
      </c>
      <c r="R1114" s="85"/>
      <c r="S1114" s="85"/>
      <c r="T1114" s="86">
        <v>0</v>
      </c>
      <c r="U1114" s="84">
        <v>0</v>
      </c>
      <c r="V1114" s="84">
        <v>24.492999999999999</v>
      </c>
      <c r="W1114" s="84">
        <v>12.246499999999999</v>
      </c>
      <c r="X1114" s="82">
        <v>0.35</v>
      </c>
      <c r="Y1114" s="82"/>
      <c r="Z1114" s="84">
        <v>12.246499999999999</v>
      </c>
      <c r="AA1114" s="84">
        <v>24.492999999999999</v>
      </c>
      <c r="AB1114" s="88" t="e">
        <v>#DIV/0!</v>
      </c>
      <c r="AC1114" t="s">
        <v>5029</v>
      </c>
    </row>
    <row r="1115" spans="3:29">
      <c r="C1115" t="s">
        <v>5030</v>
      </c>
      <c r="D1115" t="s">
        <v>5026</v>
      </c>
      <c r="E1115" s="84">
        <v>43.99</v>
      </c>
      <c r="F1115" s="84">
        <v>21.995000000000001</v>
      </c>
      <c r="G1115" t="s">
        <v>4467</v>
      </c>
      <c r="H1115" t="s">
        <v>5031</v>
      </c>
      <c r="I1115" t="s">
        <v>437</v>
      </c>
      <c r="J1115" t="s">
        <v>5032</v>
      </c>
      <c r="K1115" t="s">
        <v>4946</v>
      </c>
      <c r="L1115" t="s">
        <v>670</v>
      </c>
      <c r="N1115">
        <v>15</v>
      </c>
      <c r="O1115">
        <v>8</v>
      </c>
      <c r="P1115">
        <v>1.8E-3</v>
      </c>
      <c r="Q1115" s="84" t="e">
        <v>#REF!</v>
      </c>
      <c r="R1115" s="85"/>
      <c r="S1115" s="85"/>
      <c r="T1115" s="86">
        <v>0</v>
      </c>
      <c r="U1115" s="84">
        <v>0</v>
      </c>
      <c r="V1115" s="84">
        <v>30.792999999999999</v>
      </c>
      <c r="W1115" s="84">
        <v>15.3965</v>
      </c>
      <c r="X1115" s="82">
        <v>0.35</v>
      </c>
      <c r="Y1115" s="82"/>
      <c r="Z1115" s="84">
        <v>15.3965</v>
      </c>
      <c r="AA1115" s="84">
        <v>30.792999999999999</v>
      </c>
      <c r="AB1115" s="88" t="e">
        <v>#DIV/0!</v>
      </c>
      <c r="AC1115" t="s">
        <v>5033</v>
      </c>
    </row>
    <row r="1116" spans="3:29">
      <c r="C1116" t="s">
        <v>5034</v>
      </c>
      <c r="D1116" t="s">
        <v>5026</v>
      </c>
      <c r="E1116" s="84">
        <v>58.99</v>
      </c>
      <c r="F1116" s="84">
        <v>29.495000000000001</v>
      </c>
      <c r="G1116" t="s">
        <v>4467</v>
      </c>
      <c r="H1116" t="s">
        <v>5035</v>
      </c>
      <c r="I1116" t="s">
        <v>437</v>
      </c>
      <c r="J1116" t="s">
        <v>5036</v>
      </c>
      <c r="K1116" t="s">
        <v>4946</v>
      </c>
      <c r="L1116" t="s">
        <v>670</v>
      </c>
      <c r="N1116">
        <v>20</v>
      </c>
      <c r="O1116">
        <v>11</v>
      </c>
      <c r="P1116">
        <v>4.4000000000000003E-3</v>
      </c>
      <c r="Q1116" s="84" t="e">
        <v>#REF!</v>
      </c>
      <c r="R1116" s="85"/>
      <c r="S1116" s="85"/>
      <c r="T1116" s="86">
        <v>0</v>
      </c>
      <c r="U1116" s="84">
        <v>0</v>
      </c>
      <c r="V1116" s="84">
        <v>41.292999999999999</v>
      </c>
      <c r="W1116" s="84">
        <v>20.6465</v>
      </c>
      <c r="X1116" s="82">
        <v>0.35</v>
      </c>
      <c r="Y1116" s="82"/>
      <c r="Z1116" s="84">
        <v>20.6465</v>
      </c>
      <c r="AA1116" s="84">
        <v>41.292999999999999</v>
      </c>
      <c r="AB1116" s="88" t="e">
        <v>#DIV/0!</v>
      </c>
      <c r="AC1116" t="s">
        <v>5029</v>
      </c>
    </row>
    <row r="1117" spans="3:29">
      <c r="C1117" t="s">
        <v>5037</v>
      </c>
      <c r="D1117" t="s">
        <v>5026</v>
      </c>
      <c r="E1117" s="84">
        <v>89.99</v>
      </c>
      <c r="F1117" s="84">
        <v>44.994999999999997</v>
      </c>
      <c r="G1117" t="s">
        <v>4467</v>
      </c>
      <c r="H1117" t="s">
        <v>5038</v>
      </c>
      <c r="I1117" t="s">
        <v>437</v>
      </c>
      <c r="J1117" t="s">
        <v>5039</v>
      </c>
      <c r="K1117" t="s">
        <v>4946</v>
      </c>
      <c r="L1117" t="s">
        <v>670</v>
      </c>
      <c r="N1117">
        <v>27</v>
      </c>
      <c r="O1117">
        <v>15</v>
      </c>
      <c r="P1117">
        <v>1.0935E-2</v>
      </c>
      <c r="Q1117" s="84" t="e">
        <v>#REF!</v>
      </c>
      <c r="R1117" s="85"/>
      <c r="S1117" s="85"/>
      <c r="T1117" s="86">
        <v>0</v>
      </c>
      <c r="U1117" s="84">
        <v>0</v>
      </c>
      <c r="V1117" s="84">
        <v>62.993000000000002</v>
      </c>
      <c r="W1117" s="84">
        <v>31.496500000000001</v>
      </c>
      <c r="X1117" s="82">
        <v>0.35</v>
      </c>
      <c r="Y1117" s="82"/>
      <c r="Z1117" s="84">
        <v>31.496500000000001</v>
      </c>
      <c r="AA1117" s="84">
        <v>62.993000000000002</v>
      </c>
      <c r="AB1117" s="88" t="e">
        <v>#DIV/0!</v>
      </c>
      <c r="AC1117" t="s">
        <v>5040</v>
      </c>
    </row>
    <row r="1118" spans="3:29">
      <c r="C1118" t="s">
        <v>5041</v>
      </c>
      <c r="D1118" t="s">
        <v>5042</v>
      </c>
      <c r="E1118" s="84">
        <v>33.99</v>
      </c>
      <c r="F1118" s="84">
        <v>16.995000000000001</v>
      </c>
      <c r="G1118" t="s">
        <v>4467</v>
      </c>
      <c r="H1118" t="s">
        <v>5043</v>
      </c>
      <c r="I1118" t="s">
        <v>204</v>
      </c>
      <c r="J1118" t="s">
        <v>5044</v>
      </c>
      <c r="K1118" t="s">
        <v>2564</v>
      </c>
      <c r="L1118" t="s">
        <v>670</v>
      </c>
      <c r="N1118">
        <v>14</v>
      </c>
      <c r="O1118">
        <v>4</v>
      </c>
      <c r="P1118">
        <v>7.8399999999999997E-4</v>
      </c>
      <c r="Q1118" s="84" t="e">
        <v>#REF!</v>
      </c>
      <c r="R1118" s="85"/>
      <c r="S1118" s="85"/>
      <c r="T1118" s="86">
        <v>0</v>
      </c>
      <c r="U1118" s="84">
        <v>0</v>
      </c>
      <c r="V1118" s="84">
        <v>23.792999999999999</v>
      </c>
      <c r="W1118" s="84">
        <v>11.8965</v>
      </c>
      <c r="X1118" s="82">
        <v>0.35</v>
      </c>
      <c r="Y1118" s="82"/>
      <c r="Z1118" s="84">
        <v>11.8965</v>
      </c>
      <c r="AA1118" s="84">
        <v>23.792999999999999</v>
      </c>
      <c r="AB1118" s="88" t="e">
        <v>#DIV/0!</v>
      </c>
      <c r="AC1118" t="s">
        <v>5045</v>
      </c>
    </row>
    <row r="1119" spans="3:29">
      <c r="C1119" t="s">
        <v>5046</v>
      </c>
      <c r="D1119" t="s">
        <v>5042</v>
      </c>
      <c r="E1119" s="84">
        <v>34.99</v>
      </c>
      <c r="F1119" s="84">
        <v>17.495000000000001</v>
      </c>
      <c r="G1119" t="s">
        <v>4467</v>
      </c>
      <c r="H1119" t="s">
        <v>5047</v>
      </c>
      <c r="I1119" t="s">
        <v>204</v>
      </c>
      <c r="J1119" t="s">
        <v>5048</v>
      </c>
      <c r="K1119" t="s">
        <v>2564</v>
      </c>
      <c r="L1119" t="s">
        <v>670</v>
      </c>
      <c r="N1119">
        <v>17</v>
      </c>
      <c r="O1119">
        <v>5</v>
      </c>
      <c r="P1119">
        <v>1.4450000000000001E-3</v>
      </c>
      <c r="Q1119" s="84" t="e">
        <v>#REF!</v>
      </c>
      <c r="R1119" s="85"/>
      <c r="S1119" s="85"/>
      <c r="T1119" s="86">
        <v>0</v>
      </c>
      <c r="U1119" s="84">
        <v>0</v>
      </c>
      <c r="V1119" s="84">
        <v>24.492999999999999</v>
      </c>
      <c r="W1119" s="84">
        <v>12.246499999999999</v>
      </c>
      <c r="X1119" s="82">
        <v>0.35</v>
      </c>
      <c r="Y1119" s="82"/>
      <c r="Z1119" s="84">
        <v>12.246499999999999</v>
      </c>
      <c r="AA1119" s="84">
        <v>24.492999999999999</v>
      </c>
      <c r="AB1119" s="88" t="e">
        <v>#DIV/0!</v>
      </c>
      <c r="AC1119" t="s">
        <v>5049</v>
      </c>
    </row>
    <row r="1120" spans="3:29">
      <c r="C1120" t="s">
        <v>5050</v>
      </c>
      <c r="D1120" t="s">
        <v>5042</v>
      </c>
      <c r="E1120" s="84">
        <v>40.99</v>
      </c>
      <c r="F1120" s="84">
        <v>20.495000000000001</v>
      </c>
      <c r="G1120" t="s">
        <v>4467</v>
      </c>
      <c r="H1120" t="s">
        <v>5051</v>
      </c>
      <c r="I1120" t="s">
        <v>204</v>
      </c>
      <c r="J1120" t="s">
        <v>5052</v>
      </c>
      <c r="K1120" t="s">
        <v>2564</v>
      </c>
      <c r="L1120" t="s">
        <v>670</v>
      </c>
      <c r="N1120">
        <v>18</v>
      </c>
      <c r="O1120">
        <v>5</v>
      </c>
      <c r="P1120">
        <v>1.6199999999999999E-3</v>
      </c>
      <c r="Q1120" s="84" t="e">
        <v>#REF!</v>
      </c>
      <c r="R1120" s="85"/>
      <c r="S1120" s="85"/>
      <c r="T1120" s="86">
        <v>0</v>
      </c>
      <c r="U1120" s="84">
        <v>0</v>
      </c>
      <c r="V1120" s="84">
        <v>28.693000000000001</v>
      </c>
      <c r="W1120" s="84">
        <v>14.346500000000001</v>
      </c>
      <c r="X1120" s="82">
        <v>0.35</v>
      </c>
      <c r="Y1120" s="82"/>
      <c r="Z1120" s="84">
        <v>14.346500000000001</v>
      </c>
      <c r="AA1120" s="84">
        <v>28.693000000000001</v>
      </c>
      <c r="AB1120" s="88" t="e">
        <v>#DIV/0!</v>
      </c>
      <c r="AC1120" t="s">
        <v>5049</v>
      </c>
    </row>
    <row r="1121" spans="3:29">
      <c r="C1121" t="s">
        <v>5053</v>
      </c>
      <c r="D1121" t="s">
        <v>5054</v>
      </c>
      <c r="E1121" s="84">
        <v>23.99</v>
      </c>
      <c r="F1121" s="84">
        <v>11.994999999999999</v>
      </c>
      <c r="G1121" t="s">
        <v>4467</v>
      </c>
      <c r="H1121" t="s">
        <v>5055</v>
      </c>
      <c r="I1121" t="s">
        <v>602</v>
      </c>
      <c r="J1121" t="s">
        <v>5056</v>
      </c>
      <c r="K1121" t="s">
        <v>4946</v>
      </c>
      <c r="L1121" t="s">
        <v>670</v>
      </c>
      <c r="N1121">
        <v>12</v>
      </c>
      <c r="O1121">
        <v>8</v>
      </c>
      <c r="P1121">
        <v>1.152E-3</v>
      </c>
      <c r="Q1121" s="84" t="e">
        <v>#REF!</v>
      </c>
      <c r="R1121" s="85"/>
      <c r="S1121" s="85"/>
      <c r="T1121" s="86">
        <v>0</v>
      </c>
      <c r="U1121" s="84">
        <v>0</v>
      </c>
      <c r="V1121" s="84">
        <v>16.792999999999999</v>
      </c>
      <c r="W1121" s="84">
        <v>8.3964999999999996</v>
      </c>
      <c r="X1121" s="82">
        <v>0.35</v>
      </c>
      <c r="Y1121" s="82"/>
      <c r="Z1121" s="84">
        <v>8.3964999999999996</v>
      </c>
      <c r="AA1121" s="84">
        <v>16.792999999999999</v>
      </c>
      <c r="AB1121" s="88" t="e">
        <v>#DIV/0!</v>
      </c>
      <c r="AC1121" t="s">
        <v>5057</v>
      </c>
    </row>
    <row r="1122" spans="3:29">
      <c r="C1122" t="s">
        <v>5058</v>
      </c>
      <c r="D1122" t="s">
        <v>5054</v>
      </c>
      <c r="E1122" s="84">
        <v>32.99</v>
      </c>
      <c r="F1122" s="84">
        <v>16.495000000000001</v>
      </c>
      <c r="G1122" t="s">
        <v>4467</v>
      </c>
      <c r="H1122" t="s">
        <v>5059</v>
      </c>
      <c r="I1122" t="s">
        <v>602</v>
      </c>
      <c r="J1122" t="s">
        <v>5056</v>
      </c>
      <c r="K1122" t="s">
        <v>4988</v>
      </c>
      <c r="L1122" t="s">
        <v>670</v>
      </c>
      <c r="N1122">
        <v>12</v>
      </c>
      <c r="O1122">
        <v>8</v>
      </c>
      <c r="P1122">
        <v>1.152E-3</v>
      </c>
      <c r="Q1122" s="84" t="e">
        <v>#REF!</v>
      </c>
      <c r="R1122" s="85"/>
      <c r="S1122" s="85"/>
      <c r="T1122" s="86">
        <v>0</v>
      </c>
      <c r="U1122" s="84">
        <v>0</v>
      </c>
      <c r="V1122" s="84">
        <v>23.093</v>
      </c>
      <c r="W1122" s="84">
        <v>11.5465</v>
      </c>
      <c r="X1122" s="82">
        <v>0.35</v>
      </c>
      <c r="Y1122" s="82"/>
      <c r="Z1122" s="84">
        <v>11.5465</v>
      </c>
      <c r="AA1122" s="84">
        <v>23.093</v>
      </c>
      <c r="AB1122" s="88" t="e">
        <v>#DIV/0!</v>
      </c>
      <c r="AC1122" t="s">
        <v>5060</v>
      </c>
    </row>
    <row r="1123" spans="3:29">
      <c r="C1123" t="s">
        <v>5061</v>
      </c>
      <c r="D1123" t="s">
        <v>5062</v>
      </c>
      <c r="E1123" s="84">
        <v>39.99</v>
      </c>
      <c r="F1123" s="84">
        <v>19.995000000000001</v>
      </c>
      <c r="G1123" t="s">
        <v>4467</v>
      </c>
      <c r="H1123" t="s">
        <v>5063</v>
      </c>
      <c r="I1123" t="s">
        <v>849</v>
      </c>
      <c r="J1123" t="s">
        <v>5064</v>
      </c>
      <c r="K1123" t="s">
        <v>4946</v>
      </c>
      <c r="L1123" t="s">
        <v>670</v>
      </c>
      <c r="N1123">
        <v>8</v>
      </c>
      <c r="O1123">
        <v>9.5</v>
      </c>
      <c r="P1123">
        <v>6.0800000000000003E-4</v>
      </c>
      <c r="Q1123" s="84" t="e">
        <v>#REF!</v>
      </c>
      <c r="R1123" s="85"/>
      <c r="S1123" s="85"/>
      <c r="T1123" s="86">
        <v>0</v>
      </c>
      <c r="U1123" s="84">
        <v>0</v>
      </c>
      <c r="V1123" s="84">
        <v>27.992999999999999</v>
      </c>
      <c r="W1123" s="84">
        <v>13.996499999999999</v>
      </c>
      <c r="X1123" s="82">
        <v>0.35</v>
      </c>
      <c r="Y1123" s="82"/>
      <c r="Z1123" s="84">
        <v>13.996499999999999</v>
      </c>
      <c r="AA1123" s="84">
        <v>27.992999999999999</v>
      </c>
      <c r="AB1123" s="88" t="e">
        <v>#DIV/0!</v>
      </c>
      <c r="AC1123" t="s">
        <v>5065</v>
      </c>
    </row>
    <row r="1124" spans="3:29">
      <c r="C1124" t="s">
        <v>5066</v>
      </c>
      <c r="D1124" t="s">
        <v>5062</v>
      </c>
      <c r="E1124" s="84">
        <v>52.99</v>
      </c>
      <c r="F1124" s="84">
        <v>26.495000000000001</v>
      </c>
      <c r="G1124" t="s">
        <v>4467</v>
      </c>
      <c r="H1124" t="s">
        <v>5063</v>
      </c>
      <c r="I1124" t="s">
        <v>849</v>
      </c>
      <c r="J1124" t="s">
        <v>5064</v>
      </c>
      <c r="K1124" t="s">
        <v>4988</v>
      </c>
      <c r="L1124" t="s">
        <v>670</v>
      </c>
      <c r="N1124">
        <v>8</v>
      </c>
      <c r="O1124">
        <v>9.5</v>
      </c>
      <c r="P1124">
        <v>6.0800000000000003E-4</v>
      </c>
      <c r="Q1124" s="84" t="e">
        <v>#REF!</v>
      </c>
      <c r="R1124" s="85"/>
      <c r="S1124" s="85"/>
      <c r="T1124" s="86">
        <v>0</v>
      </c>
      <c r="U1124" s="84">
        <v>0</v>
      </c>
      <c r="V1124" s="84">
        <v>37.093000000000004</v>
      </c>
      <c r="W1124" s="84">
        <v>18.546500000000002</v>
      </c>
      <c r="X1124" s="82">
        <v>0.35</v>
      </c>
      <c r="Y1124" s="82"/>
      <c r="Z1124" s="84">
        <v>18.546500000000002</v>
      </c>
      <c r="AA1124" s="84">
        <v>37.093000000000004</v>
      </c>
      <c r="AB1124" s="88" t="e">
        <v>#DIV/0!</v>
      </c>
      <c r="AC1124" t="s">
        <v>5067</v>
      </c>
    </row>
    <row r="1125" spans="3:29">
      <c r="C1125" t="s">
        <v>5068</v>
      </c>
      <c r="D1125" t="s">
        <v>5069</v>
      </c>
      <c r="E1125" s="84">
        <v>49.99</v>
      </c>
      <c r="F1125" s="84">
        <v>24.995000000000001</v>
      </c>
      <c r="G1125" t="s">
        <v>4467</v>
      </c>
      <c r="H1125" t="s">
        <v>5070</v>
      </c>
      <c r="I1125" t="s">
        <v>861</v>
      </c>
      <c r="J1125" t="s">
        <v>5071</v>
      </c>
      <c r="K1125" t="s">
        <v>2564</v>
      </c>
      <c r="L1125" t="s">
        <v>670</v>
      </c>
      <c r="N1125">
        <v>11.5</v>
      </c>
      <c r="O1125">
        <v>8.5</v>
      </c>
      <c r="P1125">
        <v>1.1241249999999999E-3</v>
      </c>
      <c r="Q1125" s="84" t="e">
        <v>#REF!</v>
      </c>
      <c r="R1125" s="85"/>
      <c r="S1125" s="85"/>
      <c r="T1125" s="86">
        <v>0</v>
      </c>
      <c r="U1125" s="84">
        <v>0</v>
      </c>
      <c r="V1125" s="84">
        <v>34.993000000000002</v>
      </c>
      <c r="W1125" s="84">
        <v>17.496500000000001</v>
      </c>
      <c r="X1125" s="82">
        <v>0.35</v>
      </c>
      <c r="Y1125" s="82"/>
      <c r="Z1125" s="84">
        <v>17.496500000000001</v>
      </c>
      <c r="AA1125" s="84">
        <v>34.993000000000002</v>
      </c>
      <c r="AB1125" s="88" t="e">
        <v>#DIV/0!</v>
      </c>
      <c r="AC1125" t="s">
        <v>5072</v>
      </c>
    </row>
    <row r="1126" spans="3:29">
      <c r="C1126" t="s">
        <v>5073</v>
      </c>
      <c r="D1126" t="s">
        <v>5069</v>
      </c>
      <c r="E1126" s="84">
        <v>57.99</v>
      </c>
      <c r="F1126" s="84">
        <v>28.995000000000001</v>
      </c>
      <c r="G1126" t="s">
        <v>4467</v>
      </c>
      <c r="H1126" t="s">
        <v>5074</v>
      </c>
      <c r="I1126" t="s">
        <v>861</v>
      </c>
      <c r="J1126" t="s">
        <v>5075</v>
      </c>
      <c r="K1126" t="s">
        <v>2564</v>
      </c>
      <c r="L1126" t="s">
        <v>670</v>
      </c>
      <c r="N1126">
        <v>16.5</v>
      </c>
      <c r="O1126">
        <v>8.5</v>
      </c>
      <c r="P1126">
        <v>2.3141250000000002E-3</v>
      </c>
      <c r="Q1126" s="84" t="e">
        <v>#REF!</v>
      </c>
      <c r="R1126" s="85"/>
      <c r="S1126" s="85"/>
      <c r="T1126" s="86">
        <v>0</v>
      </c>
      <c r="U1126" s="84">
        <v>0</v>
      </c>
      <c r="V1126" s="84">
        <v>40.593000000000004</v>
      </c>
      <c r="W1126" s="84">
        <v>20.296500000000002</v>
      </c>
      <c r="X1126" s="82">
        <v>0.35</v>
      </c>
      <c r="Y1126" s="82"/>
      <c r="Z1126" s="84">
        <v>20.296500000000002</v>
      </c>
      <c r="AA1126" s="84">
        <v>40.593000000000004</v>
      </c>
      <c r="AB1126" s="88" t="e">
        <v>#DIV/0!</v>
      </c>
      <c r="AC1126" t="s">
        <v>5076</v>
      </c>
    </row>
    <row r="1127" spans="3:29">
      <c r="C1127" t="s">
        <v>5077</v>
      </c>
      <c r="D1127" t="s">
        <v>5069</v>
      </c>
      <c r="E1127" s="84">
        <v>93.99</v>
      </c>
      <c r="F1127" s="84">
        <v>46.994999999999997</v>
      </c>
      <c r="G1127" t="s">
        <v>4467</v>
      </c>
      <c r="H1127" t="s">
        <v>5078</v>
      </c>
      <c r="I1127" t="s">
        <v>861</v>
      </c>
      <c r="J1127" t="s">
        <v>5079</v>
      </c>
      <c r="K1127" t="s">
        <v>2564</v>
      </c>
      <c r="L1127" t="s">
        <v>670</v>
      </c>
      <c r="N1127">
        <v>29</v>
      </c>
      <c r="O1127">
        <v>8.5</v>
      </c>
      <c r="P1127">
        <v>7.1485000000000003E-3</v>
      </c>
      <c r="Q1127" s="84" t="e">
        <v>#REF!</v>
      </c>
      <c r="R1127" s="85"/>
      <c r="S1127" s="85"/>
      <c r="T1127" s="86">
        <v>0</v>
      </c>
      <c r="U1127" s="84">
        <v>0</v>
      </c>
      <c r="V1127" s="84">
        <v>65.793000000000006</v>
      </c>
      <c r="W1127" s="84">
        <v>32.896500000000003</v>
      </c>
      <c r="X1127" s="82">
        <v>0.35</v>
      </c>
      <c r="Y1127" s="82"/>
      <c r="Z1127" s="84">
        <v>32.896500000000003</v>
      </c>
      <c r="AA1127" s="84">
        <v>65.793000000000006</v>
      </c>
      <c r="AB1127" s="88" t="e">
        <v>#DIV/0!</v>
      </c>
      <c r="AC1127" t="s">
        <v>5080</v>
      </c>
    </row>
    <row r="1128" spans="3:29">
      <c r="C1128" t="s">
        <v>5081</v>
      </c>
      <c r="D1128" t="s">
        <v>5082</v>
      </c>
      <c r="E1128" s="84">
        <v>58.99</v>
      </c>
      <c r="F1128" s="84">
        <v>29.495000000000001</v>
      </c>
      <c r="G1128" t="s">
        <v>4467</v>
      </c>
      <c r="H1128" t="s">
        <v>5083</v>
      </c>
      <c r="I1128" t="s">
        <v>855</v>
      </c>
      <c r="J1128" t="s">
        <v>5084</v>
      </c>
      <c r="K1128" t="s">
        <v>2564</v>
      </c>
      <c r="L1128" t="s">
        <v>670</v>
      </c>
      <c r="N1128">
        <v>15</v>
      </c>
      <c r="O1128">
        <v>15</v>
      </c>
      <c r="P1128">
        <v>3.375E-3</v>
      </c>
      <c r="Q1128" s="84" t="e">
        <v>#REF!</v>
      </c>
      <c r="R1128" s="85"/>
      <c r="S1128" s="85"/>
      <c r="T1128" s="86">
        <v>0</v>
      </c>
      <c r="U1128" s="84">
        <v>0</v>
      </c>
      <c r="V1128" s="84">
        <v>41.292999999999999</v>
      </c>
      <c r="W1128" s="84">
        <v>20.6465</v>
      </c>
      <c r="X1128" s="82">
        <v>0.35</v>
      </c>
      <c r="Y1128" s="82"/>
      <c r="Z1128" s="84">
        <v>20.6465</v>
      </c>
      <c r="AA1128" s="84">
        <v>41.292999999999999</v>
      </c>
      <c r="AB1128" s="88" t="e">
        <v>#DIV/0!</v>
      </c>
      <c r="AC1128" t="s">
        <v>5085</v>
      </c>
    </row>
    <row r="1129" spans="3:29">
      <c r="C1129" t="s">
        <v>5086</v>
      </c>
      <c r="D1129" t="s">
        <v>5082</v>
      </c>
      <c r="E1129" s="84">
        <v>64.989999999999995</v>
      </c>
      <c r="F1129" s="84">
        <v>32.494999999999997</v>
      </c>
      <c r="G1129" t="s">
        <v>4467</v>
      </c>
      <c r="H1129" t="s">
        <v>5087</v>
      </c>
      <c r="I1129" t="s">
        <v>855</v>
      </c>
      <c r="J1129" t="s">
        <v>5088</v>
      </c>
      <c r="K1129" t="s">
        <v>2564</v>
      </c>
      <c r="L1129" t="s">
        <v>670</v>
      </c>
      <c r="N1129">
        <v>15</v>
      </c>
      <c r="O1129">
        <v>19</v>
      </c>
      <c r="P1129">
        <v>4.2750000000000002E-3</v>
      </c>
      <c r="Q1129" s="84" t="e">
        <v>#REF!</v>
      </c>
      <c r="R1129" s="85"/>
      <c r="S1129" s="85"/>
      <c r="T1129" s="86">
        <v>0</v>
      </c>
      <c r="U1129" s="84">
        <v>0</v>
      </c>
      <c r="V1129" s="84">
        <v>45.493000000000002</v>
      </c>
      <c r="W1129" s="84">
        <v>22.746500000000001</v>
      </c>
      <c r="X1129" s="82">
        <v>0.35</v>
      </c>
      <c r="Y1129" s="82"/>
      <c r="Z1129" s="84">
        <v>22.746500000000001</v>
      </c>
      <c r="AA1129" s="84">
        <v>45.493000000000002</v>
      </c>
      <c r="AB1129" s="88" t="e">
        <v>#DIV/0!</v>
      </c>
      <c r="AC1129" t="s">
        <v>5085</v>
      </c>
    </row>
    <row r="1130" spans="3:29">
      <c r="C1130" t="s">
        <v>5089</v>
      </c>
      <c r="D1130" t="s">
        <v>5082</v>
      </c>
      <c r="E1130" s="84">
        <v>82.99</v>
      </c>
      <c r="F1130" s="84">
        <v>41.494999999999997</v>
      </c>
      <c r="G1130" t="s">
        <v>4467</v>
      </c>
      <c r="H1130" t="s">
        <v>5090</v>
      </c>
      <c r="I1130" t="s">
        <v>855</v>
      </c>
      <c r="J1130" t="s">
        <v>5091</v>
      </c>
      <c r="K1130" t="s">
        <v>2564</v>
      </c>
      <c r="L1130" t="s">
        <v>670</v>
      </c>
      <c r="N1130">
        <v>15</v>
      </c>
      <c r="O1130">
        <v>25</v>
      </c>
      <c r="P1130">
        <v>5.6249999999999998E-3</v>
      </c>
      <c r="Q1130" s="84" t="e">
        <v>#REF!</v>
      </c>
      <c r="R1130" s="85"/>
      <c r="S1130" s="85"/>
      <c r="T1130" s="86">
        <v>0</v>
      </c>
      <c r="U1130" s="84">
        <v>0</v>
      </c>
      <c r="V1130" s="84">
        <v>58.093000000000004</v>
      </c>
      <c r="W1130" s="84">
        <v>29.046500000000002</v>
      </c>
      <c r="X1130" s="82">
        <v>0.35</v>
      </c>
      <c r="Y1130" s="82"/>
      <c r="Z1130" s="84">
        <v>29.046500000000002</v>
      </c>
      <c r="AA1130" s="84">
        <v>58.093000000000004</v>
      </c>
      <c r="AB1130" s="88" t="e">
        <v>#DIV/0!</v>
      </c>
      <c r="AC1130" t="s">
        <v>5092</v>
      </c>
    </row>
    <row r="1131" spans="3:29">
      <c r="C1131" t="s">
        <v>5093</v>
      </c>
      <c r="D1131" t="s">
        <v>5082</v>
      </c>
      <c r="E1131" s="84">
        <v>83.99</v>
      </c>
      <c r="F1131" s="84">
        <v>41.994999999999997</v>
      </c>
      <c r="G1131" t="s">
        <v>4467</v>
      </c>
      <c r="H1131" t="s">
        <v>5094</v>
      </c>
      <c r="I1131" t="s">
        <v>855</v>
      </c>
      <c r="J1131" t="s">
        <v>5095</v>
      </c>
      <c r="K1131" t="s">
        <v>2564</v>
      </c>
      <c r="L1131" t="s">
        <v>670</v>
      </c>
      <c r="N1131">
        <v>15</v>
      </c>
      <c r="O1131">
        <v>29</v>
      </c>
      <c r="P1131">
        <v>6.5250000000000004E-3</v>
      </c>
      <c r="Q1131" s="84" t="e">
        <v>#REF!</v>
      </c>
      <c r="R1131" s="85"/>
      <c r="S1131" s="85"/>
      <c r="T1131" s="86">
        <v>0</v>
      </c>
      <c r="U1131" s="84">
        <v>0</v>
      </c>
      <c r="V1131" s="84">
        <v>58.792999999999999</v>
      </c>
      <c r="W1131" s="84">
        <v>29.3965</v>
      </c>
      <c r="X1131" s="82">
        <v>0.35</v>
      </c>
      <c r="Y1131" s="82"/>
      <c r="Z1131" s="84">
        <v>29.3965</v>
      </c>
      <c r="AA1131" s="84">
        <v>58.792999999999999</v>
      </c>
      <c r="AB1131" s="88" t="e">
        <v>#DIV/0!</v>
      </c>
      <c r="AC1131" t="s">
        <v>5096</v>
      </c>
    </row>
    <row r="1132" spans="3:29">
      <c r="C1132" t="s">
        <v>5097</v>
      </c>
      <c r="E1132" s="84"/>
      <c r="F1132" s="84">
        <v>0</v>
      </c>
      <c r="R1132" s="85"/>
      <c r="S1132" s="85"/>
      <c r="T1132" s="86"/>
      <c r="V1132" s="84">
        <v>0</v>
      </c>
      <c r="W1132" s="84">
        <v>0</v>
      </c>
      <c r="X1132" s="82" t="e">
        <v>#DIV/0!</v>
      </c>
      <c r="Y1132" s="82">
        <v>0</v>
      </c>
      <c r="Z1132" s="82"/>
      <c r="AA1132" s="82"/>
      <c r="AB1132" s="88" t="e">
        <v>#DIV/0!</v>
      </c>
    </row>
    <row r="1133" spans="3:29" ht="30.75">
      <c r="C1133" t="s">
        <v>5098</v>
      </c>
      <c r="D1133" t="s">
        <v>5099</v>
      </c>
      <c r="E1133" s="84"/>
      <c r="F1133" s="84">
        <v>0</v>
      </c>
      <c r="G1133" t="s">
        <v>5100</v>
      </c>
      <c r="H1133" t="s">
        <v>5101</v>
      </c>
      <c r="I1133" t="s">
        <v>5102</v>
      </c>
      <c r="J1133" t="s">
        <v>5103</v>
      </c>
      <c r="K1133" s="83" t="s">
        <v>5104</v>
      </c>
      <c r="L1133" t="s">
        <v>670</v>
      </c>
      <c r="N1133">
        <v>3</v>
      </c>
      <c r="O1133">
        <v>12</v>
      </c>
      <c r="P1133">
        <v>1.08E-4</v>
      </c>
      <c r="Q1133" s="84" t="e">
        <v>#REF!</v>
      </c>
      <c r="R1133" s="85"/>
      <c r="S1133" s="85"/>
      <c r="T1133" s="86">
        <v>0</v>
      </c>
      <c r="U1133" s="84">
        <v>0</v>
      </c>
      <c r="V1133" s="84">
        <v>0</v>
      </c>
      <c r="W1133" s="84">
        <v>0</v>
      </c>
      <c r="X1133" s="82" t="e">
        <v>#DIV/0!</v>
      </c>
      <c r="Y1133" s="82"/>
      <c r="Z1133" s="84">
        <v>0</v>
      </c>
      <c r="AA1133" s="84">
        <v>0</v>
      </c>
      <c r="AB1133" s="88" t="e">
        <v>#DIV/0!</v>
      </c>
      <c r="AC1133" t="s">
        <v>5105</v>
      </c>
    </row>
    <row r="1134" spans="3:29">
      <c r="C1134" t="s">
        <v>5107</v>
      </c>
      <c r="D1134" t="s">
        <v>5108</v>
      </c>
      <c r="E1134" s="84">
        <v>4.99</v>
      </c>
      <c r="F1134" s="84">
        <v>2.4950000000000001</v>
      </c>
      <c r="G1134" t="s">
        <v>5100</v>
      </c>
      <c r="H1134" t="s">
        <v>5109</v>
      </c>
      <c r="I1134" t="s">
        <v>5110</v>
      </c>
      <c r="J1134" t="s">
        <v>5111</v>
      </c>
      <c r="K1134" t="s">
        <v>2407</v>
      </c>
      <c r="L1134" t="s">
        <v>670</v>
      </c>
      <c r="N1134">
        <v>3.5</v>
      </c>
      <c r="O1134">
        <v>15.5</v>
      </c>
      <c r="P1134">
        <v>1.8987499999999999E-4</v>
      </c>
      <c r="Q1134" s="84" t="e">
        <v>#REF!</v>
      </c>
      <c r="R1134" s="85"/>
      <c r="S1134" s="85"/>
      <c r="T1134" s="86">
        <v>0</v>
      </c>
      <c r="U1134" s="84">
        <v>0</v>
      </c>
      <c r="V1134" s="84">
        <v>3.4929999999999999</v>
      </c>
      <c r="W1134" s="84">
        <v>1.7464999999999999</v>
      </c>
      <c r="X1134" s="82">
        <v>0.35</v>
      </c>
      <c r="Y1134" s="82"/>
      <c r="Z1134" s="84">
        <v>1.7464999999999999</v>
      </c>
      <c r="AA1134" s="84">
        <v>3.4929999999999999</v>
      </c>
      <c r="AB1134" s="88" t="e">
        <v>#DIV/0!</v>
      </c>
      <c r="AC1134" t="s">
        <v>5112</v>
      </c>
    </row>
    <row r="1135" spans="3:29">
      <c r="C1135" t="s">
        <v>5113</v>
      </c>
      <c r="D1135" t="s">
        <v>5114</v>
      </c>
      <c r="E1135" s="84">
        <v>23.99</v>
      </c>
      <c r="F1135" s="84">
        <v>11.994999999999999</v>
      </c>
      <c r="G1135" t="s">
        <v>5100</v>
      </c>
      <c r="H1135" t="s">
        <v>5115</v>
      </c>
      <c r="I1135" t="s">
        <v>5116</v>
      </c>
      <c r="J1135" t="s">
        <v>5117</v>
      </c>
      <c r="K1135" t="s">
        <v>2407</v>
      </c>
      <c r="L1135" t="s">
        <v>646</v>
      </c>
      <c r="N1135">
        <v>17</v>
      </c>
      <c r="O1135">
        <v>10</v>
      </c>
      <c r="P1135">
        <v>2.8900000000000002E-3</v>
      </c>
      <c r="Q1135" s="84" t="e">
        <v>#REF!</v>
      </c>
      <c r="R1135" s="85">
        <v>19237.0380267408</v>
      </c>
      <c r="S1135" s="85">
        <v>60500</v>
      </c>
      <c r="T1135" s="86">
        <v>79737.038026740804</v>
      </c>
      <c r="U1135" s="84">
        <v>5.3158025351160498</v>
      </c>
      <c r="V1135" s="84">
        <v>16.792999999999999</v>
      </c>
      <c r="W1135" s="84">
        <v>8.3964999999999996</v>
      </c>
      <c r="X1135" s="82">
        <v>0.35</v>
      </c>
      <c r="Y1135" s="87">
        <v>10.6316050702321</v>
      </c>
      <c r="Z1135" s="84">
        <v>10.6316050702321</v>
      </c>
      <c r="AA1135" s="84">
        <v>21.263210140464199</v>
      </c>
      <c r="AB1135" s="88">
        <v>2</v>
      </c>
      <c r="AC1135" t="s">
        <v>5118</v>
      </c>
    </row>
    <row r="1136" spans="3:29">
      <c r="C1136" t="s">
        <v>5119</v>
      </c>
      <c r="D1136" t="s">
        <v>5120</v>
      </c>
      <c r="E1136" s="84">
        <v>15.99</v>
      </c>
      <c r="F1136" s="84">
        <v>7.9950000000000001</v>
      </c>
      <c r="G1136" t="s">
        <v>5100</v>
      </c>
      <c r="H1136" t="s">
        <v>5121</v>
      </c>
      <c r="I1136" t="s">
        <v>5122</v>
      </c>
      <c r="J1136" t="s">
        <v>5123</v>
      </c>
      <c r="K1136" t="s">
        <v>2407</v>
      </c>
      <c r="L1136" t="s">
        <v>646</v>
      </c>
      <c r="N1136">
        <v>12</v>
      </c>
      <c r="O1136">
        <v>10</v>
      </c>
      <c r="P1136">
        <v>1.4400000000000001E-3</v>
      </c>
      <c r="Q1136" s="84" t="e">
        <v>#REF!</v>
      </c>
      <c r="R1136" s="85">
        <v>13500</v>
      </c>
      <c r="S1136" s="85">
        <v>45000</v>
      </c>
      <c r="T1136" s="86">
        <v>58500</v>
      </c>
      <c r="U1136" s="84">
        <v>3.9</v>
      </c>
      <c r="V1136" s="84">
        <v>11.193</v>
      </c>
      <c r="W1136" s="84">
        <v>5.5964999999999998</v>
      </c>
      <c r="X1136" s="82">
        <v>0.35</v>
      </c>
      <c r="Y1136" s="87">
        <v>7.8</v>
      </c>
      <c r="Z1136" s="84">
        <v>7.8</v>
      </c>
      <c r="AA1136" s="84">
        <v>15.6</v>
      </c>
      <c r="AB1136" s="88">
        <v>2</v>
      </c>
      <c r="AC1136" t="s">
        <v>5124</v>
      </c>
    </row>
    <row r="1137" spans="3:29">
      <c r="C1137" t="s">
        <v>5125</v>
      </c>
      <c r="D1137" t="s">
        <v>5126</v>
      </c>
      <c r="E1137" s="84">
        <v>32.99</v>
      </c>
      <c r="F1137" s="84">
        <v>16.495000000000001</v>
      </c>
      <c r="G1137" t="s">
        <v>5100</v>
      </c>
      <c r="H1137" t="s">
        <v>5127</v>
      </c>
      <c r="I1137" t="s">
        <v>5128</v>
      </c>
      <c r="J1137" t="s">
        <v>5117</v>
      </c>
      <c r="K1137" t="s">
        <v>2407</v>
      </c>
      <c r="L1137" t="s">
        <v>646</v>
      </c>
      <c r="N1137">
        <v>17</v>
      </c>
      <c r="O1137">
        <v>10</v>
      </c>
      <c r="P1137">
        <v>2.8900000000000002E-3</v>
      </c>
      <c r="Q1137" s="84" t="e">
        <v>#REF!</v>
      </c>
      <c r="R1137" s="85">
        <v>19943.912089417201</v>
      </c>
      <c r="S1137" s="85">
        <v>65000</v>
      </c>
      <c r="T1137" s="86">
        <v>84943.912089417194</v>
      </c>
      <c r="U1137" s="84">
        <v>5.6629274726278096</v>
      </c>
      <c r="V1137" s="84">
        <v>23.093</v>
      </c>
      <c r="W1137" s="84">
        <v>11.5465</v>
      </c>
      <c r="X1137" s="82">
        <v>0.35</v>
      </c>
      <c r="Y1137" s="82"/>
      <c r="Z1137" s="84">
        <v>11.5465</v>
      </c>
      <c r="AA1137" s="84">
        <v>23.093</v>
      </c>
      <c r="AB1137" s="88">
        <v>2.0389630726882699</v>
      </c>
      <c r="AC1137" t="s">
        <v>5129</v>
      </c>
    </row>
    <row r="1138" spans="3:29">
      <c r="C1138" t="s">
        <v>5130</v>
      </c>
      <c r="D1138" t="s">
        <v>5131</v>
      </c>
      <c r="E1138" s="84">
        <v>38.99</v>
      </c>
      <c r="F1138" s="84">
        <v>19.495000000000001</v>
      </c>
      <c r="G1138" t="s">
        <v>5100</v>
      </c>
      <c r="H1138" t="s">
        <v>5132</v>
      </c>
      <c r="I1138" t="s">
        <v>5133</v>
      </c>
      <c r="J1138" t="s">
        <v>5134</v>
      </c>
      <c r="K1138" t="s">
        <v>2983</v>
      </c>
      <c r="L1138" t="s">
        <v>670</v>
      </c>
      <c r="N1138">
        <v>4.5</v>
      </c>
      <c r="O1138">
        <v>16</v>
      </c>
      <c r="P1138">
        <v>3.2400000000000001E-4</v>
      </c>
      <c r="Q1138" s="84" t="e">
        <v>#REF!</v>
      </c>
      <c r="R1138" s="85">
        <v>78.216738447794299</v>
      </c>
      <c r="S1138" s="85">
        <v>82500</v>
      </c>
      <c r="T1138" s="86">
        <v>82578.216738447794</v>
      </c>
      <c r="U1138" s="84">
        <v>5.5052144492298503</v>
      </c>
      <c r="V1138" s="84">
        <v>27.292999999999999</v>
      </c>
      <c r="W1138" s="84">
        <v>13.6465</v>
      </c>
      <c r="X1138" s="82">
        <v>0.35</v>
      </c>
      <c r="Y1138" s="82"/>
      <c r="Z1138" s="84">
        <v>13.6465</v>
      </c>
      <c r="AA1138" s="84">
        <v>27.292999999999999</v>
      </c>
      <c r="AB1138" s="88">
        <v>2.4788316832796702</v>
      </c>
      <c r="AC1138" t="s">
        <v>5135</v>
      </c>
    </row>
    <row r="1139" spans="3:29">
      <c r="C1139" t="s">
        <v>5136</v>
      </c>
      <c r="D1139" t="s">
        <v>5137</v>
      </c>
      <c r="E1139" s="84">
        <v>28.99</v>
      </c>
      <c r="F1139" s="84">
        <v>14.494999999999999</v>
      </c>
      <c r="G1139" t="s">
        <v>5100</v>
      </c>
      <c r="H1139" t="s">
        <v>5138</v>
      </c>
      <c r="I1139" t="s">
        <v>5139</v>
      </c>
      <c r="J1139" t="s">
        <v>5140</v>
      </c>
      <c r="K1139" t="s">
        <v>2983</v>
      </c>
      <c r="L1139" t="s">
        <v>670</v>
      </c>
      <c r="N1139">
        <v>3.5</v>
      </c>
      <c r="O1139">
        <v>16</v>
      </c>
      <c r="P1139">
        <v>1.9599999999999999E-4</v>
      </c>
      <c r="Q1139" s="84" t="e">
        <v>#REF!</v>
      </c>
      <c r="R1139" s="85"/>
      <c r="S1139" s="85"/>
      <c r="T1139" s="86">
        <v>0</v>
      </c>
      <c r="U1139" s="84">
        <v>0</v>
      </c>
      <c r="V1139" s="84">
        <v>20.292999999999999</v>
      </c>
      <c r="W1139" s="84">
        <v>10.1465</v>
      </c>
      <c r="X1139" s="82">
        <v>0.35</v>
      </c>
      <c r="Y1139" s="82"/>
      <c r="Z1139" s="84">
        <v>10.1465</v>
      </c>
      <c r="AA1139" s="84">
        <v>20.292999999999999</v>
      </c>
      <c r="AB1139" s="88" t="e">
        <v>#DIV/0!</v>
      </c>
      <c r="AC1139" t="s">
        <v>5141</v>
      </c>
    </row>
    <row r="1140" spans="3:29">
      <c r="C1140" t="s">
        <v>5142</v>
      </c>
      <c r="D1140" t="s">
        <v>5143</v>
      </c>
      <c r="E1140" s="84">
        <v>82.99</v>
      </c>
      <c r="F1140" s="84">
        <v>41.494999999999997</v>
      </c>
      <c r="G1140" t="s">
        <v>5100</v>
      </c>
      <c r="H1140" t="s">
        <v>5144</v>
      </c>
      <c r="I1140" t="s">
        <v>5145</v>
      </c>
      <c r="J1140" t="s">
        <v>5146</v>
      </c>
      <c r="K1140" t="s">
        <v>2983</v>
      </c>
      <c r="L1140" t="s">
        <v>670</v>
      </c>
      <c r="N1140">
        <v>17</v>
      </c>
      <c r="O1140">
        <v>10</v>
      </c>
      <c r="P1140">
        <v>2.8900000000000002E-3</v>
      </c>
      <c r="Q1140" s="84" t="e">
        <v>#REF!</v>
      </c>
      <c r="R1140" s="85">
        <v>697.67399417900003</v>
      </c>
      <c r="S1140" s="85">
        <v>275000</v>
      </c>
      <c r="T1140" s="86">
        <v>275697.673994179</v>
      </c>
      <c r="U1140" s="84">
        <v>18.3798449329453</v>
      </c>
      <c r="V1140" s="84">
        <v>58.093000000000004</v>
      </c>
      <c r="W1140" s="84">
        <v>29.046500000000002</v>
      </c>
      <c r="X1140" s="82">
        <v>0.35</v>
      </c>
      <c r="Y1140" s="87">
        <v>36.7596898658905</v>
      </c>
      <c r="Z1140" s="84">
        <v>36.7596898658905</v>
      </c>
      <c r="AA1140" s="84">
        <v>73.5193797317811</v>
      </c>
      <c r="AB1140" s="88">
        <v>2</v>
      </c>
      <c r="AC1140" t="s">
        <v>5147</v>
      </c>
    </row>
    <row r="1141" spans="3:29">
      <c r="C1141" t="s">
        <v>5148</v>
      </c>
      <c r="D1141" t="s">
        <v>5149</v>
      </c>
      <c r="E1141" s="84">
        <v>67.989999999999995</v>
      </c>
      <c r="F1141" s="84">
        <v>33.994999999999997</v>
      </c>
      <c r="G1141" t="s">
        <v>5100</v>
      </c>
      <c r="H1141" t="s">
        <v>5150</v>
      </c>
      <c r="I1141" t="s">
        <v>5151</v>
      </c>
      <c r="J1141" t="s">
        <v>5028</v>
      </c>
      <c r="K1141" t="s">
        <v>2983</v>
      </c>
      <c r="L1141" t="s">
        <v>670</v>
      </c>
      <c r="N1141">
        <v>12</v>
      </c>
      <c r="O1141">
        <v>7</v>
      </c>
      <c r="P1141">
        <v>1.008E-3</v>
      </c>
      <c r="Q1141" s="84" t="e">
        <v>#REF!</v>
      </c>
      <c r="R1141" s="85"/>
      <c r="S1141" s="85"/>
      <c r="T1141" s="86">
        <v>0</v>
      </c>
      <c r="U1141" s="84">
        <v>0</v>
      </c>
      <c r="V1141" s="84">
        <v>47.593000000000004</v>
      </c>
      <c r="W1141" s="84">
        <v>23.796500000000002</v>
      </c>
      <c r="X1141" s="82">
        <v>0.35</v>
      </c>
      <c r="Y1141" s="82"/>
      <c r="Z1141" s="84">
        <v>23.796500000000002</v>
      </c>
      <c r="AA1141" s="84">
        <v>47.593000000000004</v>
      </c>
      <c r="AB1141" s="88" t="e">
        <v>#DIV/0!</v>
      </c>
      <c r="AC1141" t="s">
        <v>5152</v>
      </c>
    </row>
    <row r="1142" spans="3:29">
      <c r="C1142" t="s">
        <v>5153</v>
      </c>
      <c r="D1142" t="s">
        <v>5154</v>
      </c>
      <c r="E1142" s="84">
        <v>82.99</v>
      </c>
      <c r="F1142" s="84">
        <v>41.494999999999997</v>
      </c>
      <c r="G1142" t="s">
        <v>5100</v>
      </c>
      <c r="H1142" t="s">
        <v>5155</v>
      </c>
      <c r="I1142" t="s">
        <v>5156</v>
      </c>
      <c r="J1142" t="s">
        <v>5117</v>
      </c>
      <c r="K1142" t="s">
        <v>2983</v>
      </c>
      <c r="L1142" t="s">
        <v>670</v>
      </c>
      <c r="N1142">
        <v>17</v>
      </c>
      <c r="O1142">
        <v>10</v>
      </c>
      <c r="P1142">
        <v>2.8900000000000002E-3</v>
      </c>
      <c r="Q1142" s="84" t="e">
        <v>#REF!</v>
      </c>
      <c r="R1142" s="85"/>
      <c r="S1142" s="85"/>
      <c r="T1142" s="86">
        <v>0</v>
      </c>
      <c r="U1142" s="84">
        <v>0</v>
      </c>
      <c r="V1142" s="84">
        <v>58.093000000000004</v>
      </c>
      <c r="W1142" s="84">
        <v>29.046500000000002</v>
      </c>
      <c r="X1142" s="82">
        <v>0.35</v>
      </c>
      <c r="Y1142" s="82"/>
      <c r="Z1142" s="84">
        <v>29.046500000000002</v>
      </c>
      <c r="AA1142" s="84">
        <v>58.093000000000004</v>
      </c>
      <c r="AB1142" s="88" t="e">
        <v>#DIV/0!</v>
      </c>
      <c r="AC1142" t="s">
        <v>5157</v>
      </c>
    </row>
    <row r="1143" spans="3:29">
      <c r="C1143" t="s">
        <v>5158</v>
      </c>
      <c r="D1143" t="s">
        <v>5159</v>
      </c>
      <c r="E1143" s="84">
        <v>17.989999999999998</v>
      </c>
      <c r="F1143" s="84">
        <v>8.9949999999999992</v>
      </c>
      <c r="G1143" t="s">
        <v>5100</v>
      </c>
      <c r="H1143" t="s">
        <v>5160</v>
      </c>
      <c r="I1143" t="s">
        <v>581</v>
      </c>
      <c r="J1143" t="s">
        <v>5161</v>
      </c>
      <c r="K1143" t="s">
        <v>3413</v>
      </c>
      <c r="L1143" t="s">
        <v>670</v>
      </c>
      <c r="M1143">
        <v>13</v>
      </c>
      <c r="N1143">
        <v>13</v>
      </c>
      <c r="O1143">
        <v>7</v>
      </c>
      <c r="P1143">
        <v>1.183E-3</v>
      </c>
      <c r="Q1143" s="84" t="e">
        <v>#REF!</v>
      </c>
      <c r="R1143" s="85"/>
      <c r="S1143" s="85"/>
      <c r="T1143" s="86">
        <v>0</v>
      </c>
      <c r="U1143" s="84">
        <v>0</v>
      </c>
      <c r="V1143" s="84">
        <v>12.593</v>
      </c>
      <c r="W1143" s="84">
        <v>6.2965</v>
      </c>
      <c r="X1143" s="82">
        <v>0.35</v>
      </c>
      <c r="Y1143" s="82"/>
      <c r="Z1143" s="84">
        <v>6.2965</v>
      </c>
      <c r="AA1143" s="84">
        <v>12.593</v>
      </c>
      <c r="AB1143" s="88" t="e">
        <v>#DIV/0!</v>
      </c>
      <c r="AC1143" t="s">
        <v>5162</v>
      </c>
    </row>
    <row r="1144" spans="3:29">
      <c r="C1144" t="s">
        <v>5163</v>
      </c>
      <c r="D1144" t="s">
        <v>5159</v>
      </c>
      <c r="E1144" s="84">
        <v>31.99</v>
      </c>
      <c r="F1144" s="84">
        <v>15.994999999999999</v>
      </c>
      <c r="G1144" t="s">
        <v>5100</v>
      </c>
      <c r="H1144" t="s">
        <v>5164</v>
      </c>
      <c r="I1144" t="s">
        <v>581</v>
      </c>
      <c r="J1144" t="s">
        <v>5165</v>
      </c>
      <c r="K1144" t="s">
        <v>3413</v>
      </c>
      <c r="L1144" t="s">
        <v>670</v>
      </c>
      <c r="M1144">
        <v>17</v>
      </c>
      <c r="N1144">
        <v>17</v>
      </c>
      <c r="O1144">
        <v>7</v>
      </c>
      <c r="P1144">
        <v>2.0230000000000001E-3</v>
      </c>
      <c r="Q1144" s="84" t="e">
        <v>#REF!</v>
      </c>
      <c r="R1144" s="85"/>
      <c r="S1144" s="85"/>
      <c r="T1144" s="86">
        <v>0</v>
      </c>
      <c r="U1144" s="84">
        <v>0</v>
      </c>
      <c r="V1144" s="84">
        <v>22.393000000000001</v>
      </c>
      <c r="W1144" s="84">
        <v>11.1965</v>
      </c>
      <c r="X1144" s="82">
        <v>0.35</v>
      </c>
      <c r="Y1144" s="82"/>
      <c r="Z1144" s="84">
        <v>11.1965</v>
      </c>
      <c r="AA1144" s="84">
        <v>22.393000000000001</v>
      </c>
      <c r="AB1144" s="88" t="e">
        <v>#DIV/0!</v>
      </c>
      <c r="AC1144" t="s">
        <v>5166</v>
      </c>
    </row>
    <row r="1145" spans="3:29">
      <c r="C1145" t="s">
        <v>5167</v>
      </c>
      <c r="D1145" t="s">
        <v>5168</v>
      </c>
      <c r="E1145" s="84">
        <v>9.99</v>
      </c>
      <c r="F1145" s="84">
        <v>4.9950000000000001</v>
      </c>
      <c r="G1145" t="s">
        <v>5100</v>
      </c>
      <c r="H1145" t="s">
        <v>5169</v>
      </c>
      <c r="I1145" t="s">
        <v>5170</v>
      </c>
      <c r="J1145" t="s">
        <v>5171</v>
      </c>
      <c r="K1145" t="s">
        <v>5172</v>
      </c>
      <c r="L1145" t="s">
        <v>670</v>
      </c>
      <c r="M1145">
        <v>6.5</v>
      </c>
      <c r="N1145">
        <v>5</v>
      </c>
      <c r="O1145">
        <v>5</v>
      </c>
      <c r="P1145">
        <v>1.6249999999999999E-4</v>
      </c>
      <c r="Q1145" s="84" t="e">
        <v>#REF!</v>
      </c>
      <c r="R1145" s="85"/>
      <c r="S1145" s="85"/>
      <c r="T1145" s="86">
        <v>0</v>
      </c>
      <c r="U1145" s="84">
        <v>0</v>
      </c>
      <c r="V1145" s="84">
        <v>6.9930000000000003</v>
      </c>
      <c r="W1145" s="84">
        <v>3.4965000000000002</v>
      </c>
      <c r="X1145" s="82">
        <v>0.35</v>
      </c>
      <c r="Y1145" s="82"/>
      <c r="Z1145" s="84">
        <v>3.4965000000000002</v>
      </c>
      <c r="AA1145" s="84">
        <v>6.9930000000000003</v>
      </c>
      <c r="AB1145" s="88" t="e">
        <v>#DIV/0!</v>
      </c>
      <c r="AC1145" t="s">
        <v>5173</v>
      </c>
    </row>
    <row r="1146" spans="3:29">
      <c r="C1146" t="s">
        <v>2170</v>
      </c>
      <c r="D1146" t="s">
        <v>5174</v>
      </c>
      <c r="E1146" s="84">
        <v>12.99</v>
      </c>
      <c r="F1146" s="84">
        <v>6.4950000000000001</v>
      </c>
      <c r="G1146" t="s">
        <v>5100</v>
      </c>
      <c r="H1146" t="s">
        <v>5175</v>
      </c>
      <c r="I1146" t="s">
        <v>729</v>
      </c>
      <c r="J1146" t="s">
        <v>2174</v>
      </c>
      <c r="K1146" t="s">
        <v>2866</v>
      </c>
      <c r="L1146" t="s">
        <v>670</v>
      </c>
      <c r="M1146">
        <v>11</v>
      </c>
      <c r="N1146">
        <v>11</v>
      </c>
      <c r="O1146">
        <v>5</v>
      </c>
      <c r="P1146">
        <v>6.0499999999999996E-4</v>
      </c>
      <c r="Q1146" s="84" t="e">
        <v>#REF!</v>
      </c>
      <c r="R1146" s="85"/>
      <c r="S1146" s="85"/>
      <c r="T1146" s="86">
        <v>0</v>
      </c>
      <c r="U1146" s="84">
        <v>0</v>
      </c>
      <c r="V1146" s="84">
        <v>9.093</v>
      </c>
      <c r="W1146" s="84">
        <v>4.5465</v>
      </c>
      <c r="X1146" s="82">
        <v>0.35</v>
      </c>
      <c r="Y1146" s="82"/>
      <c r="Z1146" s="84">
        <v>4.5465</v>
      </c>
      <c r="AA1146" s="84">
        <v>9.093</v>
      </c>
      <c r="AB1146" s="88" t="e">
        <v>#DIV/0!</v>
      </c>
      <c r="AC1146" t="s">
        <v>5176</v>
      </c>
    </row>
    <row r="1147" spans="3:29">
      <c r="C1147" t="s">
        <v>2177</v>
      </c>
      <c r="D1147" t="s">
        <v>5174</v>
      </c>
      <c r="E1147" s="84">
        <v>20.99</v>
      </c>
      <c r="F1147" s="84">
        <v>10.494999999999999</v>
      </c>
      <c r="G1147" t="s">
        <v>5100</v>
      </c>
      <c r="H1147" t="s">
        <v>5177</v>
      </c>
      <c r="I1147" t="s">
        <v>729</v>
      </c>
      <c r="J1147" t="s">
        <v>2180</v>
      </c>
      <c r="K1147" t="s">
        <v>2866</v>
      </c>
      <c r="L1147" t="s">
        <v>670</v>
      </c>
      <c r="M1147">
        <v>14</v>
      </c>
      <c r="N1147">
        <v>14</v>
      </c>
      <c r="O1147">
        <v>5</v>
      </c>
      <c r="P1147">
        <v>9.7999999999999997E-4</v>
      </c>
      <c r="Q1147" s="84" t="e">
        <v>#REF!</v>
      </c>
      <c r="R1147" s="85"/>
      <c r="S1147" s="85"/>
      <c r="T1147" s="86">
        <v>0</v>
      </c>
      <c r="U1147" s="84">
        <v>0</v>
      </c>
      <c r="V1147" s="84">
        <v>14.693</v>
      </c>
      <c r="W1147" s="84">
        <v>7.3464999999999998</v>
      </c>
      <c r="X1147" s="82">
        <v>0.35</v>
      </c>
      <c r="Y1147" s="82"/>
      <c r="Z1147" s="84">
        <v>7.3464999999999998</v>
      </c>
      <c r="AA1147" s="84">
        <v>14.693</v>
      </c>
      <c r="AB1147" s="88" t="e">
        <v>#DIV/0!</v>
      </c>
      <c r="AC1147" t="s">
        <v>5178</v>
      </c>
    </row>
    <row r="1148" spans="3:29">
      <c r="C1148" t="s">
        <v>2182</v>
      </c>
      <c r="D1148" t="s">
        <v>5174</v>
      </c>
      <c r="E1148" s="84">
        <v>31.99</v>
      </c>
      <c r="F1148" s="84">
        <v>15.994999999999999</v>
      </c>
      <c r="G1148" t="s">
        <v>5100</v>
      </c>
      <c r="H1148" t="s">
        <v>5179</v>
      </c>
      <c r="I1148" t="s">
        <v>729</v>
      </c>
      <c r="J1148" t="s">
        <v>5180</v>
      </c>
      <c r="K1148" t="s">
        <v>2866</v>
      </c>
      <c r="L1148" t="s">
        <v>670</v>
      </c>
      <c r="M1148">
        <v>20</v>
      </c>
      <c r="N1148">
        <v>20</v>
      </c>
      <c r="O1148">
        <v>5</v>
      </c>
      <c r="P1148">
        <v>2E-3</v>
      </c>
      <c r="Q1148" s="84" t="e">
        <v>#REF!</v>
      </c>
      <c r="R1148" s="85"/>
      <c r="S1148" s="85"/>
      <c r="T1148" s="86">
        <v>0</v>
      </c>
      <c r="U1148" s="84">
        <v>0</v>
      </c>
      <c r="V1148" s="84">
        <v>22.393000000000001</v>
      </c>
      <c r="W1148" s="84">
        <v>11.1965</v>
      </c>
      <c r="X1148" s="82">
        <v>0.35</v>
      </c>
      <c r="Y1148" s="82"/>
      <c r="Z1148" s="84">
        <v>11.1965</v>
      </c>
      <c r="AA1148" s="84">
        <v>22.393000000000001</v>
      </c>
      <c r="AB1148" s="88" t="e">
        <v>#DIV/0!</v>
      </c>
      <c r="AC1148" t="s">
        <v>5181</v>
      </c>
    </row>
    <row r="1149" spans="3:29">
      <c r="C1149" t="s">
        <v>5182</v>
      </c>
      <c r="D1149" t="s">
        <v>5183</v>
      </c>
      <c r="E1149" s="84">
        <v>9.99</v>
      </c>
      <c r="F1149" s="84">
        <v>4.9950000000000001</v>
      </c>
      <c r="G1149" t="s">
        <v>5100</v>
      </c>
      <c r="H1149" t="s">
        <v>5184</v>
      </c>
      <c r="I1149" t="s">
        <v>5185</v>
      </c>
      <c r="J1149" t="s">
        <v>5186</v>
      </c>
      <c r="K1149" t="s">
        <v>4484</v>
      </c>
      <c r="L1149" t="s">
        <v>670</v>
      </c>
      <c r="N1149">
        <v>2.5</v>
      </c>
      <c r="O1149">
        <v>2</v>
      </c>
      <c r="P1149">
        <v>1.2500000000000001E-5</v>
      </c>
      <c r="Q1149" s="84" t="e">
        <v>#REF!</v>
      </c>
      <c r="R1149" s="85">
        <v>3.0176210821009599</v>
      </c>
      <c r="S1149" s="85">
        <v>16500</v>
      </c>
      <c r="T1149" s="86">
        <v>16503.017621082101</v>
      </c>
      <c r="U1149" s="84">
        <v>1.1002011747388101</v>
      </c>
      <c r="V1149" s="84">
        <v>6.9930000000000003</v>
      </c>
      <c r="W1149" s="84">
        <v>3.4965000000000002</v>
      </c>
      <c r="X1149" s="82">
        <v>0.35</v>
      </c>
      <c r="Y1149" s="82"/>
      <c r="Z1149" s="84">
        <v>3.4965000000000002</v>
      </c>
      <c r="AA1149" s="84">
        <v>6.9930000000000003</v>
      </c>
      <c r="AB1149" s="88">
        <v>3.17805514144273</v>
      </c>
      <c r="AC1149" t="s">
        <v>5187</v>
      </c>
    </row>
    <row r="1150" spans="3:29">
      <c r="C1150" t="s">
        <v>5188</v>
      </c>
      <c r="D1150" t="s">
        <v>5189</v>
      </c>
      <c r="E1150" s="84">
        <v>14.99</v>
      </c>
      <c r="F1150" s="84">
        <v>7.4950000000000001</v>
      </c>
      <c r="G1150" t="s">
        <v>5100</v>
      </c>
      <c r="H1150" t="s">
        <v>5190</v>
      </c>
      <c r="I1150" t="s">
        <v>5191</v>
      </c>
      <c r="J1150" t="s">
        <v>5192</v>
      </c>
      <c r="K1150" t="s">
        <v>5193</v>
      </c>
      <c r="L1150" t="s">
        <v>670</v>
      </c>
      <c r="N1150">
        <v>10</v>
      </c>
      <c r="O1150">
        <v>4.5</v>
      </c>
      <c r="P1150">
        <v>4.4999999999999999E-4</v>
      </c>
      <c r="Q1150" s="84" t="e">
        <v>#REF!</v>
      </c>
      <c r="R1150" s="85">
        <v>108.6343589552</v>
      </c>
      <c r="S1150" s="85">
        <v>11000</v>
      </c>
      <c r="T1150" s="86">
        <v>11108.6343589552</v>
      </c>
      <c r="U1150" s="84">
        <v>0.74057562393034704</v>
      </c>
      <c r="V1150" s="84">
        <v>10.493</v>
      </c>
      <c r="W1150" s="84">
        <v>5.2465000000000002</v>
      </c>
      <c r="X1150" s="82">
        <v>0.35</v>
      </c>
      <c r="Y1150" s="82"/>
      <c r="Z1150" s="84">
        <v>5.2465000000000002</v>
      </c>
      <c r="AA1150" s="84">
        <v>10.493</v>
      </c>
      <c r="AB1150" s="88">
        <v>7.0843541570488497</v>
      </c>
      <c r="AC1150" t="s">
        <v>5194</v>
      </c>
    </row>
    <row r="1151" spans="3:29">
      <c r="C1151" t="s">
        <v>5196</v>
      </c>
      <c r="D1151" t="s">
        <v>5197</v>
      </c>
      <c r="E1151" s="84">
        <v>29.99</v>
      </c>
      <c r="F1151" s="84">
        <v>14.994999999999999</v>
      </c>
      <c r="G1151" t="s">
        <v>5100</v>
      </c>
      <c r="H1151" t="s">
        <v>5198</v>
      </c>
      <c r="I1151" t="s">
        <v>5199</v>
      </c>
      <c r="J1151" t="s">
        <v>5200</v>
      </c>
      <c r="K1151" t="s">
        <v>4484</v>
      </c>
      <c r="L1151" t="s">
        <v>670</v>
      </c>
      <c r="N1151">
        <v>11</v>
      </c>
      <c r="O1151">
        <v>1.5</v>
      </c>
      <c r="P1151">
        <v>1.8149999999999999E-4</v>
      </c>
      <c r="Q1151" s="84" t="e">
        <v>#REF!</v>
      </c>
      <c r="R1151" s="85"/>
      <c r="S1151" s="85"/>
      <c r="T1151" s="86">
        <v>0</v>
      </c>
      <c r="U1151" s="84">
        <v>0</v>
      </c>
      <c r="V1151" s="84">
        <v>20.992999999999999</v>
      </c>
      <c r="W1151" s="84">
        <v>10.496499999999999</v>
      </c>
      <c r="X1151" s="82">
        <v>0.35</v>
      </c>
      <c r="Y1151" s="82"/>
      <c r="Z1151" s="84">
        <v>10.496499999999999</v>
      </c>
      <c r="AA1151" s="84">
        <v>20.992999999999999</v>
      </c>
      <c r="AB1151" s="88" t="e">
        <v>#DIV/0!</v>
      </c>
      <c r="AC1151" t="s">
        <v>5201</v>
      </c>
    </row>
    <row r="1152" spans="3:29">
      <c r="C1152" t="s">
        <v>5202</v>
      </c>
      <c r="D1152" t="s">
        <v>5203</v>
      </c>
      <c r="E1152" s="84">
        <v>19.989999999999998</v>
      </c>
      <c r="F1152" s="84">
        <v>9.9949999999999992</v>
      </c>
      <c r="G1152" t="s">
        <v>5100</v>
      </c>
      <c r="H1152" t="s">
        <v>5204</v>
      </c>
      <c r="I1152" t="s">
        <v>5205</v>
      </c>
      <c r="J1152" t="s">
        <v>5206</v>
      </c>
      <c r="K1152" t="s">
        <v>5207</v>
      </c>
      <c r="L1152" t="s">
        <v>670</v>
      </c>
      <c r="N1152">
        <v>8</v>
      </c>
      <c r="O1152">
        <v>8</v>
      </c>
      <c r="P1152">
        <v>5.1199999999999998E-4</v>
      </c>
      <c r="Q1152" s="84" t="e">
        <v>#REF!</v>
      </c>
      <c r="R1152" s="85"/>
      <c r="S1152" s="85"/>
      <c r="T1152" s="86">
        <v>0</v>
      </c>
      <c r="U1152" s="84">
        <v>0</v>
      </c>
      <c r="V1152" s="84">
        <v>13.993</v>
      </c>
      <c r="W1152" s="84">
        <v>6.9965000000000002</v>
      </c>
      <c r="X1152" s="82">
        <v>0.35</v>
      </c>
      <c r="Y1152" s="82"/>
      <c r="Z1152" s="84">
        <v>6.9965000000000002</v>
      </c>
      <c r="AA1152" s="84">
        <v>13.993</v>
      </c>
      <c r="AB1152" s="88" t="e">
        <v>#DIV/0!</v>
      </c>
      <c r="AC1152" t="s">
        <v>5208</v>
      </c>
    </row>
    <row r="1153" spans="3:29">
      <c r="C1153">
        <v>33020</v>
      </c>
      <c r="D1153" t="s">
        <v>5209</v>
      </c>
      <c r="E1153" s="84">
        <v>77.989999999999995</v>
      </c>
      <c r="F1153" s="84">
        <v>38.994999999999997</v>
      </c>
      <c r="G1153" t="s">
        <v>5100</v>
      </c>
      <c r="H1153" t="s">
        <v>5210</v>
      </c>
      <c r="I1153" t="s">
        <v>5211</v>
      </c>
      <c r="J1153" t="s">
        <v>2764</v>
      </c>
      <c r="K1153" t="s">
        <v>3075</v>
      </c>
      <c r="L1153" t="s">
        <v>670</v>
      </c>
      <c r="N1153">
        <v>30</v>
      </c>
      <c r="O1153">
        <v>30</v>
      </c>
      <c r="P1153">
        <v>2.7E-2</v>
      </c>
      <c r="Q1153" s="84" t="e">
        <v>#REF!</v>
      </c>
      <c r="R1153" s="85"/>
      <c r="S1153" s="85"/>
      <c r="T1153" s="86">
        <v>0</v>
      </c>
      <c r="U1153" s="84">
        <v>0</v>
      </c>
      <c r="V1153" s="84">
        <v>54.593000000000004</v>
      </c>
      <c r="W1153" s="84">
        <v>27.296500000000002</v>
      </c>
      <c r="X1153" s="82">
        <v>0.35</v>
      </c>
      <c r="Y1153" s="82"/>
      <c r="Z1153" s="84">
        <v>27.296500000000002</v>
      </c>
      <c r="AA1153" s="84">
        <v>54.593000000000004</v>
      </c>
      <c r="AB1153" s="88" t="e">
        <v>#DIV/0!</v>
      </c>
      <c r="AC1153" t="s">
        <v>5212</v>
      </c>
    </row>
    <row r="1154" spans="3:29">
      <c r="C1154" t="s">
        <v>3018</v>
      </c>
      <c r="D1154" t="s">
        <v>5213</v>
      </c>
      <c r="E1154" s="84">
        <v>44.99</v>
      </c>
      <c r="F1154" s="84">
        <v>22.495000000000001</v>
      </c>
      <c r="G1154" t="s">
        <v>5100</v>
      </c>
      <c r="H1154" t="s">
        <v>5214</v>
      </c>
      <c r="I1154" t="s">
        <v>5215</v>
      </c>
      <c r="J1154" t="s">
        <v>5216</v>
      </c>
      <c r="K1154" t="s">
        <v>2407</v>
      </c>
      <c r="L1154" t="s">
        <v>646</v>
      </c>
      <c r="N1154">
        <v>11</v>
      </c>
      <c r="O1154">
        <v>1.5</v>
      </c>
      <c r="P1154">
        <v>1.8149999999999999E-4</v>
      </c>
      <c r="Q1154" s="84" t="e">
        <v>#REF!</v>
      </c>
      <c r="R1154" s="85"/>
      <c r="S1154" s="85"/>
      <c r="T1154" s="86">
        <v>0</v>
      </c>
      <c r="U1154" s="84">
        <v>0</v>
      </c>
      <c r="V1154" s="84">
        <v>31.492999999999999</v>
      </c>
      <c r="W1154" s="84">
        <v>15.746499999999999</v>
      </c>
      <c r="X1154" s="82">
        <v>0.35</v>
      </c>
      <c r="Y1154" s="82"/>
      <c r="Z1154" s="84">
        <v>15.746499999999999</v>
      </c>
      <c r="AA1154" s="84">
        <v>31.492999999999999</v>
      </c>
      <c r="AB1154" s="88" t="e">
        <v>#DIV/0!</v>
      </c>
      <c r="AC1154" t="s">
        <v>5217</v>
      </c>
    </row>
    <row r="1155" spans="3:29">
      <c r="C1155">
        <v>33022</v>
      </c>
      <c r="D1155" t="s">
        <v>5218</v>
      </c>
      <c r="E1155" s="84">
        <v>20.99</v>
      </c>
      <c r="F1155" s="84">
        <v>10.494999999999999</v>
      </c>
      <c r="G1155" t="s">
        <v>5100</v>
      </c>
      <c r="H1155" t="s">
        <v>5219</v>
      </c>
      <c r="I1155" t="s">
        <v>5220</v>
      </c>
      <c r="J1155" t="s">
        <v>5221</v>
      </c>
      <c r="K1155" t="s">
        <v>5222</v>
      </c>
      <c r="L1155" t="s">
        <v>670</v>
      </c>
      <c r="N1155">
        <v>37</v>
      </c>
      <c r="O1155">
        <v>3</v>
      </c>
      <c r="P1155">
        <v>4.1070000000000004E-3</v>
      </c>
      <c r="Q1155" s="84" t="e">
        <v>#REF!</v>
      </c>
      <c r="R1155" s="85">
        <v>991.46958273129701</v>
      </c>
      <c r="S1155" s="85">
        <v>63800</v>
      </c>
      <c r="T1155" s="86">
        <v>64791.469582731297</v>
      </c>
      <c r="U1155" s="84">
        <v>4.3194313055154199</v>
      </c>
      <c r="V1155" s="84">
        <v>14.693</v>
      </c>
      <c r="W1155" s="84">
        <v>7.3464999999999998</v>
      </c>
      <c r="X1155" s="82">
        <v>0.35</v>
      </c>
      <c r="Y1155" s="87">
        <v>8.6388626110308397</v>
      </c>
      <c r="Z1155" s="84">
        <v>8.6388626110308397</v>
      </c>
      <c r="AA1155" s="84">
        <v>17.277725222061701</v>
      </c>
      <c r="AB1155" s="88">
        <v>2</v>
      </c>
      <c r="AC1155" t="s">
        <v>5223</v>
      </c>
    </row>
    <row r="1156" spans="3:29">
      <c r="C1156">
        <v>33023</v>
      </c>
      <c r="D1156" t="s">
        <v>5224</v>
      </c>
      <c r="E1156" s="84">
        <v>19.989999999999998</v>
      </c>
      <c r="F1156" s="84">
        <v>9.9949999999999992</v>
      </c>
      <c r="G1156" t="s">
        <v>5100</v>
      </c>
      <c r="H1156" t="s">
        <v>5225</v>
      </c>
      <c r="I1156" t="s">
        <v>5226</v>
      </c>
      <c r="J1156" t="s">
        <v>5227</v>
      </c>
      <c r="K1156" t="s">
        <v>5222</v>
      </c>
      <c r="L1156" t="s">
        <v>670</v>
      </c>
      <c r="N1156">
        <v>11</v>
      </c>
      <c r="O1156">
        <v>3</v>
      </c>
      <c r="P1156">
        <v>3.6299999999999999E-4</v>
      </c>
      <c r="Q1156" s="84" t="e">
        <v>#REF!</v>
      </c>
      <c r="R1156" s="85">
        <v>87.631716223797397</v>
      </c>
      <c r="S1156" s="85">
        <v>38500</v>
      </c>
      <c r="T1156" s="86">
        <v>38587.631716223797</v>
      </c>
      <c r="U1156" s="84">
        <v>2.5725087810815901</v>
      </c>
      <c r="V1156" s="84">
        <v>13.993</v>
      </c>
      <c r="W1156" s="84">
        <v>6.9965000000000002</v>
      </c>
      <c r="X1156" s="82">
        <v>0.35</v>
      </c>
      <c r="Y1156" s="82"/>
      <c r="Z1156" s="84">
        <v>6.9965000000000002</v>
      </c>
      <c r="AA1156" s="84">
        <v>13.993</v>
      </c>
      <c r="AB1156" s="88">
        <v>2.7197186075525801</v>
      </c>
      <c r="AC1156" t="s">
        <v>5228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B928-1D9F-479A-96DA-0996B4749410}">
  <dimension ref="B2:AC1156"/>
  <sheetViews>
    <sheetView workbookViewId="0"/>
  </sheetViews>
  <sheetFormatPr defaultRowHeight="15"/>
  <cols>
    <col min="5" max="5" width="12.42578125" bestFit="1" customWidth="1"/>
    <col min="6" max="6" width="11.28515625" bestFit="1" customWidth="1"/>
    <col min="18" max="18" width="17" bestFit="1" customWidth="1"/>
    <col min="19" max="19" width="16" bestFit="1" customWidth="1"/>
    <col min="20" max="20" width="17" bestFit="1" customWidth="1"/>
    <col min="21" max="21" width="9.7109375" bestFit="1" customWidth="1"/>
    <col min="22" max="22" width="12.42578125" bestFit="1" customWidth="1"/>
    <col min="23" max="23" width="11.28515625" bestFit="1" customWidth="1"/>
    <col min="25" max="26" width="11.28515625" bestFit="1" customWidth="1"/>
    <col min="27" max="27" width="12.42578125" bestFit="1" customWidth="1"/>
    <col min="28" max="28" width="9.28515625" bestFit="1" customWidth="1"/>
  </cols>
  <sheetData>
    <row r="2" spans="2:29">
      <c r="B2" s="80" t="s">
        <v>5242</v>
      </c>
    </row>
    <row r="3" spans="2:29">
      <c r="B3" s="81" t="s">
        <v>5243</v>
      </c>
    </row>
    <row r="4" spans="2:29">
      <c r="B4" s="81"/>
    </row>
    <row r="6" spans="2:29">
      <c r="C6" t="s">
        <v>0</v>
      </c>
      <c r="D6" t="s">
        <v>1</v>
      </c>
      <c r="E6" t="s">
        <v>2</v>
      </c>
      <c r="F6" t="s">
        <v>5244</v>
      </c>
      <c r="G6" t="s">
        <v>3</v>
      </c>
      <c r="H6" t="s">
        <v>4</v>
      </c>
      <c r="I6" t="s">
        <v>5</v>
      </c>
      <c r="J6" t="s">
        <v>6</v>
      </c>
      <c r="K6" t="s">
        <v>7</v>
      </c>
      <c r="L6" t="s">
        <v>8</v>
      </c>
      <c r="M6" t="s">
        <v>9</v>
      </c>
      <c r="N6" t="s">
        <v>10</v>
      </c>
      <c r="O6" t="s">
        <v>11</v>
      </c>
      <c r="P6" t="s">
        <v>12</v>
      </c>
      <c r="Q6" t="s">
        <v>13</v>
      </c>
      <c r="R6" t="s">
        <v>14</v>
      </c>
      <c r="S6" t="s">
        <v>15</v>
      </c>
      <c r="T6" t="s">
        <v>16</v>
      </c>
      <c r="U6" t="s">
        <v>17</v>
      </c>
      <c r="V6" t="s">
        <v>18</v>
      </c>
      <c r="W6" t="s">
        <v>19</v>
      </c>
      <c r="X6" t="s">
        <v>20</v>
      </c>
      <c r="Y6" t="s">
        <v>21</v>
      </c>
      <c r="Z6" t="s">
        <v>22</v>
      </c>
      <c r="AA6" t="s">
        <v>23</v>
      </c>
      <c r="AB6" t="s">
        <v>24</v>
      </c>
      <c r="AC6" t="s">
        <v>25</v>
      </c>
    </row>
    <row r="7" spans="2:29">
      <c r="C7" t="s">
        <v>40</v>
      </c>
      <c r="E7" s="84"/>
      <c r="F7" s="84"/>
      <c r="R7" s="85"/>
      <c r="S7" s="85"/>
      <c r="T7" s="86"/>
      <c r="X7" s="82"/>
      <c r="Y7" s="82"/>
      <c r="Z7" s="82"/>
      <c r="AA7" s="82"/>
      <c r="AB7" s="88"/>
    </row>
    <row r="8" spans="2:29">
      <c r="C8" t="s">
        <v>44</v>
      </c>
      <c r="D8" t="s">
        <v>45</v>
      </c>
      <c r="E8" s="84">
        <v>3409.99</v>
      </c>
      <c r="F8" s="84">
        <v>1704.9949999999999</v>
      </c>
      <c r="G8" t="s">
        <v>40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>
        <v>260</v>
      </c>
      <c r="N8">
        <v>85</v>
      </c>
      <c r="O8">
        <v>75</v>
      </c>
      <c r="P8">
        <v>1.6575</v>
      </c>
      <c r="Q8" s="84" t="e">
        <v>#REF!</v>
      </c>
      <c r="R8" s="85"/>
      <c r="S8" s="85"/>
      <c r="T8" s="86">
        <v>0</v>
      </c>
      <c r="U8" s="84">
        <v>0</v>
      </c>
      <c r="V8" s="84">
        <v>2386.9929999999999</v>
      </c>
      <c r="W8" s="84">
        <v>1193.4965</v>
      </c>
      <c r="X8" s="82">
        <v>0.35</v>
      </c>
      <c r="Y8" s="84"/>
      <c r="Z8" s="84">
        <v>1193.4965</v>
      </c>
      <c r="AA8" s="84">
        <v>2386.9929999999999</v>
      </c>
      <c r="AB8" s="88" t="e">
        <v>#DIV/0!</v>
      </c>
      <c r="AC8" t="s">
        <v>51</v>
      </c>
    </row>
    <row r="9" spans="2:29">
      <c r="C9" t="s">
        <v>56</v>
      </c>
      <c r="D9" t="s">
        <v>45</v>
      </c>
      <c r="E9" s="84">
        <v>3619.99</v>
      </c>
      <c r="F9" s="84">
        <v>1809.9949999999999</v>
      </c>
      <c r="G9" t="s">
        <v>40</v>
      </c>
      <c r="H9" t="s">
        <v>57</v>
      </c>
      <c r="I9" t="s">
        <v>47</v>
      </c>
      <c r="J9" t="s">
        <v>48</v>
      </c>
      <c r="K9" t="s">
        <v>58</v>
      </c>
      <c r="L9" t="s">
        <v>50</v>
      </c>
      <c r="M9">
        <v>260</v>
      </c>
      <c r="N9">
        <v>85</v>
      </c>
      <c r="O9">
        <v>75</v>
      </c>
      <c r="P9">
        <v>1.6575</v>
      </c>
      <c r="Q9" s="84" t="e">
        <v>#REF!</v>
      </c>
      <c r="R9" s="85"/>
      <c r="S9" s="85"/>
      <c r="T9" s="86">
        <v>0</v>
      </c>
      <c r="U9" s="84">
        <v>0</v>
      </c>
      <c r="V9" s="84">
        <v>2533.9929999999999</v>
      </c>
      <c r="W9" s="84">
        <v>1266.9965</v>
      </c>
      <c r="X9" s="82">
        <v>0.35</v>
      </c>
      <c r="Y9" s="82"/>
      <c r="Z9" s="84">
        <v>1266.9965</v>
      </c>
      <c r="AA9" s="84">
        <v>2533.9929999999999</v>
      </c>
      <c r="AB9" s="88" t="e">
        <v>#DIV/0!</v>
      </c>
      <c r="AC9" t="s">
        <v>51</v>
      </c>
    </row>
    <row r="10" spans="2:29">
      <c r="C10" t="s">
        <v>60</v>
      </c>
      <c r="D10" t="s">
        <v>45</v>
      </c>
      <c r="E10" s="84">
        <v>3759.99</v>
      </c>
      <c r="F10" s="84">
        <v>1879.9949999999999</v>
      </c>
      <c r="G10" t="s">
        <v>40</v>
      </c>
      <c r="H10" t="s">
        <v>61</v>
      </c>
      <c r="I10" t="s">
        <v>47</v>
      </c>
      <c r="J10" t="s">
        <v>62</v>
      </c>
      <c r="K10" t="s">
        <v>49</v>
      </c>
      <c r="L10" t="s">
        <v>50</v>
      </c>
      <c r="M10">
        <v>300</v>
      </c>
      <c r="N10">
        <v>90</v>
      </c>
      <c r="O10">
        <v>75</v>
      </c>
      <c r="P10">
        <v>2.0249999999999999</v>
      </c>
      <c r="Q10" s="84" t="e">
        <v>#REF!</v>
      </c>
      <c r="R10" s="85"/>
      <c r="S10" s="85"/>
      <c r="T10" s="86">
        <v>0</v>
      </c>
      <c r="U10" s="84">
        <v>0</v>
      </c>
      <c r="V10" s="84">
        <v>2631.9929999999999</v>
      </c>
      <c r="W10" s="84">
        <v>1315.9965</v>
      </c>
      <c r="X10" s="82">
        <v>0.35</v>
      </c>
      <c r="Y10" s="82"/>
      <c r="Z10" s="84">
        <v>1315.9965</v>
      </c>
      <c r="AA10" s="84">
        <v>2631.9929999999999</v>
      </c>
      <c r="AB10" s="88" t="e">
        <v>#DIV/0!</v>
      </c>
      <c r="AC10" t="s">
        <v>51</v>
      </c>
    </row>
    <row r="11" spans="2:29">
      <c r="C11" t="s">
        <v>64</v>
      </c>
      <c r="D11" t="s">
        <v>45</v>
      </c>
      <c r="E11" s="84">
        <v>4119.99</v>
      </c>
      <c r="F11" s="84">
        <v>2059.9949999999999</v>
      </c>
      <c r="G11" t="s">
        <v>40</v>
      </c>
      <c r="H11" t="s">
        <v>65</v>
      </c>
      <c r="I11" t="s">
        <v>47</v>
      </c>
      <c r="J11" t="s">
        <v>62</v>
      </c>
      <c r="K11" t="s">
        <v>58</v>
      </c>
      <c r="L11" t="s">
        <v>50</v>
      </c>
      <c r="M11">
        <v>300</v>
      </c>
      <c r="N11">
        <v>90</v>
      </c>
      <c r="O11">
        <v>75</v>
      </c>
      <c r="P11">
        <v>2.0249999999999999</v>
      </c>
      <c r="Q11" s="84" t="e">
        <v>#REF!</v>
      </c>
      <c r="R11" s="85"/>
      <c r="S11" s="85"/>
      <c r="T11" s="86">
        <v>0</v>
      </c>
      <c r="U11" s="84">
        <v>0</v>
      </c>
      <c r="V11" s="84">
        <v>2883.9929999999999</v>
      </c>
      <c r="W11" s="84">
        <v>1441.9965</v>
      </c>
      <c r="X11" s="82">
        <v>0.35</v>
      </c>
      <c r="Y11" s="82"/>
      <c r="Z11" s="84">
        <v>1441.9965</v>
      </c>
      <c r="AA11" s="84">
        <v>2883.9929999999999</v>
      </c>
      <c r="AB11" s="88" t="e">
        <v>#DIV/0!</v>
      </c>
      <c r="AC11" t="s">
        <v>51</v>
      </c>
    </row>
    <row r="12" spans="2:29">
      <c r="C12" t="s">
        <v>67</v>
      </c>
      <c r="D12" t="s">
        <v>68</v>
      </c>
      <c r="E12" s="84">
        <v>1009.99</v>
      </c>
      <c r="F12" s="84">
        <v>504.995</v>
      </c>
      <c r="G12" t="s">
        <v>40</v>
      </c>
      <c r="H12" t="s">
        <v>69</v>
      </c>
      <c r="I12" t="s">
        <v>70</v>
      </c>
      <c r="J12" t="s">
        <v>71</v>
      </c>
      <c r="K12" t="s">
        <v>49</v>
      </c>
      <c r="L12" t="s">
        <v>50</v>
      </c>
      <c r="N12">
        <v>70</v>
      </c>
      <c r="O12">
        <v>75</v>
      </c>
      <c r="P12">
        <v>0.36749999999999999</v>
      </c>
      <c r="Q12" s="84" t="e">
        <v>#REF!</v>
      </c>
      <c r="R12" s="85"/>
      <c r="S12" s="85"/>
      <c r="T12" s="86">
        <v>0</v>
      </c>
      <c r="U12" s="84">
        <v>0</v>
      </c>
      <c r="V12" s="84">
        <v>706.99300000000005</v>
      </c>
      <c r="W12" s="84">
        <v>353.49650000000003</v>
      </c>
      <c r="X12" s="82">
        <v>0.35</v>
      </c>
      <c r="Y12" s="82"/>
      <c r="Z12" s="84">
        <v>353.49650000000003</v>
      </c>
      <c r="AA12" s="84">
        <v>706.99300000000005</v>
      </c>
      <c r="AB12" s="88" t="e">
        <v>#DIV/0!</v>
      </c>
      <c r="AC12" t="s">
        <v>72</v>
      </c>
    </row>
    <row r="13" spans="2:29">
      <c r="C13" t="s">
        <v>74</v>
      </c>
      <c r="D13" t="s">
        <v>68</v>
      </c>
      <c r="E13" s="84">
        <v>1079.99</v>
      </c>
      <c r="F13" s="84">
        <v>539.995</v>
      </c>
      <c r="G13" t="s">
        <v>40</v>
      </c>
      <c r="H13" t="s">
        <v>75</v>
      </c>
      <c r="I13" t="s">
        <v>70</v>
      </c>
      <c r="J13" t="s">
        <v>71</v>
      </c>
      <c r="K13" t="s">
        <v>58</v>
      </c>
      <c r="L13" t="s">
        <v>50</v>
      </c>
      <c r="N13">
        <v>70</v>
      </c>
      <c r="O13">
        <v>75</v>
      </c>
      <c r="P13">
        <v>0.36749999999999999</v>
      </c>
      <c r="Q13" s="84" t="e">
        <v>#REF!</v>
      </c>
      <c r="R13" s="85"/>
      <c r="S13" s="85"/>
      <c r="T13" s="86">
        <v>0</v>
      </c>
      <c r="U13" s="84">
        <v>0</v>
      </c>
      <c r="V13" s="84">
        <v>755.99300000000005</v>
      </c>
      <c r="W13" s="84">
        <v>377.99650000000003</v>
      </c>
      <c r="X13" s="82">
        <v>0.35</v>
      </c>
      <c r="Y13" s="82"/>
      <c r="Z13" s="84">
        <v>377.99650000000003</v>
      </c>
      <c r="AA13" s="84">
        <v>755.99300000000005</v>
      </c>
      <c r="AB13" s="88" t="e">
        <v>#DIV/0!</v>
      </c>
      <c r="AC13" t="s">
        <v>76</v>
      </c>
    </row>
    <row r="14" spans="2:29">
      <c r="C14" t="s">
        <v>78</v>
      </c>
      <c r="D14" t="s">
        <v>68</v>
      </c>
      <c r="E14" s="84">
        <v>1249.99</v>
      </c>
      <c r="F14" s="84">
        <v>624.995</v>
      </c>
      <c r="G14" t="s">
        <v>40</v>
      </c>
      <c r="H14" t="s">
        <v>79</v>
      </c>
      <c r="I14" t="s">
        <v>70</v>
      </c>
      <c r="J14" t="s">
        <v>80</v>
      </c>
      <c r="K14" t="s">
        <v>49</v>
      </c>
      <c r="L14" t="s">
        <v>50</v>
      </c>
      <c r="N14">
        <v>90</v>
      </c>
      <c r="O14">
        <v>75</v>
      </c>
      <c r="P14">
        <v>0.60750000000000004</v>
      </c>
      <c r="Q14" s="84" t="e">
        <v>#REF!</v>
      </c>
      <c r="R14" s="85"/>
      <c r="S14" s="85"/>
      <c r="T14" s="86">
        <v>0</v>
      </c>
      <c r="U14" s="84">
        <v>0</v>
      </c>
      <c r="V14" s="84">
        <v>874.99300000000005</v>
      </c>
      <c r="W14" s="84">
        <v>437.49650000000003</v>
      </c>
      <c r="X14" s="82">
        <v>0.35</v>
      </c>
      <c r="Y14" s="82"/>
      <c r="Z14" s="84">
        <v>437.49650000000003</v>
      </c>
      <c r="AA14" s="84">
        <v>874.99300000000005</v>
      </c>
      <c r="AB14" s="88" t="e">
        <v>#DIV/0!</v>
      </c>
      <c r="AC14" t="s">
        <v>81</v>
      </c>
    </row>
    <row r="15" spans="2:29">
      <c r="C15" t="s">
        <v>83</v>
      </c>
      <c r="D15" t="s">
        <v>68</v>
      </c>
      <c r="E15" s="84">
        <v>1329.99</v>
      </c>
      <c r="F15" s="84">
        <v>664.995</v>
      </c>
      <c r="G15" t="s">
        <v>40</v>
      </c>
      <c r="H15" t="s">
        <v>84</v>
      </c>
      <c r="I15" t="s">
        <v>70</v>
      </c>
      <c r="J15" t="s">
        <v>80</v>
      </c>
      <c r="K15" t="s">
        <v>58</v>
      </c>
      <c r="L15" t="s">
        <v>50</v>
      </c>
      <c r="N15">
        <v>90</v>
      </c>
      <c r="O15">
        <v>75</v>
      </c>
      <c r="P15">
        <v>0.60750000000000004</v>
      </c>
      <c r="Q15" s="84" t="e">
        <v>#REF!</v>
      </c>
      <c r="R15" s="85"/>
      <c r="S15" s="85"/>
      <c r="T15" s="86">
        <v>0</v>
      </c>
      <c r="U15" s="84">
        <v>0</v>
      </c>
      <c r="V15" s="84">
        <v>930.99300000000005</v>
      </c>
      <c r="W15" s="84">
        <v>465.49650000000003</v>
      </c>
      <c r="X15" s="82">
        <v>0.35</v>
      </c>
      <c r="Y15" s="82"/>
      <c r="Z15" s="84">
        <v>465.49650000000003</v>
      </c>
      <c r="AA15" s="84">
        <v>930.99300000000005</v>
      </c>
      <c r="AB15" s="88" t="e">
        <v>#DIV/0!</v>
      </c>
      <c r="AC15" t="s">
        <v>81</v>
      </c>
    </row>
    <row r="16" spans="2:29">
      <c r="C16" t="s">
        <v>86</v>
      </c>
      <c r="D16" t="s">
        <v>68</v>
      </c>
      <c r="E16" s="84">
        <v>2169.9899999999998</v>
      </c>
      <c r="F16" s="84">
        <v>1084.9949999999999</v>
      </c>
      <c r="G16" t="s">
        <v>40</v>
      </c>
      <c r="H16" t="s">
        <v>87</v>
      </c>
      <c r="I16" t="s">
        <v>70</v>
      </c>
      <c r="J16" t="s">
        <v>88</v>
      </c>
      <c r="K16" t="s">
        <v>49</v>
      </c>
      <c r="L16" t="s">
        <v>50</v>
      </c>
      <c r="N16">
        <v>130</v>
      </c>
      <c r="O16">
        <v>75</v>
      </c>
      <c r="P16">
        <v>1.2675000000000001</v>
      </c>
      <c r="Q16" s="84" t="e">
        <v>#REF!</v>
      </c>
      <c r="R16" s="85"/>
      <c r="S16" s="85"/>
      <c r="T16" s="86">
        <v>0</v>
      </c>
      <c r="U16" s="84">
        <v>0</v>
      </c>
      <c r="V16" s="84">
        <v>1518.9929999999999</v>
      </c>
      <c r="W16" s="84">
        <v>759.49649999999997</v>
      </c>
      <c r="X16" s="82">
        <v>0.35</v>
      </c>
      <c r="Y16" s="82"/>
      <c r="Z16" s="84">
        <v>759.49649999999997</v>
      </c>
      <c r="AA16" s="84">
        <v>1518.9929999999999</v>
      </c>
      <c r="AB16" s="88" t="e">
        <v>#DIV/0!</v>
      </c>
      <c r="AC16" t="s">
        <v>89</v>
      </c>
    </row>
    <row r="17" spans="3:29">
      <c r="C17" t="s">
        <v>91</v>
      </c>
      <c r="D17" t="s">
        <v>68</v>
      </c>
      <c r="E17" s="84">
        <v>2299.9899999999998</v>
      </c>
      <c r="F17" s="84">
        <v>1149.9949999999999</v>
      </c>
      <c r="G17" t="s">
        <v>40</v>
      </c>
      <c r="H17" t="s">
        <v>92</v>
      </c>
      <c r="I17" t="s">
        <v>70</v>
      </c>
      <c r="J17" t="s">
        <v>88</v>
      </c>
      <c r="K17" t="s">
        <v>58</v>
      </c>
      <c r="L17" t="s">
        <v>50</v>
      </c>
      <c r="N17">
        <v>130</v>
      </c>
      <c r="O17">
        <v>75</v>
      </c>
      <c r="P17">
        <v>1.2675000000000001</v>
      </c>
      <c r="Q17" s="84" t="e">
        <v>#REF!</v>
      </c>
      <c r="R17" s="85"/>
      <c r="S17" s="85"/>
      <c r="T17" s="86">
        <v>0</v>
      </c>
      <c r="U17" s="84">
        <v>0</v>
      </c>
      <c r="V17" s="84">
        <v>1609.9929999999999</v>
      </c>
      <c r="W17" s="84">
        <v>804.99649999999997</v>
      </c>
      <c r="X17" s="82">
        <v>0.35</v>
      </c>
      <c r="Y17" s="82"/>
      <c r="Z17" s="84">
        <v>804.99649999999997</v>
      </c>
      <c r="AA17" s="84">
        <v>1609.9929999999999</v>
      </c>
      <c r="AB17" s="88" t="e">
        <v>#DIV/0!</v>
      </c>
      <c r="AC17" t="s">
        <v>76</v>
      </c>
    </row>
    <row r="18" spans="3:29" ht="76.5">
      <c r="C18" t="s">
        <v>94</v>
      </c>
      <c r="D18" t="s">
        <v>95</v>
      </c>
      <c r="E18" s="84">
        <v>3649.99</v>
      </c>
      <c r="F18" s="84">
        <v>1824.9949999999999</v>
      </c>
      <c r="G18" t="s">
        <v>40</v>
      </c>
      <c r="H18" t="s">
        <v>96</v>
      </c>
      <c r="I18" t="s">
        <v>97</v>
      </c>
      <c r="J18" s="83" t="s">
        <v>98</v>
      </c>
      <c r="K18" t="s">
        <v>49</v>
      </c>
      <c r="L18" t="s">
        <v>50</v>
      </c>
      <c r="M18">
        <v>250</v>
      </c>
      <c r="N18">
        <v>100</v>
      </c>
      <c r="O18">
        <v>75</v>
      </c>
      <c r="P18">
        <v>1.875</v>
      </c>
      <c r="Q18" s="84" t="e">
        <v>#REF!</v>
      </c>
      <c r="R18" s="85">
        <v>5932953.53624932</v>
      </c>
      <c r="S18" s="85">
        <v>0</v>
      </c>
      <c r="T18" s="86">
        <v>5932953.53624932</v>
      </c>
      <c r="U18" s="84">
        <v>395.53023574995501</v>
      </c>
      <c r="V18" s="84">
        <v>2554.9929999999999</v>
      </c>
      <c r="W18" s="84">
        <v>1277.4965</v>
      </c>
      <c r="X18" s="82">
        <v>0.35</v>
      </c>
      <c r="Y18" s="82"/>
      <c r="Z18" s="84">
        <v>1277.4965</v>
      </c>
      <c r="AA18" s="84">
        <v>2554.9929999999999</v>
      </c>
      <c r="AB18" s="88">
        <v>3.2298327271435299</v>
      </c>
      <c r="AC18" t="s">
        <v>99</v>
      </c>
    </row>
    <row r="19" spans="3:29" ht="76.5">
      <c r="C19" t="s">
        <v>101</v>
      </c>
      <c r="D19" t="s">
        <v>95</v>
      </c>
      <c r="E19" s="84">
        <v>3869.99</v>
      </c>
      <c r="F19" s="84">
        <v>1934.9949999999999</v>
      </c>
      <c r="G19" t="s">
        <v>40</v>
      </c>
      <c r="H19" t="s">
        <v>102</v>
      </c>
      <c r="I19" t="s">
        <v>97</v>
      </c>
      <c r="J19" s="83" t="s">
        <v>98</v>
      </c>
      <c r="K19" t="s">
        <v>58</v>
      </c>
      <c r="L19" t="s">
        <v>50</v>
      </c>
      <c r="M19">
        <v>250</v>
      </c>
      <c r="N19">
        <v>100</v>
      </c>
      <c r="O19">
        <v>75</v>
      </c>
      <c r="P19">
        <v>1.875</v>
      </c>
      <c r="Q19" s="84" t="e">
        <v>#REF!</v>
      </c>
      <c r="R19" s="85">
        <v>5508697.28624932</v>
      </c>
      <c r="S19" s="85">
        <v>0</v>
      </c>
      <c r="T19" s="86">
        <v>5508697.28624932</v>
      </c>
      <c r="U19" s="84">
        <v>367.24648574995501</v>
      </c>
      <c r="V19" s="84">
        <v>2708.9929999999999</v>
      </c>
      <c r="W19" s="84">
        <v>1354.4965</v>
      </c>
      <c r="X19" s="82">
        <v>0.35</v>
      </c>
      <c r="Y19" s="82"/>
      <c r="Z19" s="84">
        <v>1354.4965</v>
      </c>
      <c r="AA19" s="84">
        <v>2708.9929999999999</v>
      </c>
      <c r="AB19" s="88">
        <v>3.6882490440554698</v>
      </c>
      <c r="AC19" t="s">
        <v>103</v>
      </c>
    </row>
    <row r="20" spans="3:29">
      <c r="C20" t="s">
        <v>105</v>
      </c>
      <c r="D20" t="s">
        <v>95</v>
      </c>
      <c r="E20" s="84">
        <v>4439.99</v>
      </c>
      <c r="F20" s="84">
        <v>2219.9949999999999</v>
      </c>
      <c r="G20" t="s">
        <v>40</v>
      </c>
      <c r="H20" t="s">
        <v>106</v>
      </c>
      <c r="I20" t="s">
        <v>97</v>
      </c>
      <c r="J20" t="s">
        <v>107</v>
      </c>
      <c r="K20" t="s">
        <v>49</v>
      </c>
      <c r="L20" t="s">
        <v>50</v>
      </c>
      <c r="M20">
        <v>300</v>
      </c>
      <c r="N20">
        <v>110</v>
      </c>
      <c r="O20">
        <v>75</v>
      </c>
      <c r="P20">
        <v>2.4750000000000001</v>
      </c>
      <c r="Q20" s="84" t="e">
        <v>#REF!</v>
      </c>
      <c r="R20" s="85">
        <v>6817133.9873353802</v>
      </c>
      <c r="S20" s="85">
        <v>0</v>
      </c>
      <c r="T20" s="86">
        <v>6817133.9873353802</v>
      </c>
      <c r="U20" s="84">
        <v>454.47559915569201</v>
      </c>
      <c r="V20" s="84">
        <v>3107.9929999999999</v>
      </c>
      <c r="W20" s="84">
        <v>1553.9965</v>
      </c>
      <c r="X20" s="82">
        <v>0.35</v>
      </c>
      <c r="Y20" s="82"/>
      <c r="Z20" s="84">
        <v>1553.9965</v>
      </c>
      <c r="AA20" s="84">
        <v>3107.9929999999999</v>
      </c>
      <c r="AB20" s="88">
        <v>3.4193177871088301</v>
      </c>
      <c r="AC20" t="s">
        <v>108</v>
      </c>
    </row>
    <row r="21" spans="3:29">
      <c r="C21" t="s">
        <v>110</v>
      </c>
      <c r="D21" t="s">
        <v>95</v>
      </c>
      <c r="E21" s="84">
        <v>4699.99</v>
      </c>
      <c r="F21" s="84">
        <v>2349.9949999999999</v>
      </c>
      <c r="G21" t="s">
        <v>40</v>
      </c>
      <c r="H21" t="s">
        <v>111</v>
      </c>
      <c r="I21" t="s">
        <v>97</v>
      </c>
      <c r="J21" t="s">
        <v>107</v>
      </c>
      <c r="K21" t="s">
        <v>58</v>
      </c>
      <c r="L21" t="s">
        <v>50</v>
      </c>
      <c r="M21">
        <v>300</v>
      </c>
      <c r="N21">
        <v>110</v>
      </c>
      <c r="O21">
        <v>75</v>
      </c>
      <c r="P21">
        <v>2.4750000000000001</v>
      </c>
      <c r="Q21" s="84" t="e">
        <v>#REF!</v>
      </c>
      <c r="R21" s="85">
        <v>6586074.9377983399</v>
      </c>
      <c r="S21" s="85">
        <v>0</v>
      </c>
      <c r="T21" s="86">
        <v>6586074.9377983399</v>
      </c>
      <c r="U21" s="84">
        <v>439.071662519889</v>
      </c>
      <c r="V21" s="84">
        <v>3289.9929999999999</v>
      </c>
      <c r="W21" s="84">
        <v>1644.9965</v>
      </c>
      <c r="X21" s="82">
        <v>0.35</v>
      </c>
      <c r="Y21" s="82"/>
      <c r="Z21" s="84">
        <v>1644.9965</v>
      </c>
      <c r="AA21" s="84">
        <v>3289.9929999999999</v>
      </c>
      <c r="AB21" s="88">
        <v>3.7465330615033299</v>
      </c>
      <c r="AC21" t="s">
        <v>99</v>
      </c>
    </row>
    <row r="22" spans="3:29">
      <c r="D22" t="s">
        <v>113</v>
      </c>
      <c r="E22" s="84"/>
      <c r="F22" s="84">
        <v>0</v>
      </c>
      <c r="G22" t="s">
        <v>40</v>
      </c>
      <c r="H22" t="s">
        <v>114</v>
      </c>
      <c r="I22" t="s">
        <v>115</v>
      </c>
      <c r="J22" t="s">
        <v>116</v>
      </c>
      <c r="K22" t="s">
        <v>117</v>
      </c>
      <c r="L22" t="s">
        <v>50</v>
      </c>
      <c r="M22">
        <v>330</v>
      </c>
      <c r="N22">
        <v>75</v>
      </c>
      <c r="O22">
        <v>76</v>
      </c>
      <c r="P22">
        <v>1.881</v>
      </c>
      <c r="Q22" s="84" t="e">
        <v>#REF!</v>
      </c>
      <c r="R22" s="85"/>
      <c r="S22" s="85"/>
      <c r="T22" s="86">
        <v>0</v>
      </c>
      <c r="U22" s="84">
        <v>0</v>
      </c>
      <c r="V22" s="84">
        <v>0</v>
      </c>
      <c r="W22" s="84">
        <v>0</v>
      </c>
      <c r="X22" s="82" t="e">
        <v>#DIV/0!</v>
      </c>
      <c r="Y22" s="82"/>
      <c r="Z22" s="84">
        <v>0</v>
      </c>
      <c r="AA22" s="84">
        <v>0</v>
      </c>
      <c r="AB22" s="88" t="e">
        <v>#DIV/0!</v>
      </c>
      <c r="AC22" t="s">
        <v>118</v>
      </c>
    </row>
    <row r="23" spans="3:29">
      <c r="C23" t="s">
        <v>121</v>
      </c>
      <c r="D23" t="s">
        <v>113</v>
      </c>
      <c r="E23" s="84">
        <v>6509.99</v>
      </c>
      <c r="F23" s="84">
        <v>3254.9949999999999</v>
      </c>
      <c r="G23" t="s">
        <v>40</v>
      </c>
      <c r="H23" t="s">
        <v>122</v>
      </c>
      <c r="I23" t="s">
        <v>115</v>
      </c>
      <c r="J23" t="s">
        <v>116</v>
      </c>
      <c r="K23" t="s">
        <v>123</v>
      </c>
      <c r="L23" t="s">
        <v>50</v>
      </c>
      <c r="M23">
        <v>330</v>
      </c>
      <c r="N23">
        <v>75</v>
      </c>
      <c r="O23">
        <v>76</v>
      </c>
      <c r="P23">
        <v>1.881</v>
      </c>
      <c r="Q23" s="84" t="e">
        <v>#REF!</v>
      </c>
      <c r="R23" s="85"/>
      <c r="S23" s="85"/>
      <c r="T23" s="86">
        <v>0</v>
      </c>
      <c r="U23" s="84">
        <v>0</v>
      </c>
      <c r="V23" s="84">
        <v>4556.9930000000004</v>
      </c>
      <c r="W23" s="84">
        <v>2278.4965000000002</v>
      </c>
      <c r="X23" s="82">
        <v>0.35</v>
      </c>
      <c r="Y23" s="82"/>
      <c r="Z23" s="84">
        <v>2278.4965000000002</v>
      </c>
      <c r="AA23" s="84">
        <v>4556.9930000000004</v>
      </c>
      <c r="AB23" s="88" t="e">
        <v>#DIV/0!</v>
      </c>
      <c r="AC23" t="s">
        <v>124</v>
      </c>
    </row>
    <row r="24" spans="3:29">
      <c r="C24" t="s">
        <v>126</v>
      </c>
      <c r="D24" t="s">
        <v>127</v>
      </c>
      <c r="E24" s="84">
        <v>3469.99</v>
      </c>
      <c r="F24" s="84">
        <v>1734.9949999999999</v>
      </c>
      <c r="G24" t="s">
        <v>40</v>
      </c>
      <c r="H24" t="s">
        <v>128</v>
      </c>
      <c r="I24" t="s">
        <v>129</v>
      </c>
      <c r="J24" t="s">
        <v>130</v>
      </c>
      <c r="K24" t="s">
        <v>49</v>
      </c>
      <c r="L24" t="s">
        <v>50</v>
      </c>
      <c r="M24">
        <v>280</v>
      </c>
      <c r="N24">
        <v>85</v>
      </c>
      <c r="O24">
        <v>78</v>
      </c>
      <c r="P24">
        <v>1.8564000000000001</v>
      </c>
      <c r="Q24" s="84" t="e">
        <v>#REF!</v>
      </c>
      <c r="R24" s="85"/>
      <c r="S24" s="85"/>
      <c r="T24" s="86">
        <v>0</v>
      </c>
      <c r="U24" s="84">
        <v>0</v>
      </c>
      <c r="V24" s="84">
        <v>2428.9929999999999</v>
      </c>
      <c r="W24" s="84">
        <v>1214.4965</v>
      </c>
      <c r="X24" s="82">
        <v>0.35</v>
      </c>
      <c r="Y24" s="82"/>
      <c r="Z24" s="84">
        <v>1214.4965</v>
      </c>
      <c r="AA24" s="84">
        <v>2428.9929999999999</v>
      </c>
      <c r="AB24" s="88" t="e">
        <v>#DIV/0!</v>
      </c>
      <c r="AC24" t="s">
        <v>131</v>
      </c>
    </row>
    <row r="25" spans="3:29">
      <c r="C25" t="s">
        <v>133</v>
      </c>
      <c r="D25" t="s">
        <v>127</v>
      </c>
      <c r="E25" s="84">
        <v>3619.99</v>
      </c>
      <c r="F25" s="84">
        <v>1809.9949999999999</v>
      </c>
      <c r="G25" t="s">
        <v>40</v>
      </c>
      <c r="H25" t="s">
        <v>134</v>
      </c>
      <c r="I25" t="s">
        <v>129</v>
      </c>
      <c r="J25" t="s">
        <v>130</v>
      </c>
      <c r="K25" t="s">
        <v>58</v>
      </c>
      <c r="L25" t="s">
        <v>50</v>
      </c>
      <c r="M25">
        <v>280</v>
      </c>
      <c r="N25">
        <v>85</v>
      </c>
      <c r="O25">
        <v>78</v>
      </c>
      <c r="P25">
        <v>1.8564000000000001</v>
      </c>
      <c r="Q25" s="84" t="e">
        <v>#REF!</v>
      </c>
      <c r="R25" s="85"/>
      <c r="S25" s="85"/>
      <c r="T25" s="86">
        <v>0</v>
      </c>
      <c r="U25" s="84">
        <v>0</v>
      </c>
      <c r="V25" s="84">
        <v>2533.9929999999999</v>
      </c>
      <c r="W25" s="84">
        <v>1266.9965</v>
      </c>
      <c r="X25" s="82">
        <v>0.35</v>
      </c>
      <c r="Y25" s="82"/>
      <c r="Z25" s="84">
        <v>1266.9965</v>
      </c>
      <c r="AA25" s="84">
        <v>2533.9929999999999</v>
      </c>
      <c r="AB25" s="88" t="e">
        <v>#DIV/0!</v>
      </c>
      <c r="AC25" t="s">
        <v>131</v>
      </c>
    </row>
    <row r="26" spans="3:29">
      <c r="C26" t="s">
        <v>136</v>
      </c>
      <c r="D26" t="s">
        <v>127</v>
      </c>
      <c r="E26" s="84">
        <v>6959.99</v>
      </c>
      <c r="F26" s="84">
        <v>3479.9949999999999</v>
      </c>
      <c r="G26" t="s">
        <v>40</v>
      </c>
      <c r="H26" t="s">
        <v>137</v>
      </c>
      <c r="I26" t="s">
        <v>129</v>
      </c>
      <c r="J26" t="s">
        <v>138</v>
      </c>
      <c r="K26" t="s">
        <v>49</v>
      </c>
      <c r="L26" t="s">
        <v>50</v>
      </c>
      <c r="M26">
        <v>320</v>
      </c>
      <c r="N26">
        <v>90</v>
      </c>
      <c r="O26">
        <v>78</v>
      </c>
      <c r="P26">
        <v>2.2464</v>
      </c>
      <c r="Q26" s="84" t="e">
        <v>#REF!</v>
      </c>
      <c r="R26" s="85"/>
      <c r="S26" s="85"/>
      <c r="T26" s="86">
        <v>0</v>
      </c>
      <c r="U26" s="84">
        <v>0</v>
      </c>
      <c r="V26" s="84">
        <v>4871.9930000000004</v>
      </c>
      <c r="W26" s="84">
        <v>2435.9965000000002</v>
      </c>
      <c r="X26" s="82">
        <v>0.35</v>
      </c>
      <c r="Y26" s="82"/>
      <c r="Z26" s="84">
        <v>2435.9965000000002</v>
      </c>
      <c r="AA26" s="84">
        <v>4871.9930000000004</v>
      </c>
      <c r="AB26" s="88" t="e">
        <v>#DIV/0!</v>
      </c>
      <c r="AC26" t="s">
        <v>139</v>
      </c>
    </row>
    <row r="27" spans="3:29">
      <c r="C27" t="s">
        <v>141</v>
      </c>
      <c r="D27" t="s">
        <v>127</v>
      </c>
      <c r="E27" s="84">
        <v>7389.99</v>
      </c>
      <c r="F27" s="84">
        <v>3694.9949999999999</v>
      </c>
      <c r="G27" t="s">
        <v>40</v>
      </c>
      <c r="H27" t="s">
        <v>142</v>
      </c>
      <c r="I27" t="s">
        <v>129</v>
      </c>
      <c r="J27" t="s">
        <v>138</v>
      </c>
      <c r="K27" t="s">
        <v>58</v>
      </c>
      <c r="L27" t="s">
        <v>50</v>
      </c>
      <c r="M27">
        <v>320</v>
      </c>
      <c r="N27">
        <v>90</v>
      </c>
      <c r="O27">
        <v>78</v>
      </c>
      <c r="P27">
        <v>2.2464</v>
      </c>
      <c r="Q27" s="84" t="e">
        <v>#REF!</v>
      </c>
      <c r="R27" s="85"/>
      <c r="S27" s="85"/>
      <c r="T27" s="86">
        <v>0</v>
      </c>
      <c r="U27" s="84">
        <v>0</v>
      </c>
      <c r="V27" s="84">
        <v>5172.9930000000004</v>
      </c>
      <c r="W27" s="84">
        <v>2586.4965000000002</v>
      </c>
      <c r="X27" s="82">
        <v>0.35</v>
      </c>
      <c r="Y27" s="82"/>
      <c r="Z27" s="84">
        <v>2586.4965000000002</v>
      </c>
      <c r="AA27" s="84">
        <v>5172.9930000000004</v>
      </c>
      <c r="AB27" s="88" t="e">
        <v>#DIV/0!</v>
      </c>
      <c r="AC27" t="s">
        <v>143</v>
      </c>
    </row>
    <row r="28" spans="3:29">
      <c r="C28" t="s">
        <v>145</v>
      </c>
      <c r="D28" t="s">
        <v>127</v>
      </c>
      <c r="E28" s="84">
        <v>11209.99</v>
      </c>
      <c r="F28" s="84">
        <v>5604.9949999999999</v>
      </c>
      <c r="G28" t="s">
        <v>40</v>
      </c>
      <c r="H28" t="s">
        <v>146</v>
      </c>
      <c r="I28" t="s">
        <v>129</v>
      </c>
      <c r="J28" t="s">
        <v>147</v>
      </c>
      <c r="K28" t="s">
        <v>49</v>
      </c>
      <c r="L28" t="s">
        <v>50</v>
      </c>
      <c r="M28">
        <v>400</v>
      </c>
      <c r="N28">
        <v>100</v>
      </c>
      <c r="O28">
        <v>78</v>
      </c>
      <c r="P28">
        <v>3.12</v>
      </c>
      <c r="Q28" s="84" t="e">
        <v>#REF!</v>
      </c>
      <c r="R28" s="85">
        <v>10209585.901805401</v>
      </c>
      <c r="S28" s="85">
        <v>0</v>
      </c>
      <c r="T28" s="86">
        <v>10209585.901805401</v>
      </c>
      <c r="U28" s="84">
        <v>680.63906012036205</v>
      </c>
      <c r="V28" s="84">
        <v>7846.9930000000004</v>
      </c>
      <c r="W28" s="84">
        <v>3923.4965000000002</v>
      </c>
      <c r="X28" s="82">
        <v>0.35</v>
      </c>
      <c r="Y28" s="82"/>
      <c r="Z28" s="84">
        <v>3923.4965000000002</v>
      </c>
      <c r="AA28" s="84">
        <v>7846.9930000000004</v>
      </c>
      <c r="AB28" s="88">
        <v>5.7644304153014403</v>
      </c>
      <c r="AC28" t="s">
        <v>139</v>
      </c>
    </row>
    <row r="29" spans="3:29">
      <c r="C29" t="s">
        <v>148</v>
      </c>
      <c r="D29" t="s">
        <v>127</v>
      </c>
      <c r="E29" s="84">
        <v>11879.99</v>
      </c>
      <c r="F29" s="84">
        <v>5939.9949999999999</v>
      </c>
      <c r="G29" t="s">
        <v>40</v>
      </c>
      <c r="H29" t="s">
        <v>149</v>
      </c>
      <c r="I29" t="s">
        <v>129</v>
      </c>
      <c r="J29" t="s">
        <v>147</v>
      </c>
      <c r="K29" t="s">
        <v>58</v>
      </c>
      <c r="L29" t="s">
        <v>50</v>
      </c>
      <c r="M29">
        <v>400</v>
      </c>
      <c r="N29">
        <v>100</v>
      </c>
      <c r="O29">
        <v>78</v>
      </c>
      <c r="P29">
        <v>3.12</v>
      </c>
      <c r="Q29" s="84" t="e">
        <v>#REF!</v>
      </c>
      <c r="R29" s="85">
        <v>9593125.72273135</v>
      </c>
      <c r="S29" s="85">
        <v>0</v>
      </c>
      <c r="T29" s="86">
        <v>9593125.72273135</v>
      </c>
      <c r="U29" s="84">
        <v>639.54171484875701</v>
      </c>
      <c r="V29" s="84">
        <v>8315.9930000000004</v>
      </c>
      <c r="W29" s="84">
        <v>4157.9965000000002</v>
      </c>
      <c r="X29" s="82">
        <v>0.35</v>
      </c>
      <c r="Y29" s="82"/>
      <c r="Z29" s="84">
        <v>4157.9965000000002</v>
      </c>
      <c r="AA29" s="84">
        <v>8315.9930000000004</v>
      </c>
      <c r="AB29" s="88">
        <v>6.5015250818835399</v>
      </c>
      <c r="AC29" t="s">
        <v>150</v>
      </c>
    </row>
    <row r="30" spans="3:29">
      <c r="C30" t="s">
        <v>152</v>
      </c>
      <c r="D30" t="s">
        <v>153</v>
      </c>
      <c r="E30" s="84"/>
      <c r="F30" s="84">
        <v>0</v>
      </c>
      <c r="G30" t="s">
        <v>40</v>
      </c>
      <c r="H30" t="s">
        <v>154</v>
      </c>
      <c r="I30" t="s">
        <v>155</v>
      </c>
      <c r="J30" t="s">
        <v>156</v>
      </c>
      <c r="K30" t="s">
        <v>49</v>
      </c>
      <c r="L30" t="s">
        <v>50</v>
      </c>
      <c r="N30">
        <v>90</v>
      </c>
      <c r="O30">
        <v>76</v>
      </c>
      <c r="P30">
        <v>0.61560000000000004</v>
      </c>
      <c r="Q30" s="84" t="e">
        <v>#REF!</v>
      </c>
      <c r="R30" s="85">
        <v>2132513.1339489101</v>
      </c>
      <c r="S30" s="85">
        <v>0</v>
      </c>
      <c r="T30" s="86">
        <v>2132513.1339489101</v>
      </c>
      <c r="U30" s="84">
        <v>142.167542263261</v>
      </c>
      <c r="V30" s="84">
        <v>0</v>
      </c>
      <c r="W30" s="84">
        <v>0</v>
      </c>
      <c r="X30" s="82" t="e">
        <v>#DIV/0!</v>
      </c>
      <c r="Y30" s="87">
        <v>426.50262678978203</v>
      </c>
      <c r="Z30" s="84">
        <v>426.50262678978203</v>
      </c>
      <c r="AA30" s="84">
        <v>853.00525357956406</v>
      </c>
      <c r="AB30" s="88">
        <v>3</v>
      </c>
      <c r="AC30" t="s">
        <v>157</v>
      </c>
    </row>
    <row r="31" spans="3:29">
      <c r="C31" t="s">
        <v>159</v>
      </c>
      <c r="D31" t="s">
        <v>153</v>
      </c>
      <c r="E31" s="84"/>
      <c r="F31" s="84">
        <v>0</v>
      </c>
      <c r="G31" t="s">
        <v>40</v>
      </c>
      <c r="H31" t="s">
        <v>160</v>
      </c>
      <c r="I31" t="s">
        <v>155</v>
      </c>
      <c r="J31" t="s">
        <v>156</v>
      </c>
      <c r="K31" t="s">
        <v>58</v>
      </c>
      <c r="L31" t="s">
        <v>50</v>
      </c>
      <c r="N31">
        <v>90</v>
      </c>
      <c r="O31">
        <v>76</v>
      </c>
      <c r="P31">
        <v>0.61560000000000004</v>
      </c>
      <c r="Q31" s="84" t="e">
        <v>#REF!</v>
      </c>
      <c r="R31" s="85">
        <v>2058963.6861248401</v>
      </c>
      <c r="S31" s="85">
        <v>0</v>
      </c>
      <c r="T31" s="86">
        <v>2058963.6861248401</v>
      </c>
      <c r="U31" s="84">
        <v>137.264245741656</v>
      </c>
      <c r="V31" s="84">
        <v>0</v>
      </c>
      <c r="W31" s="84">
        <v>0</v>
      </c>
      <c r="X31" s="82" t="e">
        <v>#DIV/0!</v>
      </c>
      <c r="Y31" s="87">
        <v>411.79273722496703</v>
      </c>
      <c r="Z31" s="84">
        <v>411.79273722496703</v>
      </c>
      <c r="AA31" s="84">
        <v>823.58547444993496</v>
      </c>
      <c r="AB31" s="88">
        <v>3</v>
      </c>
      <c r="AC31" t="s">
        <v>161</v>
      </c>
    </row>
    <row r="32" spans="3:29">
      <c r="C32" t="s">
        <v>163</v>
      </c>
      <c r="D32" t="s">
        <v>164</v>
      </c>
      <c r="E32" s="84"/>
      <c r="F32" s="84">
        <v>0</v>
      </c>
      <c r="G32" t="s">
        <v>40</v>
      </c>
      <c r="H32" t="s">
        <v>165</v>
      </c>
      <c r="I32" t="s">
        <v>166</v>
      </c>
      <c r="J32" t="s">
        <v>48</v>
      </c>
      <c r="K32" t="s">
        <v>49</v>
      </c>
      <c r="L32" t="s">
        <v>50</v>
      </c>
      <c r="M32">
        <v>260</v>
      </c>
      <c r="N32">
        <v>85</v>
      </c>
      <c r="O32">
        <v>75</v>
      </c>
      <c r="P32">
        <v>1.6575</v>
      </c>
      <c r="Q32" s="84" t="e">
        <v>#REF!</v>
      </c>
      <c r="R32" s="85"/>
      <c r="S32" s="85"/>
      <c r="T32" s="86">
        <v>0</v>
      </c>
      <c r="U32" s="84">
        <v>0</v>
      </c>
      <c r="V32" s="84">
        <v>0</v>
      </c>
      <c r="W32" s="84">
        <v>0</v>
      </c>
      <c r="X32" s="82" t="e">
        <v>#DIV/0!</v>
      </c>
      <c r="Y32" s="82"/>
      <c r="Z32" s="84">
        <v>0</v>
      </c>
      <c r="AA32" s="84">
        <v>0</v>
      </c>
      <c r="AB32" s="88" t="e">
        <v>#DIV/0!</v>
      </c>
      <c r="AC32" t="s">
        <v>167</v>
      </c>
    </row>
    <row r="33" spans="3:29">
      <c r="C33" t="s">
        <v>169</v>
      </c>
      <c r="D33" t="s">
        <v>164</v>
      </c>
      <c r="E33" s="84"/>
      <c r="F33" s="84">
        <v>0</v>
      </c>
      <c r="G33" t="s">
        <v>40</v>
      </c>
      <c r="H33" t="s">
        <v>170</v>
      </c>
      <c r="I33" t="s">
        <v>166</v>
      </c>
      <c r="J33" t="s">
        <v>48</v>
      </c>
      <c r="K33" t="s">
        <v>58</v>
      </c>
      <c r="L33" t="s">
        <v>50</v>
      </c>
      <c r="M33">
        <v>260</v>
      </c>
      <c r="N33">
        <v>85</v>
      </c>
      <c r="O33">
        <v>75</v>
      </c>
      <c r="P33">
        <v>1.6575</v>
      </c>
      <c r="Q33" s="84" t="e">
        <v>#REF!</v>
      </c>
      <c r="R33" s="85"/>
      <c r="S33" s="85"/>
      <c r="T33" s="86">
        <v>0</v>
      </c>
      <c r="U33" s="84">
        <v>0</v>
      </c>
      <c r="V33" s="84">
        <v>0</v>
      </c>
      <c r="W33" s="84">
        <v>0</v>
      </c>
      <c r="X33" s="82" t="e">
        <v>#DIV/0!</v>
      </c>
      <c r="Y33" s="82"/>
      <c r="Z33" s="84">
        <v>0</v>
      </c>
      <c r="AA33" s="84">
        <v>0</v>
      </c>
      <c r="AB33" s="88" t="e">
        <v>#DIV/0!</v>
      </c>
      <c r="AC33" t="s">
        <v>171</v>
      </c>
    </row>
    <row r="34" spans="3:29">
      <c r="C34" t="s">
        <v>173</v>
      </c>
      <c r="D34" t="s">
        <v>174</v>
      </c>
      <c r="E34" s="84">
        <v>1929.99</v>
      </c>
      <c r="F34" s="84">
        <v>964.995</v>
      </c>
      <c r="G34" t="s">
        <v>40</v>
      </c>
      <c r="H34" t="s">
        <v>175</v>
      </c>
      <c r="I34" t="s">
        <v>176</v>
      </c>
      <c r="J34" t="s">
        <v>88</v>
      </c>
      <c r="K34" t="s">
        <v>49</v>
      </c>
      <c r="L34" t="s">
        <v>50</v>
      </c>
      <c r="N34">
        <v>130</v>
      </c>
      <c r="O34">
        <v>75</v>
      </c>
      <c r="P34">
        <v>1.2675000000000001</v>
      </c>
      <c r="Q34" s="84" t="e">
        <v>#REF!</v>
      </c>
      <c r="R34" s="85">
        <v>3474302.9304486401</v>
      </c>
      <c r="S34" s="85">
        <v>0</v>
      </c>
      <c r="T34" s="86">
        <v>3474302.9304486401</v>
      </c>
      <c r="U34" s="84">
        <v>231.620195363243</v>
      </c>
      <c r="V34" s="84">
        <v>1350.9929999999999</v>
      </c>
      <c r="W34" s="84">
        <v>675.49649999999997</v>
      </c>
      <c r="X34" s="82">
        <v>0.35</v>
      </c>
      <c r="Y34" s="82"/>
      <c r="Z34" s="84">
        <v>675.49649999999997</v>
      </c>
      <c r="AA34" s="84">
        <v>1350.9929999999999</v>
      </c>
      <c r="AB34" s="88">
        <v>2.9163972465381902</v>
      </c>
      <c r="AC34" t="s">
        <v>177</v>
      </c>
    </row>
    <row r="35" spans="3:29">
      <c r="C35" t="s">
        <v>179</v>
      </c>
      <c r="D35" t="s">
        <v>174</v>
      </c>
      <c r="E35" s="84">
        <v>2079.9899999999998</v>
      </c>
      <c r="F35" s="84">
        <v>1039.9949999999999</v>
      </c>
      <c r="G35" t="s">
        <v>40</v>
      </c>
      <c r="H35" t="s">
        <v>180</v>
      </c>
      <c r="I35" t="s">
        <v>176</v>
      </c>
      <c r="J35" t="s">
        <v>88</v>
      </c>
      <c r="K35" t="s">
        <v>58</v>
      </c>
      <c r="L35" t="s">
        <v>50</v>
      </c>
      <c r="N35">
        <v>130</v>
      </c>
      <c r="O35">
        <v>75</v>
      </c>
      <c r="P35">
        <v>1.2675000000000001</v>
      </c>
      <c r="Q35" s="84" t="e">
        <v>#REF!</v>
      </c>
      <c r="R35" s="85">
        <v>3334121.2362356801</v>
      </c>
      <c r="S35" s="85">
        <v>0</v>
      </c>
      <c r="T35" s="86">
        <v>3334121.2362356801</v>
      </c>
      <c r="U35" s="84">
        <v>222.274749082379</v>
      </c>
      <c r="V35" s="84">
        <v>1455.9929999999999</v>
      </c>
      <c r="W35" s="84">
        <v>727.99649999999997</v>
      </c>
      <c r="X35" s="82">
        <v>0.35</v>
      </c>
      <c r="Y35" s="82"/>
      <c r="Z35" s="84">
        <v>727.99649999999997</v>
      </c>
      <c r="AA35" s="84">
        <v>1455.9929999999999</v>
      </c>
      <c r="AB35" s="88">
        <v>3.2752100857402899</v>
      </c>
      <c r="AC35" t="s">
        <v>181</v>
      </c>
    </row>
    <row r="36" spans="3:29">
      <c r="C36" t="s">
        <v>183</v>
      </c>
      <c r="D36" t="s">
        <v>174</v>
      </c>
      <c r="E36" s="84">
        <v>4019.99</v>
      </c>
      <c r="F36" s="84">
        <v>2009.9949999999999</v>
      </c>
      <c r="G36" t="s">
        <v>40</v>
      </c>
      <c r="H36" t="s">
        <v>184</v>
      </c>
      <c r="I36" t="s">
        <v>176</v>
      </c>
      <c r="J36" t="s">
        <v>185</v>
      </c>
      <c r="K36" t="s">
        <v>49</v>
      </c>
      <c r="L36" t="s">
        <v>50</v>
      </c>
      <c r="N36">
        <v>180</v>
      </c>
      <c r="O36">
        <v>75</v>
      </c>
      <c r="P36">
        <v>2.4300000000000002</v>
      </c>
      <c r="Q36" s="84" t="e">
        <v>#REF!</v>
      </c>
      <c r="R36" s="85"/>
      <c r="S36" s="85"/>
      <c r="T36" s="86">
        <v>0</v>
      </c>
      <c r="U36" s="84">
        <v>0</v>
      </c>
      <c r="V36" s="84">
        <v>2813.9929999999999</v>
      </c>
      <c r="W36" s="84">
        <v>1406.9965</v>
      </c>
      <c r="X36" s="82">
        <v>0.35</v>
      </c>
      <c r="Y36" s="82"/>
      <c r="Z36" s="84">
        <v>1406.9965</v>
      </c>
      <c r="AA36" s="84">
        <v>2813.9929999999999</v>
      </c>
      <c r="AB36" s="88" t="e">
        <v>#DIV/0!</v>
      </c>
      <c r="AC36" t="s">
        <v>177</v>
      </c>
    </row>
    <row r="37" spans="3:29">
      <c r="C37" t="s">
        <v>187</v>
      </c>
      <c r="D37" t="s">
        <v>174</v>
      </c>
      <c r="E37" s="84">
        <v>4169.99</v>
      </c>
      <c r="F37" s="84">
        <v>2084.9949999999999</v>
      </c>
      <c r="G37" t="s">
        <v>40</v>
      </c>
      <c r="H37" t="s">
        <v>188</v>
      </c>
      <c r="I37" t="s">
        <v>176</v>
      </c>
      <c r="J37" t="s">
        <v>185</v>
      </c>
      <c r="K37" t="s">
        <v>58</v>
      </c>
      <c r="L37" t="s">
        <v>50</v>
      </c>
      <c r="N37">
        <v>180</v>
      </c>
      <c r="O37">
        <v>75</v>
      </c>
      <c r="P37">
        <v>2.4300000000000002</v>
      </c>
      <c r="Q37" s="84" t="e">
        <v>#REF!</v>
      </c>
      <c r="R37" s="85"/>
      <c r="S37" s="85"/>
      <c r="T37" s="86">
        <v>0</v>
      </c>
      <c r="U37" s="84">
        <v>0</v>
      </c>
      <c r="V37" s="84">
        <v>2918.9929999999999</v>
      </c>
      <c r="W37" s="84">
        <v>1459.4965</v>
      </c>
      <c r="X37" s="82">
        <v>0.35</v>
      </c>
      <c r="Y37" s="82"/>
      <c r="Z37" s="84">
        <v>1459.4965</v>
      </c>
      <c r="AA37" s="84">
        <v>2918.9929999999999</v>
      </c>
      <c r="AB37" s="88" t="e">
        <v>#DIV/0!</v>
      </c>
      <c r="AC37" t="s">
        <v>189</v>
      </c>
    </row>
    <row r="38" spans="3:29">
      <c r="C38" t="s">
        <v>191</v>
      </c>
      <c r="D38" t="s">
        <v>192</v>
      </c>
      <c r="E38" s="84">
        <v>1869.99</v>
      </c>
      <c r="F38" s="84">
        <v>934.995</v>
      </c>
      <c r="G38" t="s">
        <v>40</v>
      </c>
      <c r="H38" t="s">
        <v>193</v>
      </c>
      <c r="I38" t="s">
        <v>194</v>
      </c>
      <c r="J38" t="s">
        <v>88</v>
      </c>
      <c r="K38" t="s">
        <v>49</v>
      </c>
      <c r="L38" t="s">
        <v>50</v>
      </c>
      <c r="N38">
        <v>130</v>
      </c>
      <c r="O38">
        <v>75</v>
      </c>
      <c r="P38">
        <v>1.2675000000000001</v>
      </c>
      <c r="Q38" s="84" t="e">
        <v>#REF!</v>
      </c>
      <c r="R38" s="85"/>
      <c r="S38" s="85"/>
      <c r="T38" s="86">
        <v>0</v>
      </c>
      <c r="U38" s="84">
        <v>0</v>
      </c>
      <c r="V38" s="84">
        <v>1308.9929999999999</v>
      </c>
      <c r="W38" s="84">
        <v>654.49649999999997</v>
      </c>
      <c r="X38" s="82">
        <v>0.35</v>
      </c>
      <c r="Y38" s="82"/>
      <c r="Z38" s="84">
        <v>654.49649999999997</v>
      </c>
      <c r="AA38" s="84">
        <v>1308.9929999999999</v>
      </c>
      <c r="AB38" s="88" t="e">
        <v>#DIV/0!</v>
      </c>
      <c r="AC38" t="s">
        <v>195</v>
      </c>
    </row>
    <row r="39" spans="3:29">
      <c r="C39" t="s">
        <v>197</v>
      </c>
      <c r="D39" t="s">
        <v>192</v>
      </c>
      <c r="E39" s="84">
        <v>2029.99</v>
      </c>
      <c r="F39" s="84">
        <v>1014.995</v>
      </c>
      <c r="G39" t="s">
        <v>40</v>
      </c>
      <c r="H39" t="s">
        <v>198</v>
      </c>
      <c r="I39" t="s">
        <v>194</v>
      </c>
      <c r="J39" t="s">
        <v>88</v>
      </c>
      <c r="K39" t="s">
        <v>58</v>
      </c>
      <c r="L39" t="s">
        <v>50</v>
      </c>
      <c r="N39">
        <v>130</v>
      </c>
      <c r="O39">
        <v>75</v>
      </c>
      <c r="P39">
        <v>1.2675000000000001</v>
      </c>
      <c r="Q39" s="84" t="e">
        <v>#REF!</v>
      </c>
      <c r="R39" s="85"/>
      <c r="S39" s="85"/>
      <c r="T39" s="86">
        <v>0</v>
      </c>
      <c r="U39" s="84">
        <v>0</v>
      </c>
      <c r="V39" s="84">
        <v>1420.9929999999999</v>
      </c>
      <c r="W39" s="84">
        <v>710.49649999999997</v>
      </c>
      <c r="X39" s="82">
        <v>0.35</v>
      </c>
      <c r="Y39" s="82"/>
      <c r="Z39" s="84">
        <v>710.49649999999997</v>
      </c>
      <c r="AA39" s="84">
        <v>1420.9929999999999</v>
      </c>
      <c r="AB39" s="88" t="e">
        <v>#DIV/0!</v>
      </c>
      <c r="AC39" t="s">
        <v>195</v>
      </c>
    </row>
    <row r="40" spans="3:29">
      <c r="C40" t="s">
        <v>200</v>
      </c>
      <c r="D40" t="s">
        <v>192</v>
      </c>
      <c r="E40" s="84">
        <v>3229.99</v>
      </c>
      <c r="F40" s="84">
        <v>1614.9949999999999</v>
      </c>
      <c r="G40" t="s">
        <v>40</v>
      </c>
      <c r="H40" t="s">
        <v>201</v>
      </c>
      <c r="I40" t="s">
        <v>194</v>
      </c>
      <c r="J40" t="s">
        <v>202</v>
      </c>
      <c r="K40" t="s">
        <v>49</v>
      </c>
      <c r="L40" t="s">
        <v>50</v>
      </c>
      <c r="N40">
        <v>160</v>
      </c>
      <c r="O40">
        <v>75</v>
      </c>
      <c r="P40">
        <v>1.92</v>
      </c>
      <c r="Q40" s="84" t="e">
        <v>#REF!</v>
      </c>
      <c r="R40" s="85">
        <v>5231484.0556807304</v>
      </c>
      <c r="S40" s="85">
        <v>0</v>
      </c>
      <c r="T40" s="86">
        <v>5231484.0556807304</v>
      </c>
      <c r="U40" s="84">
        <v>348.76560371204903</v>
      </c>
      <c r="V40" s="84">
        <v>2260.9929999999999</v>
      </c>
      <c r="W40" s="84">
        <v>1130.4965</v>
      </c>
      <c r="X40" s="82">
        <v>0.35</v>
      </c>
      <c r="Y40" s="82"/>
      <c r="Z40" s="84">
        <v>1130.4965</v>
      </c>
      <c r="AA40" s="84">
        <v>2260.9929999999999</v>
      </c>
      <c r="AB40" s="88">
        <v>3.24142199794843</v>
      </c>
      <c r="AC40" t="s">
        <v>203</v>
      </c>
    </row>
    <row r="41" spans="3:29">
      <c r="C41" t="s">
        <v>205</v>
      </c>
      <c r="D41" t="s">
        <v>192</v>
      </c>
      <c r="E41" s="84">
        <v>3569.99</v>
      </c>
      <c r="F41" s="84">
        <v>1784.9949999999999</v>
      </c>
      <c r="G41" t="s">
        <v>40</v>
      </c>
      <c r="H41" t="s">
        <v>206</v>
      </c>
      <c r="I41" t="s">
        <v>194</v>
      </c>
      <c r="J41" t="s">
        <v>202</v>
      </c>
      <c r="K41" t="s">
        <v>58</v>
      </c>
      <c r="L41" t="s">
        <v>50</v>
      </c>
      <c r="N41">
        <v>160</v>
      </c>
      <c r="O41">
        <v>75</v>
      </c>
      <c r="P41">
        <v>1.92</v>
      </c>
      <c r="Q41" s="84" t="e">
        <v>#REF!</v>
      </c>
      <c r="R41" s="85">
        <v>4979755.4014677703</v>
      </c>
      <c r="S41" s="85">
        <v>0</v>
      </c>
      <c r="T41" s="86">
        <v>4979755.4014677703</v>
      </c>
      <c r="U41" s="84">
        <v>331.98369343118497</v>
      </c>
      <c r="V41" s="84">
        <v>2498.9929999999999</v>
      </c>
      <c r="W41" s="84">
        <v>1249.4965</v>
      </c>
      <c r="X41" s="82">
        <v>0.35</v>
      </c>
      <c r="Y41" s="82"/>
      <c r="Z41" s="84">
        <v>1249.4965</v>
      </c>
      <c r="AA41" s="84">
        <v>2498.9929999999999</v>
      </c>
      <c r="AB41" s="88">
        <v>3.7637285346335898</v>
      </c>
      <c r="AC41" t="s">
        <v>207</v>
      </c>
    </row>
    <row r="42" spans="3:29">
      <c r="C42" t="s">
        <v>209</v>
      </c>
      <c r="D42" t="s">
        <v>192</v>
      </c>
      <c r="E42" s="84">
        <v>3629.99</v>
      </c>
      <c r="F42" s="84">
        <v>1814.9949999999999</v>
      </c>
      <c r="G42" t="s">
        <v>40</v>
      </c>
      <c r="H42" t="s">
        <v>210</v>
      </c>
      <c r="I42" t="s">
        <v>194</v>
      </c>
      <c r="J42" t="s">
        <v>185</v>
      </c>
      <c r="K42" t="s">
        <v>49</v>
      </c>
      <c r="L42" t="s">
        <v>50</v>
      </c>
      <c r="N42">
        <v>180</v>
      </c>
      <c r="O42">
        <v>75</v>
      </c>
      <c r="P42">
        <v>2.4300000000000002</v>
      </c>
      <c r="Q42" s="84" t="e">
        <v>#REF!</v>
      </c>
      <c r="R42" s="85">
        <v>6148937.9726216504</v>
      </c>
      <c r="S42" s="85">
        <v>0</v>
      </c>
      <c r="T42" s="86">
        <v>6148937.9726216504</v>
      </c>
      <c r="U42" s="84">
        <v>409.92919817477701</v>
      </c>
      <c r="V42" s="84">
        <v>2540.9929999999999</v>
      </c>
      <c r="W42" s="84">
        <v>1270.4965</v>
      </c>
      <c r="X42" s="82">
        <v>0.35</v>
      </c>
      <c r="Y42" s="82"/>
      <c r="Z42" s="84">
        <v>1270.4965</v>
      </c>
      <c r="AA42" s="84">
        <v>2540.9929999999999</v>
      </c>
      <c r="AB42" s="88">
        <v>3.09930716244885</v>
      </c>
      <c r="AC42" t="s">
        <v>211</v>
      </c>
    </row>
    <row r="43" spans="3:29">
      <c r="C43" t="s">
        <v>213</v>
      </c>
      <c r="D43" t="s">
        <v>192</v>
      </c>
      <c r="E43" s="84">
        <v>4099.99</v>
      </c>
      <c r="F43" s="84">
        <v>2049.9949999999999</v>
      </c>
      <c r="G43" t="s">
        <v>40</v>
      </c>
      <c r="H43" t="s">
        <v>214</v>
      </c>
      <c r="I43" t="s">
        <v>194</v>
      </c>
      <c r="J43" t="s">
        <v>185</v>
      </c>
      <c r="K43" t="s">
        <v>58</v>
      </c>
      <c r="L43" t="s">
        <v>50</v>
      </c>
      <c r="N43">
        <v>180</v>
      </c>
      <c r="O43">
        <v>75</v>
      </c>
      <c r="P43">
        <v>2.4300000000000002</v>
      </c>
      <c r="Q43" s="84" t="e">
        <v>#REF!</v>
      </c>
      <c r="R43" s="85">
        <v>5825150.3966957303</v>
      </c>
      <c r="S43" s="85">
        <v>0</v>
      </c>
      <c r="T43" s="86">
        <v>5825150.3966957303</v>
      </c>
      <c r="U43" s="84">
        <v>388.343359779715</v>
      </c>
      <c r="V43" s="84">
        <v>2869.9929999999999</v>
      </c>
      <c r="W43" s="84">
        <v>1434.9965</v>
      </c>
      <c r="X43" s="82">
        <v>0.35</v>
      </c>
      <c r="Y43" s="82"/>
      <c r="Z43" s="84">
        <v>1434.9965</v>
      </c>
      <c r="AA43" s="84">
        <v>2869.9929999999999</v>
      </c>
      <c r="AB43" s="88">
        <v>3.6951745507223102</v>
      </c>
      <c r="AC43" t="s">
        <v>195</v>
      </c>
    </row>
    <row r="44" spans="3:29">
      <c r="C44" t="s">
        <v>216</v>
      </c>
      <c r="D44" t="s">
        <v>217</v>
      </c>
      <c r="E44" s="84">
        <v>2519.9899999999998</v>
      </c>
      <c r="F44" s="84">
        <v>1259.9949999999999</v>
      </c>
      <c r="G44" t="s">
        <v>40</v>
      </c>
      <c r="H44" t="s">
        <v>218</v>
      </c>
      <c r="I44" t="s">
        <v>219</v>
      </c>
      <c r="J44" t="s">
        <v>220</v>
      </c>
      <c r="K44" t="s">
        <v>49</v>
      </c>
      <c r="L44" t="s">
        <v>50</v>
      </c>
      <c r="M44">
        <v>240</v>
      </c>
      <c r="N44">
        <v>80</v>
      </c>
      <c r="O44">
        <v>75</v>
      </c>
      <c r="P44">
        <v>1.44</v>
      </c>
      <c r="Q44" s="84" t="e">
        <v>#REF!</v>
      </c>
      <c r="R44" s="85"/>
      <c r="S44" s="85"/>
      <c r="T44" s="86">
        <v>0</v>
      </c>
      <c r="U44" s="84">
        <v>0</v>
      </c>
      <c r="V44" s="84">
        <v>1763.9929999999999</v>
      </c>
      <c r="W44" s="84">
        <v>881.99649999999997</v>
      </c>
      <c r="X44" s="82">
        <v>0.35</v>
      </c>
      <c r="Y44" s="82"/>
      <c r="Z44" s="84">
        <v>881.99649999999997</v>
      </c>
      <c r="AA44" s="84">
        <v>1763.9929999999999</v>
      </c>
      <c r="AB44" s="88" t="e">
        <v>#DIV/0!</v>
      </c>
      <c r="AC44" t="s">
        <v>221</v>
      </c>
    </row>
    <row r="45" spans="3:29">
      <c r="C45" t="s">
        <v>223</v>
      </c>
      <c r="D45" t="s">
        <v>217</v>
      </c>
      <c r="E45" s="84">
        <v>2949.99</v>
      </c>
      <c r="F45" s="84">
        <v>1474.9949999999999</v>
      </c>
      <c r="G45" t="s">
        <v>40</v>
      </c>
      <c r="H45" t="s">
        <v>224</v>
      </c>
      <c r="I45" t="s">
        <v>219</v>
      </c>
      <c r="J45" t="s">
        <v>220</v>
      </c>
      <c r="K45" t="s">
        <v>58</v>
      </c>
      <c r="L45" t="s">
        <v>50</v>
      </c>
      <c r="M45">
        <v>240</v>
      </c>
      <c r="N45">
        <v>80</v>
      </c>
      <c r="O45">
        <v>75</v>
      </c>
      <c r="P45">
        <v>1.44</v>
      </c>
      <c r="Q45" s="84" t="e">
        <v>#REF!</v>
      </c>
      <c r="R45" s="85"/>
      <c r="S45" s="85"/>
      <c r="T45" s="86">
        <v>0</v>
      </c>
      <c r="U45" s="84">
        <v>0</v>
      </c>
      <c r="V45" s="84">
        <v>2064.9929999999999</v>
      </c>
      <c r="W45" s="84">
        <v>1032.4965</v>
      </c>
      <c r="X45" s="82">
        <v>0.35</v>
      </c>
      <c r="Y45" s="82"/>
      <c r="Z45" s="84">
        <v>1032.4965</v>
      </c>
      <c r="AA45" s="84">
        <v>2064.9929999999999</v>
      </c>
      <c r="AB45" s="88" t="e">
        <v>#DIV/0!</v>
      </c>
      <c r="AC45" t="s">
        <v>225</v>
      </c>
    </row>
    <row r="46" spans="3:29">
      <c r="C46" t="s">
        <v>227</v>
      </c>
      <c r="D46" t="s">
        <v>217</v>
      </c>
      <c r="E46" s="84">
        <v>3319.99</v>
      </c>
      <c r="F46" s="84">
        <v>1659.9949999999999</v>
      </c>
      <c r="G46" t="s">
        <v>40</v>
      </c>
      <c r="H46" t="s">
        <v>228</v>
      </c>
      <c r="I46" t="s">
        <v>219</v>
      </c>
      <c r="J46" t="s">
        <v>229</v>
      </c>
      <c r="K46" t="s">
        <v>49</v>
      </c>
      <c r="L46" t="s">
        <v>50</v>
      </c>
      <c r="M46">
        <v>280</v>
      </c>
      <c r="N46">
        <v>80</v>
      </c>
      <c r="O46">
        <v>75</v>
      </c>
      <c r="P46">
        <v>1.68</v>
      </c>
      <c r="Q46" s="84" t="e">
        <v>#REF!</v>
      </c>
      <c r="R46" s="85"/>
      <c r="S46" s="85"/>
      <c r="T46" s="86">
        <v>0</v>
      </c>
      <c r="U46" s="84">
        <v>0</v>
      </c>
      <c r="V46" s="84">
        <v>2323.9929999999999</v>
      </c>
      <c r="W46" s="84">
        <v>1161.9965</v>
      </c>
      <c r="X46" s="82">
        <v>0.35</v>
      </c>
      <c r="Y46" s="82"/>
      <c r="Z46" s="84">
        <v>1161.9965</v>
      </c>
      <c r="AA46" s="84">
        <v>2323.9929999999999</v>
      </c>
      <c r="AB46" s="88" t="e">
        <v>#DIV/0!</v>
      </c>
      <c r="AC46" t="s">
        <v>225</v>
      </c>
    </row>
    <row r="47" spans="3:29">
      <c r="C47" t="s">
        <v>231</v>
      </c>
      <c r="D47" t="s">
        <v>217</v>
      </c>
      <c r="E47" s="84">
        <v>3519.99</v>
      </c>
      <c r="F47" s="84">
        <v>1759.9949999999999</v>
      </c>
      <c r="G47" t="s">
        <v>40</v>
      </c>
      <c r="H47" t="s">
        <v>232</v>
      </c>
      <c r="I47" t="s">
        <v>219</v>
      </c>
      <c r="J47" t="s">
        <v>229</v>
      </c>
      <c r="K47" t="s">
        <v>58</v>
      </c>
      <c r="L47" t="s">
        <v>50</v>
      </c>
      <c r="M47">
        <v>280</v>
      </c>
      <c r="N47">
        <v>80</v>
      </c>
      <c r="O47">
        <v>75</v>
      </c>
      <c r="P47">
        <v>1.68</v>
      </c>
      <c r="Q47" s="84" t="e">
        <v>#REF!</v>
      </c>
      <c r="R47" s="85"/>
      <c r="S47" s="85"/>
      <c r="T47" s="86">
        <v>0</v>
      </c>
      <c r="U47" s="84">
        <v>0</v>
      </c>
      <c r="V47" s="84">
        <v>2463.9929999999999</v>
      </c>
      <c r="W47" s="84">
        <v>1231.9965</v>
      </c>
      <c r="X47" s="82">
        <v>0.35</v>
      </c>
      <c r="Y47" s="82"/>
      <c r="Z47" s="84">
        <v>1231.9965</v>
      </c>
      <c r="AA47" s="84">
        <v>2463.9929999999999</v>
      </c>
      <c r="AB47" s="88" t="e">
        <v>#DIV/0!</v>
      </c>
      <c r="AC47" t="s">
        <v>233</v>
      </c>
    </row>
    <row r="48" spans="3:29">
      <c r="C48" t="s">
        <v>235</v>
      </c>
      <c r="D48" t="s">
        <v>236</v>
      </c>
      <c r="E48" s="84">
        <v>2629.99</v>
      </c>
      <c r="F48" s="84">
        <v>1314.9949999999999</v>
      </c>
      <c r="G48" t="s">
        <v>40</v>
      </c>
      <c r="H48" t="s">
        <v>237</v>
      </c>
      <c r="I48" t="s">
        <v>238</v>
      </c>
      <c r="J48" t="s">
        <v>239</v>
      </c>
      <c r="K48" t="s">
        <v>49</v>
      </c>
      <c r="L48" t="s">
        <v>50</v>
      </c>
      <c r="M48">
        <v>250</v>
      </c>
      <c r="N48">
        <v>85</v>
      </c>
      <c r="O48">
        <v>75</v>
      </c>
      <c r="P48">
        <v>1.59375</v>
      </c>
      <c r="Q48" s="84" t="e">
        <v>#REF!</v>
      </c>
      <c r="R48" s="85">
        <v>4918879.6011451501</v>
      </c>
      <c r="S48" s="85">
        <v>0</v>
      </c>
      <c r="T48" s="86">
        <v>4918879.6011451501</v>
      </c>
      <c r="U48" s="84">
        <v>327.92530674301003</v>
      </c>
      <c r="V48" s="84">
        <v>1840.9929999999999</v>
      </c>
      <c r="W48" s="84">
        <v>920.49649999999997</v>
      </c>
      <c r="X48" s="82">
        <v>0.35</v>
      </c>
      <c r="Y48" s="82"/>
      <c r="Z48" s="84">
        <v>920.49649999999997</v>
      </c>
      <c r="AA48" s="84">
        <v>1840.9929999999999</v>
      </c>
      <c r="AB48" s="88">
        <v>2.8070309947788799</v>
      </c>
      <c r="AC48" t="s">
        <v>240</v>
      </c>
    </row>
    <row r="49" spans="3:29">
      <c r="C49" t="s">
        <v>242</v>
      </c>
      <c r="D49" t="s">
        <v>236</v>
      </c>
      <c r="E49" s="84">
        <v>2709.99</v>
      </c>
      <c r="F49" s="84">
        <v>1354.9949999999999</v>
      </c>
      <c r="G49" t="s">
        <v>40</v>
      </c>
      <c r="H49" t="s">
        <v>243</v>
      </c>
      <c r="I49" t="s">
        <v>238</v>
      </c>
      <c r="J49" t="s">
        <v>239</v>
      </c>
      <c r="K49" t="s">
        <v>58</v>
      </c>
      <c r="L49" t="s">
        <v>50</v>
      </c>
      <c r="M49">
        <v>250</v>
      </c>
      <c r="N49">
        <v>85</v>
      </c>
      <c r="O49">
        <v>75</v>
      </c>
      <c r="P49">
        <v>1.59375</v>
      </c>
      <c r="Q49" s="84" t="e">
        <v>#REF!</v>
      </c>
      <c r="R49" s="85">
        <v>4700350.2927192198</v>
      </c>
      <c r="S49" s="85">
        <v>0</v>
      </c>
      <c r="T49" s="86">
        <v>4700350.2927192198</v>
      </c>
      <c r="U49" s="84">
        <v>313.35668618128102</v>
      </c>
      <c r="V49" s="84">
        <v>1896.9929999999999</v>
      </c>
      <c r="W49" s="84">
        <v>948.49649999999997</v>
      </c>
      <c r="X49" s="82">
        <v>0.35</v>
      </c>
      <c r="Y49" s="82"/>
      <c r="Z49" s="84">
        <v>948.49649999999997</v>
      </c>
      <c r="AA49" s="84">
        <v>1896.9929999999999</v>
      </c>
      <c r="AB49" s="88">
        <v>3.0268908940761499</v>
      </c>
      <c r="AC49" t="s">
        <v>244</v>
      </c>
    </row>
    <row r="50" spans="3:29">
      <c r="C50" t="s">
        <v>246</v>
      </c>
      <c r="D50" t="s">
        <v>247</v>
      </c>
      <c r="E50" s="84">
        <v>1189.99</v>
      </c>
      <c r="F50" s="84">
        <v>594.995</v>
      </c>
      <c r="G50" t="s">
        <v>40</v>
      </c>
      <c r="H50" t="s">
        <v>248</v>
      </c>
      <c r="I50" t="s">
        <v>249</v>
      </c>
      <c r="J50" t="s">
        <v>250</v>
      </c>
      <c r="K50" t="s">
        <v>49</v>
      </c>
      <c r="L50" t="s">
        <v>50</v>
      </c>
      <c r="M50">
        <v>120</v>
      </c>
      <c r="N50">
        <v>70</v>
      </c>
      <c r="O50">
        <v>75</v>
      </c>
      <c r="P50">
        <v>0.63</v>
      </c>
      <c r="Q50" s="84" t="e">
        <v>#REF!</v>
      </c>
      <c r="R50" s="85">
        <v>2242816.8710493199</v>
      </c>
      <c r="S50" s="85">
        <v>0</v>
      </c>
      <c r="T50" s="86">
        <v>2242816.8710493199</v>
      </c>
      <c r="U50" s="84">
        <v>149.521124736621</v>
      </c>
      <c r="V50" s="84">
        <v>832.99300000000005</v>
      </c>
      <c r="W50" s="84">
        <v>416.49650000000003</v>
      </c>
      <c r="X50" s="82">
        <v>0.35</v>
      </c>
      <c r="Y50" s="82"/>
      <c r="Z50" s="84">
        <v>416.49650000000003</v>
      </c>
      <c r="AA50" s="84">
        <v>832.99300000000005</v>
      </c>
      <c r="AB50" s="88">
        <v>2.78553616242288</v>
      </c>
      <c r="AC50" t="s">
        <v>251</v>
      </c>
    </row>
    <row r="51" spans="3:29">
      <c r="C51" t="s">
        <v>253</v>
      </c>
      <c r="D51" t="s">
        <v>247</v>
      </c>
      <c r="E51" s="84">
        <v>1299.99</v>
      </c>
      <c r="F51" s="84">
        <v>649.995</v>
      </c>
      <c r="G51" t="s">
        <v>40</v>
      </c>
      <c r="H51" t="s">
        <v>254</v>
      </c>
      <c r="I51" t="s">
        <v>249</v>
      </c>
      <c r="J51" t="s">
        <v>250</v>
      </c>
      <c r="K51" t="s">
        <v>58</v>
      </c>
      <c r="L51" t="s">
        <v>50</v>
      </c>
      <c r="M51">
        <v>120</v>
      </c>
      <c r="N51">
        <v>70</v>
      </c>
      <c r="O51">
        <v>75</v>
      </c>
      <c r="P51">
        <v>0.63</v>
      </c>
      <c r="Q51" s="84" t="e">
        <v>#REF!</v>
      </c>
      <c r="R51" s="85">
        <v>2162306.7689263802</v>
      </c>
      <c r="S51" s="85">
        <v>0</v>
      </c>
      <c r="T51" s="86">
        <v>2162306.7689263802</v>
      </c>
      <c r="U51" s="84">
        <v>144.15378459509199</v>
      </c>
      <c r="V51" s="84">
        <v>909.99300000000005</v>
      </c>
      <c r="W51" s="84">
        <v>454.99650000000003</v>
      </c>
      <c r="X51" s="82">
        <v>0.35</v>
      </c>
      <c r="Y51" s="82"/>
      <c r="Z51" s="84">
        <v>454.99650000000003</v>
      </c>
      <c r="AA51" s="84">
        <v>909.99300000000005</v>
      </c>
      <c r="AB51" s="88">
        <v>3.15632712160851</v>
      </c>
      <c r="AC51" t="s">
        <v>255</v>
      </c>
    </row>
    <row r="52" spans="3:29">
      <c r="C52" t="s">
        <v>257</v>
      </c>
      <c r="D52" t="s">
        <v>247</v>
      </c>
      <c r="E52" s="84">
        <v>1429.99</v>
      </c>
      <c r="F52" s="84">
        <v>714.995</v>
      </c>
      <c r="G52" t="s">
        <v>40</v>
      </c>
      <c r="H52" t="s">
        <v>258</v>
      </c>
      <c r="I52" t="s">
        <v>249</v>
      </c>
      <c r="J52" t="s">
        <v>259</v>
      </c>
      <c r="K52" t="s">
        <v>49</v>
      </c>
      <c r="L52" t="s">
        <v>50</v>
      </c>
      <c r="M52">
        <v>140</v>
      </c>
      <c r="N52">
        <v>80</v>
      </c>
      <c r="O52">
        <v>75</v>
      </c>
      <c r="P52">
        <v>0.84</v>
      </c>
      <c r="Q52" s="84" t="e">
        <v>#REF!</v>
      </c>
      <c r="R52" s="85">
        <v>2559766.4337862399</v>
      </c>
      <c r="S52" s="85">
        <v>0</v>
      </c>
      <c r="T52" s="86">
        <v>2559766.4337862399</v>
      </c>
      <c r="U52" s="84">
        <v>170.651095585749</v>
      </c>
      <c r="V52" s="84">
        <v>1000.9930000000001</v>
      </c>
      <c r="W52" s="84">
        <v>500.49650000000003</v>
      </c>
      <c r="X52" s="82">
        <v>0.35</v>
      </c>
      <c r="Y52" s="82"/>
      <c r="Z52" s="84">
        <v>500.49650000000003</v>
      </c>
      <c r="AA52" s="84">
        <v>1000.9930000000001</v>
      </c>
      <c r="AB52" s="88">
        <v>2.9328642648444601</v>
      </c>
      <c r="AC52" t="s">
        <v>260</v>
      </c>
    </row>
    <row r="53" spans="3:29">
      <c r="C53" t="s">
        <v>262</v>
      </c>
      <c r="D53" t="s">
        <v>247</v>
      </c>
      <c r="E53" s="84">
        <v>1569.99</v>
      </c>
      <c r="F53" s="84">
        <v>784.995</v>
      </c>
      <c r="G53" t="s">
        <v>40</v>
      </c>
      <c r="H53" t="s">
        <v>263</v>
      </c>
      <c r="I53" t="s">
        <v>249</v>
      </c>
      <c r="J53" t="s">
        <v>259</v>
      </c>
      <c r="K53" t="s">
        <v>58</v>
      </c>
      <c r="L53" t="s">
        <v>50</v>
      </c>
      <c r="M53">
        <v>140</v>
      </c>
      <c r="N53">
        <v>80</v>
      </c>
      <c r="O53">
        <v>75</v>
      </c>
      <c r="P53">
        <v>0.84</v>
      </c>
      <c r="Q53" s="84" t="e">
        <v>#REF!</v>
      </c>
      <c r="R53" s="85">
        <v>2443129.2951288298</v>
      </c>
      <c r="S53" s="85">
        <v>0</v>
      </c>
      <c r="T53" s="86">
        <v>2443129.2951288298</v>
      </c>
      <c r="U53" s="84">
        <v>162.87528634192199</v>
      </c>
      <c r="V53" s="84">
        <v>1098.9929999999999</v>
      </c>
      <c r="W53" s="84">
        <v>549.49649999999997</v>
      </c>
      <c r="X53" s="82">
        <v>0.35</v>
      </c>
      <c r="Y53" s="82"/>
      <c r="Z53" s="84">
        <v>549.49649999999997</v>
      </c>
      <c r="AA53" s="84">
        <v>1098.9929999999999</v>
      </c>
      <c r="AB53" s="88">
        <v>3.3737254579338001</v>
      </c>
      <c r="AC53" t="s">
        <v>251</v>
      </c>
    </row>
    <row r="54" spans="3:29">
      <c r="C54" t="s">
        <v>265</v>
      </c>
      <c r="D54" t="s">
        <v>266</v>
      </c>
      <c r="E54" s="84">
        <v>889.99</v>
      </c>
      <c r="F54" s="84">
        <v>444.995</v>
      </c>
      <c r="G54" t="s">
        <v>40</v>
      </c>
      <c r="H54" t="s">
        <v>267</v>
      </c>
      <c r="I54" t="s">
        <v>268</v>
      </c>
      <c r="J54" t="s">
        <v>269</v>
      </c>
      <c r="K54" t="s">
        <v>49</v>
      </c>
      <c r="L54" t="s">
        <v>50</v>
      </c>
      <c r="N54">
        <v>70</v>
      </c>
      <c r="O54">
        <v>75</v>
      </c>
      <c r="P54">
        <v>0.36749999999999999</v>
      </c>
      <c r="Q54" s="84" t="e">
        <v>#REF!</v>
      </c>
      <c r="R54" s="85"/>
      <c r="S54" s="85"/>
      <c r="T54" s="86">
        <v>0</v>
      </c>
      <c r="U54" s="84">
        <v>0</v>
      </c>
      <c r="V54" s="84">
        <v>622.99300000000005</v>
      </c>
      <c r="W54" s="84">
        <v>311.49650000000003</v>
      </c>
      <c r="X54" s="82">
        <v>0.35</v>
      </c>
      <c r="Y54" s="82"/>
      <c r="Z54" s="84">
        <v>311.49650000000003</v>
      </c>
      <c r="AA54" s="84">
        <v>622.99300000000005</v>
      </c>
      <c r="AB54" s="88" t="e">
        <v>#DIV/0!</v>
      </c>
      <c r="AC54" t="s">
        <v>270</v>
      </c>
    </row>
    <row r="55" spans="3:29">
      <c r="C55" t="s">
        <v>272</v>
      </c>
      <c r="D55" t="s">
        <v>266</v>
      </c>
      <c r="E55" s="84">
        <v>919.99</v>
      </c>
      <c r="F55" s="84">
        <v>459.995</v>
      </c>
      <c r="G55" t="s">
        <v>40</v>
      </c>
      <c r="H55" t="s">
        <v>273</v>
      </c>
      <c r="I55" t="s">
        <v>268</v>
      </c>
      <c r="J55" t="s">
        <v>269</v>
      </c>
      <c r="K55" t="s">
        <v>58</v>
      </c>
      <c r="L55" t="s">
        <v>50</v>
      </c>
      <c r="N55">
        <v>70</v>
      </c>
      <c r="O55">
        <v>75</v>
      </c>
      <c r="P55">
        <v>0.36749999999999999</v>
      </c>
      <c r="Q55" s="84" t="e">
        <v>#REF!</v>
      </c>
      <c r="R55" s="85"/>
      <c r="S55" s="85"/>
      <c r="T55" s="86">
        <v>0</v>
      </c>
      <c r="U55" s="84">
        <v>0</v>
      </c>
      <c r="V55" s="84">
        <v>643.99300000000005</v>
      </c>
      <c r="W55" s="84">
        <v>321.99650000000003</v>
      </c>
      <c r="X55" s="82">
        <v>0.35</v>
      </c>
      <c r="Y55" s="82"/>
      <c r="Z55" s="84">
        <v>321.99650000000003</v>
      </c>
      <c r="AA55" s="84">
        <v>643.99300000000005</v>
      </c>
      <c r="AB55" s="88" t="e">
        <v>#DIV/0!</v>
      </c>
      <c r="AC55" t="s">
        <v>274</v>
      </c>
    </row>
    <row r="56" spans="3:29">
      <c r="C56" t="s">
        <v>276</v>
      </c>
      <c r="D56" t="s">
        <v>266</v>
      </c>
      <c r="E56" s="84">
        <v>939.99</v>
      </c>
      <c r="F56" s="84">
        <v>469.995</v>
      </c>
      <c r="G56" t="s">
        <v>40</v>
      </c>
      <c r="H56" t="s">
        <v>277</v>
      </c>
      <c r="I56" t="s">
        <v>268</v>
      </c>
      <c r="J56" t="s">
        <v>278</v>
      </c>
      <c r="K56" t="s">
        <v>49</v>
      </c>
      <c r="L56" t="s">
        <v>50</v>
      </c>
      <c r="N56">
        <v>76</v>
      </c>
      <c r="O56">
        <v>75</v>
      </c>
      <c r="P56">
        <v>0.43319999999999997</v>
      </c>
      <c r="Q56" s="84" t="e">
        <v>#REF!</v>
      </c>
      <c r="R56" s="85"/>
      <c r="S56" s="82"/>
      <c r="T56" s="86">
        <v>0</v>
      </c>
      <c r="U56" s="84">
        <v>0</v>
      </c>
      <c r="V56" s="84">
        <v>657.99300000000005</v>
      </c>
      <c r="W56" s="84">
        <v>328.99650000000003</v>
      </c>
      <c r="X56" s="82">
        <v>0.35</v>
      </c>
      <c r="Y56" s="82"/>
      <c r="Z56" s="84">
        <v>328.99650000000003</v>
      </c>
      <c r="AA56" s="84">
        <v>657.99300000000005</v>
      </c>
      <c r="AB56" s="88" t="e">
        <v>#DIV/0!</v>
      </c>
      <c r="AC56" t="s">
        <v>274</v>
      </c>
    </row>
    <row r="57" spans="3:29">
      <c r="C57" t="s">
        <v>280</v>
      </c>
      <c r="D57" t="s">
        <v>266</v>
      </c>
      <c r="E57" s="84">
        <v>1089.99</v>
      </c>
      <c r="F57" s="84">
        <v>544.995</v>
      </c>
      <c r="G57" t="s">
        <v>40</v>
      </c>
      <c r="H57" t="s">
        <v>281</v>
      </c>
      <c r="I57" t="s">
        <v>268</v>
      </c>
      <c r="J57" t="s">
        <v>278</v>
      </c>
      <c r="K57" t="s">
        <v>58</v>
      </c>
      <c r="L57" t="s">
        <v>50</v>
      </c>
      <c r="N57">
        <v>76</v>
      </c>
      <c r="O57">
        <v>75</v>
      </c>
      <c r="P57">
        <v>0.43319999999999997</v>
      </c>
      <c r="Q57" s="84" t="e">
        <v>#REF!</v>
      </c>
      <c r="R57" s="85"/>
      <c r="S57" s="85"/>
      <c r="T57" s="86">
        <v>0</v>
      </c>
      <c r="U57" s="84">
        <v>0</v>
      </c>
      <c r="V57" s="84">
        <v>762.99300000000005</v>
      </c>
      <c r="W57" s="84">
        <v>381.49650000000003</v>
      </c>
      <c r="X57" s="82">
        <v>0.35</v>
      </c>
      <c r="Y57" s="82"/>
      <c r="Z57" s="84">
        <v>381.49650000000003</v>
      </c>
      <c r="AA57" s="84">
        <v>762.99300000000005</v>
      </c>
      <c r="AB57" s="88" t="e">
        <v>#DIV/0!</v>
      </c>
      <c r="AC57" t="s">
        <v>274</v>
      </c>
    </row>
    <row r="58" spans="3:29">
      <c r="C58" t="s">
        <v>283</v>
      </c>
      <c r="D58" t="s">
        <v>266</v>
      </c>
      <c r="E58" s="84">
        <v>1199.99</v>
      </c>
      <c r="F58" s="84">
        <v>599.995</v>
      </c>
      <c r="G58" t="s">
        <v>40</v>
      </c>
      <c r="H58" t="s">
        <v>284</v>
      </c>
      <c r="I58" t="s">
        <v>268</v>
      </c>
      <c r="J58" t="s">
        <v>80</v>
      </c>
      <c r="K58" t="s">
        <v>49</v>
      </c>
      <c r="L58" t="s">
        <v>50</v>
      </c>
      <c r="N58">
        <v>90</v>
      </c>
      <c r="O58">
        <v>75</v>
      </c>
      <c r="P58">
        <v>0.60750000000000004</v>
      </c>
      <c r="Q58" s="84" t="e">
        <v>#REF!</v>
      </c>
      <c r="R58" s="85"/>
      <c r="S58" s="85"/>
      <c r="T58" s="86">
        <v>0</v>
      </c>
      <c r="U58" s="84">
        <v>0</v>
      </c>
      <c r="V58" s="84">
        <v>839.99300000000005</v>
      </c>
      <c r="W58" s="84">
        <v>419.99650000000003</v>
      </c>
      <c r="X58" s="82">
        <v>0.35</v>
      </c>
      <c r="Y58" s="82"/>
      <c r="Z58" s="84">
        <v>419.99650000000003</v>
      </c>
      <c r="AA58" s="84">
        <v>839.99300000000005</v>
      </c>
      <c r="AB58" s="88" t="e">
        <v>#DIV/0!</v>
      </c>
      <c r="AC58" t="s">
        <v>274</v>
      </c>
    </row>
    <row r="59" spans="3:29">
      <c r="C59" t="s">
        <v>286</v>
      </c>
      <c r="D59" t="s">
        <v>266</v>
      </c>
      <c r="E59" s="84">
        <v>1379.99</v>
      </c>
      <c r="F59" s="84">
        <v>689.995</v>
      </c>
      <c r="G59" t="s">
        <v>40</v>
      </c>
      <c r="H59" t="s">
        <v>287</v>
      </c>
      <c r="I59" t="s">
        <v>268</v>
      </c>
      <c r="J59" t="s">
        <v>80</v>
      </c>
      <c r="K59" t="s">
        <v>58</v>
      </c>
      <c r="L59" t="s">
        <v>50</v>
      </c>
      <c r="N59">
        <v>90</v>
      </c>
      <c r="O59">
        <v>75</v>
      </c>
      <c r="P59">
        <v>0.60750000000000004</v>
      </c>
      <c r="Q59" s="84" t="e">
        <v>#REF!</v>
      </c>
      <c r="R59" s="85"/>
      <c r="S59" s="85"/>
      <c r="T59" s="86">
        <v>0</v>
      </c>
      <c r="U59" s="84">
        <v>0</v>
      </c>
      <c r="V59" s="84">
        <v>965.99300000000005</v>
      </c>
      <c r="W59" s="84">
        <v>482.99650000000003</v>
      </c>
      <c r="X59" s="82">
        <v>0.35</v>
      </c>
      <c r="Y59" s="82"/>
      <c r="Z59" s="84">
        <v>482.99650000000003</v>
      </c>
      <c r="AA59" s="84">
        <v>965.99300000000005</v>
      </c>
      <c r="AB59" s="88" t="e">
        <v>#DIV/0!</v>
      </c>
      <c r="AC59" t="s">
        <v>274</v>
      </c>
    </row>
    <row r="60" spans="3:29">
      <c r="C60" t="s">
        <v>289</v>
      </c>
      <c r="D60" t="s">
        <v>266</v>
      </c>
      <c r="E60" s="84">
        <v>1369.99</v>
      </c>
      <c r="F60" s="84">
        <v>684.995</v>
      </c>
      <c r="G60" t="s">
        <v>40</v>
      </c>
      <c r="H60" t="s">
        <v>290</v>
      </c>
      <c r="I60" t="s">
        <v>268</v>
      </c>
      <c r="J60" t="s">
        <v>291</v>
      </c>
      <c r="K60" t="s">
        <v>49</v>
      </c>
      <c r="L60" t="s">
        <v>50</v>
      </c>
      <c r="N60">
        <v>101</v>
      </c>
      <c r="O60">
        <v>75</v>
      </c>
      <c r="P60">
        <v>0.76507499999999995</v>
      </c>
      <c r="Q60" s="84" t="e">
        <v>#REF!</v>
      </c>
      <c r="R60" s="85"/>
      <c r="S60" s="85"/>
      <c r="T60" s="86">
        <v>0</v>
      </c>
      <c r="U60" s="84">
        <v>0</v>
      </c>
      <c r="V60" s="84">
        <v>958.99300000000005</v>
      </c>
      <c r="W60" s="84">
        <v>479.49650000000003</v>
      </c>
      <c r="X60" s="82">
        <v>0.35</v>
      </c>
      <c r="Y60" s="82"/>
      <c r="Z60" s="84">
        <v>479.49650000000003</v>
      </c>
      <c r="AA60" s="84">
        <v>958.99300000000005</v>
      </c>
      <c r="AB60" s="88" t="e">
        <v>#DIV/0!</v>
      </c>
      <c r="AC60" t="s">
        <v>292</v>
      </c>
    </row>
    <row r="61" spans="3:29">
      <c r="C61" t="s">
        <v>294</v>
      </c>
      <c r="D61" t="s">
        <v>266</v>
      </c>
      <c r="E61" s="84">
        <v>1439.99</v>
      </c>
      <c r="F61" s="84">
        <v>719.995</v>
      </c>
      <c r="G61" t="s">
        <v>40</v>
      </c>
      <c r="H61" t="s">
        <v>295</v>
      </c>
      <c r="I61" t="s">
        <v>268</v>
      </c>
      <c r="J61" t="s">
        <v>291</v>
      </c>
      <c r="K61" t="s">
        <v>58</v>
      </c>
      <c r="L61" t="s">
        <v>50</v>
      </c>
      <c r="N61">
        <v>101</v>
      </c>
      <c r="O61">
        <v>75</v>
      </c>
      <c r="P61">
        <v>0.76507499999999995</v>
      </c>
      <c r="Q61" s="84" t="e">
        <v>#REF!</v>
      </c>
      <c r="R61" s="85"/>
      <c r="S61" s="85"/>
      <c r="T61" s="86">
        <v>0</v>
      </c>
      <c r="U61" s="84">
        <v>0</v>
      </c>
      <c r="V61" s="84">
        <v>1007.9930000000001</v>
      </c>
      <c r="W61" s="84">
        <v>503.99650000000003</v>
      </c>
      <c r="X61" s="82">
        <v>0.35</v>
      </c>
      <c r="Y61" s="82"/>
      <c r="Z61" s="84">
        <v>503.99650000000003</v>
      </c>
      <c r="AA61" s="84">
        <v>1007.9930000000001</v>
      </c>
      <c r="AB61" s="88" t="e">
        <v>#DIV/0!</v>
      </c>
      <c r="AC61" t="s">
        <v>270</v>
      </c>
    </row>
    <row r="62" spans="3:29">
      <c r="C62" t="s">
        <v>297</v>
      </c>
      <c r="D62" t="s">
        <v>266</v>
      </c>
      <c r="E62" s="84">
        <v>1919.99</v>
      </c>
      <c r="F62" s="84">
        <v>959.995</v>
      </c>
      <c r="G62" t="s">
        <v>40</v>
      </c>
      <c r="H62" t="s">
        <v>298</v>
      </c>
      <c r="I62" t="s">
        <v>268</v>
      </c>
      <c r="J62" t="s">
        <v>299</v>
      </c>
      <c r="K62" t="s">
        <v>49</v>
      </c>
      <c r="L62" t="s">
        <v>50</v>
      </c>
      <c r="N62">
        <v>130</v>
      </c>
      <c r="O62">
        <v>75</v>
      </c>
      <c r="P62">
        <v>1.2675000000000001</v>
      </c>
      <c r="Q62" s="84" t="e">
        <v>#REF!</v>
      </c>
      <c r="R62" s="85"/>
      <c r="S62" s="85"/>
      <c r="T62" s="86">
        <v>0</v>
      </c>
      <c r="U62" s="84">
        <v>0</v>
      </c>
      <c r="V62" s="84">
        <v>1343.9929999999999</v>
      </c>
      <c r="W62" s="84">
        <v>671.99649999999997</v>
      </c>
      <c r="X62" s="82">
        <v>0.35</v>
      </c>
      <c r="Y62" s="82"/>
      <c r="Z62" s="84">
        <v>671.99649999999997</v>
      </c>
      <c r="AA62" s="84">
        <v>1343.9929999999999</v>
      </c>
      <c r="AB62" s="88" t="e">
        <v>#DIV/0!</v>
      </c>
      <c r="AC62" t="s">
        <v>300</v>
      </c>
    </row>
    <row r="63" spans="3:29">
      <c r="C63" t="s">
        <v>302</v>
      </c>
      <c r="D63" t="s">
        <v>266</v>
      </c>
      <c r="E63" s="84">
        <v>2069.9899999999998</v>
      </c>
      <c r="F63" s="84">
        <v>1034.9949999999999</v>
      </c>
      <c r="G63" t="s">
        <v>40</v>
      </c>
      <c r="H63" t="s">
        <v>303</v>
      </c>
      <c r="I63" t="s">
        <v>268</v>
      </c>
      <c r="J63" t="s">
        <v>299</v>
      </c>
      <c r="K63" t="s">
        <v>58</v>
      </c>
      <c r="L63" t="s">
        <v>50</v>
      </c>
      <c r="N63">
        <v>130</v>
      </c>
      <c r="O63">
        <v>75</v>
      </c>
      <c r="P63">
        <v>1.2675000000000001</v>
      </c>
      <c r="Q63" s="84" t="e">
        <v>#REF!</v>
      </c>
      <c r="R63" s="85"/>
      <c r="S63" s="85"/>
      <c r="T63" s="86">
        <v>0</v>
      </c>
      <c r="U63" s="84">
        <v>0</v>
      </c>
      <c r="V63" s="84">
        <v>1448.9929999999999</v>
      </c>
      <c r="W63" s="84">
        <v>724.49649999999997</v>
      </c>
      <c r="X63" s="82">
        <v>0.35</v>
      </c>
      <c r="Y63" s="82"/>
      <c r="Z63" s="84">
        <v>724.49649999999997</v>
      </c>
      <c r="AA63" s="84">
        <v>1448.9929999999999</v>
      </c>
      <c r="AB63" s="88" t="e">
        <v>#DIV/0!</v>
      </c>
      <c r="AC63" t="s">
        <v>300</v>
      </c>
    </row>
    <row r="64" spans="3:29">
      <c r="C64" t="s">
        <v>305</v>
      </c>
      <c r="D64" t="s">
        <v>306</v>
      </c>
      <c r="E64" s="84">
        <v>959.99</v>
      </c>
      <c r="F64" s="84">
        <v>479.995</v>
      </c>
      <c r="G64" t="s">
        <v>40</v>
      </c>
      <c r="H64" t="s">
        <v>307</v>
      </c>
      <c r="I64" t="s">
        <v>308</v>
      </c>
      <c r="J64" t="s">
        <v>309</v>
      </c>
      <c r="K64" t="s">
        <v>49</v>
      </c>
      <c r="L64" t="s">
        <v>50</v>
      </c>
      <c r="M64">
        <v>70</v>
      </c>
      <c r="N64">
        <v>70</v>
      </c>
      <c r="O64">
        <v>75</v>
      </c>
      <c r="P64">
        <v>0.36749999999999999</v>
      </c>
      <c r="Q64" s="84" t="e">
        <v>#REF!</v>
      </c>
      <c r="R64" s="85">
        <v>1678534.45178936</v>
      </c>
      <c r="S64" s="85">
        <v>0</v>
      </c>
      <c r="T64" s="86">
        <v>1678534.45178936</v>
      </c>
      <c r="U64" s="84">
        <v>111.90229678595701</v>
      </c>
      <c r="V64" s="84">
        <v>671.99300000000005</v>
      </c>
      <c r="W64" s="84">
        <v>335.99650000000003</v>
      </c>
      <c r="X64" s="82">
        <v>0.35</v>
      </c>
      <c r="Y64" s="82"/>
      <c r="Z64" s="84">
        <v>335.99650000000003</v>
      </c>
      <c r="AA64" s="84">
        <v>671.99300000000005</v>
      </c>
      <c r="AB64" s="88">
        <v>3.0025880580689299</v>
      </c>
      <c r="AC64" t="s">
        <v>310</v>
      </c>
    </row>
    <row r="65" spans="3:29">
      <c r="C65" t="s">
        <v>312</v>
      </c>
      <c r="D65" t="s">
        <v>306</v>
      </c>
      <c r="E65" s="84">
        <v>1019.99</v>
      </c>
      <c r="F65" s="84">
        <v>509.995</v>
      </c>
      <c r="G65" t="s">
        <v>40</v>
      </c>
      <c r="H65" t="s">
        <v>313</v>
      </c>
      <c r="I65" t="s">
        <v>308</v>
      </c>
      <c r="J65" t="s">
        <v>309</v>
      </c>
      <c r="K65" t="s">
        <v>58</v>
      </c>
      <c r="L65" t="s">
        <v>50</v>
      </c>
      <c r="M65">
        <v>70</v>
      </c>
      <c r="N65">
        <v>70</v>
      </c>
      <c r="O65">
        <v>75</v>
      </c>
      <c r="P65">
        <v>0.36749999999999999</v>
      </c>
      <c r="Q65" s="84" t="e">
        <v>#REF!</v>
      </c>
      <c r="R65" s="85">
        <v>1626327.5433634301</v>
      </c>
      <c r="S65" s="85">
        <v>0</v>
      </c>
      <c r="T65" s="86">
        <v>1626327.5433634301</v>
      </c>
      <c r="U65" s="84">
        <v>108.421836224229</v>
      </c>
      <c r="V65" s="84">
        <v>713.99300000000005</v>
      </c>
      <c r="W65" s="84">
        <v>356.99650000000003</v>
      </c>
      <c r="X65" s="82">
        <v>0.35</v>
      </c>
      <c r="Y65" s="82"/>
      <c r="Z65" s="84">
        <v>356.99650000000003</v>
      </c>
      <c r="AA65" s="84">
        <v>713.99300000000005</v>
      </c>
      <c r="AB65" s="88">
        <v>3.2926623679541001</v>
      </c>
      <c r="AC65" t="s">
        <v>314</v>
      </c>
    </row>
    <row r="66" spans="3:29">
      <c r="C66" t="s">
        <v>316</v>
      </c>
      <c r="D66" t="s">
        <v>306</v>
      </c>
      <c r="E66" s="84">
        <v>1029.99</v>
      </c>
      <c r="F66" s="84">
        <v>514.995</v>
      </c>
      <c r="G66" t="s">
        <v>40</v>
      </c>
      <c r="H66" t="s">
        <v>317</v>
      </c>
      <c r="I66" t="s">
        <v>308</v>
      </c>
      <c r="J66" t="s">
        <v>318</v>
      </c>
      <c r="K66" t="s">
        <v>49</v>
      </c>
      <c r="L66" t="s">
        <v>50</v>
      </c>
      <c r="M66">
        <v>80</v>
      </c>
      <c r="N66">
        <v>80</v>
      </c>
      <c r="O66">
        <v>75</v>
      </c>
      <c r="P66">
        <v>0.48</v>
      </c>
      <c r="Q66" s="84" t="e">
        <v>#REF!</v>
      </c>
      <c r="R66" s="85">
        <v>1867996.45397441</v>
      </c>
      <c r="S66" s="85">
        <v>0</v>
      </c>
      <c r="T66" s="86">
        <v>1867996.45397441</v>
      </c>
      <c r="U66" s="84">
        <v>124.53309693162799</v>
      </c>
      <c r="V66" s="84">
        <v>720.99300000000005</v>
      </c>
      <c r="W66" s="84">
        <v>360.49650000000003</v>
      </c>
      <c r="X66" s="82">
        <v>0.35</v>
      </c>
      <c r="Y66" s="82"/>
      <c r="Z66" s="84">
        <v>360.49650000000003</v>
      </c>
      <c r="AA66" s="84">
        <v>720.99300000000005</v>
      </c>
      <c r="AB66" s="88">
        <v>2.8947846707604401</v>
      </c>
      <c r="AC66" t="s">
        <v>319</v>
      </c>
    </row>
    <row r="67" spans="3:29">
      <c r="C67" t="s">
        <v>321</v>
      </c>
      <c r="D67" t="s">
        <v>306</v>
      </c>
      <c r="E67" s="84">
        <v>1109.99</v>
      </c>
      <c r="F67" s="84">
        <v>554.995</v>
      </c>
      <c r="G67" t="s">
        <v>40</v>
      </c>
      <c r="H67" t="s">
        <v>322</v>
      </c>
      <c r="I67" t="s">
        <v>308</v>
      </c>
      <c r="J67" t="s">
        <v>318</v>
      </c>
      <c r="K67" t="s">
        <v>58</v>
      </c>
      <c r="L67" t="s">
        <v>50</v>
      </c>
      <c r="M67">
        <v>80</v>
      </c>
      <c r="N67">
        <v>80</v>
      </c>
      <c r="O67">
        <v>75</v>
      </c>
      <c r="P67">
        <v>0.48</v>
      </c>
      <c r="Q67" s="84" t="e">
        <v>#REF!</v>
      </c>
      <c r="R67" s="85">
        <v>1797507.35976145</v>
      </c>
      <c r="S67" s="85">
        <v>0</v>
      </c>
      <c r="T67" s="86">
        <v>1797507.35976145</v>
      </c>
      <c r="U67" s="84">
        <v>119.83382398409699</v>
      </c>
      <c r="V67" s="84">
        <v>776.99300000000005</v>
      </c>
      <c r="W67" s="84">
        <v>388.49650000000003</v>
      </c>
      <c r="X67" s="82">
        <v>0.35</v>
      </c>
      <c r="Y67" s="82"/>
      <c r="Z67" s="84">
        <v>388.49650000000003</v>
      </c>
      <c r="AA67" s="84">
        <v>776.99300000000005</v>
      </c>
      <c r="AB67" s="88">
        <v>3.2419603003869599</v>
      </c>
      <c r="AC67" t="s">
        <v>314</v>
      </c>
    </row>
    <row r="68" spans="3:29">
      <c r="C68" t="s">
        <v>324</v>
      </c>
      <c r="D68" t="s">
        <v>306</v>
      </c>
      <c r="E68" s="84">
        <v>1309.99</v>
      </c>
      <c r="F68" s="84">
        <v>654.995</v>
      </c>
      <c r="G68" t="s">
        <v>40</v>
      </c>
      <c r="H68" t="s">
        <v>325</v>
      </c>
      <c r="I68" t="s">
        <v>308</v>
      </c>
      <c r="J68" t="s">
        <v>326</v>
      </c>
      <c r="K68" t="s">
        <v>49</v>
      </c>
      <c r="L68" t="s">
        <v>50</v>
      </c>
      <c r="M68">
        <v>90</v>
      </c>
      <c r="N68">
        <v>90</v>
      </c>
      <c r="O68">
        <v>75</v>
      </c>
      <c r="P68">
        <v>0.60750000000000004</v>
      </c>
      <c r="Q68" s="84" t="e">
        <v>#REF!</v>
      </c>
      <c r="R68" s="85">
        <v>2099495.2221617298</v>
      </c>
      <c r="S68" s="85">
        <v>0</v>
      </c>
      <c r="T68" s="86">
        <v>2099495.2221617298</v>
      </c>
      <c r="U68" s="84">
        <v>139.96634814411499</v>
      </c>
      <c r="V68" s="84">
        <v>916.99300000000005</v>
      </c>
      <c r="W68" s="84">
        <v>458.49650000000003</v>
      </c>
      <c r="X68" s="82">
        <v>0.35</v>
      </c>
      <c r="Y68" s="82"/>
      <c r="Z68" s="84">
        <v>458.49650000000003</v>
      </c>
      <c r="AA68" s="84">
        <v>916.99300000000005</v>
      </c>
      <c r="AB68" s="88">
        <v>3.2757623963148101</v>
      </c>
      <c r="AC68" t="s">
        <v>327</v>
      </c>
    </row>
    <row r="69" spans="3:29">
      <c r="C69" t="s">
        <v>329</v>
      </c>
      <c r="D69" t="s">
        <v>306</v>
      </c>
      <c r="E69" s="84">
        <v>1549.99</v>
      </c>
      <c r="F69" s="84">
        <v>774.995</v>
      </c>
      <c r="G69" t="s">
        <v>40</v>
      </c>
      <c r="H69" t="s">
        <v>330</v>
      </c>
      <c r="I69" t="s">
        <v>308</v>
      </c>
      <c r="J69" t="s">
        <v>326</v>
      </c>
      <c r="K69" t="s">
        <v>58</v>
      </c>
      <c r="L69" t="s">
        <v>50</v>
      </c>
      <c r="M69">
        <v>90</v>
      </c>
      <c r="N69">
        <v>90</v>
      </c>
      <c r="O69">
        <v>75</v>
      </c>
      <c r="P69">
        <v>0.60750000000000004</v>
      </c>
      <c r="Q69" s="84" t="e">
        <v>#REF!</v>
      </c>
      <c r="R69" s="85">
        <v>2043990.49591173</v>
      </c>
      <c r="S69" s="85">
        <v>0</v>
      </c>
      <c r="T69" s="86">
        <v>2043990.49591173</v>
      </c>
      <c r="U69" s="84">
        <v>136.26603306078201</v>
      </c>
      <c r="V69" s="84">
        <v>1084.9929999999999</v>
      </c>
      <c r="W69" s="84">
        <v>542.49649999999997</v>
      </c>
      <c r="X69" s="82">
        <v>0.35</v>
      </c>
      <c r="Y69" s="82"/>
      <c r="Z69" s="84">
        <v>542.49649999999997</v>
      </c>
      <c r="AA69" s="84">
        <v>1084.9929999999999</v>
      </c>
      <c r="AB69" s="88">
        <v>3.9811572100144499</v>
      </c>
      <c r="AC69" t="s">
        <v>314</v>
      </c>
    </row>
    <row r="70" spans="3:29">
      <c r="C70" t="s">
        <v>332</v>
      </c>
      <c r="D70" t="s">
        <v>306</v>
      </c>
      <c r="E70" s="84">
        <v>2159.9899999999998</v>
      </c>
      <c r="F70" s="84">
        <v>1079.9949999999999</v>
      </c>
      <c r="G70" t="s">
        <v>40</v>
      </c>
      <c r="H70" t="s">
        <v>333</v>
      </c>
      <c r="I70" t="s">
        <v>308</v>
      </c>
      <c r="J70" t="s">
        <v>334</v>
      </c>
      <c r="K70" t="s">
        <v>49</v>
      </c>
      <c r="L70" t="s">
        <v>50</v>
      </c>
      <c r="M70">
        <v>120</v>
      </c>
      <c r="N70">
        <v>120</v>
      </c>
      <c r="O70">
        <v>75</v>
      </c>
      <c r="P70">
        <v>1.08</v>
      </c>
      <c r="Q70" s="84" t="e">
        <v>#REF!</v>
      </c>
      <c r="R70" s="85"/>
      <c r="S70" s="85"/>
      <c r="T70" s="86">
        <v>0</v>
      </c>
      <c r="U70" s="84">
        <v>0</v>
      </c>
      <c r="V70" s="84">
        <v>1511.9929999999999</v>
      </c>
      <c r="W70" s="84">
        <v>755.99649999999997</v>
      </c>
      <c r="X70" s="82">
        <v>0.35</v>
      </c>
      <c r="Y70" s="82"/>
      <c r="Z70" s="84">
        <v>755.99649999999997</v>
      </c>
      <c r="AA70" s="84">
        <v>1511.9929999999999</v>
      </c>
      <c r="AB70" s="88" t="e">
        <v>#DIV/0!</v>
      </c>
      <c r="AC70" t="s">
        <v>327</v>
      </c>
    </row>
    <row r="71" spans="3:29">
      <c r="C71" t="s">
        <v>336</v>
      </c>
      <c r="D71" t="s">
        <v>306</v>
      </c>
      <c r="E71" s="84">
        <v>2289.9899999999998</v>
      </c>
      <c r="F71" s="84">
        <v>1144.9949999999999</v>
      </c>
      <c r="G71" t="s">
        <v>40</v>
      </c>
      <c r="H71" t="s">
        <v>337</v>
      </c>
      <c r="I71" t="s">
        <v>308</v>
      </c>
      <c r="J71" t="s">
        <v>334</v>
      </c>
      <c r="K71" t="s">
        <v>58</v>
      </c>
      <c r="L71" t="s">
        <v>50</v>
      </c>
      <c r="M71">
        <v>120</v>
      </c>
      <c r="N71">
        <v>120</v>
      </c>
      <c r="O71">
        <v>75</v>
      </c>
      <c r="P71">
        <v>1.08</v>
      </c>
      <c r="Q71" s="84" t="e">
        <v>#REF!</v>
      </c>
      <c r="R71" s="85"/>
      <c r="S71" s="85"/>
      <c r="T71" s="86">
        <v>0</v>
      </c>
      <c r="U71" s="84">
        <v>0</v>
      </c>
      <c r="V71" s="84">
        <v>1602.9929999999999</v>
      </c>
      <c r="W71" s="84">
        <v>801.49649999999997</v>
      </c>
      <c r="X71" s="82">
        <v>0.35</v>
      </c>
      <c r="Y71" s="82"/>
      <c r="Z71" s="84">
        <v>801.49649999999997</v>
      </c>
      <c r="AA71" s="84">
        <v>1602.9929999999999</v>
      </c>
      <c r="AB71" s="88" t="e">
        <v>#DIV/0!</v>
      </c>
      <c r="AC71" t="s">
        <v>314</v>
      </c>
    </row>
    <row r="72" spans="3:29">
      <c r="C72" t="s">
        <v>339</v>
      </c>
      <c r="D72" t="s">
        <v>306</v>
      </c>
      <c r="E72" s="84">
        <v>2649.99</v>
      </c>
      <c r="F72" s="84">
        <v>1324.9949999999999</v>
      </c>
      <c r="G72" t="s">
        <v>40</v>
      </c>
      <c r="H72" t="s">
        <v>340</v>
      </c>
      <c r="I72" t="s">
        <v>308</v>
      </c>
      <c r="J72" t="s">
        <v>341</v>
      </c>
      <c r="K72" t="s">
        <v>49</v>
      </c>
      <c r="L72" t="s">
        <v>50</v>
      </c>
      <c r="M72">
        <v>150</v>
      </c>
      <c r="N72">
        <v>150</v>
      </c>
      <c r="O72">
        <v>75</v>
      </c>
      <c r="P72">
        <v>1.6875</v>
      </c>
      <c r="Q72" s="84" t="e">
        <v>#REF!</v>
      </c>
      <c r="R72" s="85"/>
      <c r="S72" s="85"/>
      <c r="T72" s="86">
        <v>0</v>
      </c>
      <c r="U72" s="84">
        <v>0</v>
      </c>
      <c r="V72" s="84">
        <v>1854.9929999999999</v>
      </c>
      <c r="W72" s="84">
        <v>927.49649999999997</v>
      </c>
      <c r="X72" s="82">
        <v>0.35</v>
      </c>
      <c r="Y72" s="82"/>
      <c r="Z72" s="84">
        <v>927.49649999999997</v>
      </c>
      <c r="AA72" s="84">
        <v>1854.9929999999999</v>
      </c>
      <c r="AB72" s="88" t="e">
        <v>#DIV/0!</v>
      </c>
      <c r="AC72" t="s">
        <v>310</v>
      </c>
    </row>
    <row r="73" spans="3:29">
      <c r="C73" t="s">
        <v>343</v>
      </c>
      <c r="D73" t="s">
        <v>306</v>
      </c>
      <c r="E73" s="84">
        <v>3479.99</v>
      </c>
      <c r="F73" s="84">
        <v>1739.9949999999999</v>
      </c>
      <c r="G73" t="s">
        <v>40</v>
      </c>
      <c r="H73" t="s">
        <v>344</v>
      </c>
      <c r="I73" t="s">
        <v>308</v>
      </c>
      <c r="J73" t="s">
        <v>341</v>
      </c>
      <c r="K73" t="s">
        <v>58</v>
      </c>
      <c r="L73" t="s">
        <v>50</v>
      </c>
      <c r="M73">
        <v>150</v>
      </c>
      <c r="N73">
        <v>150</v>
      </c>
      <c r="O73">
        <v>75</v>
      </c>
      <c r="P73">
        <v>1.6875</v>
      </c>
      <c r="Q73" s="84" t="e">
        <v>#REF!</v>
      </c>
      <c r="R73" s="85"/>
      <c r="S73" s="85"/>
      <c r="T73" s="86">
        <v>0</v>
      </c>
      <c r="U73" s="84">
        <v>0</v>
      </c>
      <c r="V73" s="84">
        <v>2435.9929999999999</v>
      </c>
      <c r="W73" s="84">
        <v>1217.9965</v>
      </c>
      <c r="X73" s="82">
        <v>0.35</v>
      </c>
      <c r="Y73" s="82"/>
      <c r="Z73" s="84">
        <v>1217.9965</v>
      </c>
      <c r="AA73" s="84">
        <v>2435.9929999999999</v>
      </c>
      <c r="AB73" s="88" t="e">
        <v>#DIV/0!</v>
      </c>
      <c r="AC73" t="s">
        <v>319</v>
      </c>
    </row>
    <row r="74" spans="3:29">
      <c r="C74" t="s">
        <v>346</v>
      </c>
      <c r="D74" t="s">
        <v>347</v>
      </c>
      <c r="E74" s="84">
        <v>609.99</v>
      </c>
      <c r="F74" s="84">
        <v>304.995</v>
      </c>
      <c r="G74" t="s">
        <v>40</v>
      </c>
      <c r="H74" t="s">
        <v>348</v>
      </c>
      <c r="I74" t="s">
        <v>349</v>
      </c>
      <c r="J74" t="s">
        <v>350</v>
      </c>
      <c r="K74" t="s">
        <v>49</v>
      </c>
      <c r="L74" t="s">
        <v>50</v>
      </c>
      <c r="M74">
        <v>75</v>
      </c>
      <c r="N74">
        <v>40</v>
      </c>
      <c r="O74">
        <v>75</v>
      </c>
      <c r="P74">
        <v>0.22500000000000001</v>
      </c>
      <c r="Q74" s="84" t="e">
        <v>#REF!</v>
      </c>
      <c r="R74" s="85"/>
      <c r="S74" s="85"/>
      <c r="T74" s="86">
        <v>0</v>
      </c>
      <c r="U74" s="84">
        <v>0</v>
      </c>
      <c r="V74" s="84">
        <v>426.99299999999999</v>
      </c>
      <c r="W74" s="84">
        <v>213.4965</v>
      </c>
      <c r="X74" s="82">
        <v>0.35</v>
      </c>
      <c r="Y74" s="82"/>
      <c r="Z74" s="84">
        <v>213.4965</v>
      </c>
      <c r="AA74" s="84">
        <v>426.99299999999999</v>
      </c>
      <c r="AB74" s="88" t="e">
        <v>#DIV/0!</v>
      </c>
      <c r="AC74" t="s">
        <v>351</v>
      </c>
    </row>
    <row r="75" spans="3:29">
      <c r="C75" t="s">
        <v>353</v>
      </c>
      <c r="D75" t="s">
        <v>347</v>
      </c>
      <c r="E75" s="84">
        <v>709.99</v>
      </c>
      <c r="F75" s="84">
        <v>354.995</v>
      </c>
      <c r="G75" t="s">
        <v>40</v>
      </c>
      <c r="H75" t="s">
        <v>354</v>
      </c>
      <c r="I75" t="s">
        <v>349</v>
      </c>
      <c r="J75" t="s">
        <v>350</v>
      </c>
      <c r="K75" t="s">
        <v>58</v>
      </c>
      <c r="L75" t="s">
        <v>50</v>
      </c>
      <c r="M75">
        <v>75</v>
      </c>
      <c r="N75">
        <v>40</v>
      </c>
      <c r="O75">
        <v>75</v>
      </c>
      <c r="P75">
        <v>0.22500000000000001</v>
      </c>
      <c r="Q75" s="84" t="e">
        <v>#REF!</v>
      </c>
      <c r="R75" s="85"/>
      <c r="S75" s="85"/>
      <c r="T75" s="86">
        <v>0</v>
      </c>
      <c r="U75" s="84">
        <v>0</v>
      </c>
      <c r="V75" s="84">
        <v>496.99299999999999</v>
      </c>
      <c r="W75" s="84">
        <v>248.4965</v>
      </c>
      <c r="X75" s="82">
        <v>0.35</v>
      </c>
      <c r="Y75" s="82"/>
      <c r="Z75" s="84">
        <v>248.4965</v>
      </c>
      <c r="AA75" s="84">
        <v>496.99299999999999</v>
      </c>
      <c r="AB75" s="88" t="e">
        <v>#DIV/0!</v>
      </c>
      <c r="AC75" t="s">
        <v>355</v>
      </c>
    </row>
    <row r="76" spans="3:29">
      <c r="C76" t="s">
        <v>357</v>
      </c>
      <c r="D76" t="s">
        <v>358</v>
      </c>
      <c r="E76" s="84">
        <v>3659.99</v>
      </c>
      <c r="F76" s="84">
        <v>1829.9949999999999</v>
      </c>
      <c r="G76" t="s">
        <v>40</v>
      </c>
      <c r="H76" t="s">
        <v>359</v>
      </c>
      <c r="I76" t="s">
        <v>360</v>
      </c>
      <c r="J76" t="s">
        <v>361</v>
      </c>
      <c r="K76" t="s">
        <v>49</v>
      </c>
      <c r="L76" t="s">
        <v>50</v>
      </c>
      <c r="M76">
        <v>260</v>
      </c>
      <c r="N76">
        <v>85</v>
      </c>
      <c r="O76">
        <v>85</v>
      </c>
      <c r="P76">
        <v>1.8785000000000001</v>
      </c>
      <c r="Q76" s="84" t="e">
        <v>#REF!</v>
      </c>
      <c r="R76" s="85"/>
      <c r="S76" s="85"/>
      <c r="T76" s="86">
        <v>0</v>
      </c>
      <c r="U76" s="84">
        <v>0</v>
      </c>
      <c r="V76" s="84">
        <v>2561.9929999999999</v>
      </c>
      <c r="W76" s="84">
        <v>1280.9965</v>
      </c>
      <c r="X76" s="82">
        <v>0.35</v>
      </c>
      <c r="Y76" s="82"/>
      <c r="Z76" s="84">
        <v>1280.9965</v>
      </c>
      <c r="AA76" s="84">
        <v>2561.9929999999999</v>
      </c>
      <c r="AB76" s="88" t="e">
        <v>#DIV/0!</v>
      </c>
      <c r="AC76" t="s">
        <v>362</v>
      </c>
    </row>
    <row r="77" spans="3:29">
      <c r="C77" t="s">
        <v>364</v>
      </c>
      <c r="D77" t="s">
        <v>358</v>
      </c>
      <c r="E77" s="84">
        <v>3879.99</v>
      </c>
      <c r="F77" s="84">
        <v>1939.9949999999999</v>
      </c>
      <c r="G77" t="s">
        <v>40</v>
      </c>
      <c r="H77" t="s">
        <v>365</v>
      </c>
      <c r="I77" t="s">
        <v>360</v>
      </c>
      <c r="J77" t="s">
        <v>366</v>
      </c>
      <c r="K77" t="s">
        <v>58</v>
      </c>
      <c r="L77" t="s">
        <v>50</v>
      </c>
      <c r="M77">
        <v>260</v>
      </c>
      <c r="N77">
        <v>85</v>
      </c>
      <c r="O77">
        <v>85</v>
      </c>
      <c r="P77">
        <v>1.8785000000000001</v>
      </c>
      <c r="Q77" s="84" t="e">
        <v>#REF!</v>
      </c>
      <c r="R77" s="85"/>
      <c r="S77" s="85"/>
      <c r="T77" s="86">
        <v>0</v>
      </c>
      <c r="U77" s="84">
        <v>0</v>
      </c>
      <c r="V77" s="84">
        <v>2715.9929999999999</v>
      </c>
      <c r="W77" s="84">
        <v>1357.9965</v>
      </c>
      <c r="X77" s="82">
        <v>0.35</v>
      </c>
      <c r="Y77" s="82"/>
      <c r="Z77" s="84">
        <v>1357.9965</v>
      </c>
      <c r="AA77" s="84">
        <v>2715.9929999999999</v>
      </c>
      <c r="AB77" s="88" t="e">
        <v>#DIV/0!</v>
      </c>
      <c r="AC77" t="s">
        <v>367</v>
      </c>
    </row>
    <row r="78" spans="3:29">
      <c r="C78" t="s">
        <v>369</v>
      </c>
      <c r="D78" t="s">
        <v>370</v>
      </c>
      <c r="E78" s="84">
        <v>2039.99</v>
      </c>
      <c r="F78" s="84">
        <v>1019.995</v>
      </c>
      <c r="G78" t="s">
        <v>40</v>
      </c>
      <c r="H78" t="s">
        <v>371</v>
      </c>
      <c r="I78" t="s">
        <v>82</v>
      </c>
      <c r="J78" t="s">
        <v>88</v>
      </c>
      <c r="K78" t="s">
        <v>49</v>
      </c>
      <c r="L78" t="s">
        <v>50</v>
      </c>
      <c r="N78">
        <v>130</v>
      </c>
      <c r="O78">
        <v>75</v>
      </c>
      <c r="P78">
        <v>1.2675000000000001</v>
      </c>
      <c r="Q78" s="84" t="e">
        <v>#REF!</v>
      </c>
      <c r="R78" s="85">
        <v>4061371.5540411798</v>
      </c>
      <c r="S78" s="85">
        <v>0</v>
      </c>
      <c r="T78" s="86">
        <v>4061371.5540411798</v>
      </c>
      <c r="U78" s="84">
        <v>270.75810360274602</v>
      </c>
      <c r="V78" s="84">
        <v>1427.9929999999999</v>
      </c>
      <c r="W78" s="84">
        <v>713.99649999999997</v>
      </c>
      <c r="X78" s="82">
        <v>0.35</v>
      </c>
      <c r="Y78" s="82"/>
      <c r="Z78" s="84">
        <v>713.99649999999997</v>
      </c>
      <c r="AA78" s="84">
        <v>1427.9929999999999</v>
      </c>
      <c r="AB78" s="88">
        <v>2.6370272597549702</v>
      </c>
      <c r="AC78" t="s">
        <v>372</v>
      </c>
    </row>
    <row r="79" spans="3:29">
      <c r="C79" t="s">
        <v>374</v>
      </c>
      <c r="D79" t="s">
        <v>370</v>
      </c>
      <c r="E79" s="84">
        <v>2869.99</v>
      </c>
      <c r="F79" s="84">
        <v>1434.9949999999999</v>
      </c>
      <c r="G79" t="s">
        <v>40</v>
      </c>
      <c r="H79" t="s">
        <v>375</v>
      </c>
      <c r="I79" t="s">
        <v>82</v>
      </c>
      <c r="J79" t="s">
        <v>88</v>
      </c>
      <c r="K79" t="s">
        <v>58</v>
      </c>
      <c r="L79" t="s">
        <v>50</v>
      </c>
      <c r="N79">
        <v>130</v>
      </c>
      <c r="O79">
        <v>75</v>
      </c>
      <c r="P79">
        <v>1.2675000000000001</v>
      </c>
      <c r="Q79" s="84" t="e">
        <v>#REF!</v>
      </c>
      <c r="R79" s="85">
        <v>3851450.2415411798</v>
      </c>
      <c r="S79" s="85">
        <v>0</v>
      </c>
      <c r="T79" s="86">
        <v>3851450.2415411798</v>
      </c>
      <c r="U79" s="84">
        <v>256.76334943607901</v>
      </c>
      <c r="V79" s="84">
        <v>2008.9929999999999</v>
      </c>
      <c r="W79" s="84">
        <v>1004.4965</v>
      </c>
      <c r="X79" s="82">
        <v>0.35</v>
      </c>
      <c r="Y79" s="82"/>
      <c r="Z79" s="84">
        <v>1004.4965</v>
      </c>
      <c r="AA79" s="84">
        <v>2008.9929999999999</v>
      </c>
      <c r="AB79" s="88">
        <v>3.9121490750379402</v>
      </c>
      <c r="AC79" t="s">
        <v>376</v>
      </c>
    </row>
    <row r="80" spans="3:29">
      <c r="C80" t="s">
        <v>378</v>
      </c>
      <c r="D80" t="s">
        <v>370</v>
      </c>
      <c r="E80" s="84">
        <v>2139.9899999999998</v>
      </c>
      <c r="F80" s="84">
        <v>1069.9949999999999</v>
      </c>
      <c r="G80" t="s">
        <v>40</v>
      </c>
      <c r="H80" t="s">
        <v>379</v>
      </c>
      <c r="I80" t="s">
        <v>82</v>
      </c>
      <c r="J80" t="s">
        <v>202</v>
      </c>
      <c r="K80" t="s">
        <v>49</v>
      </c>
      <c r="L80" t="s">
        <v>50</v>
      </c>
      <c r="N80">
        <v>160</v>
      </c>
      <c r="O80">
        <v>75</v>
      </c>
      <c r="P80">
        <v>1.92</v>
      </c>
      <c r="Q80" s="84" t="e">
        <v>#REF!</v>
      </c>
      <c r="R80" s="85">
        <v>5321340.9925039597</v>
      </c>
      <c r="S80" s="85">
        <v>0</v>
      </c>
      <c r="T80" s="86">
        <v>5321340.9925039597</v>
      </c>
      <c r="U80" s="84">
        <v>354.75606616693</v>
      </c>
      <c r="V80" s="84">
        <v>1497.9929999999999</v>
      </c>
      <c r="W80" s="84">
        <v>748.99649999999997</v>
      </c>
      <c r="X80" s="82">
        <v>0.35</v>
      </c>
      <c r="Y80" s="82"/>
      <c r="Z80" s="84">
        <v>748.99649999999997</v>
      </c>
      <c r="AA80" s="84">
        <v>1497.9929999999999</v>
      </c>
      <c r="AB80" s="88">
        <v>2.1113000493346301</v>
      </c>
      <c r="AC80" t="s">
        <v>380</v>
      </c>
    </row>
    <row r="81" spans="3:29">
      <c r="C81" t="s">
        <v>382</v>
      </c>
      <c r="D81" t="s">
        <v>370</v>
      </c>
      <c r="E81" s="84">
        <v>3089.99</v>
      </c>
      <c r="F81" s="84">
        <v>1544.9949999999999</v>
      </c>
      <c r="G81" t="s">
        <v>40</v>
      </c>
      <c r="H81" t="s">
        <v>383</v>
      </c>
      <c r="I81" t="s">
        <v>82</v>
      </c>
      <c r="J81" t="s">
        <v>202</v>
      </c>
      <c r="K81" t="s">
        <v>58</v>
      </c>
      <c r="L81" t="s">
        <v>50</v>
      </c>
      <c r="N81">
        <v>160</v>
      </c>
      <c r="O81">
        <v>75</v>
      </c>
      <c r="P81">
        <v>1.92</v>
      </c>
      <c r="Q81" s="84" t="e">
        <v>#REF!</v>
      </c>
      <c r="R81" s="85">
        <v>5070729.2382909898</v>
      </c>
      <c r="S81" s="85">
        <v>0</v>
      </c>
      <c r="T81" s="86">
        <v>5070729.2382909898</v>
      </c>
      <c r="U81" s="84">
        <v>338.04861588606599</v>
      </c>
      <c r="V81" s="84">
        <v>2162.9929999999999</v>
      </c>
      <c r="W81" s="84">
        <v>1081.4965</v>
      </c>
      <c r="X81" s="82">
        <v>0.35</v>
      </c>
      <c r="Y81" s="82"/>
      <c r="Z81" s="84">
        <v>1081.4965</v>
      </c>
      <c r="AA81" s="84">
        <v>2162.9929999999999</v>
      </c>
      <c r="AB81" s="88">
        <v>3.1992336284687002</v>
      </c>
      <c r="AC81" t="s">
        <v>384</v>
      </c>
    </row>
    <row r="82" spans="3:29">
      <c r="C82" t="s">
        <v>386</v>
      </c>
      <c r="D82" t="s">
        <v>387</v>
      </c>
      <c r="E82" s="84">
        <v>2679.99</v>
      </c>
      <c r="F82" s="84">
        <v>1339.9949999999999</v>
      </c>
      <c r="G82" t="s">
        <v>40</v>
      </c>
      <c r="H82" t="s">
        <v>388</v>
      </c>
      <c r="I82" t="s">
        <v>389</v>
      </c>
      <c r="J82" t="s">
        <v>88</v>
      </c>
      <c r="K82" t="s">
        <v>49</v>
      </c>
      <c r="L82" t="s">
        <v>50</v>
      </c>
      <c r="N82">
        <v>130</v>
      </c>
      <c r="O82">
        <v>75</v>
      </c>
      <c r="P82">
        <v>1.2675000000000001</v>
      </c>
      <c r="Q82" s="84" t="e">
        <v>#REF!</v>
      </c>
      <c r="R82" s="85">
        <v>3266086.1925034402</v>
      </c>
      <c r="S82" s="85">
        <v>0</v>
      </c>
      <c r="T82" s="86">
        <v>3266086.1925034402</v>
      </c>
      <c r="U82" s="84">
        <v>217.739079500229</v>
      </c>
      <c r="V82" s="84">
        <v>1875.9929999999999</v>
      </c>
      <c r="W82" s="84">
        <v>937.99649999999997</v>
      </c>
      <c r="X82" s="82">
        <v>0.35</v>
      </c>
      <c r="Y82" s="82"/>
      <c r="Z82" s="84">
        <v>937.99649999999997</v>
      </c>
      <c r="AA82" s="84">
        <v>1875.9929999999999</v>
      </c>
      <c r="AB82" s="88">
        <v>4.3078922816839302</v>
      </c>
      <c r="AC82" t="s">
        <v>390</v>
      </c>
    </row>
    <row r="83" spans="3:29">
      <c r="C83" t="s">
        <v>392</v>
      </c>
      <c r="D83" t="s">
        <v>387</v>
      </c>
      <c r="E83" s="84">
        <v>2789.99</v>
      </c>
      <c r="F83" s="84">
        <v>1394.9949999999999</v>
      </c>
      <c r="G83" t="s">
        <v>40</v>
      </c>
      <c r="H83" t="s">
        <v>393</v>
      </c>
      <c r="I83" t="s">
        <v>389</v>
      </c>
      <c r="J83" t="s">
        <v>88</v>
      </c>
      <c r="K83" t="s">
        <v>58</v>
      </c>
      <c r="L83" t="s">
        <v>50</v>
      </c>
      <c r="N83">
        <v>130</v>
      </c>
      <c r="O83">
        <v>75</v>
      </c>
      <c r="P83">
        <v>1.2675000000000001</v>
      </c>
      <c r="Q83" s="84" t="e">
        <v>#REF!</v>
      </c>
      <c r="R83" s="85">
        <v>3204857.6103275102</v>
      </c>
      <c r="S83" s="85">
        <v>0</v>
      </c>
      <c r="T83" s="86">
        <v>3204857.6103275102</v>
      </c>
      <c r="U83" s="84">
        <v>213.65717402183401</v>
      </c>
      <c r="V83" s="84">
        <v>1952.9929999999999</v>
      </c>
      <c r="W83" s="84">
        <v>976.49649999999997</v>
      </c>
      <c r="X83" s="82">
        <v>0.35</v>
      </c>
      <c r="Y83" s="82"/>
      <c r="Z83" s="84">
        <v>976.49649999999997</v>
      </c>
      <c r="AA83" s="84">
        <v>1952.9929999999999</v>
      </c>
      <c r="AB83" s="88">
        <v>4.57038947777251</v>
      </c>
      <c r="AC83" t="s">
        <v>390</v>
      </c>
    </row>
    <row r="84" spans="3:29">
      <c r="C84" t="s">
        <v>395</v>
      </c>
      <c r="D84" t="s">
        <v>387</v>
      </c>
      <c r="E84" s="84">
        <v>3499.99</v>
      </c>
      <c r="F84" s="84">
        <v>1749.9949999999999</v>
      </c>
      <c r="G84" t="s">
        <v>40</v>
      </c>
      <c r="H84" t="s">
        <v>396</v>
      </c>
      <c r="I84" t="s">
        <v>389</v>
      </c>
      <c r="J84" t="s">
        <v>202</v>
      </c>
      <c r="K84" t="s">
        <v>49</v>
      </c>
      <c r="L84" t="s">
        <v>50</v>
      </c>
      <c r="N84">
        <v>160</v>
      </c>
      <c r="O84">
        <v>75</v>
      </c>
      <c r="P84">
        <v>1.92</v>
      </c>
      <c r="Q84" s="84" t="e">
        <v>#REF!</v>
      </c>
      <c r="R84" s="85">
        <v>4899689.1685103402</v>
      </c>
      <c r="S84" s="85">
        <v>0</v>
      </c>
      <c r="T84" s="86">
        <v>4899689.1685103402</v>
      </c>
      <c r="U84" s="84">
        <v>326.64594456735603</v>
      </c>
      <c r="V84" s="84">
        <v>2449.9929999999999</v>
      </c>
      <c r="W84" s="84">
        <v>1224.9965</v>
      </c>
      <c r="X84" s="82">
        <v>0.35</v>
      </c>
      <c r="Y84" s="82"/>
      <c r="Z84" s="84">
        <v>1224.9965</v>
      </c>
      <c r="AA84" s="84">
        <v>2449.9929999999999</v>
      </c>
      <c r="AB84" s="88">
        <v>3.7502271813676198</v>
      </c>
      <c r="AC84" t="s">
        <v>397</v>
      </c>
    </row>
    <row r="85" spans="3:29">
      <c r="C85" t="s">
        <v>399</v>
      </c>
      <c r="D85" t="s">
        <v>387</v>
      </c>
      <c r="E85" s="84">
        <v>3739.99</v>
      </c>
      <c r="F85" s="84">
        <v>1869.9949999999999</v>
      </c>
      <c r="G85" t="s">
        <v>40</v>
      </c>
      <c r="H85" t="s">
        <v>400</v>
      </c>
      <c r="I85" t="s">
        <v>389</v>
      </c>
      <c r="J85" t="s">
        <v>202</v>
      </c>
      <c r="K85" t="s">
        <v>58</v>
      </c>
      <c r="L85" t="s">
        <v>50</v>
      </c>
      <c r="N85">
        <v>160</v>
      </c>
      <c r="O85">
        <v>75</v>
      </c>
      <c r="P85">
        <v>1.92</v>
      </c>
      <c r="Q85" s="84" t="e">
        <v>#REF!</v>
      </c>
      <c r="R85" s="85">
        <v>4624386.7680473803</v>
      </c>
      <c r="S85" s="85">
        <v>0</v>
      </c>
      <c r="T85" s="86">
        <v>4624386.7680473803</v>
      </c>
      <c r="U85" s="84">
        <v>308.29245120315898</v>
      </c>
      <c r="V85" s="84">
        <v>2617.9929999999999</v>
      </c>
      <c r="W85" s="84">
        <v>1308.9965</v>
      </c>
      <c r="X85" s="82">
        <v>0.35</v>
      </c>
      <c r="Y85" s="82"/>
      <c r="Z85" s="84">
        <v>1308.9965</v>
      </c>
      <c r="AA85" s="84">
        <v>2617.9929999999999</v>
      </c>
      <c r="AB85" s="88">
        <v>4.2459570284366004</v>
      </c>
      <c r="AC85" t="s">
        <v>401</v>
      </c>
    </row>
    <row r="86" spans="3:29">
      <c r="C86" t="s">
        <v>403</v>
      </c>
      <c r="D86" t="s">
        <v>404</v>
      </c>
      <c r="E86" s="84">
        <v>3779.99</v>
      </c>
      <c r="F86" s="84">
        <v>1889.9949999999999</v>
      </c>
      <c r="G86" t="s">
        <v>40</v>
      </c>
      <c r="H86" t="s">
        <v>405</v>
      </c>
      <c r="I86" t="s">
        <v>406</v>
      </c>
      <c r="J86" t="s">
        <v>407</v>
      </c>
      <c r="K86" t="s">
        <v>49</v>
      </c>
      <c r="L86" t="s">
        <v>50</v>
      </c>
      <c r="M86">
        <v>290</v>
      </c>
      <c r="N86">
        <v>90</v>
      </c>
      <c r="O86">
        <v>78</v>
      </c>
      <c r="P86">
        <v>2.0358000000000001</v>
      </c>
      <c r="Q86" s="84" t="e">
        <v>#REF!</v>
      </c>
      <c r="R86" s="85">
        <v>7744942.3820749205</v>
      </c>
      <c r="S86" s="85">
        <v>0</v>
      </c>
      <c r="T86" s="86">
        <v>7744942.3820749205</v>
      </c>
      <c r="U86" s="84">
        <v>516.32949213832796</v>
      </c>
      <c r="V86" s="84">
        <v>2645.9929999999999</v>
      </c>
      <c r="W86" s="84">
        <v>1322.9965</v>
      </c>
      <c r="X86" s="82">
        <v>0.35</v>
      </c>
      <c r="Y86" s="82"/>
      <c r="Z86" s="84">
        <v>1322.9965</v>
      </c>
      <c r="AA86" s="84">
        <v>2645.9929999999999</v>
      </c>
      <c r="AB86" s="88">
        <v>2.56231054035077</v>
      </c>
      <c r="AC86" t="s">
        <v>408</v>
      </c>
    </row>
    <row r="87" spans="3:29">
      <c r="C87" t="s">
        <v>410</v>
      </c>
      <c r="D87" t="s">
        <v>404</v>
      </c>
      <c r="E87" s="84">
        <v>3999.99</v>
      </c>
      <c r="F87" s="84">
        <v>1999.9949999999999</v>
      </c>
      <c r="G87" t="s">
        <v>40</v>
      </c>
      <c r="H87" t="s">
        <v>411</v>
      </c>
      <c r="I87" t="s">
        <v>406</v>
      </c>
      <c r="J87" t="s">
        <v>407</v>
      </c>
      <c r="K87" t="s">
        <v>58</v>
      </c>
      <c r="L87" t="s">
        <v>50</v>
      </c>
      <c r="M87">
        <v>290</v>
      </c>
      <c r="N87">
        <v>90</v>
      </c>
      <c r="O87">
        <v>78</v>
      </c>
      <c r="P87">
        <v>2.0358000000000001</v>
      </c>
      <c r="Q87" s="84" t="e">
        <v>#REF!</v>
      </c>
      <c r="R87" s="85">
        <v>7249595.1536490005</v>
      </c>
      <c r="S87" s="85">
        <v>0</v>
      </c>
      <c r="T87" s="86">
        <v>7249595.1536490005</v>
      </c>
      <c r="U87" s="84">
        <v>483.3063435766</v>
      </c>
      <c r="V87" s="84">
        <v>2799.9929999999999</v>
      </c>
      <c r="W87" s="84">
        <v>1399.9965</v>
      </c>
      <c r="X87" s="82">
        <v>0.35</v>
      </c>
      <c r="Y87" s="82"/>
      <c r="Z87" s="84">
        <v>1399.9965</v>
      </c>
      <c r="AA87" s="84">
        <v>2799.9929999999999</v>
      </c>
      <c r="AB87" s="88">
        <v>2.8967062373724302</v>
      </c>
      <c r="AC87" t="s">
        <v>412</v>
      </c>
    </row>
    <row r="88" spans="3:29">
      <c r="C88" t="s">
        <v>414</v>
      </c>
      <c r="D88" t="s">
        <v>404</v>
      </c>
      <c r="E88" s="84">
        <v>5209.99</v>
      </c>
      <c r="F88" s="84">
        <v>2604.9949999999999</v>
      </c>
      <c r="G88" t="s">
        <v>40</v>
      </c>
      <c r="H88" t="s">
        <v>415</v>
      </c>
      <c r="I88" t="s">
        <v>406</v>
      </c>
      <c r="J88" t="s">
        <v>416</v>
      </c>
      <c r="K88" t="s">
        <v>49</v>
      </c>
      <c r="L88" t="s">
        <v>50</v>
      </c>
      <c r="M88">
        <v>340</v>
      </c>
      <c r="N88">
        <v>90</v>
      </c>
      <c r="O88">
        <v>78</v>
      </c>
      <c r="P88">
        <v>2.3868</v>
      </c>
      <c r="Q88" s="84" t="e">
        <v>#REF!</v>
      </c>
      <c r="R88" s="85">
        <v>9048321.4942911007</v>
      </c>
      <c r="S88" s="85">
        <v>0</v>
      </c>
      <c r="T88" s="86">
        <v>9048321.4942911007</v>
      </c>
      <c r="U88" s="84">
        <v>603.22143295273997</v>
      </c>
      <c r="V88" s="84">
        <v>3646.9929999999999</v>
      </c>
      <c r="W88" s="84">
        <v>1823.4965</v>
      </c>
      <c r="X88" s="82">
        <v>0.35</v>
      </c>
      <c r="Y88" s="82"/>
      <c r="Z88" s="84">
        <v>1823.4965</v>
      </c>
      <c r="AA88" s="84">
        <v>3646.9929999999999</v>
      </c>
      <c r="AB88" s="88">
        <v>3.0229305531702901</v>
      </c>
      <c r="AC88" t="s">
        <v>417</v>
      </c>
    </row>
    <row r="89" spans="3:29">
      <c r="C89" t="s">
        <v>419</v>
      </c>
      <c r="D89" t="s">
        <v>404</v>
      </c>
      <c r="E89" s="84">
        <v>6659.99</v>
      </c>
      <c r="F89" s="84">
        <v>3329.9949999999999</v>
      </c>
      <c r="G89" t="s">
        <v>40</v>
      </c>
      <c r="H89" t="s">
        <v>420</v>
      </c>
      <c r="I89" t="s">
        <v>406</v>
      </c>
      <c r="J89" t="s">
        <v>416</v>
      </c>
      <c r="K89" t="s">
        <v>58</v>
      </c>
      <c r="L89" t="s">
        <v>50</v>
      </c>
      <c r="M89">
        <v>340</v>
      </c>
      <c r="N89">
        <v>90</v>
      </c>
      <c r="O89">
        <v>78</v>
      </c>
      <c r="P89">
        <v>2.3868</v>
      </c>
      <c r="Q89" s="84" t="e">
        <v>#REF!</v>
      </c>
      <c r="R89" s="85">
        <v>7898323.6098281397</v>
      </c>
      <c r="S89" s="85">
        <v>0</v>
      </c>
      <c r="T89" s="86">
        <v>7898323.6098281397</v>
      </c>
      <c r="U89" s="84">
        <v>526.55490732187604</v>
      </c>
      <c r="V89" s="84">
        <v>4661.9930000000004</v>
      </c>
      <c r="W89" s="84">
        <v>2330.9965000000002</v>
      </c>
      <c r="X89" s="82">
        <v>0.35</v>
      </c>
      <c r="Y89" s="82"/>
      <c r="Z89" s="84">
        <v>2330.9965000000002</v>
      </c>
      <c r="AA89" s="84">
        <v>4661.9930000000004</v>
      </c>
      <c r="AB89" s="88">
        <v>4.4268821116030201</v>
      </c>
      <c r="AC89" t="s">
        <v>417</v>
      </c>
    </row>
    <row r="90" spans="3:29">
      <c r="C90" t="s">
        <v>422</v>
      </c>
      <c r="D90" t="s">
        <v>404</v>
      </c>
      <c r="E90" s="84">
        <v>18789.990000000002</v>
      </c>
      <c r="F90" s="84">
        <v>9394.9950000000008</v>
      </c>
      <c r="G90" t="s">
        <v>40</v>
      </c>
      <c r="H90" t="s">
        <v>423</v>
      </c>
      <c r="I90" t="s">
        <v>406</v>
      </c>
      <c r="J90" t="s">
        <v>424</v>
      </c>
      <c r="K90" t="s">
        <v>49</v>
      </c>
      <c r="L90" t="s">
        <v>50</v>
      </c>
      <c r="M90">
        <v>560</v>
      </c>
      <c r="N90">
        <v>90</v>
      </c>
      <c r="O90">
        <v>78</v>
      </c>
      <c r="P90">
        <v>3.9312</v>
      </c>
      <c r="Q90" s="84" t="e">
        <v>#REF!</v>
      </c>
      <c r="R90" s="85"/>
      <c r="S90" s="85"/>
      <c r="T90" s="86">
        <v>0</v>
      </c>
      <c r="U90" s="84">
        <v>0</v>
      </c>
      <c r="V90" s="84">
        <v>13152.993</v>
      </c>
      <c r="W90" s="84">
        <v>6576.4965000000002</v>
      </c>
      <c r="X90" s="82">
        <v>0.35</v>
      </c>
      <c r="Y90" s="82"/>
      <c r="Z90" s="84">
        <v>6576.4965000000002</v>
      </c>
      <c r="AA90" s="84">
        <v>13152.993</v>
      </c>
      <c r="AB90" s="88" t="e">
        <v>#DIV/0!</v>
      </c>
      <c r="AC90" t="s">
        <v>412</v>
      </c>
    </row>
    <row r="91" spans="3:29">
      <c r="C91" t="s">
        <v>426</v>
      </c>
      <c r="D91" t="s">
        <v>404</v>
      </c>
      <c r="E91" s="84">
        <v>19509.990000000002</v>
      </c>
      <c r="F91" s="84">
        <v>9754.9950000000008</v>
      </c>
      <c r="G91" t="s">
        <v>40</v>
      </c>
      <c r="H91" t="s">
        <v>427</v>
      </c>
      <c r="I91" t="s">
        <v>406</v>
      </c>
      <c r="J91" t="s">
        <v>424</v>
      </c>
      <c r="K91" t="s">
        <v>58</v>
      </c>
      <c r="L91" t="s">
        <v>50</v>
      </c>
      <c r="M91">
        <v>560</v>
      </c>
      <c r="N91">
        <v>90</v>
      </c>
      <c r="O91">
        <v>78</v>
      </c>
      <c r="P91">
        <v>3.9312</v>
      </c>
      <c r="Q91" s="84" t="e">
        <v>#REF!</v>
      </c>
      <c r="R91" s="85"/>
      <c r="S91" s="85"/>
      <c r="T91" s="86">
        <v>0</v>
      </c>
      <c r="U91" s="84">
        <v>0</v>
      </c>
      <c r="V91" s="84">
        <v>13656.993</v>
      </c>
      <c r="W91" s="84">
        <v>6828.4965000000002</v>
      </c>
      <c r="X91" s="82">
        <v>0.35</v>
      </c>
      <c r="Y91" s="82"/>
      <c r="Z91" s="84">
        <v>6828.4965000000002</v>
      </c>
      <c r="AA91" s="84">
        <v>13656.993</v>
      </c>
      <c r="AB91" s="88" t="e">
        <v>#DIV/0!</v>
      </c>
      <c r="AC91" t="s">
        <v>408</v>
      </c>
    </row>
    <row r="92" spans="3:29">
      <c r="C92" t="s">
        <v>429</v>
      </c>
      <c r="D92" t="s">
        <v>430</v>
      </c>
      <c r="E92" s="84">
        <v>3529.99</v>
      </c>
      <c r="F92" s="84">
        <v>1764.9949999999999</v>
      </c>
      <c r="G92" t="s">
        <v>40</v>
      </c>
      <c r="H92" t="s">
        <v>431</v>
      </c>
      <c r="I92" t="s">
        <v>151</v>
      </c>
      <c r="J92" t="s">
        <v>432</v>
      </c>
      <c r="K92" t="s">
        <v>49</v>
      </c>
      <c r="L92" t="s">
        <v>50</v>
      </c>
      <c r="M92">
        <v>290</v>
      </c>
      <c r="N92">
        <v>97</v>
      </c>
      <c r="O92">
        <v>75</v>
      </c>
      <c r="P92">
        <v>2.10975</v>
      </c>
      <c r="Q92" s="84" t="e">
        <v>#REF!</v>
      </c>
      <c r="R92" s="85"/>
      <c r="S92" s="85"/>
      <c r="T92" s="86">
        <v>0</v>
      </c>
      <c r="U92" s="84">
        <v>0</v>
      </c>
      <c r="V92" s="84">
        <v>2470.9929999999999</v>
      </c>
      <c r="W92" s="84">
        <v>1235.4965</v>
      </c>
      <c r="X92" s="82">
        <v>0.35</v>
      </c>
      <c r="Y92" s="82"/>
      <c r="Z92" s="84">
        <v>1235.4965</v>
      </c>
      <c r="AA92" s="84">
        <v>2470.9929999999999</v>
      </c>
      <c r="AB92" s="88" t="e">
        <v>#DIV/0!</v>
      </c>
      <c r="AC92" t="s">
        <v>433</v>
      </c>
    </row>
    <row r="93" spans="3:29">
      <c r="C93" t="s">
        <v>435</v>
      </c>
      <c r="D93" t="s">
        <v>430</v>
      </c>
      <c r="E93" s="84">
        <v>4069.99</v>
      </c>
      <c r="F93" s="84">
        <v>2034.9949999999999</v>
      </c>
      <c r="G93" t="s">
        <v>40</v>
      </c>
      <c r="H93" t="s">
        <v>436</v>
      </c>
      <c r="I93" t="s">
        <v>151</v>
      </c>
      <c r="J93" t="s">
        <v>432</v>
      </c>
      <c r="K93" t="s">
        <v>58</v>
      </c>
      <c r="L93" t="s">
        <v>50</v>
      </c>
      <c r="M93">
        <v>290</v>
      </c>
      <c r="N93">
        <v>97</v>
      </c>
      <c r="O93">
        <v>75</v>
      </c>
      <c r="P93">
        <v>2.10975</v>
      </c>
      <c r="Q93" s="84" t="e">
        <v>#REF!</v>
      </c>
      <c r="R93" s="85"/>
      <c r="S93" s="85"/>
      <c r="T93" s="86">
        <v>0</v>
      </c>
      <c r="U93" s="84">
        <v>0</v>
      </c>
      <c r="V93" s="84">
        <v>2848.9929999999999</v>
      </c>
      <c r="W93" s="84">
        <v>1424.4965</v>
      </c>
      <c r="X93" s="82">
        <v>0.35</v>
      </c>
      <c r="Y93" s="82"/>
      <c r="Z93" s="84">
        <v>1424.4965</v>
      </c>
      <c r="AA93" s="84">
        <v>2848.9929999999999</v>
      </c>
      <c r="AB93" s="88" t="e">
        <v>#DIV/0!</v>
      </c>
      <c r="AC93" t="s">
        <v>433</v>
      </c>
    </row>
    <row r="94" spans="3:29">
      <c r="C94" t="s">
        <v>438</v>
      </c>
      <c r="D94" t="s">
        <v>439</v>
      </c>
      <c r="E94" s="84">
        <v>3009.99</v>
      </c>
      <c r="F94" s="84">
        <v>1504.9949999999999</v>
      </c>
      <c r="G94" t="s">
        <v>40</v>
      </c>
      <c r="H94" t="s">
        <v>440</v>
      </c>
      <c r="I94" t="s">
        <v>158</v>
      </c>
      <c r="J94" t="s">
        <v>202</v>
      </c>
      <c r="K94" t="s">
        <v>49</v>
      </c>
      <c r="L94" t="s">
        <v>50</v>
      </c>
      <c r="N94">
        <v>160</v>
      </c>
      <c r="O94">
        <v>75</v>
      </c>
      <c r="P94">
        <v>1.92</v>
      </c>
      <c r="Q94" s="84" t="e">
        <v>#REF!</v>
      </c>
      <c r="R94" s="85"/>
      <c r="S94" s="85"/>
      <c r="T94" s="86">
        <v>0</v>
      </c>
      <c r="U94" s="84">
        <v>0</v>
      </c>
      <c r="V94" s="84">
        <v>2106.9929999999999</v>
      </c>
      <c r="W94" s="84">
        <v>1053.4965</v>
      </c>
      <c r="X94" s="82">
        <v>0.35</v>
      </c>
      <c r="Y94" s="82"/>
      <c r="Z94" s="84">
        <v>1053.4965</v>
      </c>
      <c r="AA94" s="84">
        <v>2106.9929999999999</v>
      </c>
      <c r="AB94" s="88" t="e">
        <v>#DIV/0!</v>
      </c>
      <c r="AC94" t="s">
        <v>441</v>
      </c>
    </row>
    <row r="95" spans="3:29">
      <c r="C95" t="s">
        <v>443</v>
      </c>
      <c r="D95" t="s">
        <v>439</v>
      </c>
      <c r="E95" s="84">
        <v>3189.99</v>
      </c>
      <c r="F95" s="84">
        <v>1594.9949999999999</v>
      </c>
      <c r="G95" t="s">
        <v>40</v>
      </c>
      <c r="H95" t="s">
        <v>444</v>
      </c>
      <c r="I95" t="s">
        <v>158</v>
      </c>
      <c r="J95" t="s">
        <v>202</v>
      </c>
      <c r="K95" t="s">
        <v>58</v>
      </c>
      <c r="L95" t="s">
        <v>50</v>
      </c>
      <c r="N95">
        <v>160</v>
      </c>
      <c r="O95">
        <v>75</v>
      </c>
      <c r="P95">
        <v>1.92</v>
      </c>
      <c r="Q95" s="84" t="e">
        <v>#REF!</v>
      </c>
      <c r="R95" s="85"/>
      <c r="S95" s="85"/>
      <c r="T95" s="86">
        <v>0</v>
      </c>
      <c r="U95" s="84">
        <v>0</v>
      </c>
      <c r="V95" s="84">
        <v>2232.9929999999999</v>
      </c>
      <c r="W95" s="84">
        <v>1116.4965</v>
      </c>
      <c r="X95" s="82">
        <v>0.35</v>
      </c>
      <c r="Y95" s="82"/>
      <c r="Z95" s="84">
        <v>1116.4965</v>
      </c>
      <c r="AA95" s="84">
        <v>2232.9929999999999</v>
      </c>
      <c r="AB95" s="88" t="e">
        <v>#DIV/0!</v>
      </c>
      <c r="AC95" t="s">
        <v>441</v>
      </c>
    </row>
    <row r="96" spans="3:29">
      <c r="C96" t="s">
        <v>446</v>
      </c>
      <c r="D96" t="s">
        <v>447</v>
      </c>
      <c r="E96" s="84">
        <v>2359.9899999999998</v>
      </c>
      <c r="F96" s="84">
        <v>1179.9949999999999</v>
      </c>
      <c r="G96" t="s">
        <v>40</v>
      </c>
      <c r="H96" t="s">
        <v>448</v>
      </c>
      <c r="I96" t="s">
        <v>449</v>
      </c>
      <c r="J96" t="s">
        <v>450</v>
      </c>
      <c r="K96" t="s">
        <v>49</v>
      </c>
      <c r="L96" t="s">
        <v>50</v>
      </c>
      <c r="M96">
        <v>220</v>
      </c>
      <c r="N96">
        <v>90</v>
      </c>
      <c r="O96">
        <v>75</v>
      </c>
      <c r="P96">
        <v>1.4850000000000001</v>
      </c>
      <c r="Q96" s="84" t="e">
        <v>#REF!</v>
      </c>
      <c r="R96" s="85">
        <v>284.72883797232902</v>
      </c>
      <c r="S96" s="85">
        <v>0</v>
      </c>
      <c r="T96" s="86">
        <v>284.72883797232902</v>
      </c>
      <c r="U96" s="84">
        <v>1.8981922531488601E-2</v>
      </c>
      <c r="V96" s="84">
        <v>1651.9929999999999</v>
      </c>
      <c r="W96" s="84">
        <v>825.99649999999997</v>
      </c>
      <c r="X96" s="82">
        <v>0.35</v>
      </c>
      <c r="Y96" s="82"/>
      <c r="Z96" s="84">
        <v>825.99649999999997</v>
      </c>
      <c r="AA96" s="84">
        <v>1651.9929999999999</v>
      </c>
      <c r="AB96" s="88">
        <v>43514.902066941599</v>
      </c>
      <c r="AC96" t="s">
        <v>451</v>
      </c>
    </row>
    <row r="97" spans="3:29">
      <c r="C97" t="s">
        <v>453</v>
      </c>
      <c r="D97" t="s">
        <v>447</v>
      </c>
      <c r="E97" s="84">
        <v>2579.9899999999998</v>
      </c>
      <c r="F97" s="84">
        <v>1289.9949999999999</v>
      </c>
      <c r="G97" t="s">
        <v>40</v>
      </c>
      <c r="H97" t="s">
        <v>454</v>
      </c>
      <c r="I97" t="s">
        <v>449</v>
      </c>
      <c r="J97" t="s">
        <v>450</v>
      </c>
      <c r="K97" t="s">
        <v>58</v>
      </c>
      <c r="L97" t="s">
        <v>50</v>
      </c>
      <c r="M97">
        <v>220</v>
      </c>
      <c r="N97">
        <v>90</v>
      </c>
      <c r="O97">
        <v>75</v>
      </c>
      <c r="P97">
        <v>1.4850000000000001</v>
      </c>
      <c r="Q97" s="84" t="e">
        <v>#REF!</v>
      </c>
      <c r="R97" s="85">
        <v>269.62315341060099</v>
      </c>
      <c r="S97" s="85">
        <v>0</v>
      </c>
      <c r="T97" s="86">
        <v>269.62315341060099</v>
      </c>
      <c r="U97" s="84">
        <v>1.79748768940401E-2</v>
      </c>
      <c r="V97" s="84">
        <v>1805.9929999999999</v>
      </c>
      <c r="W97" s="84">
        <v>902.99649999999997</v>
      </c>
      <c r="X97" s="82">
        <v>0.35</v>
      </c>
      <c r="Y97" s="82"/>
      <c r="Z97" s="84">
        <v>902.99649999999997</v>
      </c>
      <c r="AA97" s="84">
        <v>1805.9929999999999</v>
      </c>
      <c r="AB97" s="88">
        <v>50236.588841362602</v>
      </c>
      <c r="AC97" t="s">
        <v>455</v>
      </c>
    </row>
    <row r="98" spans="3:29">
      <c r="C98" t="s">
        <v>457</v>
      </c>
      <c r="D98" t="s">
        <v>447</v>
      </c>
      <c r="E98" s="84">
        <v>2939.99</v>
      </c>
      <c r="F98" s="84">
        <v>1469.9949999999999</v>
      </c>
      <c r="G98" t="s">
        <v>40</v>
      </c>
      <c r="H98" t="s">
        <v>458</v>
      </c>
      <c r="I98" t="s">
        <v>449</v>
      </c>
      <c r="J98" t="s">
        <v>459</v>
      </c>
      <c r="K98" t="s">
        <v>49</v>
      </c>
      <c r="L98" t="s">
        <v>50</v>
      </c>
      <c r="M98">
        <v>280</v>
      </c>
      <c r="N98">
        <v>90</v>
      </c>
      <c r="O98">
        <v>75</v>
      </c>
      <c r="P98">
        <v>1.89</v>
      </c>
      <c r="Q98" s="84" t="e">
        <v>#REF!</v>
      </c>
      <c r="R98" s="85"/>
      <c r="S98" s="85"/>
      <c r="T98" s="86">
        <v>0</v>
      </c>
      <c r="U98" s="84">
        <v>0</v>
      </c>
      <c r="V98" s="84">
        <v>2057.9929999999999</v>
      </c>
      <c r="W98" s="84">
        <v>1028.9965</v>
      </c>
      <c r="X98" s="82">
        <v>0.35</v>
      </c>
      <c r="Y98" s="82"/>
      <c r="Z98" s="84">
        <v>1028.9965</v>
      </c>
      <c r="AA98" s="84">
        <v>2057.9929999999999</v>
      </c>
      <c r="AB98" s="88" t="e">
        <v>#DIV/0!</v>
      </c>
      <c r="AC98" t="s">
        <v>460</v>
      </c>
    </row>
    <row r="99" spans="3:29">
      <c r="C99" t="s">
        <v>462</v>
      </c>
      <c r="D99" t="s">
        <v>447</v>
      </c>
      <c r="E99" s="84">
        <v>3139.99</v>
      </c>
      <c r="F99" s="84">
        <v>1569.9949999999999</v>
      </c>
      <c r="G99" t="s">
        <v>40</v>
      </c>
      <c r="H99" t="s">
        <v>463</v>
      </c>
      <c r="I99" t="s">
        <v>449</v>
      </c>
      <c r="J99" t="s">
        <v>459</v>
      </c>
      <c r="K99" t="s">
        <v>58</v>
      </c>
      <c r="L99" t="s">
        <v>50</v>
      </c>
      <c r="M99">
        <v>280</v>
      </c>
      <c r="N99">
        <v>90</v>
      </c>
      <c r="O99">
        <v>75</v>
      </c>
      <c r="P99">
        <v>1.89</v>
      </c>
      <c r="Q99" s="84" t="e">
        <v>#REF!</v>
      </c>
      <c r="R99" s="85"/>
      <c r="S99" s="85"/>
      <c r="T99" s="86">
        <v>0</v>
      </c>
      <c r="U99" s="84">
        <v>0</v>
      </c>
      <c r="V99" s="84">
        <v>2197.9929999999999</v>
      </c>
      <c r="W99" s="84">
        <v>1098.9965</v>
      </c>
      <c r="X99" s="82">
        <v>0.35</v>
      </c>
      <c r="Y99" s="82"/>
      <c r="Z99" s="84">
        <v>1098.9965</v>
      </c>
      <c r="AA99" s="84">
        <v>2197.9929999999999</v>
      </c>
      <c r="AB99" s="88" t="e">
        <v>#DIV/0!</v>
      </c>
      <c r="AC99" t="s">
        <v>464</v>
      </c>
    </row>
    <row r="100" spans="3:29">
      <c r="C100" t="s">
        <v>466</v>
      </c>
      <c r="D100" t="s">
        <v>447</v>
      </c>
      <c r="E100" s="84">
        <v>4809.99</v>
      </c>
      <c r="F100" s="84">
        <v>2404.9949999999999</v>
      </c>
      <c r="G100" t="s">
        <v>40</v>
      </c>
      <c r="H100" t="s">
        <v>467</v>
      </c>
      <c r="I100" t="s">
        <v>449</v>
      </c>
      <c r="J100" t="s">
        <v>468</v>
      </c>
      <c r="K100" t="s">
        <v>49</v>
      </c>
      <c r="L100" t="s">
        <v>50</v>
      </c>
      <c r="M100">
        <v>320</v>
      </c>
      <c r="N100">
        <v>100</v>
      </c>
      <c r="O100">
        <v>75</v>
      </c>
      <c r="P100">
        <v>2.4</v>
      </c>
      <c r="Q100" s="84" t="e">
        <v>#REF!</v>
      </c>
      <c r="R100" s="85"/>
      <c r="S100" s="85"/>
      <c r="T100" s="86">
        <v>0</v>
      </c>
      <c r="U100" s="84">
        <v>0</v>
      </c>
      <c r="V100" s="84">
        <v>3366.9929999999999</v>
      </c>
      <c r="W100" s="84">
        <v>1683.4965</v>
      </c>
      <c r="X100" s="82">
        <v>0.35</v>
      </c>
      <c r="Y100" s="82"/>
      <c r="Z100" s="84">
        <v>1683.4965</v>
      </c>
      <c r="AA100" s="84">
        <v>3366.9929999999999</v>
      </c>
      <c r="AB100" s="88" t="e">
        <v>#DIV/0!</v>
      </c>
      <c r="AC100" t="s">
        <v>464</v>
      </c>
    </row>
    <row r="101" spans="3:29">
      <c r="C101" t="s">
        <v>470</v>
      </c>
      <c r="D101" t="s">
        <v>447</v>
      </c>
      <c r="E101" s="84">
        <v>4979.99</v>
      </c>
      <c r="F101" s="84">
        <v>2489.9949999999999</v>
      </c>
      <c r="G101" t="s">
        <v>40</v>
      </c>
      <c r="H101" t="s">
        <v>471</v>
      </c>
      <c r="I101" t="s">
        <v>449</v>
      </c>
      <c r="J101" t="s">
        <v>468</v>
      </c>
      <c r="K101" t="s">
        <v>58</v>
      </c>
      <c r="L101" t="s">
        <v>50</v>
      </c>
      <c r="M101">
        <v>320</v>
      </c>
      <c r="N101">
        <v>100</v>
      </c>
      <c r="O101">
        <v>75</v>
      </c>
      <c r="P101">
        <v>2.4</v>
      </c>
      <c r="Q101" s="84" t="e">
        <v>#REF!</v>
      </c>
      <c r="R101" s="85"/>
      <c r="S101" s="85"/>
      <c r="T101" s="86">
        <v>0</v>
      </c>
      <c r="U101" s="84">
        <v>0</v>
      </c>
      <c r="V101" s="84">
        <v>3485.9929999999999</v>
      </c>
      <c r="W101" s="84">
        <v>1742.9965</v>
      </c>
      <c r="X101" s="82">
        <v>0.35</v>
      </c>
      <c r="Y101" s="82"/>
      <c r="Z101" s="84">
        <v>1742.9965</v>
      </c>
      <c r="AA101" s="84">
        <v>3485.9929999999999</v>
      </c>
      <c r="AB101" s="88" t="e">
        <v>#DIV/0!</v>
      </c>
      <c r="AC101" t="s">
        <v>464</v>
      </c>
    </row>
    <row r="102" spans="3:29">
      <c r="C102" t="s">
        <v>473</v>
      </c>
      <c r="D102" t="s">
        <v>474</v>
      </c>
      <c r="E102" s="84">
        <v>12619.99</v>
      </c>
      <c r="F102" s="84">
        <v>6309.9949999999999</v>
      </c>
      <c r="G102" t="s">
        <v>40</v>
      </c>
      <c r="H102" t="s">
        <v>475</v>
      </c>
      <c r="I102" t="s">
        <v>100</v>
      </c>
      <c r="J102" t="s">
        <v>476</v>
      </c>
      <c r="K102" t="s">
        <v>49</v>
      </c>
      <c r="L102" t="s">
        <v>50</v>
      </c>
      <c r="M102">
        <v>500</v>
      </c>
      <c r="N102">
        <v>75</v>
      </c>
      <c r="O102">
        <v>78</v>
      </c>
      <c r="P102">
        <v>2.9249999999999998</v>
      </c>
      <c r="Q102" s="84" t="e">
        <v>#REF!</v>
      </c>
      <c r="R102" s="85">
        <v>10353399.161772201</v>
      </c>
      <c r="S102" s="85">
        <v>0</v>
      </c>
      <c r="T102" s="86">
        <v>10353399.161772201</v>
      </c>
      <c r="U102" s="84">
        <v>690.22661078481099</v>
      </c>
      <c r="V102" s="84">
        <v>8833.9930000000004</v>
      </c>
      <c r="W102" s="84">
        <v>4416.9965000000002</v>
      </c>
      <c r="X102" s="82">
        <v>0.35</v>
      </c>
      <c r="Y102" s="82"/>
      <c r="Z102" s="84">
        <v>4416.9965000000002</v>
      </c>
      <c r="AA102" s="84">
        <v>8833.9930000000004</v>
      </c>
      <c r="AB102" s="88">
        <v>6.3993425216940398</v>
      </c>
      <c r="AC102" t="s">
        <v>477</v>
      </c>
    </row>
    <row r="103" spans="3:29">
      <c r="C103" t="s">
        <v>479</v>
      </c>
      <c r="D103" t="s">
        <v>474</v>
      </c>
      <c r="E103" s="84">
        <v>13339.99</v>
      </c>
      <c r="F103" s="84">
        <v>6669.9949999999999</v>
      </c>
      <c r="G103" t="s">
        <v>40</v>
      </c>
      <c r="H103" t="s">
        <v>480</v>
      </c>
      <c r="I103" t="s">
        <v>100</v>
      </c>
      <c r="J103" t="s">
        <v>476</v>
      </c>
      <c r="K103" t="s">
        <v>58</v>
      </c>
      <c r="L103" t="s">
        <v>50</v>
      </c>
      <c r="M103">
        <v>500</v>
      </c>
      <c r="N103">
        <v>75</v>
      </c>
      <c r="O103">
        <v>78</v>
      </c>
      <c r="P103">
        <v>2.9249999999999998</v>
      </c>
      <c r="Q103" s="84" t="e">
        <v>#REF!</v>
      </c>
      <c r="R103" s="85">
        <v>9683892.9036703091</v>
      </c>
      <c r="S103" s="85">
        <v>0</v>
      </c>
      <c r="T103" s="86">
        <v>9683892.9036703091</v>
      </c>
      <c r="U103" s="84">
        <v>645.59286024468702</v>
      </c>
      <c r="V103" s="84">
        <v>9337.9930000000004</v>
      </c>
      <c r="W103" s="84">
        <v>4668.9965000000002</v>
      </c>
      <c r="X103" s="82">
        <v>0.35</v>
      </c>
      <c r="Y103" s="82"/>
      <c r="Z103" s="84">
        <v>4668.9965000000002</v>
      </c>
      <c r="AA103" s="84">
        <v>9337.9930000000004</v>
      </c>
      <c r="AB103" s="88">
        <v>7.2321067773741996</v>
      </c>
      <c r="AC103" t="s">
        <v>481</v>
      </c>
    </row>
    <row r="104" spans="3:29">
      <c r="C104" t="s">
        <v>483</v>
      </c>
      <c r="D104" t="s">
        <v>484</v>
      </c>
      <c r="E104" s="84">
        <v>5439.99</v>
      </c>
      <c r="F104" s="84">
        <v>2719.9949999999999</v>
      </c>
      <c r="G104" t="s">
        <v>40</v>
      </c>
      <c r="H104" t="s">
        <v>485</v>
      </c>
      <c r="I104" t="s">
        <v>230</v>
      </c>
      <c r="J104" t="s">
        <v>486</v>
      </c>
      <c r="K104" t="s">
        <v>49</v>
      </c>
      <c r="L104" t="s">
        <v>50</v>
      </c>
      <c r="M104">
        <v>300</v>
      </c>
      <c r="N104">
        <v>110</v>
      </c>
      <c r="O104">
        <v>78</v>
      </c>
      <c r="P104">
        <v>2.5739999999999998</v>
      </c>
      <c r="Q104" s="84" t="e">
        <v>#REF!</v>
      </c>
      <c r="R104" s="85">
        <v>9526489.4883172996</v>
      </c>
      <c r="S104" s="85">
        <v>0</v>
      </c>
      <c r="T104" s="86">
        <v>9526489.4883172996</v>
      </c>
      <c r="U104" s="84">
        <v>635.09929922115305</v>
      </c>
      <c r="V104" s="84">
        <v>3807.9929999999999</v>
      </c>
      <c r="W104" s="84">
        <v>1903.9965</v>
      </c>
      <c r="X104" s="82">
        <v>0.35</v>
      </c>
      <c r="Y104" s="82"/>
      <c r="Z104" s="84">
        <v>1903.9965</v>
      </c>
      <c r="AA104" s="84">
        <v>3807.9929999999999</v>
      </c>
      <c r="AB104" s="88">
        <v>2.9979508752961102</v>
      </c>
      <c r="AC104" t="s">
        <v>487</v>
      </c>
    </row>
    <row r="105" spans="3:29">
      <c r="C105" t="s">
        <v>489</v>
      </c>
      <c r="D105" t="s">
        <v>484</v>
      </c>
      <c r="E105" s="84">
        <v>5949.99</v>
      </c>
      <c r="F105" s="84">
        <v>2974.9949999999999</v>
      </c>
      <c r="G105" t="s">
        <v>40</v>
      </c>
      <c r="H105" t="s">
        <v>490</v>
      </c>
      <c r="I105" t="s">
        <v>230</v>
      </c>
      <c r="J105" t="s">
        <v>486</v>
      </c>
      <c r="K105" t="s">
        <v>58</v>
      </c>
      <c r="L105" t="s">
        <v>50</v>
      </c>
      <c r="M105">
        <v>300</v>
      </c>
      <c r="N105">
        <v>110</v>
      </c>
      <c r="O105">
        <v>78</v>
      </c>
      <c r="P105">
        <v>2.5739999999999998</v>
      </c>
      <c r="Q105" s="84" t="e">
        <v>#REF!</v>
      </c>
      <c r="R105" s="85">
        <v>8941801.0873913709</v>
      </c>
      <c r="S105" s="85">
        <v>0</v>
      </c>
      <c r="T105" s="86">
        <v>8941801.0873913709</v>
      </c>
      <c r="U105" s="84">
        <v>596.12007249275803</v>
      </c>
      <c r="V105" s="84">
        <v>4164.9930000000004</v>
      </c>
      <c r="W105" s="84">
        <v>2082.4965000000002</v>
      </c>
      <c r="X105" s="82">
        <v>0.35</v>
      </c>
      <c r="Y105" s="82"/>
      <c r="Z105" s="84">
        <v>2082.4965000000002</v>
      </c>
      <c r="AA105" s="84">
        <v>4164.9930000000004</v>
      </c>
      <c r="AB105" s="88">
        <v>3.4934178466625898</v>
      </c>
      <c r="AC105" t="s">
        <v>487</v>
      </c>
    </row>
    <row r="106" spans="3:29">
      <c r="C106" t="s">
        <v>492</v>
      </c>
      <c r="D106" t="s">
        <v>484</v>
      </c>
      <c r="E106" s="84">
        <v>17749.990000000002</v>
      </c>
      <c r="F106" s="84">
        <v>8874.9950000000008</v>
      </c>
      <c r="G106" t="s">
        <v>40</v>
      </c>
      <c r="H106" t="s">
        <v>493</v>
      </c>
      <c r="I106" t="s">
        <v>230</v>
      </c>
      <c r="J106" t="s">
        <v>494</v>
      </c>
      <c r="K106" t="s">
        <v>49</v>
      </c>
      <c r="L106" t="s">
        <v>50</v>
      </c>
      <c r="M106">
        <v>450</v>
      </c>
      <c r="N106">
        <v>110</v>
      </c>
      <c r="O106">
        <v>78</v>
      </c>
      <c r="P106">
        <v>3.8610000000000002</v>
      </c>
      <c r="Q106" s="84" t="e">
        <v>#REF!</v>
      </c>
      <c r="R106" s="85">
        <v>14093610.751794601</v>
      </c>
      <c r="S106" s="85">
        <v>0</v>
      </c>
      <c r="T106" s="86">
        <v>14093610.751794601</v>
      </c>
      <c r="U106" s="84">
        <v>939.57405011963897</v>
      </c>
      <c r="V106" s="84">
        <v>12424.993</v>
      </c>
      <c r="W106" s="84">
        <v>6212.4965000000002</v>
      </c>
      <c r="X106" s="82">
        <v>0.35</v>
      </c>
      <c r="Y106" s="82"/>
      <c r="Z106" s="84">
        <v>6212.4965000000002</v>
      </c>
      <c r="AA106" s="84">
        <v>12424.993</v>
      </c>
      <c r="AB106" s="88">
        <v>6.6120349952288899</v>
      </c>
      <c r="AC106" t="s">
        <v>495</v>
      </c>
    </row>
    <row r="107" spans="3:29">
      <c r="C107" t="s">
        <v>497</v>
      </c>
      <c r="D107" t="s">
        <v>484</v>
      </c>
      <c r="E107" s="84">
        <v>18229.990000000002</v>
      </c>
      <c r="F107" s="84">
        <v>9114.9950000000008</v>
      </c>
      <c r="G107" t="s">
        <v>40</v>
      </c>
      <c r="H107" t="s">
        <v>498</v>
      </c>
      <c r="I107" t="s">
        <v>230</v>
      </c>
      <c r="J107" t="s">
        <v>494</v>
      </c>
      <c r="K107" t="s">
        <v>58</v>
      </c>
      <c r="L107" t="s">
        <v>50</v>
      </c>
      <c r="M107">
        <v>450</v>
      </c>
      <c r="N107">
        <v>110</v>
      </c>
      <c r="O107">
        <v>78</v>
      </c>
      <c r="P107">
        <v>3.8610000000000002</v>
      </c>
      <c r="Q107" s="84" t="e">
        <v>#REF!</v>
      </c>
      <c r="R107" s="85">
        <v>13249294.1633687</v>
      </c>
      <c r="S107" s="85">
        <v>0</v>
      </c>
      <c r="T107" s="86">
        <v>13249294.1633687</v>
      </c>
      <c r="U107" s="84">
        <v>883.28627755791103</v>
      </c>
      <c r="V107" s="84">
        <v>12760.993</v>
      </c>
      <c r="W107" s="84">
        <v>6380.4965000000002</v>
      </c>
      <c r="X107" s="82">
        <v>0.35</v>
      </c>
      <c r="Y107" s="82"/>
      <c r="Z107" s="84">
        <v>6380.4965000000002</v>
      </c>
      <c r="AA107" s="84">
        <v>12760.993</v>
      </c>
      <c r="AB107" s="88">
        <v>7.2235883904374099</v>
      </c>
      <c r="AC107" t="s">
        <v>495</v>
      </c>
    </row>
    <row r="108" spans="3:29">
      <c r="C108" t="s">
        <v>500</v>
      </c>
      <c r="D108" t="s">
        <v>501</v>
      </c>
      <c r="E108" s="84">
        <v>6819.99</v>
      </c>
      <c r="F108" s="84">
        <v>3409.9949999999999</v>
      </c>
      <c r="G108" t="s">
        <v>40</v>
      </c>
      <c r="H108" t="s">
        <v>502</v>
      </c>
      <c r="I108" t="s">
        <v>226</v>
      </c>
      <c r="J108" t="s">
        <v>503</v>
      </c>
      <c r="K108" t="s">
        <v>49</v>
      </c>
      <c r="L108" t="s">
        <v>50</v>
      </c>
      <c r="M108">
        <v>330</v>
      </c>
      <c r="N108">
        <v>110</v>
      </c>
      <c r="O108">
        <v>78</v>
      </c>
      <c r="P108">
        <v>2.8313999999999999</v>
      </c>
      <c r="Q108" s="84" t="e">
        <v>#REF!</v>
      </c>
      <c r="R108" s="85">
        <v>11531223.5933311</v>
      </c>
      <c r="S108" s="85">
        <v>0</v>
      </c>
      <c r="T108" s="86">
        <v>11531223.5933311</v>
      </c>
      <c r="U108" s="84">
        <v>768.74823955540899</v>
      </c>
      <c r="V108" s="84">
        <v>4773.9930000000004</v>
      </c>
      <c r="W108" s="84">
        <v>2386.9965000000002</v>
      </c>
      <c r="X108" s="82">
        <v>0.35</v>
      </c>
      <c r="Y108" s="82"/>
      <c r="Z108" s="84">
        <v>2386.9965000000002</v>
      </c>
      <c r="AA108" s="84">
        <v>4773.9930000000004</v>
      </c>
      <c r="AB108" s="88">
        <v>3.1050432081385599</v>
      </c>
      <c r="AC108" t="s">
        <v>504</v>
      </c>
    </row>
    <row r="109" spans="3:29">
      <c r="C109" t="s">
        <v>505</v>
      </c>
      <c r="D109" t="s">
        <v>501</v>
      </c>
      <c r="E109" s="84">
        <v>7269.99</v>
      </c>
      <c r="F109" s="84">
        <v>3634.9949999999999</v>
      </c>
      <c r="G109" t="s">
        <v>40</v>
      </c>
      <c r="H109" t="s">
        <v>506</v>
      </c>
      <c r="I109" t="s">
        <v>226</v>
      </c>
      <c r="J109" t="s">
        <v>503</v>
      </c>
      <c r="K109" t="s">
        <v>58</v>
      </c>
      <c r="L109" t="s">
        <v>50</v>
      </c>
      <c r="M109">
        <v>330</v>
      </c>
      <c r="N109">
        <v>110</v>
      </c>
      <c r="O109">
        <v>78</v>
      </c>
      <c r="P109">
        <v>2.8313999999999999</v>
      </c>
      <c r="Q109" s="84" t="e">
        <v>#REF!</v>
      </c>
      <c r="R109" s="85">
        <v>10899977.699118201</v>
      </c>
      <c r="S109" s="85">
        <v>0</v>
      </c>
      <c r="T109" s="86">
        <v>10899977.699118201</v>
      </c>
      <c r="U109" s="84">
        <v>726.66517994121102</v>
      </c>
      <c r="V109" s="84">
        <v>5088.9930000000004</v>
      </c>
      <c r="W109" s="84">
        <v>2544.4965000000002</v>
      </c>
      <c r="X109" s="82">
        <v>0.35</v>
      </c>
      <c r="Y109" s="82"/>
      <c r="Z109" s="84">
        <v>2544.4965000000002</v>
      </c>
      <c r="AA109" s="84">
        <v>5088.9930000000004</v>
      </c>
      <c r="AB109" s="88">
        <v>3.5016078521965999</v>
      </c>
      <c r="AC109" t="s">
        <v>507</v>
      </c>
    </row>
    <row r="110" spans="3:29">
      <c r="C110" t="s">
        <v>508</v>
      </c>
      <c r="E110" s="84"/>
      <c r="F110" s="82"/>
      <c r="R110" s="85"/>
      <c r="S110" s="85"/>
      <c r="T110" s="86"/>
      <c r="V110" s="84">
        <v>0</v>
      </c>
      <c r="W110" s="84">
        <v>0</v>
      </c>
      <c r="X110" s="82" t="e">
        <v>#DIV/0!</v>
      </c>
      <c r="Y110" s="82"/>
      <c r="Z110" s="82"/>
      <c r="AA110" s="82"/>
      <c r="AB110" s="88" t="e">
        <v>#DIV/0!</v>
      </c>
    </row>
    <row r="111" spans="3:29">
      <c r="C111" t="s">
        <v>509</v>
      </c>
      <c r="D111" t="s">
        <v>510</v>
      </c>
      <c r="E111" s="84">
        <v>3809.99</v>
      </c>
      <c r="F111" s="84">
        <v>1904.9949999999999</v>
      </c>
      <c r="G111" t="s">
        <v>508</v>
      </c>
      <c r="H111" t="s">
        <v>511</v>
      </c>
      <c r="I111" t="s">
        <v>512</v>
      </c>
      <c r="J111" t="s">
        <v>513</v>
      </c>
      <c r="K111" t="s">
        <v>49</v>
      </c>
      <c r="L111" t="s">
        <v>50</v>
      </c>
      <c r="M111">
        <v>250</v>
      </c>
      <c r="N111">
        <v>100</v>
      </c>
      <c r="O111">
        <v>110</v>
      </c>
      <c r="P111">
        <v>2.75</v>
      </c>
      <c r="Q111" s="84" t="e">
        <v>#REF!</v>
      </c>
      <c r="R111" s="85"/>
      <c r="S111" s="85"/>
      <c r="T111" s="86">
        <v>0</v>
      </c>
      <c r="U111" s="84">
        <v>0</v>
      </c>
      <c r="V111" s="84">
        <v>2666.9929999999999</v>
      </c>
      <c r="W111" s="84">
        <v>1333.4965</v>
      </c>
      <c r="X111" s="82">
        <v>0.35</v>
      </c>
      <c r="Y111" s="82"/>
      <c r="Z111" s="84">
        <v>1333.4965</v>
      </c>
      <c r="AA111" s="84">
        <v>2666.9929999999999</v>
      </c>
      <c r="AB111" s="88" t="e">
        <v>#DIV/0!</v>
      </c>
      <c r="AC111" t="s">
        <v>514</v>
      </c>
    </row>
    <row r="112" spans="3:29">
      <c r="C112" t="s">
        <v>516</v>
      </c>
      <c r="D112" t="s">
        <v>510</v>
      </c>
      <c r="E112" s="84">
        <v>4039.99</v>
      </c>
      <c r="F112" s="84">
        <v>2019.9949999999999</v>
      </c>
      <c r="G112" t="s">
        <v>508</v>
      </c>
      <c r="H112" t="s">
        <v>517</v>
      </c>
      <c r="I112" t="s">
        <v>512</v>
      </c>
      <c r="J112" t="s">
        <v>513</v>
      </c>
      <c r="K112" t="s">
        <v>58</v>
      </c>
      <c r="L112" t="s">
        <v>50</v>
      </c>
      <c r="M112">
        <v>250</v>
      </c>
      <c r="N112">
        <v>100</v>
      </c>
      <c r="O112">
        <v>110</v>
      </c>
      <c r="P112">
        <v>2.75</v>
      </c>
      <c r="Q112" s="84" t="e">
        <v>#REF!</v>
      </c>
      <c r="R112" s="85"/>
      <c r="S112" s="85"/>
      <c r="T112" s="86">
        <v>0</v>
      </c>
      <c r="U112" s="84">
        <v>0</v>
      </c>
      <c r="V112" s="84">
        <v>2827.9929999999999</v>
      </c>
      <c r="W112" s="84">
        <v>1413.9965</v>
      </c>
      <c r="X112" s="82">
        <v>0.35</v>
      </c>
      <c r="Y112" s="82"/>
      <c r="Z112" s="84">
        <v>1413.9965</v>
      </c>
      <c r="AA112" s="84">
        <v>2827.9929999999999</v>
      </c>
      <c r="AB112" s="88" t="e">
        <v>#DIV/0!</v>
      </c>
      <c r="AC112" t="s">
        <v>518</v>
      </c>
    </row>
    <row r="113" spans="3:29">
      <c r="C113" t="s">
        <v>520</v>
      </c>
      <c r="D113" t="s">
        <v>521</v>
      </c>
      <c r="E113" s="84">
        <v>4289.99</v>
      </c>
      <c r="F113" s="84">
        <v>2144.9949999999999</v>
      </c>
      <c r="G113" t="s">
        <v>508</v>
      </c>
      <c r="H113" t="s">
        <v>522</v>
      </c>
      <c r="I113" t="s">
        <v>523</v>
      </c>
      <c r="J113" t="s">
        <v>524</v>
      </c>
      <c r="K113" t="s">
        <v>49</v>
      </c>
      <c r="L113" t="s">
        <v>50</v>
      </c>
      <c r="M113">
        <v>285</v>
      </c>
      <c r="N113">
        <v>85</v>
      </c>
      <c r="O113">
        <v>110</v>
      </c>
      <c r="P113">
        <v>2.6647500000000002</v>
      </c>
      <c r="Q113" s="84" t="e">
        <v>#REF!</v>
      </c>
      <c r="R113" s="85"/>
      <c r="S113" s="85"/>
      <c r="T113" s="86">
        <v>0</v>
      </c>
      <c r="U113" s="84">
        <v>0</v>
      </c>
      <c r="V113" s="84">
        <v>3002.9929999999999</v>
      </c>
      <c r="W113" s="84">
        <v>1501.4965</v>
      </c>
      <c r="X113" s="82">
        <v>0.35</v>
      </c>
      <c r="Y113" s="82"/>
      <c r="Z113" s="84">
        <v>1501.4965</v>
      </c>
      <c r="AA113" s="84">
        <v>3002.9929999999999</v>
      </c>
      <c r="AB113" s="88" t="e">
        <v>#DIV/0!</v>
      </c>
      <c r="AC113" t="s">
        <v>525</v>
      </c>
    </row>
    <row r="114" spans="3:29">
      <c r="C114" t="s">
        <v>527</v>
      </c>
      <c r="D114" t="s">
        <v>521</v>
      </c>
      <c r="E114" s="84">
        <v>4559.99</v>
      </c>
      <c r="F114" s="84">
        <v>2279.9949999999999</v>
      </c>
      <c r="G114" t="s">
        <v>508</v>
      </c>
      <c r="H114" t="s">
        <v>528</v>
      </c>
      <c r="I114" t="s">
        <v>523</v>
      </c>
      <c r="J114" t="s">
        <v>524</v>
      </c>
      <c r="K114" t="s">
        <v>58</v>
      </c>
      <c r="L114" t="s">
        <v>50</v>
      </c>
      <c r="M114">
        <v>285</v>
      </c>
      <c r="N114">
        <v>85</v>
      </c>
      <c r="O114">
        <v>110</v>
      </c>
      <c r="P114">
        <v>2.6647500000000002</v>
      </c>
      <c r="Q114" s="84" t="e">
        <v>#REF!</v>
      </c>
      <c r="R114" s="85"/>
      <c r="S114" s="85"/>
      <c r="T114" s="86">
        <v>0</v>
      </c>
      <c r="U114" s="84">
        <v>0</v>
      </c>
      <c r="V114" s="84">
        <v>3191.9929999999999</v>
      </c>
      <c r="W114" s="84">
        <v>1595.9965</v>
      </c>
      <c r="X114" s="82">
        <v>0.35</v>
      </c>
      <c r="Y114" s="82"/>
      <c r="Z114" s="84">
        <v>1595.9965</v>
      </c>
      <c r="AA114" s="84">
        <v>3191.9929999999999</v>
      </c>
      <c r="AB114" s="88" t="e">
        <v>#DIV/0!</v>
      </c>
      <c r="AC114" t="s">
        <v>525</v>
      </c>
    </row>
    <row r="115" spans="3:29">
      <c r="C115" t="s">
        <v>530</v>
      </c>
      <c r="D115" t="s">
        <v>531</v>
      </c>
      <c r="E115" s="84">
        <v>2579.9899999999998</v>
      </c>
      <c r="F115" s="84">
        <v>1289.9949999999999</v>
      </c>
      <c r="G115" t="s">
        <v>508</v>
      </c>
      <c r="H115" t="s">
        <v>532</v>
      </c>
      <c r="I115" t="s">
        <v>533</v>
      </c>
      <c r="J115" t="s">
        <v>534</v>
      </c>
      <c r="K115" t="s">
        <v>49</v>
      </c>
      <c r="L115" t="s">
        <v>50</v>
      </c>
      <c r="N115">
        <v>120</v>
      </c>
      <c r="O115">
        <v>110</v>
      </c>
      <c r="P115">
        <v>1.5840000000000001</v>
      </c>
      <c r="Q115" s="84" t="e">
        <v>#REF!</v>
      </c>
      <c r="R115" s="85"/>
      <c r="S115" s="85"/>
      <c r="T115" s="86">
        <v>0</v>
      </c>
      <c r="U115" s="84">
        <v>0</v>
      </c>
      <c r="V115" s="84">
        <v>1805.9929999999999</v>
      </c>
      <c r="W115" s="84">
        <v>902.99649999999997</v>
      </c>
      <c r="X115" s="82">
        <v>0.35</v>
      </c>
      <c r="Y115" s="82"/>
      <c r="Z115" s="84">
        <v>902.99649999999997</v>
      </c>
      <c r="AA115" s="84">
        <v>1805.9929999999999</v>
      </c>
      <c r="AB115" s="88" t="e">
        <v>#DIV/0!</v>
      </c>
      <c r="AC115" t="s">
        <v>535</v>
      </c>
    </row>
    <row r="116" spans="3:29">
      <c r="C116" t="s">
        <v>537</v>
      </c>
      <c r="D116" t="s">
        <v>531</v>
      </c>
      <c r="E116" s="84">
        <v>2739.99</v>
      </c>
      <c r="F116" s="84">
        <v>1369.9949999999999</v>
      </c>
      <c r="G116" t="s">
        <v>508</v>
      </c>
      <c r="H116" t="s">
        <v>538</v>
      </c>
      <c r="I116" t="s">
        <v>533</v>
      </c>
      <c r="J116" t="s">
        <v>534</v>
      </c>
      <c r="K116" t="s">
        <v>58</v>
      </c>
      <c r="L116" t="s">
        <v>50</v>
      </c>
      <c r="N116">
        <v>120</v>
      </c>
      <c r="O116">
        <v>110</v>
      </c>
      <c r="P116">
        <v>1.5840000000000001</v>
      </c>
      <c r="Q116" s="84" t="e">
        <v>#REF!</v>
      </c>
      <c r="R116" s="85"/>
      <c r="S116" s="85"/>
      <c r="T116" s="86">
        <v>0</v>
      </c>
      <c r="U116" s="84">
        <v>0</v>
      </c>
      <c r="V116" s="84">
        <v>1917.9929999999999</v>
      </c>
      <c r="W116" s="84">
        <v>958.99649999999997</v>
      </c>
      <c r="X116" s="82">
        <v>0.35</v>
      </c>
      <c r="Y116" s="82"/>
      <c r="Z116" s="84">
        <v>958.99649999999997</v>
      </c>
      <c r="AA116" s="84">
        <v>1917.9929999999999</v>
      </c>
      <c r="AB116" s="88" t="e">
        <v>#DIV/0!</v>
      </c>
      <c r="AC116" t="s">
        <v>535</v>
      </c>
    </row>
    <row r="117" spans="3:29">
      <c r="C117" t="s">
        <v>540</v>
      </c>
      <c r="D117" t="s">
        <v>541</v>
      </c>
      <c r="E117" s="84">
        <v>2849.99</v>
      </c>
      <c r="F117" s="84">
        <v>1424.9949999999999</v>
      </c>
      <c r="G117" t="s">
        <v>508</v>
      </c>
      <c r="H117" t="s">
        <v>542</v>
      </c>
      <c r="I117" t="s">
        <v>543</v>
      </c>
      <c r="J117" t="s">
        <v>544</v>
      </c>
      <c r="K117" t="s">
        <v>49</v>
      </c>
      <c r="L117" t="s">
        <v>50</v>
      </c>
      <c r="M117">
        <v>200</v>
      </c>
      <c r="N117">
        <v>70</v>
      </c>
      <c r="O117">
        <v>110</v>
      </c>
      <c r="P117">
        <v>1.54</v>
      </c>
      <c r="Q117" s="84" t="e">
        <v>#REF!</v>
      </c>
      <c r="R117" s="85"/>
      <c r="S117" s="85"/>
      <c r="T117" s="86">
        <v>0</v>
      </c>
      <c r="U117" s="84">
        <v>0</v>
      </c>
      <c r="V117" s="84">
        <v>1994.9929999999999</v>
      </c>
      <c r="W117" s="84">
        <v>997.49649999999997</v>
      </c>
      <c r="X117" s="82">
        <v>0.35</v>
      </c>
      <c r="Y117" s="82"/>
      <c r="Z117" s="84">
        <v>997.49649999999997</v>
      </c>
      <c r="AA117" s="84">
        <v>1994.9929999999999</v>
      </c>
      <c r="AB117" s="88" t="e">
        <v>#DIV/0!</v>
      </c>
      <c r="AC117" t="s">
        <v>545</v>
      </c>
    </row>
    <row r="118" spans="3:29">
      <c r="C118" t="s">
        <v>547</v>
      </c>
      <c r="D118" t="s">
        <v>541</v>
      </c>
      <c r="E118" s="84">
        <v>3029.99</v>
      </c>
      <c r="F118" s="84">
        <v>1514.9949999999999</v>
      </c>
      <c r="G118" t="s">
        <v>508</v>
      </c>
      <c r="H118" t="s">
        <v>548</v>
      </c>
      <c r="I118" t="s">
        <v>543</v>
      </c>
      <c r="J118" t="s">
        <v>544</v>
      </c>
      <c r="K118" t="s">
        <v>58</v>
      </c>
      <c r="L118" t="s">
        <v>50</v>
      </c>
      <c r="M118">
        <v>200</v>
      </c>
      <c r="N118">
        <v>70</v>
      </c>
      <c r="O118">
        <v>110</v>
      </c>
      <c r="P118">
        <v>1.54</v>
      </c>
      <c r="Q118" s="84" t="e">
        <v>#REF!</v>
      </c>
      <c r="R118" s="85"/>
      <c r="S118" s="85"/>
      <c r="T118" s="86">
        <v>0</v>
      </c>
      <c r="U118" s="84">
        <v>0</v>
      </c>
      <c r="V118" s="84">
        <v>2120.9929999999999</v>
      </c>
      <c r="W118" s="84">
        <v>1060.4965</v>
      </c>
      <c r="X118" s="82">
        <v>0.35</v>
      </c>
      <c r="Y118" s="82"/>
      <c r="Z118" s="84">
        <v>1060.4965</v>
      </c>
      <c r="AA118" s="84">
        <v>2120.9929999999999</v>
      </c>
      <c r="AB118" s="88" t="e">
        <v>#DIV/0!</v>
      </c>
      <c r="AC118" t="s">
        <v>549</v>
      </c>
    </row>
    <row r="119" spans="3:29">
      <c r="C119" t="s">
        <v>551</v>
      </c>
      <c r="D119" t="s">
        <v>552</v>
      </c>
      <c r="E119" s="84">
        <v>2069.9899999999998</v>
      </c>
      <c r="F119" s="84">
        <v>1034.9949999999999</v>
      </c>
      <c r="G119" t="s">
        <v>508</v>
      </c>
      <c r="H119" t="s">
        <v>553</v>
      </c>
      <c r="I119" t="s">
        <v>554</v>
      </c>
      <c r="J119" t="s">
        <v>555</v>
      </c>
      <c r="K119" t="s">
        <v>49</v>
      </c>
      <c r="L119" t="s">
        <v>50</v>
      </c>
      <c r="M119">
        <v>180</v>
      </c>
      <c r="N119">
        <v>70</v>
      </c>
      <c r="O119">
        <v>110</v>
      </c>
      <c r="P119">
        <v>1.3859999999999999</v>
      </c>
      <c r="Q119" s="84" t="e">
        <v>#REF!</v>
      </c>
      <c r="R119" s="85">
        <v>3066575.3309229799</v>
      </c>
      <c r="S119" s="85">
        <v>0</v>
      </c>
      <c r="T119" s="86">
        <v>3066575.3309229799</v>
      </c>
      <c r="U119" s="84">
        <v>204.43835539486599</v>
      </c>
      <c r="V119" s="84">
        <v>1448.9929999999999</v>
      </c>
      <c r="W119" s="84">
        <v>724.49649999999997</v>
      </c>
      <c r="X119" s="82">
        <v>0.35</v>
      </c>
      <c r="Y119" s="82"/>
      <c r="Z119" s="84">
        <v>724.49649999999997</v>
      </c>
      <c r="AA119" s="84">
        <v>1448.9929999999999</v>
      </c>
      <c r="AB119" s="88">
        <v>3.5438384279733599</v>
      </c>
      <c r="AC119" t="s">
        <v>556</v>
      </c>
    </row>
    <row r="120" spans="3:29">
      <c r="C120" t="s">
        <v>558</v>
      </c>
      <c r="D120" t="s">
        <v>552</v>
      </c>
      <c r="E120" s="84">
        <v>2199.9899999999998</v>
      </c>
      <c r="F120" s="84">
        <v>1099.9949999999999</v>
      </c>
      <c r="G120" t="s">
        <v>508</v>
      </c>
      <c r="H120" t="s">
        <v>559</v>
      </c>
      <c r="I120" t="s">
        <v>554</v>
      </c>
      <c r="J120" t="s">
        <v>555</v>
      </c>
      <c r="K120" t="s">
        <v>58</v>
      </c>
      <c r="L120" t="s">
        <v>50</v>
      </c>
      <c r="M120">
        <v>180</v>
      </c>
      <c r="N120">
        <v>70</v>
      </c>
      <c r="O120">
        <v>110</v>
      </c>
      <c r="P120">
        <v>1.3859999999999999</v>
      </c>
      <c r="Q120" s="84" t="e">
        <v>#REF!</v>
      </c>
      <c r="R120" s="85">
        <v>3008601.7265711301</v>
      </c>
      <c r="S120" s="85">
        <v>0</v>
      </c>
      <c r="T120" s="86">
        <v>3008601.7265711301</v>
      </c>
      <c r="U120" s="84">
        <v>200.57344843807499</v>
      </c>
      <c r="V120" s="84">
        <v>1539.9929999999999</v>
      </c>
      <c r="W120" s="84">
        <v>769.99649999999997</v>
      </c>
      <c r="X120" s="82">
        <v>0.35</v>
      </c>
      <c r="Y120" s="82"/>
      <c r="Z120" s="84">
        <v>769.99649999999997</v>
      </c>
      <c r="AA120" s="84">
        <v>1539.9929999999999</v>
      </c>
      <c r="AB120" s="88">
        <v>3.8389752282577301</v>
      </c>
      <c r="AC120" t="s">
        <v>560</v>
      </c>
    </row>
    <row r="121" spans="3:29">
      <c r="C121" t="s">
        <v>562</v>
      </c>
      <c r="D121" t="s">
        <v>563</v>
      </c>
      <c r="E121" s="84">
        <v>1679.99</v>
      </c>
      <c r="F121" s="84">
        <v>839.995</v>
      </c>
      <c r="G121" t="s">
        <v>508</v>
      </c>
      <c r="H121" t="s">
        <v>564</v>
      </c>
      <c r="I121" t="s">
        <v>565</v>
      </c>
      <c r="J121" t="s">
        <v>566</v>
      </c>
      <c r="K121" t="s">
        <v>49</v>
      </c>
      <c r="L121" t="s">
        <v>50</v>
      </c>
      <c r="M121">
        <v>85</v>
      </c>
      <c r="N121">
        <v>85</v>
      </c>
      <c r="O121">
        <v>110</v>
      </c>
      <c r="P121">
        <v>0.79474999999999996</v>
      </c>
      <c r="Q121" s="84" t="e">
        <v>#REF!</v>
      </c>
      <c r="R121" s="85"/>
      <c r="S121" s="85"/>
      <c r="T121" s="86">
        <v>0</v>
      </c>
      <c r="U121" s="84">
        <v>0</v>
      </c>
      <c r="V121" s="84">
        <v>1175.9929999999999</v>
      </c>
      <c r="W121" s="84">
        <v>587.99649999999997</v>
      </c>
      <c r="X121" s="82">
        <v>0.35</v>
      </c>
      <c r="Y121" s="82"/>
      <c r="Z121" s="84">
        <v>587.99649999999997</v>
      </c>
      <c r="AA121" s="84">
        <v>1175.9929999999999</v>
      </c>
      <c r="AB121" s="88" t="e">
        <v>#DIV/0!</v>
      </c>
      <c r="AC121" t="s">
        <v>567</v>
      </c>
    </row>
    <row r="122" spans="3:29">
      <c r="C122" t="s">
        <v>568</v>
      </c>
      <c r="D122" t="s">
        <v>563</v>
      </c>
      <c r="E122" s="84">
        <v>1719.99</v>
      </c>
      <c r="F122" s="84">
        <v>859.995</v>
      </c>
      <c r="G122" t="s">
        <v>508</v>
      </c>
      <c r="H122" t="s">
        <v>569</v>
      </c>
      <c r="I122" t="s">
        <v>565</v>
      </c>
      <c r="J122" t="s">
        <v>566</v>
      </c>
      <c r="K122" t="s">
        <v>58</v>
      </c>
      <c r="L122" t="s">
        <v>50</v>
      </c>
      <c r="M122">
        <v>85</v>
      </c>
      <c r="N122">
        <v>85</v>
      </c>
      <c r="O122">
        <v>110</v>
      </c>
      <c r="P122">
        <v>0.79474999999999996</v>
      </c>
      <c r="Q122" s="84" t="e">
        <v>#REF!</v>
      </c>
      <c r="R122" s="85"/>
      <c r="S122" s="85"/>
      <c r="T122" s="86">
        <v>0</v>
      </c>
      <c r="U122" s="84">
        <v>0</v>
      </c>
      <c r="V122" s="84">
        <v>1203.9929999999999</v>
      </c>
      <c r="W122" s="84">
        <v>601.99649999999997</v>
      </c>
      <c r="X122" s="82">
        <v>0.35</v>
      </c>
      <c r="Y122" s="82"/>
      <c r="Z122" s="84">
        <v>601.99649999999997</v>
      </c>
      <c r="AA122" s="84">
        <v>1203.9929999999999</v>
      </c>
      <c r="AB122" s="88" t="e">
        <v>#DIV/0!</v>
      </c>
      <c r="AC122" t="s">
        <v>570</v>
      </c>
    </row>
    <row r="123" spans="3:29">
      <c r="C123" t="s">
        <v>571</v>
      </c>
      <c r="D123" t="s">
        <v>572</v>
      </c>
      <c r="E123" s="84">
        <v>3799.99</v>
      </c>
      <c r="F123" s="84">
        <v>1899.9949999999999</v>
      </c>
      <c r="G123" t="s">
        <v>508</v>
      </c>
      <c r="H123" t="s">
        <v>573</v>
      </c>
      <c r="I123" t="s">
        <v>574</v>
      </c>
      <c r="J123" t="s">
        <v>575</v>
      </c>
      <c r="K123" t="s">
        <v>49</v>
      </c>
      <c r="L123" t="s">
        <v>50</v>
      </c>
      <c r="M123">
        <v>300</v>
      </c>
      <c r="N123">
        <v>85</v>
      </c>
      <c r="O123">
        <v>110</v>
      </c>
      <c r="P123">
        <v>2.8050000000000002</v>
      </c>
      <c r="Q123" s="84" t="e">
        <v>#REF!</v>
      </c>
      <c r="R123" s="85"/>
      <c r="S123" s="85"/>
      <c r="T123" s="86">
        <v>0</v>
      </c>
      <c r="U123" s="84">
        <v>0</v>
      </c>
      <c r="V123" s="84">
        <v>2659.9929999999999</v>
      </c>
      <c r="W123" s="84">
        <v>1329.9965</v>
      </c>
      <c r="X123" s="82">
        <v>0.35</v>
      </c>
      <c r="Y123" s="82"/>
      <c r="Z123" s="84">
        <v>1329.9965</v>
      </c>
      <c r="AA123" s="84">
        <v>2659.9929999999999</v>
      </c>
      <c r="AB123" s="88" t="e">
        <v>#DIV/0!</v>
      </c>
      <c r="AC123" t="s">
        <v>576</v>
      </c>
    </row>
    <row r="124" spans="3:29">
      <c r="C124" t="s">
        <v>578</v>
      </c>
      <c r="D124" t="s">
        <v>572</v>
      </c>
      <c r="E124" s="84">
        <v>4029.99</v>
      </c>
      <c r="F124" s="84">
        <v>2014.9949999999999</v>
      </c>
      <c r="G124" t="s">
        <v>508</v>
      </c>
      <c r="H124" t="s">
        <v>579</v>
      </c>
      <c r="I124" t="s">
        <v>574</v>
      </c>
      <c r="J124" t="s">
        <v>575</v>
      </c>
      <c r="K124" t="s">
        <v>58</v>
      </c>
      <c r="L124" t="s">
        <v>50</v>
      </c>
      <c r="M124">
        <v>300</v>
      </c>
      <c r="N124">
        <v>85</v>
      </c>
      <c r="O124">
        <v>110</v>
      </c>
      <c r="P124">
        <v>2.8050000000000002</v>
      </c>
      <c r="Q124" s="84" t="e">
        <v>#REF!</v>
      </c>
      <c r="R124" s="85"/>
      <c r="S124" s="85"/>
      <c r="T124" s="86">
        <v>0</v>
      </c>
      <c r="U124" s="84">
        <v>0</v>
      </c>
      <c r="V124" s="84">
        <v>2820.9929999999999</v>
      </c>
      <c r="W124" s="84">
        <v>1410.4965</v>
      </c>
      <c r="X124" s="82">
        <v>0.35</v>
      </c>
      <c r="Y124" s="82"/>
      <c r="Z124" s="84">
        <v>1410.4965</v>
      </c>
      <c r="AA124" s="84">
        <v>2820.9929999999999</v>
      </c>
      <c r="AB124" s="88" t="e">
        <v>#DIV/0!</v>
      </c>
      <c r="AC124" t="s">
        <v>580</v>
      </c>
    </row>
    <row r="125" spans="3:29">
      <c r="C125" t="s">
        <v>582</v>
      </c>
      <c r="D125" t="s">
        <v>583</v>
      </c>
      <c r="E125" s="84">
        <v>3489.99</v>
      </c>
      <c r="F125" s="84">
        <v>1744.9949999999999</v>
      </c>
      <c r="G125" t="s">
        <v>508</v>
      </c>
      <c r="H125" t="s">
        <v>584</v>
      </c>
      <c r="I125" t="s">
        <v>585</v>
      </c>
      <c r="J125" t="s">
        <v>586</v>
      </c>
      <c r="K125" t="s">
        <v>49</v>
      </c>
      <c r="L125" t="s">
        <v>50</v>
      </c>
      <c r="M125">
        <v>240</v>
      </c>
      <c r="N125">
        <v>80</v>
      </c>
      <c r="O125">
        <v>110</v>
      </c>
      <c r="P125">
        <v>2.1120000000000001</v>
      </c>
      <c r="Q125" s="84" t="e">
        <v>#REF!</v>
      </c>
      <c r="R125" s="85"/>
      <c r="S125" s="85"/>
      <c r="T125" s="86">
        <v>0</v>
      </c>
      <c r="U125" s="84">
        <v>0</v>
      </c>
      <c r="V125" s="84">
        <v>2442.9929999999999</v>
      </c>
      <c r="W125" s="84">
        <v>1221.4965</v>
      </c>
      <c r="X125" s="82">
        <v>0.35</v>
      </c>
      <c r="Y125" s="82"/>
      <c r="Z125" s="84">
        <v>1221.4965</v>
      </c>
      <c r="AA125" s="84">
        <v>2442.9929999999999</v>
      </c>
      <c r="AB125" s="88" t="e">
        <v>#DIV/0!</v>
      </c>
      <c r="AC125" t="s">
        <v>587</v>
      </c>
    </row>
    <row r="126" spans="3:29">
      <c r="C126" t="s">
        <v>589</v>
      </c>
      <c r="D126" t="s">
        <v>583</v>
      </c>
      <c r="E126" s="84">
        <v>3699.99</v>
      </c>
      <c r="F126" s="84">
        <v>1849.9949999999999</v>
      </c>
      <c r="G126" t="s">
        <v>508</v>
      </c>
      <c r="H126" t="s">
        <v>590</v>
      </c>
      <c r="I126" t="s">
        <v>585</v>
      </c>
      <c r="J126" t="s">
        <v>586</v>
      </c>
      <c r="K126" t="s">
        <v>58</v>
      </c>
      <c r="L126" t="s">
        <v>50</v>
      </c>
      <c r="M126">
        <v>240</v>
      </c>
      <c r="N126">
        <v>80</v>
      </c>
      <c r="O126">
        <v>110</v>
      </c>
      <c r="P126">
        <v>2.1120000000000001</v>
      </c>
      <c r="Q126" s="84" t="e">
        <v>#REF!</v>
      </c>
      <c r="R126" s="85"/>
      <c r="S126" s="85"/>
      <c r="T126" s="86">
        <v>0</v>
      </c>
      <c r="U126" s="84">
        <v>0</v>
      </c>
      <c r="V126" s="84">
        <v>2589.9929999999999</v>
      </c>
      <c r="W126" s="84">
        <v>1294.9965</v>
      </c>
      <c r="X126" s="82">
        <v>0.35</v>
      </c>
      <c r="Y126" s="82"/>
      <c r="Z126" s="84">
        <v>1294.9965</v>
      </c>
      <c r="AA126" s="84">
        <v>2589.9929999999999</v>
      </c>
      <c r="AB126" s="88" t="e">
        <v>#DIV/0!</v>
      </c>
      <c r="AC126" t="s">
        <v>591</v>
      </c>
    </row>
    <row r="127" spans="3:29">
      <c r="C127" t="s">
        <v>593</v>
      </c>
      <c r="D127" t="s">
        <v>594</v>
      </c>
      <c r="E127" s="84">
        <v>2099.9899999999998</v>
      </c>
      <c r="F127" s="84">
        <v>1049.9949999999999</v>
      </c>
      <c r="G127" t="s">
        <v>508</v>
      </c>
      <c r="H127" t="s">
        <v>595</v>
      </c>
      <c r="I127" t="s">
        <v>596</v>
      </c>
      <c r="J127" t="s">
        <v>534</v>
      </c>
      <c r="K127" t="s">
        <v>49</v>
      </c>
      <c r="L127" t="s">
        <v>50</v>
      </c>
      <c r="N127">
        <v>120</v>
      </c>
      <c r="O127">
        <v>110</v>
      </c>
      <c r="P127">
        <v>1.5840000000000001</v>
      </c>
      <c r="Q127" s="84" t="e">
        <v>#REF!</v>
      </c>
      <c r="R127" s="85"/>
      <c r="S127" s="85"/>
      <c r="T127" s="86">
        <v>0</v>
      </c>
      <c r="U127" s="84">
        <v>0</v>
      </c>
      <c r="V127" s="84">
        <v>1469.9929999999999</v>
      </c>
      <c r="W127" s="84">
        <v>734.99649999999997</v>
      </c>
      <c r="X127" s="82">
        <v>0.35</v>
      </c>
      <c r="Y127" s="82"/>
      <c r="Z127" s="84">
        <v>734.99649999999997</v>
      </c>
      <c r="AA127" s="84">
        <v>1469.9929999999999</v>
      </c>
      <c r="AB127" s="88" t="e">
        <v>#DIV/0!</v>
      </c>
      <c r="AC127" t="s">
        <v>597</v>
      </c>
    </row>
    <row r="128" spans="3:29">
      <c r="C128" t="s">
        <v>599</v>
      </c>
      <c r="D128" t="s">
        <v>594</v>
      </c>
      <c r="E128" s="84">
        <v>2219.9899999999998</v>
      </c>
      <c r="F128" s="84">
        <v>1109.9949999999999</v>
      </c>
      <c r="G128" t="s">
        <v>508</v>
      </c>
      <c r="H128" t="s">
        <v>600</v>
      </c>
      <c r="I128" t="s">
        <v>596</v>
      </c>
      <c r="J128" t="s">
        <v>534</v>
      </c>
      <c r="K128" t="s">
        <v>58</v>
      </c>
      <c r="L128" t="s">
        <v>50</v>
      </c>
      <c r="N128">
        <v>120</v>
      </c>
      <c r="O128">
        <v>110</v>
      </c>
      <c r="P128">
        <v>1.5840000000000001</v>
      </c>
      <c r="Q128" s="84" t="e">
        <v>#REF!</v>
      </c>
      <c r="R128" s="85"/>
      <c r="S128" s="85"/>
      <c r="T128" s="86">
        <v>0</v>
      </c>
      <c r="U128" s="84">
        <v>0</v>
      </c>
      <c r="V128" s="84">
        <v>1553.9929999999999</v>
      </c>
      <c r="W128" s="84">
        <v>776.99649999999997</v>
      </c>
      <c r="X128" s="82">
        <v>0.35</v>
      </c>
      <c r="Y128" s="82"/>
      <c r="Z128" s="84">
        <v>776.99649999999997</v>
      </c>
      <c r="AA128" s="84">
        <v>1553.9929999999999</v>
      </c>
      <c r="AB128" s="88" t="e">
        <v>#DIV/0!</v>
      </c>
      <c r="AC128" t="s">
        <v>601</v>
      </c>
    </row>
    <row r="129" spans="3:29">
      <c r="C129" t="s">
        <v>603</v>
      </c>
      <c r="D129" t="s">
        <v>604</v>
      </c>
      <c r="E129" s="84">
        <v>2269.9899999999998</v>
      </c>
      <c r="F129" s="84">
        <v>1134.9949999999999</v>
      </c>
      <c r="G129" t="s">
        <v>508</v>
      </c>
      <c r="H129" t="s">
        <v>605</v>
      </c>
      <c r="I129" t="s">
        <v>606</v>
      </c>
      <c r="J129" t="s">
        <v>534</v>
      </c>
      <c r="K129" t="s">
        <v>49</v>
      </c>
      <c r="L129" t="s">
        <v>50</v>
      </c>
      <c r="N129">
        <v>120</v>
      </c>
      <c r="O129">
        <v>110</v>
      </c>
      <c r="P129">
        <v>1.5840000000000001</v>
      </c>
      <c r="Q129" s="84" t="e">
        <v>#REF!</v>
      </c>
      <c r="R129" s="85"/>
      <c r="S129" s="85"/>
      <c r="T129" s="86">
        <v>0</v>
      </c>
      <c r="U129" s="84">
        <v>0</v>
      </c>
      <c r="V129" s="84">
        <v>1588.9929999999999</v>
      </c>
      <c r="W129" s="84">
        <v>794.49649999999997</v>
      </c>
      <c r="X129" s="82">
        <v>0.35</v>
      </c>
      <c r="Y129" s="82"/>
      <c r="Z129" s="84">
        <v>794.49649999999997</v>
      </c>
      <c r="AA129" s="84">
        <v>1588.9929999999999</v>
      </c>
      <c r="AB129" s="88" t="e">
        <v>#DIV/0!</v>
      </c>
      <c r="AC129" t="s">
        <v>607</v>
      </c>
    </row>
    <row r="130" spans="3:29">
      <c r="C130" t="s">
        <v>609</v>
      </c>
      <c r="D130" t="s">
        <v>604</v>
      </c>
      <c r="E130" s="84">
        <v>2409.9899999999998</v>
      </c>
      <c r="F130" s="84">
        <v>1204.9949999999999</v>
      </c>
      <c r="G130" t="s">
        <v>508</v>
      </c>
      <c r="H130" t="s">
        <v>610</v>
      </c>
      <c r="I130" t="s">
        <v>606</v>
      </c>
      <c r="J130" t="s">
        <v>534</v>
      </c>
      <c r="K130" t="s">
        <v>58</v>
      </c>
      <c r="L130" t="s">
        <v>50</v>
      </c>
      <c r="N130">
        <v>120</v>
      </c>
      <c r="O130">
        <v>110</v>
      </c>
      <c r="P130">
        <v>1.5840000000000001</v>
      </c>
      <c r="Q130" s="84" t="e">
        <v>#REF!</v>
      </c>
      <c r="R130" s="85"/>
      <c r="S130" s="85"/>
      <c r="T130" s="86">
        <v>0</v>
      </c>
      <c r="U130" s="84">
        <v>0</v>
      </c>
      <c r="V130" s="84">
        <v>1686.9929999999999</v>
      </c>
      <c r="W130" s="84">
        <v>843.49649999999997</v>
      </c>
      <c r="X130" s="82">
        <v>0.35</v>
      </c>
      <c r="Y130" s="82"/>
      <c r="Z130" s="84">
        <v>843.49649999999997</v>
      </c>
      <c r="AA130" s="84">
        <v>1686.9929999999999</v>
      </c>
      <c r="AB130" s="88" t="e">
        <v>#DIV/0!</v>
      </c>
      <c r="AC130" t="s">
        <v>607</v>
      </c>
    </row>
    <row r="131" spans="3:29">
      <c r="C131" t="s">
        <v>612</v>
      </c>
      <c r="D131" t="s">
        <v>613</v>
      </c>
      <c r="E131" s="84">
        <v>4419.99</v>
      </c>
      <c r="F131" s="84">
        <v>2209.9949999999999</v>
      </c>
      <c r="G131" t="s">
        <v>508</v>
      </c>
      <c r="H131" t="s">
        <v>614</v>
      </c>
      <c r="I131" t="s">
        <v>615</v>
      </c>
      <c r="J131" t="s">
        <v>616</v>
      </c>
      <c r="K131" t="s">
        <v>49</v>
      </c>
      <c r="L131" t="s">
        <v>50</v>
      </c>
      <c r="M131">
        <v>280</v>
      </c>
      <c r="N131">
        <v>100</v>
      </c>
      <c r="O131">
        <v>110</v>
      </c>
      <c r="P131">
        <v>3.08</v>
      </c>
      <c r="Q131" s="84" t="e">
        <v>#REF!</v>
      </c>
      <c r="R131" s="85"/>
      <c r="S131" s="85"/>
      <c r="T131" s="86">
        <v>0</v>
      </c>
      <c r="U131" s="84">
        <v>0</v>
      </c>
      <c r="V131" s="84">
        <v>3093.9929999999999</v>
      </c>
      <c r="W131" s="84">
        <v>1546.9965</v>
      </c>
      <c r="X131" s="82">
        <v>0.35</v>
      </c>
      <c r="Y131" s="82"/>
      <c r="Z131" s="84">
        <v>1546.9965</v>
      </c>
      <c r="AA131" s="84">
        <v>3093.9929999999999</v>
      </c>
      <c r="AB131" s="88" t="e">
        <v>#DIV/0!</v>
      </c>
      <c r="AC131" t="s">
        <v>617</v>
      </c>
    </row>
    <row r="132" spans="3:29">
      <c r="C132" t="s">
        <v>619</v>
      </c>
      <c r="D132" t="s">
        <v>613</v>
      </c>
      <c r="E132" s="84">
        <v>4689.99</v>
      </c>
      <c r="F132" s="84">
        <v>2344.9949999999999</v>
      </c>
      <c r="G132" t="s">
        <v>508</v>
      </c>
      <c r="H132" t="s">
        <v>620</v>
      </c>
      <c r="I132" t="s">
        <v>615</v>
      </c>
      <c r="J132" t="s">
        <v>616</v>
      </c>
      <c r="K132" t="s">
        <v>58</v>
      </c>
      <c r="L132" t="s">
        <v>50</v>
      </c>
      <c r="M132">
        <v>280</v>
      </c>
      <c r="N132">
        <v>100</v>
      </c>
      <c r="O132">
        <v>110</v>
      </c>
      <c r="P132">
        <v>3.08</v>
      </c>
      <c r="Q132" s="84" t="e">
        <v>#REF!</v>
      </c>
      <c r="R132" s="85"/>
      <c r="S132" s="85"/>
      <c r="T132" s="86">
        <v>0</v>
      </c>
      <c r="U132" s="84">
        <v>0</v>
      </c>
      <c r="V132" s="84">
        <v>3282.9929999999999</v>
      </c>
      <c r="W132" s="84">
        <v>1641.4965</v>
      </c>
      <c r="X132" s="82">
        <v>0.35</v>
      </c>
      <c r="Y132" s="82"/>
      <c r="Z132" s="84">
        <v>1641.4965</v>
      </c>
      <c r="AA132" s="84">
        <v>3282.9929999999999</v>
      </c>
      <c r="AB132" s="88" t="e">
        <v>#DIV/0!</v>
      </c>
      <c r="AC132" t="s">
        <v>621</v>
      </c>
    </row>
    <row r="133" spans="3:29">
      <c r="C133" t="s">
        <v>622</v>
      </c>
      <c r="D133" t="s">
        <v>623</v>
      </c>
      <c r="E133" s="84">
        <v>1039.99</v>
      </c>
      <c r="F133" s="84">
        <v>519.995</v>
      </c>
      <c r="G133" t="s">
        <v>508</v>
      </c>
      <c r="H133" t="s">
        <v>624</v>
      </c>
      <c r="I133" t="s">
        <v>625</v>
      </c>
      <c r="J133" t="s">
        <v>626</v>
      </c>
      <c r="K133" t="s">
        <v>49</v>
      </c>
      <c r="L133" t="s">
        <v>50</v>
      </c>
      <c r="N133">
        <v>70</v>
      </c>
      <c r="O133">
        <v>90</v>
      </c>
      <c r="P133">
        <v>0.441</v>
      </c>
      <c r="Q133" s="84" t="e">
        <v>#REF!</v>
      </c>
      <c r="R133" s="85"/>
      <c r="S133" s="85"/>
      <c r="T133" s="86">
        <v>0</v>
      </c>
      <c r="U133" s="84">
        <v>0</v>
      </c>
      <c r="V133" s="84">
        <v>727.99300000000005</v>
      </c>
      <c r="W133" s="84">
        <v>363.99650000000003</v>
      </c>
      <c r="X133" s="82">
        <v>0.35</v>
      </c>
      <c r="Y133" s="82"/>
      <c r="Z133" s="84">
        <v>363.99650000000003</v>
      </c>
      <c r="AA133" s="84">
        <v>727.99300000000005</v>
      </c>
      <c r="AB133" s="88" t="e">
        <v>#DIV/0!</v>
      </c>
      <c r="AC133" t="s">
        <v>627</v>
      </c>
    </row>
    <row r="134" spans="3:29">
      <c r="C134" t="s">
        <v>629</v>
      </c>
      <c r="D134" t="s">
        <v>623</v>
      </c>
      <c r="E134" s="84">
        <v>1099.99</v>
      </c>
      <c r="F134" s="84">
        <v>549.995</v>
      </c>
      <c r="G134" t="s">
        <v>508</v>
      </c>
      <c r="H134" t="s">
        <v>630</v>
      </c>
      <c r="I134" t="s">
        <v>625</v>
      </c>
      <c r="J134" t="s">
        <v>626</v>
      </c>
      <c r="K134" t="s">
        <v>58</v>
      </c>
      <c r="L134" t="s">
        <v>50</v>
      </c>
      <c r="N134">
        <v>70</v>
      </c>
      <c r="O134">
        <v>90</v>
      </c>
      <c r="P134">
        <v>0.441</v>
      </c>
      <c r="Q134" s="84" t="e">
        <v>#REF!</v>
      </c>
      <c r="R134" s="85"/>
      <c r="S134" s="85"/>
      <c r="T134" s="86">
        <v>0</v>
      </c>
      <c r="U134" s="84">
        <v>0</v>
      </c>
      <c r="V134" s="84">
        <v>769.99300000000005</v>
      </c>
      <c r="W134" s="84">
        <v>384.99650000000003</v>
      </c>
      <c r="X134" s="82">
        <v>0.35</v>
      </c>
      <c r="Y134" s="82"/>
      <c r="Z134" s="84">
        <v>384.99650000000003</v>
      </c>
      <c r="AA134" s="84">
        <v>769.99300000000005</v>
      </c>
      <c r="AB134" s="88" t="e">
        <v>#DIV/0!</v>
      </c>
      <c r="AC134" t="s">
        <v>631</v>
      </c>
    </row>
    <row r="135" spans="3:29">
      <c r="C135" t="s">
        <v>632</v>
      </c>
      <c r="D135" t="s">
        <v>623</v>
      </c>
      <c r="E135" s="84">
        <v>1079.99</v>
      </c>
      <c r="F135" s="84">
        <v>539.995</v>
      </c>
      <c r="G135" t="s">
        <v>508</v>
      </c>
      <c r="H135" t="s">
        <v>633</v>
      </c>
      <c r="I135" t="s">
        <v>625</v>
      </c>
      <c r="J135" t="s">
        <v>634</v>
      </c>
      <c r="K135" t="s">
        <v>49</v>
      </c>
      <c r="L135" t="s">
        <v>50</v>
      </c>
      <c r="N135">
        <v>70</v>
      </c>
      <c r="O135">
        <v>110</v>
      </c>
      <c r="P135">
        <v>0.53900000000000003</v>
      </c>
      <c r="Q135" s="84" t="e">
        <v>#REF!</v>
      </c>
      <c r="R135" s="85"/>
      <c r="S135" s="85"/>
      <c r="T135" s="86">
        <v>0</v>
      </c>
      <c r="U135" s="84">
        <v>0</v>
      </c>
      <c r="V135" s="84">
        <v>755.99300000000005</v>
      </c>
      <c r="W135" s="84">
        <v>377.99650000000003</v>
      </c>
      <c r="X135" s="82">
        <v>0.35</v>
      </c>
      <c r="Y135" s="82"/>
      <c r="Z135" s="84">
        <v>377.99650000000003</v>
      </c>
      <c r="AA135" s="84">
        <v>755.99300000000005</v>
      </c>
      <c r="AB135" s="88" t="e">
        <v>#DIV/0!</v>
      </c>
      <c r="AC135" t="s">
        <v>635</v>
      </c>
    </row>
    <row r="136" spans="3:29">
      <c r="C136" t="s">
        <v>637</v>
      </c>
      <c r="D136" t="s">
        <v>623</v>
      </c>
      <c r="E136" s="84">
        <v>1139.99</v>
      </c>
      <c r="F136" s="84">
        <v>569.995</v>
      </c>
      <c r="G136" t="s">
        <v>508</v>
      </c>
      <c r="H136" t="s">
        <v>638</v>
      </c>
      <c r="I136" t="s">
        <v>625</v>
      </c>
      <c r="J136" t="s">
        <v>634</v>
      </c>
      <c r="K136" t="s">
        <v>58</v>
      </c>
      <c r="L136" t="s">
        <v>50</v>
      </c>
      <c r="N136">
        <v>70</v>
      </c>
      <c r="O136">
        <v>110</v>
      </c>
      <c r="P136">
        <v>0.53900000000000003</v>
      </c>
      <c r="Q136" s="84" t="e">
        <v>#REF!</v>
      </c>
      <c r="R136" s="85"/>
      <c r="S136" s="85"/>
      <c r="T136" s="86">
        <v>0</v>
      </c>
      <c r="U136" s="84">
        <v>0</v>
      </c>
      <c r="V136" s="84">
        <v>797.99300000000005</v>
      </c>
      <c r="W136" s="84">
        <v>398.99650000000003</v>
      </c>
      <c r="X136" s="82">
        <v>0.35</v>
      </c>
      <c r="Y136" s="82"/>
      <c r="Z136" s="84">
        <v>398.99650000000003</v>
      </c>
      <c r="AA136" s="84">
        <v>797.99300000000005</v>
      </c>
      <c r="AB136" s="88" t="e">
        <v>#DIV/0!</v>
      </c>
      <c r="AC136" t="s">
        <v>635</v>
      </c>
    </row>
    <row r="137" spans="3:29">
      <c r="C137" t="s">
        <v>640</v>
      </c>
      <c r="D137" t="s">
        <v>641</v>
      </c>
      <c r="E137" s="84">
        <v>807.99</v>
      </c>
      <c r="F137" s="84">
        <v>403.995</v>
      </c>
      <c r="G137" t="s">
        <v>508</v>
      </c>
      <c r="H137" t="s">
        <v>642</v>
      </c>
      <c r="I137" t="s">
        <v>643</v>
      </c>
      <c r="J137" t="s">
        <v>644</v>
      </c>
      <c r="K137" t="s">
        <v>645</v>
      </c>
      <c r="L137" t="s">
        <v>646</v>
      </c>
      <c r="N137">
        <v>90</v>
      </c>
      <c r="O137">
        <v>100</v>
      </c>
      <c r="P137">
        <v>0.81</v>
      </c>
      <c r="Q137" s="84" t="e">
        <v>#REF!</v>
      </c>
      <c r="R137" s="85"/>
      <c r="S137" s="85"/>
      <c r="T137" s="86">
        <v>0</v>
      </c>
      <c r="U137" s="84">
        <v>0</v>
      </c>
      <c r="V137" s="84">
        <v>565.59299999999996</v>
      </c>
      <c r="W137" s="84">
        <v>282.79649999999998</v>
      </c>
      <c r="X137" s="82">
        <v>0.35</v>
      </c>
      <c r="Y137" s="82"/>
      <c r="Z137" s="84">
        <v>282.79649999999998</v>
      </c>
      <c r="AA137" s="84">
        <v>565.59299999999996</v>
      </c>
      <c r="AB137" s="88" t="e">
        <v>#DIV/0!</v>
      </c>
      <c r="AC137" t="s">
        <v>647</v>
      </c>
    </row>
    <row r="138" spans="3:29">
      <c r="C138" t="s">
        <v>650</v>
      </c>
      <c r="D138" t="s">
        <v>651</v>
      </c>
      <c r="E138" s="84">
        <v>619.99</v>
      </c>
      <c r="F138" s="84">
        <v>309.995</v>
      </c>
      <c r="G138" t="s">
        <v>508</v>
      </c>
      <c r="H138" t="s">
        <v>652</v>
      </c>
      <c r="I138" t="s">
        <v>653</v>
      </c>
      <c r="J138" t="s">
        <v>654</v>
      </c>
      <c r="K138" t="s">
        <v>645</v>
      </c>
      <c r="L138" t="s">
        <v>646</v>
      </c>
      <c r="M138">
        <v>120</v>
      </c>
      <c r="N138">
        <v>120</v>
      </c>
      <c r="O138">
        <v>110</v>
      </c>
      <c r="P138">
        <v>1.5840000000000001</v>
      </c>
      <c r="Q138" s="84" t="e">
        <v>#REF!</v>
      </c>
      <c r="R138" s="85"/>
      <c r="S138" s="85"/>
      <c r="T138" s="86">
        <v>0</v>
      </c>
      <c r="U138" s="84">
        <v>0</v>
      </c>
      <c r="V138" s="84">
        <v>433.99299999999999</v>
      </c>
      <c r="W138" s="84">
        <v>216.9965</v>
      </c>
      <c r="X138" s="82">
        <v>0.35</v>
      </c>
      <c r="Y138" s="82"/>
      <c r="Z138" s="84">
        <v>216.9965</v>
      </c>
      <c r="AA138" s="84">
        <v>433.99299999999999</v>
      </c>
      <c r="AB138" s="88" t="e">
        <v>#DIV/0!</v>
      </c>
      <c r="AC138" t="s">
        <v>655</v>
      </c>
    </row>
    <row r="139" spans="3:29">
      <c r="C139" t="s">
        <v>657</v>
      </c>
      <c r="D139" t="s">
        <v>658</v>
      </c>
      <c r="E139" s="84">
        <v>529.99</v>
      </c>
      <c r="F139" s="84">
        <v>264.995</v>
      </c>
      <c r="G139" t="s">
        <v>508</v>
      </c>
      <c r="H139" t="s">
        <v>659</v>
      </c>
      <c r="I139" t="s">
        <v>660</v>
      </c>
      <c r="J139" t="s">
        <v>661</v>
      </c>
      <c r="K139" t="s">
        <v>662</v>
      </c>
      <c r="L139" t="s">
        <v>646</v>
      </c>
      <c r="N139">
        <v>70</v>
      </c>
      <c r="O139">
        <v>105</v>
      </c>
      <c r="P139">
        <v>0.51449999999999996</v>
      </c>
      <c r="Q139" s="84" t="e">
        <v>#REF!</v>
      </c>
      <c r="R139" s="85"/>
      <c r="S139" s="85"/>
      <c r="T139" s="86">
        <v>0</v>
      </c>
      <c r="U139" s="84">
        <v>0</v>
      </c>
      <c r="V139" s="84">
        <v>370.99299999999999</v>
      </c>
      <c r="W139" s="84">
        <v>185.4965</v>
      </c>
      <c r="X139" s="82">
        <v>0.35</v>
      </c>
      <c r="Y139" s="82"/>
      <c r="Z139" s="84">
        <v>185.4965</v>
      </c>
      <c r="AA139" s="84">
        <v>370.99299999999999</v>
      </c>
      <c r="AB139" s="88" t="e">
        <v>#DIV/0!</v>
      </c>
      <c r="AC139" t="s">
        <v>663</v>
      </c>
    </row>
    <row r="140" spans="3:29">
      <c r="C140" t="s">
        <v>666</v>
      </c>
      <c r="D140" t="s">
        <v>667</v>
      </c>
      <c r="E140" s="84">
        <v>404.99</v>
      </c>
      <c r="F140" s="84">
        <v>202.495</v>
      </c>
      <c r="G140" t="s">
        <v>508</v>
      </c>
      <c r="H140" t="s">
        <v>668</v>
      </c>
      <c r="I140" t="s">
        <v>669</v>
      </c>
      <c r="L140" t="s">
        <v>670</v>
      </c>
      <c r="P140">
        <v>0</v>
      </c>
      <c r="Q140" s="84" t="e">
        <v>#REF!</v>
      </c>
      <c r="R140" s="85"/>
      <c r="S140" s="85"/>
      <c r="T140" s="86">
        <v>0</v>
      </c>
      <c r="U140" s="84">
        <v>0</v>
      </c>
      <c r="V140" s="84">
        <v>283.49299999999999</v>
      </c>
      <c r="W140" s="84">
        <v>141.7465</v>
      </c>
      <c r="X140" s="82">
        <v>0.35</v>
      </c>
      <c r="Y140" s="82"/>
      <c r="Z140" s="84">
        <v>141.7465</v>
      </c>
      <c r="AA140" s="84">
        <v>283.49299999999999</v>
      </c>
      <c r="AB140" s="88" t="e">
        <v>#DIV/0!</v>
      </c>
      <c r="AC140" t="s">
        <v>671</v>
      </c>
    </row>
    <row r="141" spans="3:29">
      <c r="C141" t="s">
        <v>666</v>
      </c>
      <c r="D141" t="s">
        <v>673</v>
      </c>
      <c r="E141" s="84">
        <v>404.99</v>
      </c>
      <c r="F141" s="84">
        <v>202.495</v>
      </c>
      <c r="G141" t="s">
        <v>508</v>
      </c>
      <c r="H141" t="s">
        <v>674</v>
      </c>
      <c r="I141" t="s">
        <v>669</v>
      </c>
      <c r="L141" t="s">
        <v>670</v>
      </c>
      <c r="P141">
        <v>0</v>
      </c>
      <c r="Q141" s="84" t="e">
        <v>#REF!</v>
      </c>
      <c r="R141" s="85"/>
      <c r="S141" s="85"/>
      <c r="T141" s="86">
        <v>0</v>
      </c>
      <c r="U141" s="84">
        <v>0</v>
      </c>
      <c r="V141" s="84">
        <v>283.49299999999999</v>
      </c>
      <c r="W141" s="84">
        <v>141.7465</v>
      </c>
      <c r="X141" s="82">
        <v>0.35</v>
      </c>
      <c r="Y141" s="82"/>
      <c r="Z141" s="84">
        <v>141.7465</v>
      </c>
      <c r="AA141" s="84">
        <v>283.49299999999999</v>
      </c>
      <c r="AB141" s="88" t="e">
        <v>#DIV/0!</v>
      </c>
      <c r="AC141" t="s">
        <v>675</v>
      </c>
    </row>
    <row r="142" spans="3:29">
      <c r="C142">
        <v>21950</v>
      </c>
      <c r="D142" t="s">
        <v>676</v>
      </c>
      <c r="E142" s="84">
        <v>267.99</v>
      </c>
      <c r="F142" s="84">
        <v>133.995</v>
      </c>
      <c r="G142" t="s">
        <v>508</v>
      </c>
      <c r="H142" t="s">
        <v>677</v>
      </c>
      <c r="I142" t="s">
        <v>678</v>
      </c>
      <c r="J142" t="s">
        <v>679</v>
      </c>
      <c r="L142" t="s">
        <v>670</v>
      </c>
      <c r="N142">
        <v>120</v>
      </c>
      <c r="P142">
        <v>0</v>
      </c>
      <c r="Q142" s="84" t="e">
        <v>#REF!</v>
      </c>
      <c r="R142" s="85"/>
      <c r="S142" s="85"/>
      <c r="T142" s="86">
        <v>0</v>
      </c>
      <c r="U142" s="84">
        <v>0</v>
      </c>
      <c r="V142" s="84">
        <v>187.59299999999999</v>
      </c>
      <c r="W142" s="84">
        <v>93.796499999999995</v>
      </c>
      <c r="X142" s="82">
        <v>0.35</v>
      </c>
      <c r="Y142" s="82"/>
      <c r="Z142" s="84">
        <v>93.796499999999995</v>
      </c>
      <c r="AA142" s="84">
        <v>187.59299999999999</v>
      </c>
      <c r="AB142" s="88" t="e">
        <v>#DIV/0!</v>
      </c>
      <c r="AC142" t="s">
        <v>680</v>
      </c>
    </row>
    <row r="143" spans="3:29">
      <c r="C143" t="s">
        <v>681</v>
      </c>
      <c r="D143" t="s">
        <v>682</v>
      </c>
      <c r="E143" s="84">
        <v>449.99</v>
      </c>
      <c r="F143" s="84">
        <v>224.995</v>
      </c>
      <c r="G143" t="s">
        <v>508</v>
      </c>
      <c r="H143" t="s">
        <v>683</v>
      </c>
      <c r="I143" t="s">
        <v>684</v>
      </c>
      <c r="L143" t="s">
        <v>670</v>
      </c>
      <c r="P143">
        <v>0</v>
      </c>
      <c r="Q143" s="84" t="e">
        <v>#REF!</v>
      </c>
      <c r="R143" s="85"/>
      <c r="S143" s="85"/>
      <c r="T143" s="86">
        <v>0</v>
      </c>
      <c r="U143" s="84">
        <v>0</v>
      </c>
      <c r="V143" s="84">
        <v>314.99299999999999</v>
      </c>
      <c r="W143" s="84">
        <v>157.4965</v>
      </c>
      <c r="X143" s="82">
        <v>0.35</v>
      </c>
      <c r="Y143" s="82"/>
      <c r="Z143" s="84">
        <v>157.4965</v>
      </c>
      <c r="AA143" s="84">
        <v>314.99299999999999</v>
      </c>
      <c r="AB143" s="88" t="e">
        <v>#DIV/0!</v>
      </c>
      <c r="AC143" t="s">
        <v>685</v>
      </c>
    </row>
    <row r="144" spans="3:29">
      <c r="C144" t="s">
        <v>687</v>
      </c>
      <c r="D144" t="s">
        <v>688</v>
      </c>
      <c r="E144" s="84">
        <v>189.99</v>
      </c>
      <c r="F144" s="84">
        <v>94.995000000000005</v>
      </c>
      <c r="G144" t="s">
        <v>508</v>
      </c>
      <c r="H144" t="s">
        <v>689</v>
      </c>
      <c r="I144" t="s">
        <v>690</v>
      </c>
      <c r="L144" t="s">
        <v>646</v>
      </c>
      <c r="P144">
        <v>0</v>
      </c>
      <c r="Q144" s="84" t="e">
        <v>#REF!</v>
      </c>
      <c r="R144" s="85"/>
      <c r="S144" s="85"/>
      <c r="T144" s="86">
        <v>0</v>
      </c>
      <c r="U144" s="84">
        <v>0</v>
      </c>
      <c r="V144" s="84">
        <v>132.99299999999999</v>
      </c>
      <c r="W144" s="84">
        <v>66.496499999999997</v>
      </c>
      <c r="X144" s="82">
        <v>0.35</v>
      </c>
      <c r="Y144" s="82"/>
      <c r="Z144" s="84">
        <v>66.496499999999997</v>
      </c>
      <c r="AA144" s="84">
        <v>132.99299999999999</v>
      </c>
      <c r="AB144" s="88" t="e">
        <v>#DIV/0!</v>
      </c>
      <c r="AC144" t="s">
        <v>691</v>
      </c>
    </row>
    <row r="145" spans="3:29">
      <c r="C145" t="s">
        <v>693</v>
      </c>
      <c r="D145" t="s">
        <v>694</v>
      </c>
      <c r="E145" s="84">
        <v>419.99</v>
      </c>
      <c r="F145" s="84">
        <v>209.995</v>
      </c>
      <c r="G145" t="s">
        <v>508</v>
      </c>
      <c r="H145" t="s">
        <v>695</v>
      </c>
      <c r="I145" t="s">
        <v>696</v>
      </c>
      <c r="J145" t="s">
        <v>697</v>
      </c>
      <c r="K145" t="s">
        <v>698</v>
      </c>
      <c r="L145" t="s">
        <v>646</v>
      </c>
      <c r="N145">
        <v>70</v>
      </c>
      <c r="O145">
        <v>110</v>
      </c>
      <c r="P145">
        <v>0.53900000000000003</v>
      </c>
      <c r="Q145" s="84" t="e">
        <v>#REF!</v>
      </c>
      <c r="R145" s="85"/>
      <c r="S145" s="85"/>
      <c r="T145" s="86">
        <v>0</v>
      </c>
      <c r="U145" s="84">
        <v>0</v>
      </c>
      <c r="V145" s="84">
        <v>293.99299999999999</v>
      </c>
      <c r="W145" s="84">
        <v>146.9965</v>
      </c>
      <c r="X145" s="82">
        <v>0.35</v>
      </c>
      <c r="Y145" s="82"/>
      <c r="Z145" s="84">
        <v>146.9965</v>
      </c>
      <c r="AA145" s="84">
        <v>293.99299999999999</v>
      </c>
      <c r="AB145" s="88" t="e">
        <v>#DIV/0!</v>
      </c>
      <c r="AC145" t="s">
        <v>699</v>
      </c>
    </row>
    <row r="146" spans="3:29">
      <c r="C146" t="s">
        <v>701</v>
      </c>
      <c r="D146" t="s">
        <v>694</v>
      </c>
      <c r="E146" s="84">
        <v>399.99</v>
      </c>
      <c r="F146" s="84">
        <v>199.995</v>
      </c>
      <c r="G146" t="s">
        <v>508</v>
      </c>
      <c r="H146" t="s">
        <v>702</v>
      </c>
      <c r="I146" t="s">
        <v>696</v>
      </c>
      <c r="J146" t="s">
        <v>703</v>
      </c>
      <c r="K146" t="s">
        <v>698</v>
      </c>
      <c r="L146" t="s">
        <v>646</v>
      </c>
      <c r="N146">
        <v>70</v>
      </c>
      <c r="O146">
        <v>90</v>
      </c>
      <c r="P146">
        <v>0.441</v>
      </c>
      <c r="Q146" s="84" t="e">
        <v>#REF!</v>
      </c>
      <c r="R146" s="85"/>
      <c r="S146" s="85"/>
      <c r="T146" s="86">
        <v>0</v>
      </c>
      <c r="U146" s="84">
        <v>0</v>
      </c>
      <c r="V146" s="84">
        <v>279.99299999999999</v>
      </c>
      <c r="W146" s="84">
        <v>139.9965</v>
      </c>
      <c r="X146" s="82">
        <v>0.35</v>
      </c>
      <c r="Y146" s="82"/>
      <c r="Z146" s="84">
        <v>139.9965</v>
      </c>
      <c r="AA146" s="84">
        <v>279.99299999999999</v>
      </c>
      <c r="AB146" s="88" t="e">
        <v>#DIV/0!</v>
      </c>
      <c r="AC146" t="s">
        <v>704</v>
      </c>
    </row>
    <row r="147" spans="3:29">
      <c r="C147" t="s">
        <v>705</v>
      </c>
      <c r="E147" s="84"/>
      <c r="F147" s="82"/>
      <c r="R147" s="85"/>
      <c r="S147" s="85"/>
      <c r="T147" s="86"/>
      <c r="V147" s="84">
        <v>0</v>
      </c>
      <c r="W147" s="84">
        <v>0</v>
      </c>
      <c r="X147" s="82" t="e">
        <v>#DIV/0!</v>
      </c>
      <c r="Y147" s="82"/>
      <c r="Z147" s="82"/>
      <c r="AA147" s="82"/>
      <c r="AB147" s="88" t="e">
        <v>#DIV/0!</v>
      </c>
    </row>
    <row r="148" spans="3:29">
      <c r="C148" t="s">
        <v>706</v>
      </c>
      <c r="D148" t="s">
        <v>707</v>
      </c>
      <c r="E148" s="84">
        <v>1319.99</v>
      </c>
      <c r="F148" s="84">
        <v>659.995</v>
      </c>
      <c r="G148" t="s">
        <v>705</v>
      </c>
      <c r="H148" t="s">
        <v>708</v>
      </c>
      <c r="I148" t="s">
        <v>709</v>
      </c>
      <c r="J148" t="s">
        <v>710</v>
      </c>
      <c r="K148" t="s">
        <v>711</v>
      </c>
      <c r="L148" t="s">
        <v>50</v>
      </c>
      <c r="M148">
        <v>90</v>
      </c>
      <c r="N148">
        <v>90</v>
      </c>
      <c r="O148">
        <v>35</v>
      </c>
      <c r="P148">
        <v>0.28349999999999997</v>
      </c>
      <c r="Q148" s="84" t="e">
        <v>#REF!</v>
      </c>
      <c r="R148" s="85">
        <v>1797740.03257928</v>
      </c>
      <c r="S148" s="85">
        <v>0</v>
      </c>
      <c r="T148" s="86">
        <v>1797740.03257928</v>
      </c>
      <c r="U148" s="84">
        <v>119.849335505285</v>
      </c>
      <c r="V148" s="84">
        <v>923.99300000000005</v>
      </c>
      <c r="W148" s="84">
        <v>461.99650000000003</v>
      </c>
      <c r="X148" s="82">
        <v>0.35</v>
      </c>
      <c r="Y148" s="82"/>
      <c r="Z148" s="84">
        <v>461.99650000000003</v>
      </c>
      <c r="AA148" s="84">
        <v>923.99300000000005</v>
      </c>
      <c r="AB148" s="88">
        <v>3.85481069254344</v>
      </c>
      <c r="AC148" t="s">
        <v>712</v>
      </c>
    </row>
    <row r="149" spans="3:29">
      <c r="C149" t="s">
        <v>716</v>
      </c>
      <c r="D149" t="s">
        <v>707</v>
      </c>
      <c r="E149" s="84">
        <v>889.99</v>
      </c>
      <c r="F149" s="84">
        <v>444.995</v>
      </c>
      <c r="G149" t="s">
        <v>705</v>
      </c>
      <c r="H149" t="s">
        <v>717</v>
      </c>
      <c r="I149" t="s">
        <v>718</v>
      </c>
      <c r="J149" t="s">
        <v>719</v>
      </c>
      <c r="K149" t="s">
        <v>711</v>
      </c>
      <c r="L149" t="s">
        <v>50</v>
      </c>
      <c r="M149">
        <v>120</v>
      </c>
      <c r="N149">
        <v>40</v>
      </c>
      <c r="O149">
        <v>35</v>
      </c>
      <c r="P149">
        <v>0.16800000000000001</v>
      </c>
      <c r="Q149" s="84" t="e">
        <v>#REF!</v>
      </c>
      <c r="R149" s="85">
        <v>1230847.13385469</v>
      </c>
      <c r="S149" s="85">
        <v>0</v>
      </c>
      <c r="T149" s="86">
        <v>1230847.13385469</v>
      </c>
      <c r="U149" s="84">
        <v>82.056475590312303</v>
      </c>
      <c r="V149" s="84">
        <v>622.99300000000005</v>
      </c>
      <c r="W149" s="84">
        <v>311.49650000000003</v>
      </c>
      <c r="X149" s="82">
        <v>0.35</v>
      </c>
      <c r="Y149" s="82"/>
      <c r="Z149" s="84">
        <v>311.49650000000003</v>
      </c>
      <c r="AA149" s="84">
        <v>622.99300000000005</v>
      </c>
      <c r="AB149" s="88">
        <v>3.79612331335341</v>
      </c>
      <c r="AC149" t="s">
        <v>720</v>
      </c>
    </row>
    <row r="150" spans="3:29">
      <c r="C150" t="s">
        <v>722</v>
      </c>
      <c r="D150" t="s">
        <v>707</v>
      </c>
      <c r="E150" s="84">
        <v>2219.9899999999998</v>
      </c>
      <c r="F150" s="84">
        <v>1109.9949999999999</v>
      </c>
      <c r="G150" t="s">
        <v>705</v>
      </c>
      <c r="H150" t="s">
        <v>723</v>
      </c>
      <c r="I150" t="s">
        <v>724</v>
      </c>
      <c r="J150" t="s">
        <v>725</v>
      </c>
      <c r="K150" t="s">
        <v>726</v>
      </c>
      <c r="L150" t="s">
        <v>50</v>
      </c>
      <c r="M150">
        <v>200</v>
      </c>
      <c r="N150">
        <v>100</v>
      </c>
      <c r="O150">
        <v>35</v>
      </c>
      <c r="P150">
        <v>0.7</v>
      </c>
      <c r="Q150" s="84" t="e">
        <v>#REF!</v>
      </c>
      <c r="R150" s="85"/>
      <c r="S150" s="85"/>
      <c r="T150" s="86">
        <v>0</v>
      </c>
      <c r="U150" s="84">
        <v>0</v>
      </c>
      <c r="V150" s="84">
        <v>1553.9929999999999</v>
      </c>
      <c r="W150" s="84">
        <v>776.99649999999997</v>
      </c>
      <c r="X150" s="82">
        <v>0.35</v>
      </c>
      <c r="Y150" s="82"/>
      <c r="Z150" s="84">
        <v>776.99649999999997</v>
      </c>
      <c r="AA150" s="84">
        <v>1553.9929999999999</v>
      </c>
      <c r="AB150" s="88" t="e">
        <v>#DIV/0!</v>
      </c>
      <c r="AC150" t="s">
        <v>727</v>
      </c>
    </row>
    <row r="151" spans="3:29">
      <c r="C151" t="s">
        <v>730</v>
      </c>
      <c r="D151" t="s">
        <v>731</v>
      </c>
      <c r="E151" s="84">
        <v>1269.99</v>
      </c>
      <c r="F151" s="84">
        <v>634.995</v>
      </c>
      <c r="G151" t="s">
        <v>705</v>
      </c>
      <c r="H151" t="s">
        <v>732</v>
      </c>
      <c r="I151" t="s">
        <v>733</v>
      </c>
      <c r="J151" t="s">
        <v>734</v>
      </c>
      <c r="K151" t="s">
        <v>726</v>
      </c>
      <c r="L151" t="s">
        <v>50</v>
      </c>
      <c r="M151">
        <v>80</v>
      </c>
      <c r="N151">
        <v>80</v>
      </c>
      <c r="O151">
        <v>35</v>
      </c>
      <c r="P151">
        <v>0.224</v>
      </c>
      <c r="Q151" s="84" t="e">
        <v>#REF!</v>
      </c>
      <c r="R151" s="85"/>
      <c r="S151" s="85"/>
      <c r="T151" s="86">
        <v>0</v>
      </c>
      <c r="U151" s="84">
        <v>0</v>
      </c>
      <c r="V151" s="84">
        <v>888.99300000000005</v>
      </c>
      <c r="W151" s="84">
        <v>444.49650000000003</v>
      </c>
      <c r="X151" s="82">
        <v>0.35</v>
      </c>
      <c r="Y151" s="82"/>
      <c r="Z151" s="84">
        <v>444.49650000000003</v>
      </c>
      <c r="AA151" s="84">
        <v>888.99300000000005</v>
      </c>
      <c r="AB151" s="88" t="e">
        <v>#DIV/0!</v>
      </c>
      <c r="AC151" t="s">
        <v>735</v>
      </c>
    </row>
    <row r="152" spans="3:29">
      <c r="C152" t="s">
        <v>737</v>
      </c>
      <c r="D152" t="s">
        <v>731</v>
      </c>
      <c r="E152" s="84">
        <v>1169.99</v>
      </c>
      <c r="F152" s="84">
        <v>584.995</v>
      </c>
      <c r="G152" t="s">
        <v>705</v>
      </c>
      <c r="H152" t="s">
        <v>738</v>
      </c>
      <c r="I152" t="s">
        <v>739</v>
      </c>
      <c r="J152" t="s">
        <v>740</v>
      </c>
      <c r="K152" t="s">
        <v>726</v>
      </c>
      <c r="L152" t="s">
        <v>50</v>
      </c>
      <c r="M152">
        <v>100</v>
      </c>
      <c r="N152">
        <v>40</v>
      </c>
      <c r="O152">
        <v>35</v>
      </c>
      <c r="P152">
        <v>0.14000000000000001</v>
      </c>
      <c r="Q152" s="84" t="e">
        <v>#REF!</v>
      </c>
      <c r="R152" s="85"/>
      <c r="S152" s="85"/>
      <c r="T152" s="86">
        <v>0</v>
      </c>
      <c r="U152" s="84">
        <v>0</v>
      </c>
      <c r="V152" s="84">
        <v>818.99300000000005</v>
      </c>
      <c r="W152" s="84">
        <v>409.49650000000003</v>
      </c>
      <c r="X152" s="82">
        <v>0.35</v>
      </c>
      <c r="Y152" s="82"/>
      <c r="Z152" s="84">
        <v>409.49650000000003</v>
      </c>
      <c r="AA152" s="84">
        <v>818.99300000000005</v>
      </c>
      <c r="AB152" s="88" t="e">
        <v>#DIV/0!</v>
      </c>
      <c r="AC152" t="s">
        <v>741</v>
      </c>
    </row>
    <row r="153" spans="3:29">
      <c r="C153" t="s">
        <v>743</v>
      </c>
      <c r="D153" t="s">
        <v>731</v>
      </c>
      <c r="E153" s="84">
        <v>2229.9899999999998</v>
      </c>
      <c r="F153" s="84">
        <v>1114.9949999999999</v>
      </c>
      <c r="G153" t="s">
        <v>705</v>
      </c>
      <c r="H153" t="s">
        <v>744</v>
      </c>
      <c r="I153" t="s">
        <v>745</v>
      </c>
      <c r="J153" t="s">
        <v>746</v>
      </c>
      <c r="K153" t="s">
        <v>726</v>
      </c>
      <c r="L153" t="s">
        <v>50</v>
      </c>
      <c r="M153">
        <v>220</v>
      </c>
      <c r="N153">
        <v>100</v>
      </c>
      <c r="O153">
        <v>35</v>
      </c>
      <c r="P153">
        <v>0.77</v>
      </c>
      <c r="Q153" s="84" t="e">
        <v>#REF!</v>
      </c>
      <c r="R153" s="85">
        <v>3446702.75152524</v>
      </c>
      <c r="S153" s="85">
        <v>0</v>
      </c>
      <c r="T153" s="86">
        <v>3446702.75152524</v>
      </c>
      <c r="U153" s="84">
        <v>229.780183435016</v>
      </c>
      <c r="V153" s="84">
        <v>1560.9929999999999</v>
      </c>
      <c r="W153" s="84">
        <v>780.49649999999997</v>
      </c>
      <c r="X153" s="82">
        <v>0.35</v>
      </c>
      <c r="Y153" s="82"/>
      <c r="Z153" s="84">
        <v>780.49649999999997</v>
      </c>
      <c r="AA153" s="84">
        <v>1560.9929999999999</v>
      </c>
      <c r="AB153" s="88">
        <v>3.3967093607997398</v>
      </c>
      <c r="AC153" t="s">
        <v>747</v>
      </c>
    </row>
    <row r="154" spans="3:29">
      <c r="C154" t="s">
        <v>749</v>
      </c>
      <c r="D154" t="s">
        <v>750</v>
      </c>
      <c r="E154" s="84">
        <v>1539.99</v>
      </c>
      <c r="F154" s="84">
        <v>769.995</v>
      </c>
      <c r="G154" t="s">
        <v>705</v>
      </c>
      <c r="H154" t="s">
        <v>751</v>
      </c>
      <c r="I154" t="s">
        <v>752</v>
      </c>
      <c r="J154" t="s">
        <v>753</v>
      </c>
      <c r="K154" t="s">
        <v>754</v>
      </c>
      <c r="L154" t="s">
        <v>50</v>
      </c>
      <c r="M154">
        <v>120</v>
      </c>
      <c r="N154">
        <v>120</v>
      </c>
      <c r="O154">
        <v>35</v>
      </c>
      <c r="P154">
        <v>0.504</v>
      </c>
      <c r="Q154" s="84" t="e">
        <v>#REF!</v>
      </c>
      <c r="R154" s="85"/>
      <c r="S154" s="85"/>
      <c r="T154" s="86">
        <v>0</v>
      </c>
      <c r="U154" s="84">
        <v>0</v>
      </c>
      <c r="V154" s="84">
        <v>1077.9929999999999</v>
      </c>
      <c r="W154" s="84">
        <v>538.99649999999997</v>
      </c>
      <c r="X154" s="82">
        <v>0.35</v>
      </c>
      <c r="Y154" s="82"/>
      <c r="Z154" s="84">
        <v>538.99649999999997</v>
      </c>
      <c r="AA154" s="84">
        <v>1077.9929999999999</v>
      </c>
      <c r="AB154" s="88" t="e">
        <v>#DIV/0!</v>
      </c>
      <c r="AC154" t="s">
        <v>755</v>
      </c>
    </row>
    <row r="155" spans="3:29">
      <c r="C155" t="s">
        <v>758</v>
      </c>
      <c r="D155" t="s">
        <v>750</v>
      </c>
      <c r="E155" s="84">
        <v>899.99</v>
      </c>
      <c r="F155" s="84">
        <v>449.995</v>
      </c>
      <c r="G155" t="s">
        <v>705</v>
      </c>
      <c r="H155" t="s">
        <v>759</v>
      </c>
      <c r="I155" t="s">
        <v>760</v>
      </c>
      <c r="J155" t="s">
        <v>761</v>
      </c>
      <c r="K155" t="s">
        <v>754</v>
      </c>
      <c r="L155" t="s">
        <v>50</v>
      </c>
      <c r="M155">
        <v>120</v>
      </c>
      <c r="N155">
        <v>35</v>
      </c>
      <c r="O155">
        <v>35</v>
      </c>
      <c r="P155">
        <v>0.14699999999999999</v>
      </c>
      <c r="Q155" s="84" t="e">
        <v>#REF!</v>
      </c>
      <c r="R155" s="85"/>
      <c r="S155" s="85"/>
      <c r="T155" s="86">
        <v>0</v>
      </c>
      <c r="U155" s="84">
        <v>0</v>
      </c>
      <c r="V155" s="84">
        <v>629.99300000000005</v>
      </c>
      <c r="W155" s="84">
        <v>314.99650000000003</v>
      </c>
      <c r="X155" s="82">
        <v>0.35</v>
      </c>
      <c r="Y155" s="82"/>
      <c r="Z155" s="84">
        <v>314.99650000000003</v>
      </c>
      <c r="AA155" s="84">
        <v>629.99300000000005</v>
      </c>
      <c r="AB155" s="88" t="e">
        <v>#DIV/0!</v>
      </c>
      <c r="AC155" t="s">
        <v>762</v>
      </c>
    </row>
    <row r="156" spans="3:29">
      <c r="C156" t="s">
        <v>764</v>
      </c>
      <c r="D156" t="s">
        <v>750</v>
      </c>
      <c r="E156" s="84">
        <v>1919.99</v>
      </c>
      <c r="F156" s="84">
        <v>959.995</v>
      </c>
      <c r="G156" t="s">
        <v>705</v>
      </c>
      <c r="H156" t="s">
        <v>765</v>
      </c>
      <c r="I156" t="s">
        <v>766</v>
      </c>
      <c r="J156" t="s">
        <v>767</v>
      </c>
      <c r="K156" t="s">
        <v>754</v>
      </c>
      <c r="L156" t="s">
        <v>50</v>
      </c>
      <c r="M156">
        <v>180</v>
      </c>
      <c r="N156">
        <v>85</v>
      </c>
      <c r="O156">
        <v>35</v>
      </c>
      <c r="P156">
        <v>0.53549999999999998</v>
      </c>
      <c r="Q156" s="84" t="e">
        <v>#REF!</v>
      </c>
      <c r="R156" s="85">
        <v>4317625.9671567203</v>
      </c>
      <c r="S156" s="85">
        <v>0</v>
      </c>
      <c r="T156" s="86">
        <v>4317625.9671567203</v>
      </c>
      <c r="U156" s="84">
        <v>287.84173114378098</v>
      </c>
      <c r="V156" s="84">
        <v>1343.9929999999999</v>
      </c>
      <c r="W156" s="84">
        <v>671.99649999999997</v>
      </c>
      <c r="X156" s="82">
        <v>0.35</v>
      </c>
      <c r="Y156" s="82"/>
      <c r="Z156" s="84">
        <v>671.99649999999997</v>
      </c>
      <c r="AA156" s="84">
        <v>1343.9929999999999</v>
      </c>
      <c r="AB156" s="88">
        <v>2.3346041497517498</v>
      </c>
      <c r="AC156" t="s">
        <v>768</v>
      </c>
    </row>
    <row r="157" spans="3:29">
      <c r="C157" t="s">
        <v>770</v>
      </c>
      <c r="D157" t="s">
        <v>750</v>
      </c>
      <c r="E157" s="84">
        <v>1849.99</v>
      </c>
      <c r="F157" s="84">
        <v>924.995</v>
      </c>
      <c r="G157" t="s">
        <v>705</v>
      </c>
      <c r="H157" t="s">
        <v>771</v>
      </c>
      <c r="I157" t="s">
        <v>772</v>
      </c>
      <c r="J157" t="s">
        <v>773</v>
      </c>
      <c r="K157" t="s">
        <v>754</v>
      </c>
      <c r="L157" t="s">
        <v>50</v>
      </c>
      <c r="M157">
        <v>200</v>
      </c>
      <c r="N157">
        <v>90</v>
      </c>
      <c r="O157">
        <v>35</v>
      </c>
      <c r="P157">
        <v>0.63</v>
      </c>
      <c r="Q157" s="84" t="e">
        <v>#REF!</v>
      </c>
      <c r="R157" s="85"/>
      <c r="S157" s="85"/>
      <c r="T157" s="86">
        <v>0</v>
      </c>
      <c r="U157" s="84">
        <v>0</v>
      </c>
      <c r="V157" s="84">
        <v>1294.9929999999999</v>
      </c>
      <c r="W157" s="84">
        <v>647.49649999999997</v>
      </c>
      <c r="X157" s="82">
        <v>0.35</v>
      </c>
      <c r="Y157" s="82"/>
      <c r="Z157" s="84">
        <v>647.49649999999997</v>
      </c>
      <c r="AA157" s="84">
        <v>1294.9929999999999</v>
      </c>
      <c r="AB157" s="88" t="e">
        <v>#DIV/0!</v>
      </c>
      <c r="AC157" t="s">
        <v>774</v>
      </c>
    </row>
    <row r="158" spans="3:29">
      <c r="C158" t="s">
        <v>775</v>
      </c>
      <c r="D158" t="s">
        <v>750</v>
      </c>
      <c r="E158" s="84">
        <v>2609.9899999999998</v>
      </c>
      <c r="F158" s="84">
        <v>1304.9949999999999</v>
      </c>
      <c r="G158" t="s">
        <v>705</v>
      </c>
      <c r="H158" t="s">
        <v>776</v>
      </c>
      <c r="I158" t="s">
        <v>777</v>
      </c>
      <c r="J158" t="s">
        <v>778</v>
      </c>
      <c r="K158" t="s">
        <v>754</v>
      </c>
      <c r="L158" t="s">
        <v>50</v>
      </c>
      <c r="M158">
        <v>260</v>
      </c>
      <c r="N158">
        <v>80</v>
      </c>
      <c r="O158">
        <v>35</v>
      </c>
      <c r="P158">
        <v>0.72799999999999998</v>
      </c>
      <c r="Q158" s="84" t="e">
        <v>#REF!</v>
      </c>
      <c r="R158" s="85"/>
      <c r="S158" s="85"/>
      <c r="T158" s="86">
        <v>0</v>
      </c>
      <c r="U158" s="84">
        <v>0</v>
      </c>
      <c r="V158" s="84">
        <v>1826.9929999999999</v>
      </c>
      <c r="W158" s="84">
        <v>913.49649999999997</v>
      </c>
      <c r="X158" s="82">
        <v>0.35</v>
      </c>
      <c r="Y158" s="82"/>
      <c r="Z158" s="84">
        <v>913.49649999999997</v>
      </c>
      <c r="AA158" s="84">
        <v>1826.9929999999999</v>
      </c>
      <c r="AB158" s="88" t="e">
        <v>#DIV/0!</v>
      </c>
      <c r="AC158" t="s">
        <v>779</v>
      </c>
    </row>
    <row r="159" spans="3:29">
      <c r="C159">
        <v>22009</v>
      </c>
      <c r="D159" t="s">
        <v>780</v>
      </c>
      <c r="E159" s="84">
        <v>74.989999999999995</v>
      </c>
      <c r="F159" s="84">
        <v>37.494999999999997</v>
      </c>
      <c r="G159" t="s">
        <v>705</v>
      </c>
      <c r="H159" t="s">
        <v>781</v>
      </c>
      <c r="I159" t="s">
        <v>782</v>
      </c>
      <c r="J159" t="s">
        <v>783</v>
      </c>
      <c r="K159" t="s">
        <v>784</v>
      </c>
      <c r="L159" t="s">
        <v>646</v>
      </c>
      <c r="N159">
        <v>38</v>
      </c>
      <c r="O159">
        <v>38</v>
      </c>
      <c r="P159">
        <v>5.4871999999999997E-2</v>
      </c>
      <c r="Q159" s="84" t="e">
        <v>#REF!</v>
      </c>
      <c r="R159" s="85"/>
      <c r="S159" s="85"/>
      <c r="T159" s="86">
        <v>0</v>
      </c>
      <c r="U159" s="84">
        <v>0</v>
      </c>
      <c r="V159" s="84">
        <v>52.493000000000002</v>
      </c>
      <c r="W159" s="84">
        <v>26.246500000000001</v>
      </c>
      <c r="X159" s="82">
        <v>0.35</v>
      </c>
      <c r="Y159" s="82"/>
      <c r="Z159" s="84">
        <v>26.246500000000001</v>
      </c>
      <c r="AA159" s="84">
        <v>52.493000000000002</v>
      </c>
      <c r="AB159" s="88" t="e">
        <v>#DIV/0!</v>
      </c>
      <c r="AC159" t="s">
        <v>785</v>
      </c>
    </row>
    <row r="160" spans="3:29">
      <c r="C160" t="s">
        <v>786</v>
      </c>
      <c r="D160" t="s">
        <v>787</v>
      </c>
      <c r="E160" s="84">
        <v>58.99</v>
      </c>
      <c r="F160" s="84">
        <v>29.495000000000001</v>
      </c>
      <c r="G160" t="s">
        <v>705</v>
      </c>
      <c r="J160" t="s">
        <v>788</v>
      </c>
      <c r="K160" t="s">
        <v>784</v>
      </c>
      <c r="L160" t="s">
        <v>646</v>
      </c>
      <c r="N160">
        <v>38</v>
      </c>
      <c r="O160">
        <v>39</v>
      </c>
      <c r="P160">
        <v>5.6315999999999998E-2</v>
      </c>
      <c r="Q160" s="84" t="e">
        <v>#REF!</v>
      </c>
      <c r="R160" s="85"/>
      <c r="S160" s="85"/>
      <c r="T160" s="86">
        <v>0</v>
      </c>
      <c r="U160" s="84">
        <v>0</v>
      </c>
      <c r="V160" s="84">
        <v>41.292999999999999</v>
      </c>
      <c r="W160" s="84">
        <v>20.6465</v>
      </c>
      <c r="X160" s="82">
        <v>0.35</v>
      </c>
      <c r="Y160" s="82"/>
      <c r="Z160" s="84">
        <v>20.6465</v>
      </c>
      <c r="AA160" s="84">
        <v>41.292999999999999</v>
      </c>
      <c r="AB160" s="88" t="e">
        <v>#DIV/0!</v>
      </c>
    </row>
    <row r="161" spans="3:29">
      <c r="C161">
        <v>22010</v>
      </c>
      <c r="D161" t="s">
        <v>790</v>
      </c>
      <c r="E161" s="84">
        <v>138.99</v>
      </c>
      <c r="F161" s="84">
        <v>69.495000000000005</v>
      </c>
      <c r="G161" t="s">
        <v>705</v>
      </c>
      <c r="J161" t="s">
        <v>791</v>
      </c>
      <c r="K161" t="s">
        <v>784</v>
      </c>
      <c r="L161" t="s">
        <v>646</v>
      </c>
      <c r="N161">
        <v>76</v>
      </c>
      <c r="O161">
        <v>37</v>
      </c>
      <c r="P161">
        <v>0.21371200000000001</v>
      </c>
      <c r="Q161" s="84" t="e">
        <v>#REF!</v>
      </c>
      <c r="R161" s="85"/>
      <c r="S161" s="85"/>
      <c r="T161" s="86">
        <v>0</v>
      </c>
      <c r="U161" s="84">
        <v>0</v>
      </c>
      <c r="V161" s="84">
        <v>97.293000000000006</v>
      </c>
      <c r="W161" s="84">
        <v>48.646500000000003</v>
      </c>
      <c r="X161" s="82">
        <v>0.35</v>
      </c>
      <c r="Y161" s="82"/>
      <c r="Z161" s="84">
        <v>48.646500000000003</v>
      </c>
      <c r="AA161" s="84">
        <v>97.293000000000006</v>
      </c>
      <c r="AB161" s="88" t="e">
        <v>#DIV/0!</v>
      </c>
    </row>
    <row r="162" spans="3:29">
      <c r="C162" t="s">
        <v>793</v>
      </c>
      <c r="D162" t="s">
        <v>794</v>
      </c>
      <c r="E162" s="84">
        <v>408.99</v>
      </c>
      <c r="F162" s="84">
        <v>204.495</v>
      </c>
      <c r="G162" t="s">
        <v>705</v>
      </c>
      <c r="H162" t="s">
        <v>795</v>
      </c>
      <c r="I162" t="s">
        <v>796</v>
      </c>
      <c r="J162" t="s">
        <v>797</v>
      </c>
      <c r="K162" t="s">
        <v>784</v>
      </c>
      <c r="L162" t="s">
        <v>646</v>
      </c>
      <c r="N162">
        <v>76</v>
      </c>
      <c r="O162">
        <v>38</v>
      </c>
      <c r="P162">
        <v>0.21948799999999999</v>
      </c>
      <c r="Q162" s="84" t="e">
        <v>#REF!</v>
      </c>
      <c r="R162" s="85">
        <v>119639.433830708</v>
      </c>
      <c r="S162" s="85">
        <v>700000</v>
      </c>
      <c r="T162" s="86">
        <v>819639.43383070803</v>
      </c>
      <c r="U162" s="84">
        <v>54.642628922047201</v>
      </c>
      <c r="V162" s="84">
        <v>286.29300000000001</v>
      </c>
      <c r="W162" s="84">
        <v>143.1465</v>
      </c>
      <c r="X162" s="82">
        <v>0.35</v>
      </c>
      <c r="Y162" s="82"/>
      <c r="Z162" s="84">
        <v>143.1465</v>
      </c>
      <c r="AA162" s="84">
        <v>286.29300000000001</v>
      </c>
      <c r="AB162" s="88">
        <v>2.6196854511559402</v>
      </c>
      <c r="AC162" t="s">
        <v>798</v>
      </c>
    </row>
    <row r="163" spans="3:29">
      <c r="C163" t="s">
        <v>800</v>
      </c>
      <c r="E163" s="84"/>
      <c r="F163" s="82"/>
      <c r="R163" s="85"/>
      <c r="S163" s="85"/>
      <c r="T163" s="86"/>
      <c r="V163" s="84">
        <v>0</v>
      </c>
      <c r="W163" s="84">
        <v>0</v>
      </c>
      <c r="X163" s="82" t="e">
        <v>#DIV/0!</v>
      </c>
      <c r="Y163" s="82"/>
      <c r="Z163" s="82"/>
      <c r="AA163" s="82"/>
      <c r="AB163" s="88" t="e">
        <v>#DIV/0!</v>
      </c>
    </row>
    <row r="164" spans="3:29">
      <c r="C164" t="s">
        <v>802</v>
      </c>
      <c r="D164" t="s">
        <v>803</v>
      </c>
      <c r="E164" s="84">
        <v>499.99</v>
      </c>
      <c r="F164" s="84">
        <v>249.995</v>
      </c>
      <c r="G164" t="s">
        <v>800</v>
      </c>
      <c r="H164" t="s">
        <v>804</v>
      </c>
      <c r="I164" t="s">
        <v>805</v>
      </c>
      <c r="J164" t="s">
        <v>806</v>
      </c>
      <c r="K164" t="s">
        <v>807</v>
      </c>
      <c r="L164" t="s">
        <v>646</v>
      </c>
      <c r="N164">
        <v>35</v>
      </c>
      <c r="O164">
        <v>45</v>
      </c>
      <c r="P164">
        <v>5.5125E-2</v>
      </c>
      <c r="Q164" s="84" t="e">
        <v>#REF!</v>
      </c>
      <c r="R164" s="85">
        <v>77959.658376777006</v>
      </c>
      <c r="S164" s="85">
        <v>900000</v>
      </c>
      <c r="T164" s="86">
        <v>977959.65837677696</v>
      </c>
      <c r="U164" s="84">
        <v>65.197310558451804</v>
      </c>
      <c r="V164" s="84">
        <v>349.99299999999999</v>
      </c>
      <c r="W164" s="84">
        <v>174.9965</v>
      </c>
      <c r="X164" s="82">
        <v>0.35</v>
      </c>
      <c r="Y164" s="82"/>
      <c r="Z164" s="84">
        <v>174.9965</v>
      </c>
      <c r="AA164" s="84">
        <v>349.99299999999999</v>
      </c>
      <c r="AB164" s="88">
        <v>2.6841061157439801</v>
      </c>
      <c r="AC164" t="s">
        <v>808</v>
      </c>
    </row>
    <row r="165" spans="3:29">
      <c r="C165" t="s">
        <v>811</v>
      </c>
      <c r="D165" t="s">
        <v>812</v>
      </c>
      <c r="E165" s="84">
        <v>569.99</v>
      </c>
      <c r="F165" s="84">
        <v>284.995</v>
      </c>
      <c r="G165" t="s">
        <v>800</v>
      </c>
      <c r="H165" t="s">
        <v>813</v>
      </c>
      <c r="I165" t="s">
        <v>692</v>
      </c>
      <c r="J165" t="s">
        <v>814</v>
      </c>
      <c r="K165" t="s">
        <v>815</v>
      </c>
      <c r="L165" t="s">
        <v>670</v>
      </c>
      <c r="M165">
        <v>45</v>
      </c>
      <c r="N165">
        <v>45</v>
      </c>
      <c r="O165">
        <v>38</v>
      </c>
      <c r="P165">
        <v>7.6950000000000005E-2</v>
      </c>
      <c r="Q165" s="84" t="e">
        <v>#REF!</v>
      </c>
      <c r="R165" s="85"/>
      <c r="S165" s="85"/>
      <c r="T165" s="86">
        <v>0</v>
      </c>
      <c r="U165" s="84">
        <v>0</v>
      </c>
      <c r="V165" s="84">
        <v>398.99299999999999</v>
      </c>
      <c r="W165" s="84">
        <v>199.4965</v>
      </c>
      <c r="X165" s="82">
        <v>0.35</v>
      </c>
      <c r="Y165" s="82"/>
      <c r="Z165" s="84">
        <v>199.4965</v>
      </c>
      <c r="AA165" s="84">
        <v>398.99299999999999</v>
      </c>
      <c r="AB165" s="88" t="e">
        <v>#DIV/0!</v>
      </c>
      <c r="AC165" t="s">
        <v>816</v>
      </c>
    </row>
    <row r="166" spans="3:29">
      <c r="C166" t="s">
        <v>819</v>
      </c>
      <c r="D166" t="s">
        <v>820</v>
      </c>
      <c r="E166" s="84">
        <v>131.99</v>
      </c>
      <c r="F166" s="84">
        <v>65.995000000000005</v>
      </c>
      <c r="G166" t="s">
        <v>800</v>
      </c>
      <c r="J166" t="s">
        <v>821</v>
      </c>
      <c r="K166" t="s">
        <v>822</v>
      </c>
      <c r="L166" t="s">
        <v>670</v>
      </c>
      <c r="M166">
        <v>45</v>
      </c>
      <c r="N166">
        <v>45</v>
      </c>
      <c r="O166">
        <v>5</v>
      </c>
      <c r="P166">
        <v>1.0125E-2</v>
      </c>
      <c r="Q166" s="84" t="e">
        <v>#REF!</v>
      </c>
      <c r="R166" s="85"/>
      <c r="S166" s="85"/>
      <c r="T166" s="86">
        <v>0</v>
      </c>
      <c r="U166" s="84">
        <v>0</v>
      </c>
      <c r="V166" s="84">
        <v>92.393000000000001</v>
      </c>
      <c r="W166" s="84">
        <v>46.1965</v>
      </c>
      <c r="X166" s="82">
        <v>0.35</v>
      </c>
      <c r="Y166" s="82"/>
      <c r="Z166" s="84">
        <v>46.1965</v>
      </c>
      <c r="AA166" s="84">
        <v>92.393000000000001</v>
      </c>
      <c r="AB166" s="88" t="e">
        <v>#DIV/0!</v>
      </c>
    </row>
    <row r="167" spans="3:29">
      <c r="C167" t="s">
        <v>825</v>
      </c>
      <c r="D167" t="s">
        <v>826</v>
      </c>
      <c r="E167" s="84">
        <v>739.99</v>
      </c>
      <c r="F167" s="84">
        <v>369.995</v>
      </c>
      <c r="G167" t="s">
        <v>800</v>
      </c>
      <c r="H167" t="s">
        <v>827</v>
      </c>
      <c r="I167" t="s">
        <v>692</v>
      </c>
      <c r="J167" t="s">
        <v>828</v>
      </c>
      <c r="K167" t="s">
        <v>815</v>
      </c>
      <c r="L167" t="s">
        <v>50</v>
      </c>
      <c r="M167">
        <v>60</v>
      </c>
      <c r="N167">
        <v>60</v>
      </c>
      <c r="O167">
        <v>43</v>
      </c>
      <c r="P167">
        <v>0.15479999999999999</v>
      </c>
      <c r="Q167" s="84" t="e">
        <v>#REF!</v>
      </c>
      <c r="R167" s="85"/>
      <c r="S167" s="85"/>
      <c r="T167" s="86">
        <v>0</v>
      </c>
      <c r="U167" s="84">
        <v>0</v>
      </c>
      <c r="V167" s="84">
        <v>517.99300000000005</v>
      </c>
      <c r="W167" s="84">
        <v>258.99650000000003</v>
      </c>
      <c r="X167" s="82">
        <v>0.35</v>
      </c>
      <c r="Y167" s="82"/>
      <c r="Z167" s="84">
        <v>258.99650000000003</v>
      </c>
      <c r="AA167" s="84">
        <v>517.99300000000005</v>
      </c>
      <c r="AB167" s="88" t="e">
        <v>#DIV/0!</v>
      </c>
      <c r="AC167" t="s">
        <v>829</v>
      </c>
    </row>
    <row r="168" spans="3:29">
      <c r="C168" t="s">
        <v>831</v>
      </c>
      <c r="D168" t="s">
        <v>832</v>
      </c>
      <c r="E168" s="84">
        <v>190.99</v>
      </c>
      <c r="F168" s="84">
        <v>95.495000000000005</v>
      </c>
      <c r="G168" t="s">
        <v>800</v>
      </c>
      <c r="J168" t="s">
        <v>833</v>
      </c>
      <c r="K168" t="s">
        <v>822</v>
      </c>
      <c r="L168" t="s">
        <v>670</v>
      </c>
      <c r="M168">
        <v>60</v>
      </c>
      <c r="N168">
        <v>60</v>
      </c>
      <c r="O168">
        <v>5</v>
      </c>
      <c r="P168">
        <v>1.7999999999999999E-2</v>
      </c>
      <c r="Q168" s="84" t="e">
        <v>#REF!</v>
      </c>
      <c r="R168" s="85"/>
      <c r="S168" s="85"/>
      <c r="T168" s="86">
        <v>0</v>
      </c>
      <c r="U168" s="84">
        <v>0</v>
      </c>
      <c r="V168" s="84">
        <v>133.69300000000001</v>
      </c>
      <c r="W168" s="84">
        <v>66.846500000000006</v>
      </c>
      <c r="X168" s="82">
        <v>0.35</v>
      </c>
      <c r="Y168" s="82"/>
      <c r="Z168" s="84">
        <v>66.846500000000006</v>
      </c>
      <c r="AA168" s="84">
        <v>133.69300000000001</v>
      </c>
      <c r="AB168" s="88" t="e">
        <v>#DIV/0!</v>
      </c>
    </row>
    <row r="169" spans="3:29">
      <c r="C169" t="s">
        <v>835</v>
      </c>
      <c r="D169" t="s">
        <v>836</v>
      </c>
      <c r="E169" s="84"/>
      <c r="F169" s="84">
        <v>0</v>
      </c>
      <c r="G169" t="s">
        <v>800</v>
      </c>
      <c r="H169" t="s">
        <v>837</v>
      </c>
      <c r="I169" t="s">
        <v>692</v>
      </c>
      <c r="J169" t="s">
        <v>838</v>
      </c>
      <c r="K169" t="s">
        <v>839</v>
      </c>
      <c r="L169" t="s">
        <v>646</v>
      </c>
      <c r="M169">
        <v>68</v>
      </c>
      <c r="N169">
        <v>68</v>
      </c>
      <c r="O169">
        <v>43</v>
      </c>
      <c r="P169">
        <v>0.19883200000000001</v>
      </c>
      <c r="Q169" s="84" t="e">
        <v>#REF!</v>
      </c>
      <c r="R169" s="85"/>
      <c r="S169" s="85"/>
      <c r="T169" s="86">
        <v>0</v>
      </c>
      <c r="U169" s="84">
        <v>0</v>
      </c>
      <c r="V169" s="84">
        <v>0</v>
      </c>
      <c r="W169" s="84">
        <v>0</v>
      </c>
      <c r="X169" s="82" t="e">
        <v>#DIV/0!</v>
      </c>
      <c r="Y169" s="82"/>
      <c r="Z169" s="84">
        <v>0</v>
      </c>
      <c r="AA169" s="84">
        <v>0</v>
      </c>
      <c r="AB169" s="88" t="e">
        <v>#DIV/0!</v>
      </c>
      <c r="AC169" t="s">
        <v>840</v>
      </c>
    </row>
    <row r="170" spans="3:29">
      <c r="C170" t="s">
        <v>842</v>
      </c>
      <c r="D170" t="s">
        <v>843</v>
      </c>
      <c r="E170" s="84">
        <v>499.99</v>
      </c>
      <c r="F170" s="84">
        <v>249.995</v>
      </c>
      <c r="G170" t="s">
        <v>800</v>
      </c>
      <c r="H170" t="s">
        <v>844</v>
      </c>
      <c r="I170" t="s">
        <v>598</v>
      </c>
      <c r="J170" t="s">
        <v>845</v>
      </c>
      <c r="K170" t="s">
        <v>846</v>
      </c>
      <c r="L170" t="s">
        <v>847</v>
      </c>
      <c r="N170">
        <v>50</v>
      </c>
      <c r="O170">
        <v>60</v>
      </c>
      <c r="P170">
        <v>0.15</v>
      </c>
      <c r="Q170" s="84" t="e">
        <v>#REF!</v>
      </c>
      <c r="R170" s="85">
        <v>902038.95298507495</v>
      </c>
      <c r="S170" s="85">
        <v>0</v>
      </c>
      <c r="T170" s="86">
        <v>902038.95298507495</v>
      </c>
      <c r="U170" s="84">
        <v>60.135930199005003</v>
      </c>
      <c r="V170" s="84">
        <v>349.99299999999999</v>
      </c>
      <c r="W170" s="84">
        <v>174.9965</v>
      </c>
      <c r="X170" s="82">
        <v>0.35</v>
      </c>
      <c r="Y170" s="82"/>
      <c r="Z170" s="84">
        <v>174.9965</v>
      </c>
      <c r="AA170" s="84">
        <v>349.99299999999999</v>
      </c>
      <c r="AB170" s="88">
        <v>2.9100156831513599</v>
      </c>
      <c r="AC170" t="s">
        <v>848</v>
      </c>
    </row>
    <row r="171" spans="3:29">
      <c r="C171" t="s">
        <v>850</v>
      </c>
      <c r="D171" t="s">
        <v>843</v>
      </c>
      <c r="E171" s="84">
        <v>969.99</v>
      </c>
      <c r="F171" s="84">
        <v>484.995</v>
      </c>
      <c r="G171" t="s">
        <v>800</v>
      </c>
      <c r="H171" t="s">
        <v>851</v>
      </c>
      <c r="I171" t="s">
        <v>598</v>
      </c>
      <c r="J171" t="s">
        <v>852</v>
      </c>
      <c r="K171" t="s">
        <v>846</v>
      </c>
      <c r="L171" t="s">
        <v>853</v>
      </c>
      <c r="N171">
        <v>90</v>
      </c>
      <c r="O171">
        <v>75</v>
      </c>
      <c r="P171">
        <v>0.60750000000000004</v>
      </c>
      <c r="Q171" s="84" t="e">
        <v>#REF!</v>
      </c>
      <c r="R171" s="85">
        <v>2009159.8845895501</v>
      </c>
      <c r="S171" s="85">
        <v>0</v>
      </c>
      <c r="T171" s="86">
        <v>2009159.8845895501</v>
      </c>
      <c r="U171" s="84">
        <v>133.94399230597</v>
      </c>
      <c r="V171" s="84">
        <v>678.99300000000005</v>
      </c>
      <c r="W171" s="84">
        <v>339.49650000000003</v>
      </c>
      <c r="X171" s="82">
        <v>0.35</v>
      </c>
      <c r="Y171" s="82"/>
      <c r="Z171" s="84">
        <v>339.49650000000003</v>
      </c>
      <c r="AA171" s="84">
        <v>678.99300000000005</v>
      </c>
      <c r="AB171" s="88">
        <v>2.53461535792127</v>
      </c>
      <c r="AC171" t="s">
        <v>854</v>
      </c>
    </row>
    <row r="172" spans="3:29">
      <c r="C172" t="s">
        <v>856</v>
      </c>
      <c r="D172" t="s">
        <v>857</v>
      </c>
      <c r="E172" s="84">
        <v>116.99</v>
      </c>
      <c r="F172" s="84">
        <v>58.494999999999997</v>
      </c>
      <c r="G172" t="s">
        <v>800</v>
      </c>
      <c r="H172" t="s">
        <v>858</v>
      </c>
      <c r="I172" t="s">
        <v>636</v>
      </c>
      <c r="J172" t="s">
        <v>859</v>
      </c>
      <c r="K172" t="s">
        <v>645</v>
      </c>
      <c r="L172" t="s">
        <v>646</v>
      </c>
      <c r="N172">
        <v>50</v>
      </c>
      <c r="O172">
        <v>23</v>
      </c>
      <c r="P172">
        <v>5.7500000000000002E-2</v>
      </c>
      <c r="Q172" s="84" t="e">
        <v>#REF!</v>
      </c>
      <c r="R172" s="85">
        <v>78304.515310945004</v>
      </c>
      <c r="S172" s="85">
        <v>270000</v>
      </c>
      <c r="T172" s="86">
        <v>348304.51531094499</v>
      </c>
      <c r="U172" s="84">
        <v>23.2203010207297</v>
      </c>
      <c r="V172" s="84">
        <v>81.893000000000001</v>
      </c>
      <c r="W172" s="84">
        <v>40.9465</v>
      </c>
      <c r="X172" s="82">
        <v>0.35</v>
      </c>
      <c r="Y172" s="87">
        <v>46.4406020414593</v>
      </c>
      <c r="Z172" s="84">
        <v>46.4406020414593</v>
      </c>
      <c r="AA172" s="84">
        <v>92.8812040829187</v>
      </c>
      <c r="AB172" s="88">
        <v>2</v>
      </c>
      <c r="AC172" t="s">
        <v>860</v>
      </c>
    </row>
    <row r="173" spans="3:29">
      <c r="C173" t="s">
        <v>862</v>
      </c>
      <c r="D173" t="s">
        <v>857</v>
      </c>
      <c r="E173" s="84">
        <v>142.99</v>
      </c>
      <c r="F173" s="84">
        <v>71.495000000000005</v>
      </c>
      <c r="G173" t="s">
        <v>800</v>
      </c>
      <c r="H173" t="s">
        <v>863</v>
      </c>
      <c r="I173" t="s">
        <v>636</v>
      </c>
      <c r="J173" t="s">
        <v>864</v>
      </c>
      <c r="K173" t="s">
        <v>645</v>
      </c>
      <c r="L173" t="s">
        <v>646</v>
      </c>
      <c r="N173">
        <v>60</v>
      </c>
      <c r="O173">
        <v>23</v>
      </c>
      <c r="P173">
        <v>8.2799999999999999E-2</v>
      </c>
      <c r="Q173" s="84" t="e">
        <v>#REF!</v>
      </c>
      <c r="R173" s="85">
        <v>50480.544455064002</v>
      </c>
      <c r="S173" s="85">
        <v>305000</v>
      </c>
      <c r="T173" s="86">
        <v>355480.54445506399</v>
      </c>
      <c r="U173" s="84">
        <v>23.6987029636709</v>
      </c>
      <c r="V173" s="84">
        <v>100.093</v>
      </c>
      <c r="W173" s="84">
        <v>50.046500000000002</v>
      </c>
      <c r="X173" s="82">
        <v>0.35</v>
      </c>
      <c r="Y173" s="82"/>
      <c r="Z173" s="84">
        <v>50.046500000000002</v>
      </c>
      <c r="AA173" s="84">
        <v>100.093</v>
      </c>
      <c r="AB173" s="88">
        <v>2.1117822387461098</v>
      </c>
      <c r="AC173" t="s">
        <v>865</v>
      </c>
    </row>
    <row r="174" spans="3:29">
      <c r="C174" t="s">
        <v>867</v>
      </c>
      <c r="D174" t="s">
        <v>868</v>
      </c>
      <c r="E174" s="84">
        <v>214.99</v>
      </c>
      <c r="F174" s="84">
        <v>107.495</v>
      </c>
      <c r="G174" t="s">
        <v>800</v>
      </c>
      <c r="H174" t="s">
        <v>869</v>
      </c>
      <c r="I174" t="s">
        <v>870</v>
      </c>
      <c r="J174" t="s">
        <v>871</v>
      </c>
      <c r="K174" t="s">
        <v>645</v>
      </c>
      <c r="L174" t="s">
        <v>646</v>
      </c>
      <c r="N174">
        <v>35</v>
      </c>
      <c r="O174">
        <v>39</v>
      </c>
      <c r="P174">
        <v>4.7774999999999998E-2</v>
      </c>
      <c r="Q174" s="84" t="e">
        <v>#REF!</v>
      </c>
      <c r="R174" s="85">
        <v>86941.591809199002</v>
      </c>
      <c r="S174" s="85">
        <v>550000</v>
      </c>
      <c r="T174" s="86">
        <v>636941.59180919896</v>
      </c>
      <c r="U174" s="84">
        <v>42.462772787279903</v>
      </c>
      <c r="V174" s="84">
        <v>150.49299999999999</v>
      </c>
      <c r="W174" s="84">
        <v>75.246499999999997</v>
      </c>
      <c r="X174" s="82">
        <v>0.35</v>
      </c>
      <c r="Y174" s="87">
        <v>84.925545574559905</v>
      </c>
      <c r="Z174" s="84">
        <v>84.925545574559905</v>
      </c>
      <c r="AA174" s="84">
        <v>169.85109114912001</v>
      </c>
      <c r="AB174" s="88">
        <v>2</v>
      </c>
      <c r="AC174" t="s">
        <v>872</v>
      </c>
    </row>
    <row r="175" spans="3:29">
      <c r="C175" t="s">
        <v>874</v>
      </c>
      <c r="D175" s="82"/>
      <c r="E175" s="82"/>
      <c r="F175" s="82"/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  <c r="T175" s="82"/>
      <c r="U175" s="82"/>
      <c r="V175" s="82"/>
      <c r="W175" s="82"/>
      <c r="X175" s="82"/>
      <c r="Y175" s="82"/>
      <c r="Z175" s="82"/>
      <c r="AA175" s="82"/>
      <c r="AB175" s="82"/>
      <c r="AC175" s="82"/>
    </row>
    <row r="176" spans="3:29">
      <c r="C176" t="s">
        <v>876</v>
      </c>
      <c r="D176" t="s">
        <v>877</v>
      </c>
      <c r="E176" s="84">
        <v>1699.99</v>
      </c>
      <c r="F176" s="84">
        <v>849.995</v>
      </c>
      <c r="G176" t="s">
        <v>874</v>
      </c>
      <c r="H176" t="s">
        <v>878</v>
      </c>
      <c r="I176" t="s">
        <v>452</v>
      </c>
      <c r="J176" t="s">
        <v>879</v>
      </c>
      <c r="K176" t="s">
        <v>49</v>
      </c>
      <c r="L176" t="s">
        <v>50</v>
      </c>
      <c r="M176">
        <v>200</v>
      </c>
      <c r="N176">
        <v>50</v>
      </c>
      <c r="O176">
        <v>90</v>
      </c>
      <c r="P176">
        <v>0.9</v>
      </c>
      <c r="Q176" s="84" t="e">
        <v>#REF!</v>
      </c>
      <c r="R176" s="85"/>
      <c r="S176" s="85"/>
      <c r="T176" s="86">
        <v>0</v>
      </c>
      <c r="U176" s="84">
        <v>0</v>
      </c>
      <c r="V176" s="84">
        <v>1189.9929999999999</v>
      </c>
      <c r="W176" s="84">
        <v>594.99649999999997</v>
      </c>
      <c r="X176" s="82">
        <v>0.35</v>
      </c>
      <c r="Y176" s="82"/>
      <c r="Z176" s="84">
        <v>594.99649999999997</v>
      </c>
      <c r="AA176" s="84">
        <v>1189.9929999999999</v>
      </c>
      <c r="AB176" s="88" t="e">
        <v>#DIV/0!</v>
      </c>
      <c r="AC176" t="s">
        <v>880</v>
      </c>
    </row>
    <row r="177" spans="3:29">
      <c r="C177" t="s">
        <v>882</v>
      </c>
      <c r="D177" t="s">
        <v>877</v>
      </c>
      <c r="E177" s="84">
        <v>1909.99</v>
      </c>
      <c r="F177" s="84">
        <v>954.995</v>
      </c>
      <c r="G177" t="s">
        <v>874</v>
      </c>
      <c r="H177" t="s">
        <v>883</v>
      </c>
      <c r="I177" t="s">
        <v>452</v>
      </c>
      <c r="J177" t="s">
        <v>879</v>
      </c>
      <c r="K177" t="s">
        <v>884</v>
      </c>
      <c r="L177" t="s">
        <v>50</v>
      </c>
      <c r="M177">
        <v>200</v>
      </c>
      <c r="N177">
        <v>50</v>
      </c>
      <c r="O177">
        <v>90</v>
      </c>
      <c r="P177">
        <v>0.9</v>
      </c>
      <c r="Q177" s="84" t="e">
        <v>#REF!</v>
      </c>
      <c r="R177" s="85"/>
      <c r="S177" s="85"/>
      <c r="T177" s="86">
        <v>0</v>
      </c>
      <c r="U177" s="84">
        <v>0</v>
      </c>
      <c r="V177" s="84">
        <v>1336.9929999999999</v>
      </c>
      <c r="W177" s="84">
        <v>668.49649999999997</v>
      </c>
      <c r="X177" s="82">
        <v>0.35</v>
      </c>
      <c r="Y177" s="82"/>
      <c r="Z177" s="84">
        <v>668.49649999999997</v>
      </c>
      <c r="AA177" s="84">
        <v>1336.9929999999999</v>
      </c>
      <c r="AB177" s="88" t="e">
        <v>#DIV/0!</v>
      </c>
      <c r="AC177" t="s">
        <v>885</v>
      </c>
    </row>
    <row r="178" spans="3:29">
      <c r="C178" t="s">
        <v>887</v>
      </c>
      <c r="D178" t="s">
        <v>888</v>
      </c>
      <c r="E178" s="84">
        <v>1899.99</v>
      </c>
      <c r="F178" s="84">
        <v>949.995</v>
      </c>
      <c r="G178" t="s">
        <v>874</v>
      </c>
      <c r="H178" t="s">
        <v>889</v>
      </c>
      <c r="I178" t="s">
        <v>482</v>
      </c>
      <c r="J178" t="s">
        <v>890</v>
      </c>
      <c r="K178" t="s">
        <v>891</v>
      </c>
      <c r="L178" t="s">
        <v>50</v>
      </c>
      <c r="M178">
        <v>250</v>
      </c>
      <c r="N178">
        <v>60</v>
      </c>
      <c r="O178">
        <v>75</v>
      </c>
      <c r="P178">
        <v>1.125</v>
      </c>
      <c r="Q178" s="84" t="e">
        <v>#REF!</v>
      </c>
      <c r="R178" s="85"/>
      <c r="S178" s="85"/>
      <c r="T178" s="86">
        <v>0</v>
      </c>
      <c r="U178" s="84">
        <v>0</v>
      </c>
      <c r="V178" s="84">
        <v>1329.9929999999999</v>
      </c>
      <c r="W178" s="84">
        <v>664.99649999999997</v>
      </c>
      <c r="X178" s="82">
        <v>0.35</v>
      </c>
      <c r="Y178" s="82"/>
      <c r="Z178" s="84">
        <v>664.99649999999997</v>
      </c>
      <c r="AA178" s="84">
        <v>1329.9929999999999</v>
      </c>
      <c r="AB178" s="88" t="e">
        <v>#DIV/0!</v>
      </c>
      <c r="AC178" t="s">
        <v>892</v>
      </c>
    </row>
    <row r="179" spans="3:29">
      <c r="D179" t="s">
        <v>888</v>
      </c>
      <c r="E179" s="84"/>
      <c r="F179" s="84">
        <v>0</v>
      </c>
      <c r="G179" t="s">
        <v>874</v>
      </c>
      <c r="H179" t="s">
        <v>889</v>
      </c>
      <c r="I179" t="s">
        <v>482</v>
      </c>
      <c r="J179" t="s">
        <v>890</v>
      </c>
      <c r="K179" t="s">
        <v>893</v>
      </c>
      <c r="L179" t="s">
        <v>50</v>
      </c>
      <c r="M179">
        <v>250</v>
      </c>
      <c r="N179">
        <v>60</v>
      </c>
      <c r="O179">
        <v>75</v>
      </c>
      <c r="P179">
        <v>1.125</v>
      </c>
      <c r="Q179" s="84" t="e">
        <v>#REF!</v>
      </c>
      <c r="R179" s="85"/>
      <c r="S179" s="85"/>
      <c r="T179" s="86">
        <v>0</v>
      </c>
      <c r="U179" s="84">
        <v>0</v>
      </c>
      <c r="V179" s="84">
        <v>0</v>
      </c>
      <c r="W179" s="84">
        <v>0</v>
      </c>
      <c r="X179" s="82" t="e">
        <v>#DIV/0!</v>
      </c>
      <c r="Y179" s="82"/>
      <c r="Z179" s="84">
        <v>0</v>
      </c>
      <c r="AA179" s="84">
        <v>0</v>
      </c>
      <c r="AB179" s="88" t="e">
        <v>#DIV/0!</v>
      </c>
      <c r="AC179" t="s">
        <v>894</v>
      </c>
    </row>
    <row r="180" spans="3:29">
      <c r="C180" t="s">
        <v>895</v>
      </c>
      <c r="D180" t="s">
        <v>896</v>
      </c>
      <c r="E180" s="84">
        <v>2289.9899999999998</v>
      </c>
      <c r="F180" s="84">
        <v>1144.9949999999999</v>
      </c>
      <c r="G180" t="s">
        <v>874</v>
      </c>
      <c r="H180" t="s">
        <v>897</v>
      </c>
      <c r="I180" t="s">
        <v>320</v>
      </c>
      <c r="J180" t="s">
        <v>898</v>
      </c>
      <c r="K180" t="s">
        <v>49</v>
      </c>
      <c r="L180" t="s">
        <v>50</v>
      </c>
      <c r="M180">
        <v>200</v>
      </c>
      <c r="N180">
        <v>70</v>
      </c>
      <c r="O180">
        <v>90</v>
      </c>
      <c r="P180">
        <v>1.26</v>
      </c>
      <c r="Q180" s="84" t="e">
        <v>#REF!</v>
      </c>
      <c r="R180" s="85">
        <v>3804010.00042341</v>
      </c>
      <c r="S180" s="85">
        <v>0</v>
      </c>
      <c r="T180" s="86">
        <v>3804010.00042341</v>
      </c>
      <c r="U180" s="84">
        <v>253.60066669489399</v>
      </c>
      <c r="V180" s="84">
        <v>1602.9929999999999</v>
      </c>
      <c r="W180" s="84">
        <v>801.49649999999997</v>
      </c>
      <c r="X180" s="82">
        <v>0.35</v>
      </c>
      <c r="Y180" s="82"/>
      <c r="Z180" s="84">
        <v>801.49649999999997</v>
      </c>
      <c r="AA180" s="84">
        <v>1602.9929999999999</v>
      </c>
      <c r="AB180" s="88">
        <v>3.1604668491044499</v>
      </c>
      <c r="AC180" t="s">
        <v>899</v>
      </c>
    </row>
    <row r="181" spans="3:29">
      <c r="C181" t="s">
        <v>901</v>
      </c>
      <c r="D181" t="s">
        <v>896</v>
      </c>
      <c r="E181" s="84">
        <v>2529.9899999999998</v>
      </c>
      <c r="F181" s="84">
        <v>1264.9949999999999</v>
      </c>
      <c r="G181" t="s">
        <v>874</v>
      </c>
      <c r="H181" t="s">
        <v>902</v>
      </c>
      <c r="I181" t="s">
        <v>320</v>
      </c>
      <c r="J181" t="s">
        <v>898</v>
      </c>
      <c r="K181" t="s">
        <v>884</v>
      </c>
      <c r="L181" t="s">
        <v>50</v>
      </c>
      <c r="M181">
        <v>200</v>
      </c>
      <c r="N181">
        <v>70</v>
      </c>
      <c r="O181">
        <v>90</v>
      </c>
      <c r="P181">
        <v>1.26</v>
      </c>
      <c r="Q181" s="84" t="e">
        <v>#REF!</v>
      </c>
      <c r="R181" s="85">
        <v>3681777.49996045</v>
      </c>
      <c r="S181" s="85">
        <v>0</v>
      </c>
      <c r="T181" s="86">
        <v>3681777.49996045</v>
      </c>
      <c r="U181" s="84">
        <v>245.45183333069701</v>
      </c>
      <c r="V181" s="84">
        <v>1770.9929999999999</v>
      </c>
      <c r="W181" s="84">
        <v>885.49649999999997</v>
      </c>
      <c r="X181" s="82">
        <v>0.35</v>
      </c>
      <c r="Y181" s="82"/>
      <c r="Z181" s="84">
        <v>885.49649999999997</v>
      </c>
      <c r="AA181" s="84">
        <v>1770.9929999999999</v>
      </c>
      <c r="AB181" s="88">
        <v>3.6076181953262201</v>
      </c>
      <c r="AC181" t="s">
        <v>903</v>
      </c>
    </row>
    <row r="182" spans="3:29">
      <c r="C182" t="s">
        <v>905</v>
      </c>
      <c r="D182" t="s">
        <v>906</v>
      </c>
      <c r="E182" s="84">
        <v>1129.99</v>
      </c>
      <c r="F182" s="84">
        <v>564.995</v>
      </c>
      <c r="G182" t="s">
        <v>874</v>
      </c>
      <c r="H182" t="s">
        <v>907</v>
      </c>
      <c r="I182" t="s">
        <v>908</v>
      </c>
      <c r="J182" t="s">
        <v>909</v>
      </c>
      <c r="K182" t="s">
        <v>49</v>
      </c>
      <c r="L182" t="s">
        <v>50</v>
      </c>
      <c r="M182">
        <v>75</v>
      </c>
      <c r="N182">
        <v>75</v>
      </c>
      <c r="O182">
        <v>78</v>
      </c>
      <c r="P182">
        <v>0.43874999999999997</v>
      </c>
      <c r="Q182" s="84" t="e">
        <v>#REF!</v>
      </c>
      <c r="R182" s="85"/>
      <c r="S182" s="85"/>
      <c r="T182" s="86">
        <v>0</v>
      </c>
      <c r="U182" s="84">
        <v>0</v>
      </c>
      <c r="V182" s="84">
        <v>790.99300000000005</v>
      </c>
      <c r="W182" s="84">
        <v>395.49650000000003</v>
      </c>
      <c r="X182" s="82">
        <v>0.35</v>
      </c>
      <c r="Y182" s="82"/>
      <c r="Z182" s="84">
        <v>395.49650000000003</v>
      </c>
      <c r="AA182" s="84">
        <v>790.99300000000005</v>
      </c>
      <c r="AB182" s="88" t="e">
        <v>#DIV/0!</v>
      </c>
      <c r="AC182" t="s">
        <v>910</v>
      </c>
    </row>
    <row r="183" spans="3:29">
      <c r="C183" t="s">
        <v>911</v>
      </c>
      <c r="D183" t="s">
        <v>906</v>
      </c>
      <c r="E183" s="84">
        <v>1379.99</v>
      </c>
      <c r="F183" s="84">
        <v>689.995</v>
      </c>
      <c r="G183" t="s">
        <v>874</v>
      </c>
      <c r="H183" t="s">
        <v>912</v>
      </c>
      <c r="I183" t="s">
        <v>908</v>
      </c>
      <c r="J183" t="s">
        <v>909</v>
      </c>
      <c r="K183" t="s">
        <v>884</v>
      </c>
      <c r="L183" t="s">
        <v>50</v>
      </c>
      <c r="M183">
        <v>75</v>
      </c>
      <c r="N183">
        <v>75</v>
      </c>
      <c r="O183">
        <v>78</v>
      </c>
      <c r="P183">
        <v>0.43874999999999997</v>
      </c>
      <c r="Q183" s="84" t="e">
        <v>#REF!</v>
      </c>
      <c r="R183" s="85"/>
      <c r="S183" s="85"/>
      <c r="T183" s="86">
        <v>0</v>
      </c>
      <c r="U183" s="84">
        <v>0</v>
      </c>
      <c r="V183" s="84">
        <v>965.99300000000005</v>
      </c>
      <c r="W183" s="84">
        <v>482.99650000000003</v>
      </c>
      <c r="X183" s="82">
        <v>0.35</v>
      </c>
      <c r="Y183" s="82"/>
      <c r="Z183" s="84">
        <v>482.99650000000003</v>
      </c>
      <c r="AA183" s="84">
        <v>965.99300000000005</v>
      </c>
      <c r="AB183" s="88" t="e">
        <v>#DIV/0!</v>
      </c>
      <c r="AC183" t="s">
        <v>913</v>
      </c>
    </row>
    <row r="184" spans="3:29">
      <c r="C184" t="s">
        <v>915</v>
      </c>
      <c r="D184" t="s">
        <v>916</v>
      </c>
      <c r="E184" s="84">
        <v>689.99</v>
      </c>
      <c r="F184" s="84">
        <v>344.995</v>
      </c>
      <c r="G184" t="s">
        <v>874</v>
      </c>
      <c r="H184" t="s">
        <v>917</v>
      </c>
      <c r="I184" t="s">
        <v>904</v>
      </c>
      <c r="J184" t="s">
        <v>918</v>
      </c>
      <c r="K184" t="s">
        <v>49</v>
      </c>
      <c r="L184" t="s">
        <v>50</v>
      </c>
      <c r="M184">
        <v>75</v>
      </c>
      <c r="N184">
        <v>40</v>
      </c>
      <c r="O184">
        <v>78</v>
      </c>
      <c r="P184">
        <v>0.23400000000000001</v>
      </c>
      <c r="Q184" s="84" t="e">
        <v>#REF!</v>
      </c>
      <c r="R184" s="85"/>
      <c r="S184" s="85"/>
      <c r="T184" s="86">
        <v>0</v>
      </c>
      <c r="U184" s="84">
        <v>0</v>
      </c>
      <c r="V184" s="84">
        <v>482.99299999999999</v>
      </c>
      <c r="W184" s="84">
        <v>241.4965</v>
      </c>
      <c r="X184" s="82">
        <v>0.35</v>
      </c>
      <c r="Y184" s="82"/>
      <c r="Z184" s="84">
        <v>241.4965</v>
      </c>
      <c r="AA184" s="84">
        <v>482.99299999999999</v>
      </c>
      <c r="AB184" s="88" t="e">
        <v>#DIV/0!</v>
      </c>
      <c r="AC184" t="s">
        <v>919</v>
      </c>
    </row>
    <row r="185" spans="3:29">
      <c r="C185" t="s">
        <v>921</v>
      </c>
      <c r="D185" t="s">
        <v>916</v>
      </c>
      <c r="E185" s="84">
        <v>829.99</v>
      </c>
      <c r="F185" s="84">
        <v>414.995</v>
      </c>
      <c r="G185" t="s">
        <v>874</v>
      </c>
      <c r="H185" t="s">
        <v>922</v>
      </c>
      <c r="I185" t="s">
        <v>904</v>
      </c>
      <c r="J185" t="s">
        <v>918</v>
      </c>
      <c r="K185" t="s">
        <v>884</v>
      </c>
      <c r="L185" t="s">
        <v>50</v>
      </c>
      <c r="M185">
        <v>75</v>
      </c>
      <c r="N185">
        <v>40</v>
      </c>
      <c r="O185">
        <v>78</v>
      </c>
      <c r="P185">
        <v>0.23400000000000001</v>
      </c>
      <c r="Q185" s="84" t="e">
        <v>#REF!</v>
      </c>
      <c r="R185" s="85"/>
      <c r="S185" s="85"/>
      <c r="T185" s="86">
        <v>0</v>
      </c>
      <c r="U185" s="84">
        <v>0</v>
      </c>
      <c r="V185" s="84">
        <v>580.99300000000005</v>
      </c>
      <c r="W185" s="84">
        <v>290.49650000000003</v>
      </c>
      <c r="X185" s="82">
        <v>0.35</v>
      </c>
      <c r="Y185" s="82"/>
      <c r="Z185" s="84">
        <v>290.49650000000003</v>
      </c>
      <c r="AA185" s="84">
        <v>580.99300000000005</v>
      </c>
      <c r="AB185" s="88" t="e">
        <v>#DIV/0!</v>
      </c>
      <c r="AC185" t="s">
        <v>919</v>
      </c>
    </row>
    <row r="186" spans="3:29">
      <c r="C186" t="s">
        <v>924</v>
      </c>
      <c r="D186" t="s">
        <v>925</v>
      </c>
      <c r="E186" s="84">
        <v>1389.99</v>
      </c>
      <c r="F186" s="84">
        <v>694.995</v>
      </c>
      <c r="G186" t="s">
        <v>874</v>
      </c>
      <c r="H186" t="s">
        <v>926</v>
      </c>
      <c r="I186" t="s">
        <v>90</v>
      </c>
      <c r="J186" t="s">
        <v>879</v>
      </c>
      <c r="K186" t="s">
        <v>49</v>
      </c>
      <c r="L186" t="s">
        <v>50</v>
      </c>
      <c r="M186">
        <v>200</v>
      </c>
      <c r="N186">
        <v>50</v>
      </c>
      <c r="O186">
        <v>90</v>
      </c>
      <c r="P186">
        <v>0.9</v>
      </c>
      <c r="Q186" s="84" t="e">
        <v>#REF!</v>
      </c>
      <c r="R186" s="85"/>
      <c r="S186" s="85"/>
      <c r="T186" s="86">
        <v>0</v>
      </c>
      <c r="U186" s="84">
        <v>0</v>
      </c>
      <c r="V186" s="84">
        <v>972.99300000000005</v>
      </c>
      <c r="W186" s="84">
        <v>486.49650000000003</v>
      </c>
      <c r="X186" s="82">
        <v>0.35</v>
      </c>
      <c r="Y186" s="82"/>
      <c r="Z186" s="84">
        <v>486.49650000000003</v>
      </c>
      <c r="AA186" s="84">
        <v>972.99300000000005</v>
      </c>
      <c r="AB186" s="88" t="e">
        <v>#DIV/0!</v>
      </c>
      <c r="AC186" t="s">
        <v>927</v>
      </c>
    </row>
    <row r="187" spans="3:29">
      <c r="C187" t="s">
        <v>929</v>
      </c>
      <c r="D187" t="s">
        <v>925</v>
      </c>
      <c r="E187" s="84">
        <v>1589.99</v>
      </c>
      <c r="F187" s="84">
        <v>794.995</v>
      </c>
      <c r="G187" t="s">
        <v>874</v>
      </c>
      <c r="H187" t="s">
        <v>930</v>
      </c>
      <c r="I187" t="s">
        <v>90</v>
      </c>
      <c r="J187" t="s">
        <v>879</v>
      </c>
      <c r="K187" t="s">
        <v>884</v>
      </c>
      <c r="L187" t="s">
        <v>50</v>
      </c>
      <c r="M187">
        <v>200</v>
      </c>
      <c r="N187">
        <v>50</v>
      </c>
      <c r="O187">
        <v>90</v>
      </c>
      <c r="P187">
        <v>0.9</v>
      </c>
      <c r="Q187" s="84" t="e">
        <v>#REF!</v>
      </c>
      <c r="R187" s="85"/>
      <c r="S187" s="85"/>
      <c r="T187" s="86">
        <v>0</v>
      </c>
      <c r="U187" s="84">
        <v>0</v>
      </c>
      <c r="V187" s="84">
        <v>1112.9929999999999</v>
      </c>
      <c r="W187" s="84">
        <v>556.49649999999997</v>
      </c>
      <c r="X187" s="82">
        <v>0.35</v>
      </c>
      <c r="Y187" s="82"/>
      <c r="Z187" s="84">
        <v>556.49649999999997</v>
      </c>
      <c r="AA187" s="84">
        <v>1112.9929999999999</v>
      </c>
      <c r="AB187" s="88" t="e">
        <v>#DIV/0!</v>
      </c>
      <c r="AC187" t="s">
        <v>931</v>
      </c>
    </row>
    <row r="188" spans="3:29">
      <c r="C188" t="s">
        <v>933</v>
      </c>
      <c r="D188" t="s">
        <v>934</v>
      </c>
      <c r="E188" s="84">
        <v>1709.99</v>
      </c>
      <c r="F188" s="84">
        <v>854.995</v>
      </c>
      <c r="G188" t="s">
        <v>874</v>
      </c>
      <c r="H188" t="s">
        <v>935</v>
      </c>
      <c r="I188" t="s">
        <v>168</v>
      </c>
      <c r="J188" t="s">
        <v>936</v>
      </c>
      <c r="K188" t="s">
        <v>49</v>
      </c>
      <c r="L188" t="s">
        <v>50</v>
      </c>
      <c r="M188">
        <v>200</v>
      </c>
      <c r="N188">
        <v>50</v>
      </c>
      <c r="O188">
        <v>90</v>
      </c>
      <c r="P188">
        <v>0.9</v>
      </c>
      <c r="Q188" s="84" t="e">
        <v>#REF!</v>
      </c>
      <c r="R188" s="85"/>
      <c r="S188" s="85"/>
      <c r="T188" s="86">
        <v>0</v>
      </c>
      <c r="U188" s="84">
        <v>0</v>
      </c>
      <c r="V188" s="84">
        <v>1196.9929999999999</v>
      </c>
      <c r="W188" s="84">
        <v>598.49649999999997</v>
      </c>
      <c r="X188" s="82">
        <v>0.35</v>
      </c>
      <c r="Y188" s="82"/>
      <c r="Z188" s="84">
        <v>598.49649999999997</v>
      </c>
      <c r="AA188" s="84">
        <v>1196.9929999999999</v>
      </c>
      <c r="AB188" s="88" t="e">
        <v>#DIV/0!</v>
      </c>
      <c r="AC188" t="s">
        <v>937</v>
      </c>
    </row>
    <row r="189" spans="3:29">
      <c r="C189" t="s">
        <v>939</v>
      </c>
      <c r="D189" t="s">
        <v>934</v>
      </c>
      <c r="E189" s="84">
        <v>1949.99</v>
      </c>
      <c r="F189" s="84">
        <v>974.995</v>
      </c>
      <c r="G189" t="s">
        <v>874</v>
      </c>
      <c r="H189" t="s">
        <v>940</v>
      </c>
      <c r="I189" t="s">
        <v>168</v>
      </c>
      <c r="J189" t="s">
        <v>936</v>
      </c>
      <c r="K189" t="s">
        <v>884</v>
      </c>
      <c r="L189" t="s">
        <v>50</v>
      </c>
      <c r="M189">
        <v>200</v>
      </c>
      <c r="N189">
        <v>50</v>
      </c>
      <c r="O189">
        <v>90</v>
      </c>
      <c r="P189">
        <v>0.9</v>
      </c>
      <c r="Q189" s="84" t="e">
        <v>#REF!</v>
      </c>
      <c r="R189" s="85"/>
      <c r="S189" s="85"/>
      <c r="T189" s="86">
        <v>0</v>
      </c>
      <c r="U189" s="84">
        <v>0</v>
      </c>
      <c r="V189" s="84">
        <v>1364.9929999999999</v>
      </c>
      <c r="W189" s="84">
        <v>682.49649999999997</v>
      </c>
      <c r="X189" s="82">
        <v>0.35</v>
      </c>
      <c r="Y189" s="82"/>
      <c r="Z189" s="84">
        <v>682.49649999999997</v>
      </c>
      <c r="AA189" s="84">
        <v>1364.9929999999999</v>
      </c>
      <c r="AB189" s="88" t="e">
        <v>#DIV/0!</v>
      </c>
      <c r="AC189" t="s">
        <v>937</v>
      </c>
    </row>
    <row r="190" spans="3:29">
      <c r="C190" t="s">
        <v>942</v>
      </c>
      <c r="D190" t="s">
        <v>943</v>
      </c>
      <c r="E190" s="84">
        <v>2459.9899999999998</v>
      </c>
      <c r="F190" s="84">
        <v>1229.9949999999999</v>
      </c>
      <c r="G190" t="s">
        <v>874</v>
      </c>
      <c r="H190" t="s">
        <v>944</v>
      </c>
      <c r="I190" t="s">
        <v>608</v>
      </c>
      <c r="J190" t="s">
        <v>945</v>
      </c>
      <c r="K190" t="s">
        <v>49</v>
      </c>
      <c r="L190" t="s">
        <v>50</v>
      </c>
      <c r="M190">
        <v>200</v>
      </c>
      <c r="N190">
        <v>50</v>
      </c>
      <c r="O190">
        <v>90</v>
      </c>
      <c r="P190">
        <v>0.9</v>
      </c>
      <c r="Q190" s="84" t="e">
        <v>#REF!</v>
      </c>
      <c r="R190" s="85"/>
      <c r="S190" s="85"/>
      <c r="T190" s="86">
        <v>0</v>
      </c>
      <c r="U190" s="84">
        <v>0</v>
      </c>
      <c r="V190" s="84">
        <v>1721.9929999999999</v>
      </c>
      <c r="W190" s="84">
        <v>860.99649999999997</v>
      </c>
      <c r="X190" s="82">
        <v>0.35</v>
      </c>
      <c r="Y190" s="82"/>
      <c r="Z190" s="84">
        <v>860.99649999999997</v>
      </c>
      <c r="AA190" s="84">
        <v>1721.9929999999999</v>
      </c>
      <c r="AB190" s="88" t="e">
        <v>#DIV/0!</v>
      </c>
      <c r="AC190" t="s">
        <v>946</v>
      </c>
    </row>
    <row r="191" spans="3:29">
      <c r="C191" t="s">
        <v>948</v>
      </c>
      <c r="D191" t="s">
        <v>943</v>
      </c>
      <c r="E191" s="84">
        <v>2609.9899999999998</v>
      </c>
      <c r="F191" s="84">
        <v>1304.9949999999999</v>
      </c>
      <c r="G191" t="s">
        <v>874</v>
      </c>
      <c r="H191" t="s">
        <v>949</v>
      </c>
      <c r="I191" t="s">
        <v>608</v>
      </c>
      <c r="J191" t="s">
        <v>945</v>
      </c>
      <c r="K191" t="s">
        <v>884</v>
      </c>
      <c r="L191" t="s">
        <v>50</v>
      </c>
      <c r="M191">
        <v>200</v>
      </c>
      <c r="N191">
        <v>50</v>
      </c>
      <c r="O191">
        <v>90</v>
      </c>
      <c r="P191">
        <v>0.9</v>
      </c>
      <c r="Q191" s="84" t="e">
        <v>#REF!</v>
      </c>
      <c r="R191" s="85"/>
      <c r="S191" s="85"/>
      <c r="T191" s="86">
        <v>0</v>
      </c>
      <c r="U191" s="84">
        <v>0</v>
      </c>
      <c r="V191" s="84">
        <v>1826.9929999999999</v>
      </c>
      <c r="W191" s="84">
        <v>913.49649999999997</v>
      </c>
      <c r="X191" s="82">
        <v>0.35</v>
      </c>
      <c r="Y191" s="82"/>
      <c r="Z191" s="84">
        <v>913.49649999999997</v>
      </c>
      <c r="AA191" s="84">
        <v>1826.9929999999999</v>
      </c>
      <c r="AB191" s="88" t="e">
        <v>#DIV/0!</v>
      </c>
      <c r="AC191" t="s">
        <v>946</v>
      </c>
    </row>
    <row r="192" spans="3:29">
      <c r="C192" t="s">
        <v>951</v>
      </c>
      <c r="D192" t="s">
        <v>952</v>
      </c>
      <c r="E192" s="84">
        <v>2699.99</v>
      </c>
      <c r="F192" s="84">
        <v>1349.9949999999999</v>
      </c>
      <c r="G192" t="s">
        <v>874</v>
      </c>
      <c r="H192" t="s">
        <v>953</v>
      </c>
      <c r="I192" t="s">
        <v>418</v>
      </c>
      <c r="J192" t="s">
        <v>954</v>
      </c>
      <c r="K192" t="s">
        <v>49</v>
      </c>
      <c r="L192" t="s">
        <v>50</v>
      </c>
      <c r="M192">
        <v>220</v>
      </c>
      <c r="N192">
        <v>40</v>
      </c>
      <c r="O192">
        <v>75</v>
      </c>
      <c r="P192">
        <v>0.66</v>
      </c>
      <c r="Q192" s="84" t="e">
        <v>#REF!</v>
      </c>
      <c r="R192" s="85">
        <v>5611428.8467014404</v>
      </c>
      <c r="S192" s="85">
        <v>0</v>
      </c>
      <c r="T192" s="86">
        <v>5611428.8467014404</v>
      </c>
      <c r="U192" s="84">
        <v>374.09525644676302</v>
      </c>
      <c r="V192" s="84">
        <v>1889.9929999999999</v>
      </c>
      <c r="W192" s="84">
        <v>944.99649999999997</v>
      </c>
      <c r="X192" s="82">
        <v>0.35</v>
      </c>
      <c r="Y192" s="82"/>
      <c r="Z192" s="84">
        <v>944.99649999999997</v>
      </c>
      <c r="AA192" s="84">
        <v>1889.9929999999999</v>
      </c>
      <c r="AB192" s="88">
        <v>2.52608522485898</v>
      </c>
      <c r="AC192" t="s">
        <v>955</v>
      </c>
    </row>
    <row r="193" spans="3:29">
      <c r="D193" t="s">
        <v>952</v>
      </c>
      <c r="E193" s="84"/>
      <c r="F193" s="84">
        <v>0</v>
      </c>
      <c r="G193" t="s">
        <v>874</v>
      </c>
      <c r="H193" t="s">
        <v>957</v>
      </c>
      <c r="I193" t="s">
        <v>418</v>
      </c>
      <c r="J193" t="s">
        <v>954</v>
      </c>
      <c r="K193" t="s">
        <v>884</v>
      </c>
      <c r="L193" t="s">
        <v>50</v>
      </c>
      <c r="M193">
        <v>220</v>
      </c>
      <c r="N193">
        <v>40</v>
      </c>
      <c r="O193">
        <v>75</v>
      </c>
      <c r="P193">
        <v>0.66</v>
      </c>
      <c r="Q193" s="84" t="e">
        <v>#REF!</v>
      </c>
      <c r="R193" s="85">
        <v>5624667.4462384796</v>
      </c>
      <c r="S193" s="85">
        <v>0</v>
      </c>
      <c r="T193" s="86">
        <v>5624667.4462384796</v>
      </c>
      <c r="U193" s="84">
        <v>374.977829749232</v>
      </c>
      <c r="V193" s="84">
        <v>0</v>
      </c>
      <c r="W193" s="84">
        <v>0</v>
      </c>
      <c r="X193" s="82" t="e">
        <v>#DIV/0!</v>
      </c>
      <c r="Y193" s="87">
        <v>1124.9334892477</v>
      </c>
      <c r="Z193" s="84">
        <v>1124.9334892477</v>
      </c>
      <c r="AA193" s="84">
        <v>2249.86697849539</v>
      </c>
      <c r="AB193" s="88">
        <v>3</v>
      </c>
      <c r="AC193" t="s">
        <v>958</v>
      </c>
    </row>
    <row r="194" spans="3:29">
      <c r="C194" t="s">
        <v>960</v>
      </c>
      <c r="D194" t="s">
        <v>961</v>
      </c>
      <c r="E194" s="84">
        <v>2249.9899999999998</v>
      </c>
      <c r="F194" s="84">
        <v>1124.9949999999999</v>
      </c>
      <c r="G194" t="s">
        <v>874</v>
      </c>
      <c r="H194" t="s">
        <v>962</v>
      </c>
      <c r="I194" t="s">
        <v>963</v>
      </c>
      <c r="J194" t="s">
        <v>964</v>
      </c>
      <c r="K194" t="s">
        <v>965</v>
      </c>
      <c r="L194" t="s">
        <v>50</v>
      </c>
      <c r="M194">
        <v>80</v>
      </c>
      <c r="N194">
        <v>80</v>
      </c>
      <c r="O194">
        <v>60</v>
      </c>
      <c r="P194">
        <v>0.38400000000000001</v>
      </c>
      <c r="Q194" s="84" t="e">
        <v>#REF!</v>
      </c>
      <c r="R194" s="85"/>
      <c r="S194" s="85"/>
      <c r="T194" s="86">
        <v>0</v>
      </c>
      <c r="U194" s="84">
        <v>0</v>
      </c>
      <c r="V194" s="84">
        <v>1574.9929999999999</v>
      </c>
      <c r="W194" s="84">
        <v>787.49649999999997</v>
      </c>
      <c r="X194" s="82">
        <v>0.35</v>
      </c>
      <c r="Y194" s="82"/>
      <c r="Z194" s="84">
        <v>787.49649999999997</v>
      </c>
      <c r="AA194" s="84">
        <v>1574.9929999999999</v>
      </c>
      <c r="AB194" s="88" t="e">
        <v>#DIV/0!</v>
      </c>
      <c r="AC194" t="s">
        <v>966</v>
      </c>
    </row>
    <row r="195" spans="3:29">
      <c r="C195" t="s">
        <v>969</v>
      </c>
      <c r="D195" t="s">
        <v>970</v>
      </c>
      <c r="E195" s="84">
        <v>328.99</v>
      </c>
      <c r="F195" s="84">
        <v>164.495</v>
      </c>
      <c r="G195" t="s">
        <v>874</v>
      </c>
      <c r="H195" t="s">
        <v>971</v>
      </c>
      <c r="I195" t="s">
        <v>672</v>
      </c>
      <c r="J195" t="s">
        <v>972</v>
      </c>
      <c r="K195" t="s">
        <v>973</v>
      </c>
      <c r="L195" t="s">
        <v>670</v>
      </c>
      <c r="M195">
        <v>45</v>
      </c>
      <c r="N195">
        <v>36</v>
      </c>
      <c r="O195">
        <v>15</v>
      </c>
      <c r="P195">
        <v>2.4299999999999999E-2</v>
      </c>
      <c r="Q195" s="84" t="e">
        <v>#REF!</v>
      </c>
      <c r="R195" s="85">
        <v>1105866.25538358</v>
      </c>
      <c r="S195" s="85"/>
      <c r="T195" s="86">
        <v>1105866.25538358</v>
      </c>
      <c r="U195" s="84">
        <v>73.724417025572095</v>
      </c>
      <c r="V195" s="84">
        <v>230.29300000000001</v>
      </c>
      <c r="W195" s="84">
        <v>115.1465</v>
      </c>
      <c r="X195" s="82">
        <v>0.35</v>
      </c>
      <c r="Y195" s="87">
        <v>147.44883405114399</v>
      </c>
      <c r="Z195" s="84">
        <v>147.44883405114399</v>
      </c>
      <c r="AA195" s="84">
        <v>294.897668102289</v>
      </c>
      <c r="AB195" s="88">
        <v>2</v>
      </c>
      <c r="AC195" t="s">
        <v>974</v>
      </c>
    </row>
    <row r="196" spans="3:29">
      <c r="C196" t="s">
        <v>977</v>
      </c>
      <c r="D196" t="s">
        <v>978</v>
      </c>
      <c r="E196" s="84">
        <v>424.99</v>
      </c>
      <c r="F196" s="84">
        <v>212.495</v>
      </c>
      <c r="G196" t="s">
        <v>874</v>
      </c>
      <c r="H196" t="s">
        <v>979</v>
      </c>
      <c r="I196" t="s">
        <v>672</v>
      </c>
      <c r="J196" t="s">
        <v>980</v>
      </c>
      <c r="K196" t="s">
        <v>973</v>
      </c>
      <c r="L196" t="s">
        <v>670</v>
      </c>
      <c r="M196">
        <v>71</v>
      </c>
      <c r="N196">
        <v>51</v>
      </c>
      <c r="O196">
        <v>25</v>
      </c>
      <c r="P196">
        <v>9.0524999999999994E-2</v>
      </c>
      <c r="Q196" s="84" t="e">
        <v>#REF!</v>
      </c>
      <c r="R196" s="85"/>
      <c r="S196" s="85"/>
      <c r="T196" s="86">
        <v>0</v>
      </c>
      <c r="U196" s="84">
        <v>0</v>
      </c>
      <c r="V196" s="84">
        <v>297.49299999999999</v>
      </c>
      <c r="W196" s="84">
        <v>148.7465</v>
      </c>
      <c r="X196" s="82">
        <v>0.35</v>
      </c>
      <c r="Y196" s="82"/>
      <c r="Z196" s="84">
        <v>148.7465</v>
      </c>
      <c r="AA196" s="84">
        <v>297.49299999999999</v>
      </c>
      <c r="AB196" s="88" t="e">
        <v>#DIV/0!</v>
      </c>
      <c r="AC196" t="s">
        <v>981</v>
      </c>
    </row>
    <row r="197" spans="3:29">
      <c r="C197" t="s">
        <v>983</v>
      </c>
      <c r="D197" t="s">
        <v>984</v>
      </c>
      <c r="E197" s="84">
        <v>1279.99</v>
      </c>
      <c r="F197" s="84">
        <v>639.995</v>
      </c>
      <c r="G197" t="s">
        <v>874</v>
      </c>
      <c r="H197" t="s">
        <v>985</v>
      </c>
      <c r="I197" t="s">
        <v>986</v>
      </c>
      <c r="J197" t="s">
        <v>987</v>
      </c>
      <c r="K197" t="s">
        <v>988</v>
      </c>
      <c r="L197" t="s">
        <v>50</v>
      </c>
      <c r="M197">
        <v>30</v>
      </c>
      <c r="N197">
        <v>70</v>
      </c>
      <c r="O197">
        <v>90</v>
      </c>
      <c r="P197">
        <v>0.189</v>
      </c>
      <c r="Q197" s="84" t="e">
        <v>#REF!</v>
      </c>
      <c r="R197" s="85"/>
      <c r="S197" s="85"/>
      <c r="T197" s="86">
        <v>0</v>
      </c>
      <c r="U197" s="84">
        <v>0</v>
      </c>
      <c r="V197" s="84">
        <v>895.99300000000005</v>
      </c>
      <c r="W197" s="84">
        <v>447.99650000000003</v>
      </c>
      <c r="X197" s="82">
        <v>0.35</v>
      </c>
      <c r="Y197" s="82"/>
      <c r="Z197" s="84">
        <v>447.99650000000003</v>
      </c>
      <c r="AA197" s="84">
        <v>895.99300000000005</v>
      </c>
      <c r="AB197" s="88" t="e">
        <v>#DIV/0!</v>
      </c>
      <c r="AC197" t="s">
        <v>989</v>
      </c>
    </row>
    <row r="198" spans="3:29">
      <c r="C198" t="s">
        <v>992</v>
      </c>
      <c r="D198" t="s">
        <v>993</v>
      </c>
      <c r="E198" s="84">
        <v>79.989999999999995</v>
      </c>
      <c r="F198" s="84">
        <v>39.994999999999997</v>
      </c>
      <c r="G198" t="s">
        <v>874</v>
      </c>
      <c r="H198" t="s">
        <v>994</v>
      </c>
      <c r="I198" t="s">
        <v>995</v>
      </c>
      <c r="J198" t="s">
        <v>996</v>
      </c>
      <c r="K198" t="s">
        <v>973</v>
      </c>
      <c r="L198" t="s">
        <v>670</v>
      </c>
      <c r="M198">
        <v>30</v>
      </c>
      <c r="N198">
        <v>70</v>
      </c>
      <c r="O198">
        <v>2</v>
      </c>
      <c r="P198">
        <v>4.1999999999999997E-3</v>
      </c>
      <c r="Q198" s="84" t="e">
        <v>#REF!</v>
      </c>
      <c r="R198" s="85"/>
      <c r="S198" s="85"/>
      <c r="T198" s="86">
        <v>0</v>
      </c>
      <c r="U198" s="84">
        <v>0</v>
      </c>
      <c r="V198" s="84">
        <v>55.993000000000002</v>
      </c>
      <c r="W198" s="84">
        <v>27.996500000000001</v>
      </c>
      <c r="X198" s="82">
        <v>0.35</v>
      </c>
      <c r="Y198" s="82"/>
      <c r="Z198" s="84">
        <v>27.996500000000001</v>
      </c>
      <c r="AA198" s="84">
        <v>55.993000000000002</v>
      </c>
      <c r="AB198" s="88" t="e">
        <v>#DIV/0!</v>
      </c>
      <c r="AC198" t="s">
        <v>997</v>
      </c>
    </row>
    <row r="199" spans="3:29">
      <c r="C199" t="s">
        <v>999</v>
      </c>
      <c r="D199" t="s">
        <v>1000</v>
      </c>
      <c r="E199" s="84">
        <v>624.99</v>
      </c>
      <c r="F199" s="84">
        <v>312.495</v>
      </c>
      <c r="G199" t="s">
        <v>874</v>
      </c>
      <c r="H199" t="s">
        <v>1001</v>
      </c>
      <c r="I199" t="s">
        <v>499</v>
      </c>
      <c r="J199" t="s">
        <v>1002</v>
      </c>
      <c r="K199" t="s">
        <v>988</v>
      </c>
      <c r="L199" t="s">
        <v>50</v>
      </c>
      <c r="M199">
        <v>40</v>
      </c>
      <c r="N199">
        <v>40</v>
      </c>
      <c r="O199">
        <v>50</v>
      </c>
      <c r="P199">
        <v>0.08</v>
      </c>
      <c r="Q199" s="84" t="e">
        <v>#REF!</v>
      </c>
      <c r="R199" s="85"/>
      <c r="S199" s="85"/>
      <c r="T199" s="86">
        <v>0</v>
      </c>
      <c r="U199" s="84">
        <v>0</v>
      </c>
      <c r="V199" s="84">
        <v>437.49299999999999</v>
      </c>
      <c r="W199" s="84">
        <v>218.7465</v>
      </c>
      <c r="X199" s="82">
        <v>0.35</v>
      </c>
      <c r="Y199" s="82"/>
      <c r="Z199" s="84">
        <v>218.7465</v>
      </c>
      <c r="AA199" s="84">
        <v>437.49299999999999</v>
      </c>
      <c r="AB199" s="88" t="e">
        <v>#DIV/0!</v>
      </c>
      <c r="AC199" t="s">
        <v>1003</v>
      </c>
    </row>
    <row r="200" spans="3:29">
      <c r="C200" t="s">
        <v>1005</v>
      </c>
      <c r="D200" t="s">
        <v>1000</v>
      </c>
      <c r="E200" s="84">
        <v>1024.99</v>
      </c>
      <c r="F200" s="84">
        <v>512.495</v>
      </c>
      <c r="G200" t="s">
        <v>874</v>
      </c>
      <c r="H200" t="s">
        <v>1006</v>
      </c>
      <c r="I200" t="s">
        <v>499</v>
      </c>
      <c r="J200" t="s">
        <v>1007</v>
      </c>
      <c r="K200" t="s">
        <v>988</v>
      </c>
      <c r="L200" t="s">
        <v>50</v>
      </c>
      <c r="M200">
        <v>40</v>
      </c>
      <c r="N200">
        <v>40</v>
      </c>
      <c r="O200">
        <v>90</v>
      </c>
      <c r="P200">
        <v>0.14399999999999999</v>
      </c>
      <c r="Q200" s="84" t="e">
        <v>#REF!</v>
      </c>
      <c r="R200" s="85"/>
      <c r="S200" s="85"/>
      <c r="T200" s="86">
        <v>0</v>
      </c>
      <c r="U200" s="84">
        <v>0</v>
      </c>
      <c r="V200" s="84">
        <v>717.49300000000005</v>
      </c>
      <c r="W200" s="84">
        <v>358.74650000000003</v>
      </c>
      <c r="X200" s="82">
        <v>0.35</v>
      </c>
      <c r="Y200" s="82"/>
      <c r="Z200" s="84">
        <v>358.74650000000003</v>
      </c>
      <c r="AA200" s="84">
        <v>717.49300000000005</v>
      </c>
      <c r="AB200" s="88" t="e">
        <v>#DIV/0!</v>
      </c>
      <c r="AC200" t="s">
        <v>1008</v>
      </c>
    </row>
    <row r="201" spans="3:29">
      <c r="C201" t="s">
        <v>1010</v>
      </c>
      <c r="D201" t="s">
        <v>1011</v>
      </c>
      <c r="E201" s="84">
        <v>589.99</v>
      </c>
      <c r="F201" s="84">
        <v>294.995</v>
      </c>
      <c r="G201" t="s">
        <v>874</v>
      </c>
      <c r="H201" t="s">
        <v>1012</v>
      </c>
      <c r="I201" t="s">
        <v>1013</v>
      </c>
      <c r="J201" t="s">
        <v>1014</v>
      </c>
      <c r="K201" t="s">
        <v>1015</v>
      </c>
      <c r="L201" t="s">
        <v>50</v>
      </c>
      <c r="M201">
        <v>65</v>
      </c>
      <c r="N201">
        <v>65</v>
      </c>
      <c r="O201">
        <v>110</v>
      </c>
      <c r="P201">
        <v>0.46475</v>
      </c>
      <c r="Q201" s="84" t="e">
        <v>#REF!</v>
      </c>
      <c r="R201" s="85"/>
      <c r="S201" s="85"/>
      <c r="T201" s="86">
        <v>0</v>
      </c>
      <c r="U201" s="84">
        <v>0</v>
      </c>
      <c r="V201" s="84">
        <v>412.99299999999999</v>
      </c>
      <c r="W201" s="84">
        <v>206.4965</v>
      </c>
      <c r="X201" s="82">
        <v>0.35</v>
      </c>
      <c r="Y201" s="82"/>
      <c r="Z201" s="84">
        <v>206.4965</v>
      </c>
      <c r="AA201" s="84">
        <v>412.99299999999999</v>
      </c>
      <c r="AB201" s="88" t="e">
        <v>#DIV/0!</v>
      </c>
      <c r="AC201" t="s">
        <v>1016</v>
      </c>
    </row>
    <row r="202" spans="3:29">
      <c r="C202" t="s">
        <v>1018</v>
      </c>
      <c r="E202" s="84"/>
      <c r="F202" s="82"/>
      <c r="R202" s="85"/>
      <c r="S202" s="85"/>
      <c r="T202" s="86"/>
      <c r="V202" s="84"/>
      <c r="W202" s="84"/>
      <c r="X202" s="82"/>
      <c r="Y202" s="82"/>
      <c r="Z202" s="82"/>
      <c r="AA202" s="82"/>
      <c r="AB202" s="88"/>
    </row>
    <row r="203" spans="3:29">
      <c r="C203" t="s">
        <v>1020</v>
      </c>
      <c r="D203" t="s">
        <v>1021</v>
      </c>
      <c r="E203" s="84">
        <v>2759.99</v>
      </c>
      <c r="F203" s="84">
        <v>1379.9949999999999</v>
      </c>
      <c r="G203" t="s">
        <v>1018</v>
      </c>
      <c r="H203" t="s">
        <v>1022</v>
      </c>
      <c r="I203" t="s">
        <v>1023</v>
      </c>
      <c r="J203" t="s">
        <v>1024</v>
      </c>
      <c r="K203" t="s">
        <v>1025</v>
      </c>
      <c r="L203" t="s">
        <v>50</v>
      </c>
      <c r="M203">
        <v>80</v>
      </c>
      <c r="N203">
        <v>50</v>
      </c>
      <c r="O203">
        <v>210</v>
      </c>
      <c r="P203">
        <v>0.84</v>
      </c>
      <c r="Q203" s="84" t="e">
        <v>#REF!</v>
      </c>
      <c r="R203" s="85"/>
      <c r="S203" s="85"/>
      <c r="T203" s="86">
        <v>0</v>
      </c>
      <c r="U203" s="84">
        <v>0</v>
      </c>
      <c r="V203" s="84">
        <v>1931.9929999999999</v>
      </c>
      <c r="W203" s="84">
        <v>965.99649999999997</v>
      </c>
      <c r="X203" s="82">
        <v>0.35</v>
      </c>
      <c r="Y203" s="82"/>
      <c r="Z203" s="84">
        <v>965.99649999999997</v>
      </c>
      <c r="AA203" s="84">
        <v>1931.9929999999999</v>
      </c>
      <c r="AB203" s="88" t="e">
        <v>#DIV/0!</v>
      </c>
      <c r="AC203" t="s">
        <v>1026</v>
      </c>
    </row>
    <row r="204" spans="3:29">
      <c r="C204" t="s">
        <v>1028</v>
      </c>
      <c r="D204" t="s">
        <v>1029</v>
      </c>
      <c r="E204" s="84">
        <v>2799.99</v>
      </c>
      <c r="F204" s="84">
        <v>1399.9949999999999</v>
      </c>
      <c r="G204" t="s">
        <v>1018</v>
      </c>
      <c r="H204" t="s">
        <v>1022</v>
      </c>
      <c r="I204" t="s">
        <v>1030</v>
      </c>
      <c r="J204" t="s">
        <v>1024</v>
      </c>
      <c r="K204" t="s">
        <v>1031</v>
      </c>
      <c r="L204" t="s">
        <v>50</v>
      </c>
      <c r="M204">
        <v>80</v>
      </c>
      <c r="N204">
        <v>50</v>
      </c>
      <c r="O204">
        <v>210</v>
      </c>
      <c r="P204">
        <v>0.84</v>
      </c>
      <c r="Q204" s="84" t="e">
        <v>#REF!</v>
      </c>
      <c r="R204" s="85"/>
      <c r="S204" s="85"/>
      <c r="T204" s="86">
        <v>0</v>
      </c>
      <c r="U204" s="84">
        <v>0</v>
      </c>
      <c r="V204" s="84">
        <v>1959.9929999999999</v>
      </c>
      <c r="W204" s="84">
        <v>979.99649999999997</v>
      </c>
      <c r="X204" s="82">
        <v>0.35</v>
      </c>
      <c r="Y204" s="82"/>
      <c r="Z204" s="84">
        <v>979.99649999999997</v>
      </c>
      <c r="AA204" s="84">
        <v>1959.9929999999999</v>
      </c>
      <c r="AB204" s="88" t="e">
        <v>#DIV/0!</v>
      </c>
      <c r="AC204" t="s">
        <v>1032</v>
      </c>
    </row>
    <row r="205" spans="3:29">
      <c r="C205" t="s">
        <v>1035</v>
      </c>
      <c r="D205" t="s">
        <v>1036</v>
      </c>
      <c r="E205" s="84">
        <v>2839.99</v>
      </c>
      <c r="F205" s="84">
        <v>1419.9949999999999</v>
      </c>
      <c r="G205" t="s">
        <v>1018</v>
      </c>
      <c r="H205" t="s">
        <v>1037</v>
      </c>
      <c r="I205" t="s">
        <v>1038</v>
      </c>
      <c r="J205" t="s">
        <v>1024</v>
      </c>
      <c r="K205" t="s">
        <v>846</v>
      </c>
      <c r="L205" t="s">
        <v>50</v>
      </c>
      <c r="M205">
        <v>80</v>
      </c>
      <c r="N205">
        <v>50</v>
      </c>
      <c r="O205">
        <v>210</v>
      </c>
      <c r="P205">
        <v>0.84</v>
      </c>
      <c r="Q205" s="84" t="e">
        <v>#REF!</v>
      </c>
      <c r="R205" s="85"/>
      <c r="S205" s="85"/>
      <c r="T205" s="86">
        <v>0</v>
      </c>
      <c r="U205" s="84">
        <v>0</v>
      </c>
      <c r="V205" s="84">
        <v>1987.9929999999999</v>
      </c>
      <c r="W205" s="84">
        <v>993.99649999999997</v>
      </c>
      <c r="X205" s="82">
        <v>0.35</v>
      </c>
      <c r="Y205" s="82"/>
      <c r="Z205" s="84">
        <v>993.99649999999997</v>
      </c>
      <c r="AA205" s="84">
        <v>1987.9929999999999</v>
      </c>
      <c r="AB205" s="88" t="e">
        <v>#DIV/0!</v>
      </c>
      <c r="AC205" t="s">
        <v>1039</v>
      </c>
    </row>
    <row r="206" spans="3:29" ht="60.75">
      <c r="C206" t="s">
        <v>1041</v>
      </c>
      <c r="D206" t="s">
        <v>1042</v>
      </c>
      <c r="E206" s="84"/>
      <c r="F206" s="84">
        <v>0</v>
      </c>
      <c r="G206" t="s">
        <v>1018</v>
      </c>
      <c r="H206" t="s">
        <v>1043</v>
      </c>
      <c r="I206" t="s">
        <v>1044</v>
      </c>
      <c r="J206" t="s">
        <v>1045</v>
      </c>
      <c r="K206" s="83" t="s">
        <v>5245</v>
      </c>
      <c r="L206" t="s">
        <v>50</v>
      </c>
      <c r="M206">
        <v>90</v>
      </c>
      <c r="N206">
        <v>50</v>
      </c>
      <c r="O206">
        <v>210</v>
      </c>
      <c r="P206">
        <v>0.94499999999999995</v>
      </c>
      <c r="Q206" s="84" t="e">
        <v>#REF!</v>
      </c>
      <c r="R206" s="85"/>
      <c r="S206" s="85"/>
      <c r="T206" s="86">
        <v>0</v>
      </c>
      <c r="U206" s="84">
        <v>0</v>
      </c>
      <c r="V206" s="84">
        <v>0</v>
      </c>
      <c r="W206" s="84">
        <v>0</v>
      </c>
      <c r="X206" s="82" t="e">
        <v>#DIV/0!</v>
      </c>
      <c r="Y206" s="82"/>
      <c r="Z206" s="84">
        <v>0</v>
      </c>
      <c r="AA206" s="84">
        <v>0</v>
      </c>
      <c r="AB206" s="88" t="e">
        <v>#DIV/0!</v>
      </c>
      <c r="AC206" t="s">
        <v>1047</v>
      </c>
    </row>
    <row r="207" spans="3:29" ht="60.75">
      <c r="C207" t="s">
        <v>1050</v>
      </c>
      <c r="D207" t="s">
        <v>1042</v>
      </c>
      <c r="E207" s="84"/>
      <c r="F207" s="84">
        <v>0</v>
      </c>
      <c r="G207" t="s">
        <v>1018</v>
      </c>
      <c r="H207" t="s">
        <v>1051</v>
      </c>
      <c r="I207" t="s">
        <v>1052</v>
      </c>
      <c r="J207" t="s">
        <v>1053</v>
      </c>
      <c r="K207" s="83" t="s">
        <v>5245</v>
      </c>
      <c r="L207" t="s">
        <v>50</v>
      </c>
      <c r="M207">
        <v>100</v>
      </c>
      <c r="N207">
        <v>40</v>
      </c>
      <c r="O207">
        <v>210</v>
      </c>
      <c r="P207">
        <v>0.84</v>
      </c>
      <c r="Q207" s="84" t="e">
        <v>#REF!</v>
      </c>
      <c r="R207" s="85"/>
      <c r="S207" s="85"/>
      <c r="T207" s="86">
        <v>0</v>
      </c>
      <c r="U207" s="84">
        <v>0</v>
      </c>
      <c r="V207" s="84">
        <v>0</v>
      </c>
      <c r="W207" s="84">
        <v>0</v>
      </c>
      <c r="X207" s="82" t="e">
        <v>#DIV/0!</v>
      </c>
      <c r="Y207" s="82"/>
      <c r="Z207" s="84">
        <v>0</v>
      </c>
      <c r="AA207" s="84">
        <v>0</v>
      </c>
      <c r="AB207" s="88" t="e">
        <v>#DIV/0!</v>
      </c>
      <c r="AC207" t="s">
        <v>1054</v>
      </c>
    </row>
    <row r="208" spans="3:29" ht="60.75">
      <c r="C208" t="s">
        <v>1055</v>
      </c>
      <c r="D208" t="s">
        <v>1042</v>
      </c>
      <c r="E208" s="84"/>
      <c r="F208" s="84">
        <v>0</v>
      </c>
      <c r="G208" t="s">
        <v>1018</v>
      </c>
      <c r="H208" t="s">
        <v>1056</v>
      </c>
      <c r="I208" t="s">
        <v>1057</v>
      </c>
      <c r="J208" t="s">
        <v>1058</v>
      </c>
      <c r="K208" s="83" t="s">
        <v>5245</v>
      </c>
      <c r="L208" t="s">
        <v>50</v>
      </c>
      <c r="M208">
        <v>210</v>
      </c>
      <c r="N208">
        <v>40</v>
      </c>
      <c r="O208">
        <v>93</v>
      </c>
      <c r="P208">
        <v>0.78120000000000001</v>
      </c>
      <c r="Q208" s="84" t="e">
        <v>#REF!</v>
      </c>
      <c r="R208" s="85"/>
      <c r="S208" s="85"/>
      <c r="T208" s="86">
        <v>0</v>
      </c>
      <c r="U208" s="84">
        <v>0</v>
      </c>
      <c r="V208" s="84">
        <v>0</v>
      </c>
      <c r="W208" s="84">
        <v>0</v>
      </c>
      <c r="X208" s="82" t="e">
        <v>#DIV/0!</v>
      </c>
      <c r="Y208" s="82"/>
      <c r="Z208" s="84">
        <v>0</v>
      </c>
      <c r="AA208" s="84">
        <v>0</v>
      </c>
      <c r="AB208" s="88" t="e">
        <v>#DIV/0!</v>
      </c>
      <c r="AC208" t="s">
        <v>1059</v>
      </c>
    </row>
    <row r="209" spans="3:29" ht="30.75">
      <c r="C209" t="s">
        <v>1060</v>
      </c>
      <c r="D209" t="s">
        <v>1061</v>
      </c>
      <c r="E209" s="84"/>
      <c r="F209" s="84">
        <v>0</v>
      </c>
      <c r="G209" t="s">
        <v>1018</v>
      </c>
      <c r="H209" t="s">
        <v>1062</v>
      </c>
      <c r="I209" t="s">
        <v>1063</v>
      </c>
      <c r="J209" t="s">
        <v>1064</v>
      </c>
      <c r="K209" s="83" t="s">
        <v>5246</v>
      </c>
      <c r="L209" t="s">
        <v>50</v>
      </c>
      <c r="M209">
        <v>186</v>
      </c>
      <c r="N209">
        <v>60</v>
      </c>
      <c r="O209">
        <v>100</v>
      </c>
      <c r="P209">
        <v>1.1160000000000001</v>
      </c>
      <c r="Q209" s="84" t="e">
        <v>#REF!</v>
      </c>
      <c r="R209" s="85"/>
      <c r="S209" s="85"/>
      <c r="T209" s="86">
        <v>0</v>
      </c>
      <c r="U209" s="84">
        <v>0</v>
      </c>
      <c r="V209" s="84">
        <v>0</v>
      </c>
      <c r="W209" s="84">
        <v>0</v>
      </c>
      <c r="X209" s="82" t="e">
        <v>#DIV/0!</v>
      </c>
      <c r="Y209" s="82"/>
      <c r="Z209" s="84">
        <v>0</v>
      </c>
      <c r="AA209" s="84">
        <v>0</v>
      </c>
      <c r="AB209" s="88" t="e">
        <v>#DIV/0!</v>
      </c>
      <c r="AC209" t="s">
        <v>1066</v>
      </c>
    </row>
    <row r="210" spans="3:29" ht="45.75">
      <c r="C210" t="s">
        <v>1067</v>
      </c>
      <c r="D210" t="s">
        <v>1068</v>
      </c>
      <c r="E210" s="84"/>
      <c r="F210" s="84">
        <v>0</v>
      </c>
      <c r="G210" t="s">
        <v>1018</v>
      </c>
      <c r="H210" t="s">
        <v>1062</v>
      </c>
      <c r="I210" t="s">
        <v>1069</v>
      </c>
      <c r="J210" t="s">
        <v>1064</v>
      </c>
      <c r="K210" s="83" t="s">
        <v>5247</v>
      </c>
      <c r="L210" t="s">
        <v>50</v>
      </c>
      <c r="M210">
        <v>186</v>
      </c>
      <c r="N210">
        <v>60</v>
      </c>
      <c r="O210">
        <v>100</v>
      </c>
      <c r="P210">
        <v>1.1160000000000001</v>
      </c>
      <c r="Q210" s="84" t="e">
        <v>#REF!</v>
      </c>
      <c r="R210" s="85"/>
      <c r="S210" s="85"/>
      <c r="T210" s="86">
        <v>0</v>
      </c>
      <c r="U210" s="84">
        <v>0</v>
      </c>
      <c r="V210" s="84">
        <v>0</v>
      </c>
      <c r="W210" s="84">
        <v>0</v>
      </c>
      <c r="X210" s="82" t="e">
        <v>#DIV/0!</v>
      </c>
      <c r="Y210" s="82"/>
      <c r="Z210" s="84">
        <v>0</v>
      </c>
      <c r="AA210" s="84">
        <v>0</v>
      </c>
      <c r="AB210" s="88" t="e">
        <v>#DIV/0!</v>
      </c>
      <c r="AC210" t="s">
        <v>1071</v>
      </c>
    </row>
    <row r="211" spans="3:29">
      <c r="C211" t="s">
        <v>1072</v>
      </c>
      <c r="D211" t="s">
        <v>1073</v>
      </c>
      <c r="E211" s="84"/>
      <c r="F211" s="84">
        <v>0</v>
      </c>
      <c r="G211" t="s">
        <v>1018</v>
      </c>
      <c r="H211" t="s">
        <v>1074</v>
      </c>
      <c r="I211" t="s">
        <v>1075</v>
      </c>
      <c r="J211" t="s">
        <v>1076</v>
      </c>
      <c r="K211" t="s">
        <v>1077</v>
      </c>
      <c r="L211" t="s">
        <v>50</v>
      </c>
      <c r="M211">
        <v>90</v>
      </c>
      <c r="N211">
        <v>60</v>
      </c>
      <c r="O211">
        <v>210</v>
      </c>
      <c r="P211">
        <v>1.1339999999999999</v>
      </c>
      <c r="Q211" s="84" t="e">
        <v>#REF!</v>
      </c>
      <c r="R211" s="85">
        <v>8541969.4378902297</v>
      </c>
      <c r="S211" s="85">
        <v>0</v>
      </c>
      <c r="T211" s="86">
        <v>8541969.4378902297</v>
      </c>
      <c r="U211" s="84">
        <v>569.46462919268197</v>
      </c>
      <c r="V211" s="84">
        <v>0</v>
      </c>
      <c r="W211" s="84">
        <v>0</v>
      </c>
      <c r="X211" s="82" t="e">
        <v>#DIV/0!</v>
      </c>
      <c r="Y211" s="87">
        <v>1708.39388757805</v>
      </c>
      <c r="Z211" s="84">
        <v>1708.39388757805</v>
      </c>
      <c r="AA211" s="84">
        <v>3416.78777515609</v>
      </c>
      <c r="AB211" s="88">
        <v>3</v>
      </c>
      <c r="AC211" t="s">
        <v>1078</v>
      </c>
    </row>
    <row r="212" spans="3:29">
      <c r="C212" t="s">
        <v>1079</v>
      </c>
      <c r="D212" t="s">
        <v>1080</v>
      </c>
      <c r="E212" s="84">
        <v>3199.99</v>
      </c>
      <c r="F212" s="84">
        <v>1599.9949999999999</v>
      </c>
      <c r="G212" t="s">
        <v>1018</v>
      </c>
      <c r="H212" t="s">
        <v>1074</v>
      </c>
      <c r="I212" t="s">
        <v>1081</v>
      </c>
      <c r="J212" t="s">
        <v>1082</v>
      </c>
      <c r="K212" t="s">
        <v>1083</v>
      </c>
      <c r="L212" t="s">
        <v>50</v>
      </c>
      <c r="M212">
        <v>100</v>
      </c>
      <c r="N212">
        <v>50</v>
      </c>
      <c r="O212">
        <v>210</v>
      </c>
      <c r="P212">
        <v>1.05</v>
      </c>
      <c r="Q212" s="84" t="e">
        <v>#REF!</v>
      </c>
      <c r="R212" s="85"/>
      <c r="S212" s="85"/>
      <c r="T212" s="86">
        <v>0</v>
      </c>
      <c r="U212" s="84">
        <v>0</v>
      </c>
      <c r="V212" s="84">
        <v>2239.9929999999999</v>
      </c>
      <c r="W212" s="84">
        <v>1119.9965</v>
      </c>
      <c r="X212" s="82">
        <v>0.35</v>
      </c>
      <c r="Y212" s="82"/>
      <c r="Z212" s="84">
        <v>1119.9965</v>
      </c>
      <c r="AA212" s="84">
        <v>2239.9929999999999</v>
      </c>
      <c r="AB212" s="88" t="e">
        <v>#DIV/0!</v>
      </c>
      <c r="AC212" t="s">
        <v>1084</v>
      </c>
    </row>
    <row r="213" spans="3:29" ht="45.75">
      <c r="C213" t="s">
        <v>1085</v>
      </c>
      <c r="D213" t="s">
        <v>1086</v>
      </c>
      <c r="E213" s="84"/>
      <c r="F213" s="84">
        <v>0</v>
      </c>
      <c r="G213" t="s">
        <v>1018</v>
      </c>
      <c r="H213" t="s">
        <v>1087</v>
      </c>
      <c r="I213" t="s">
        <v>1088</v>
      </c>
      <c r="J213" t="s">
        <v>1058</v>
      </c>
      <c r="K213" s="83" t="s">
        <v>5248</v>
      </c>
      <c r="L213" t="s">
        <v>50</v>
      </c>
      <c r="M213">
        <v>210</v>
      </c>
      <c r="N213">
        <v>40</v>
      </c>
      <c r="O213">
        <v>93</v>
      </c>
      <c r="P213">
        <v>0.78120000000000001</v>
      </c>
      <c r="Q213" s="84" t="e">
        <v>#REF!</v>
      </c>
      <c r="R213" s="85"/>
      <c r="S213" s="85"/>
      <c r="T213" s="86">
        <v>0</v>
      </c>
      <c r="U213" s="84">
        <v>0</v>
      </c>
      <c r="V213" s="84">
        <v>0</v>
      </c>
      <c r="W213" s="84">
        <v>0</v>
      </c>
      <c r="X213" s="82" t="e">
        <v>#DIV/0!</v>
      </c>
      <c r="Y213" s="82"/>
      <c r="Z213" s="84">
        <v>0</v>
      </c>
      <c r="AA213" s="84">
        <v>0</v>
      </c>
      <c r="AB213" s="88" t="e">
        <v>#DIV/0!</v>
      </c>
      <c r="AC213" t="s">
        <v>1090</v>
      </c>
    </row>
    <row r="214" spans="3:29" ht="45.75">
      <c r="C214" t="s">
        <v>1091</v>
      </c>
      <c r="D214" t="s">
        <v>1092</v>
      </c>
      <c r="E214" s="84"/>
      <c r="F214" s="84">
        <v>0</v>
      </c>
      <c r="G214" t="s">
        <v>1018</v>
      </c>
      <c r="H214" t="s">
        <v>1093</v>
      </c>
      <c r="I214" t="s">
        <v>1094</v>
      </c>
      <c r="J214" t="s">
        <v>1095</v>
      </c>
      <c r="K214" s="83" t="s">
        <v>5248</v>
      </c>
      <c r="L214" t="s">
        <v>50</v>
      </c>
      <c r="M214">
        <v>210</v>
      </c>
      <c r="N214">
        <v>40</v>
      </c>
      <c r="O214">
        <v>210</v>
      </c>
      <c r="P214">
        <v>1.764</v>
      </c>
      <c r="Q214" s="84" t="e">
        <v>#REF!</v>
      </c>
      <c r="R214" s="85"/>
      <c r="S214" s="85"/>
      <c r="T214" s="86">
        <v>0</v>
      </c>
      <c r="U214" s="84">
        <v>0</v>
      </c>
      <c r="V214" s="84">
        <v>0</v>
      </c>
      <c r="W214" s="84">
        <v>0</v>
      </c>
      <c r="X214" s="82" t="e">
        <v>#DIV/0!</v>
      </c>
      <c r="Y214" s="82"/>
      <c r="Z214" s="84">
        <v>0</v>
      </c>
      <c r="AA214" s="84">
        <v>0</v>
      </c>
      <c r="AB214" s="88" t="e">
        <v>#DIV/0!</v>
      </c>
      <c r="AC214" t="s">
        <v>1096</v>
      </c>
    </row>
    <row r="215" spans="3:29">
      <c r="C215" t="s">
        <v>1097</v>
      </c>
      <c r="D215" t="s">
        <v>1098</v>
      </c>
      <c r="E215" s="84">
        <v>2099.9899999999998</v>
      </c>
      <c r="F215" s="84">
        <v>1049.9949999999999</v>
      </c>
      <c r="G215" t="s">
        <v>1018</v>
      </c>
      <c r="H215" t="s">
        <v>1099</v>
      </c>
      <c r="I215" t="s">
        <v>434</v>
      </c>
      <c r="J215" t="s">
        <v>1100</v>
      </c>
      <c r="K215" t="s">
        <v>1101</v>
      </c>
      <c r="L215" t="s">
        <v>50</v>
      </c>
      <c r="M215">
        <v>60</v>
      </c>
      <c r="N215">
        <v>50</v>
      </c>
      <c r="O215">
        <v>220</v>
      </c>
      <c r="P215">
        <v>0.66</v>
      </c>
      <c r="Q215" s="84" t="e">
        <v>#REF!</v>
      </c>
      <c r="R215" s="85"/>
      <c r="S215" s="85"/>
      <c r="T215" s="86">
        <v>0</v>
      </c>
      <c r="U215" s="84">
        <v>0</v>
      </c>
      <c r="V215" s="84">
        <v>1469.9929999999999</v>
      </c>
      <c r="W215" s="84">
        <v>734.99649999999997</v>
      </c>
      <c r="X215" s="82">
        <v>0.35</v>
      </c>
      <c r="Y215" s="82"/>
      <c r="Z215" s="84">
        <v>734.99649999999997</v>
      </c>
      <c r="AA215" s="84">
        <v>1469.9929999999999</v>
      </c>
      <c r="AB215" s="88" t="e">
        <v>#DIV/0!</v>
      </c>
      <c r="AC215" t="s">
        <v>1102</v>
      </c>
    </row>
    <row r="216" spans="3:29">
      <c r="C216" t="s">
        <v>1103</v>
      </c>
      <c r="D216" t="s">
        <v>1098</v>
      </c>
      <c r="E216" s="84">
        <v>3479.99</v>
      </c>
      <c r="F216" s="84">
        <v>1739.9949999999999</v>
      </c>
      <c r="G216" t="s">
        <v>1018</v>
      </c>
      <c r="H216" t="s">
        <v>1104</v>
      </c>
      <c r="I216" t="s">
        <v>434</v>
      </c>
      <c r="J216" t="s">
        <v>1105</v>
      </c>
      <c r="K216" t="s">
        <v>1101</v>
      </c>
      <c r="L216" t="s">
        <v>50</v>
      </c>
      <c r="M216">
        <v>240</v>
      </c>
      <c r="N216">
        <v>50</v>
      </c>
      <c r="O216">
        <v>160</v>
      </c>
      <c r="P216">
        <v>1.92</v>
      </c>
      <c r="Q216" s="84" t="e">
        <v>#REF!</v>
      </c>
      <c r="R216" s="85"/>
      <c r="S216" s="85"/>
      <c r="T216" s="86">
        <v>0</v>
      </c>
      <c r="U216" s="84">
        <v>0</v>
      </c>
      <c r="V216" s="84">
        <v>2435.9929999999999</v>
      </c>
      <c r="W216" s="84">
        <v>1217.9965</v>
      </c>
      <c r="X216" s="82">
        <v>0.35</v>
      </c>
      <c r="Y216" s="82"/>
      <c r="Z216" s="84">
        <v>1217.9965</v>
      </c>
      <c r="AA216" s="84">
        <v>2435.9929999999999</v>
      </c>
      <c r="AB216" s="88" t="e">
        <v>#DIV/0!</v>
      </c>
      <c r="AC216" t="s">
        <v>1106</v>
      </c>
    </row>
    <row r="217" spans="3:29">
      <c r="C217" t="s">
        <v>1107</v>
      </c>
      <c r="D217" t="s">
        <v>1108</v>
      </c>
      <c r="E217" s="84">
        <v>2519.9899999999998</v>
      </c>
      <c r="F217" s="84">
        <v>1259.9949999999999</v>
      </c>
      <c r="G217" t="s">
        <v>1018</v>
      </c>
      <c r="H217" t="s">
        <v>1109</v>
      </c>
      <c r="I217" t="s">
        <v>928</v>
      </c>
      <c r="J217" t="s">
        <v>1100</v>
      </c>
      <c r="K217" t="s">
        <v>1101</v>
      </c>
      <c r="L217" t="s">
        <v>50</v>
      </c>
      <c r="M217">
        <v>60</v>
      </c>
      <c r="N217">
        <v>50</v>
      </c>
      <c r="O217">
        <v>220</v>
      </c>
      <c r="P217">
        <v>0.66</v>
      </c>
      <c r="Q217" s="84" t="e">
        <v>#REF!</v>
      </c>
      <c r="R217" s="85"/>
      <c r="S217" s="85"/>
      <c r="T217" s="86">
        <v>0</v>
      </c>
      <c r="U217" s="84">
        <v>0</v>
      </c>
      <c r="V217" s="84">
        <v>1763.9929999999999</v>
      </c>
      <c r="W217" s="84">
        <v>881.99649999999997</v>
      </c>
      <c r="X217" s="82">
        <v>0.35</v>
      </c>
      <c r="Y217" s="82"/>
      <c r="Z217" s="84">
        <v>881.99649999999997</v>
      </c>
      <c r="AA217" s="84">
        <v>1763.9929999999999</v>
      </c>
      <c r="AB217" s="88" t="e">
        <v>#DIV/0!</v>
      </c>
      <c r="AC217" t="s">
        <v>1110</v>
      </c>
    </row>
    <row r="218" spans="3:29">
      <c r="C218" t="s">
        <v>1111</v>
      </c>
      <c r="D218" t="s">
        <v>1108</v>
      </c>
      <c r="E218" s="84">
        <v>3479.99</v>
      </c>
      <c r="F218" s="84">
        <v>1739.9949999999999</v>
      </c>
      <c r="G218" t="s">
        <v>1018</v>
      </c>
      <c r="H218" t="s">
        <v>1112</v>
      </c>
      <c r="I218" t="s">
        <v>928</v>
      </c>
      <c r="J218" t="s">
        <v>1113</v>
      </c>
      <c r="K218" t="s">
        <v>1101</v>
      </c>
      <c r="L218" t="s">
        <v>50</v>
      </c>
      <c r="M218">
        <v>240</v>
      </c>
      <c r="N218">
        <v>50</v>
      </c>
      <c r="O218">
        <v>160</v>
      </c>
      <c r="P218">
        <v>1.92</v>
      </c>
      <c r="Q218" s="84" t="e">
        <v>#REF!</v>
      </c>
      <c r="R218" s="85"/>
      <c r="S218" s="85"/>
      <c r="T218" s="86">
        <v>0</v>
      </c>
      <c r="U218" s="84">
        <v>0</v>
      </c>
      <c r="V218" s="84">
        <v>2435.9929999999999</v>
      </c>
      <c r="W218" s="84">
        <v>1217.9965</v>
      </c>
      <c r="X218" s="82">
        <v>0.35</v>
      </c>
      <c r="Y218" s="82"/>
      <c r="Z218" s="84">
        <v>1217.9965</v>
      </c>
      <c r="AA218" s="84">
        <v>2435.9929999999999</v>
      </c>
      <c r="AB218" s="88" t="e">
        <v>#DIV/0!</v>
      </c>
      <c r="AC218" t="s">
        <v>1114</v>
      </c>
    </row>
    <row r="219" spans="3:29">
      <c r="C219" t="s">
        <v>1115</v>
      </c>
      <c r="D219" t="s">
        <v>1116</v>
      </c>
      <c r="E219" s="84">
        <v>1824.99</v>
      </c>
      <c r="F219" s="84">
        <v>912.495</v>
      </c>
      <c r="G219" t="s">
        <v>1018</v>
      </c>
      <c r="H219" t="s">
        <v>1117</v>
      </c>
      <c r="I219" t="s">
        <v>649</v>
      </c>
      <c r="J219" t="s">
        <v>1118</v>
      </c>
      <c r="K219" t="s">
        <v>1119</v>
      </c>
      <c r="L219" t="s">
        <v>50</v>
      </c>
      <c r="M219">
        <v>140</v>
      </c>
      <c r="N219">
        <v>35</v>
      </c>
      <c r="O219">
        <v>190</v>
      </c>
      <c r="P219">
        <v>0.93100000000000005</v>
      </c>
      <c r="Q219" s="84" t="e">
        <v>#REF!</v>
      </c>
      <c r="R219" s="85"/>
      <c r="S219" s="85"/>
      <c r="T219" s="86">
        <v>0</v>
      </c>
      <c r="U219" s="84">
        <v>0</v>
      </c>
      <c r="V219" s="84">
        <v>1277.4929999999999</v>
      </c>
      <c r="W219" s="84">
        <v>638.74649999999997</v>
      </c>
      <c r="X219" s="82">
        <v>0.35</v>
      </c>
      <c r="Y219" s="82"/>
      <c r="Z219" s="84">
        <v>638.74649999999997</v>
      </c>
      <c r="AA219" s="84">
        <v>1277.4929999999999</v>
      </c>
      <c r="AB219" s="88" t="e">
        <v>#DIV/0!</v>
      </c>
      <c r="AC219" t="s">
        <v>1120</v>
      </c>
    </row>
    <row r="220" spans="3:29">
      <c r="C220" t="s">
        <v>1121</v>
      </c>
      <c r="D220" t="s">
        <v>1122</v>
      </c>
      <c r="E220" s="84"/>
      <c r="F220" s="84">
        <v>0</v>
      </c>
      <c r="G220" t="s">
        <v>1018</v>
      </c>
      <c r="H220" t="s">
        <v>1123</v>
      </c>
      <c r="I220" t="s">
        <v>649</v>
      </c>
      <c r="J220" t="s">
        <v>1124</v>
      </c>
      <c r="K220" t="s">
        <v>1125</v>
      </c>
      <c r="L220" t="s">
        <v>50</v>
      </c>
      <c r="M220">
        <v>70</v>
      </c>
      <c r="N220">
        <v>25</v>
      </c>
      <c r="O220">
        <v>150</v>
      </c>
      <c r="P220">
        <v>0.26250000000000001</v>
      </c>
      <c r="Q220" s="84" t="e">
        <v>#REF!</v>
      </c>
      <c r="R220" s="85"/>
      <c r="S220" s="85"/>
      <c r="T220" s="86">
        <v>0</v>
      </c>
      <c r="U220" s="84">
        <v>0</v>
      </c>
      <c r="V220" s="84">
        <v>0</v>
      </c>
      <c r="W220" s="84">
        <v>0</v>
      </c>
      <c r="X220" s="82" t="e">
        <v>#DIV/0!</v>
      </c>
      <c r="Y220" s="82"/>
      <c r="Z220" s="84">
        <v>0</v>
      </c>
      <c r="AA220" s="84">
        <v>0</v>
      </c>
      <c r="AB220" s="88" t="e">
        <v>#DIV/0!</v>
      </c>
      <c r="AC220" t="s">
        <v>1120</v>
      </c>
    </row>
    <row r="221" spans="3:29">
      <c r="C221" t="s">
        <v>1127</v>
      </c>
      <c r="D221" t="s">
        <v>1122</v>
      </c>
      <c r="E221" s="84">
        <v>1315.99</v>
      </c>
      <c r="F221" s="84">
        <v>657.995</v>
      </c>
      <c r="G221" t="s">
        <v>1018</v>
      </c>
      <c r="H221" t="s">
        <v>1128</v>
      </c>
      <c r="I221" t="s">
        <v>649</v>
      </c>
      <c r="J221" t="s">
        <v>1129</v>
      </c>
      <c r="K221" t="s">
        <v>1125</v>
      </c>
      <c r="L221" t="s">
        <v>50</v>
      </c>
      <c r="M221">
        <v>130</v>
      </c>
      <c r="N221">
        <v>3</v>
      </c>
      <c r="O221">
        <v>240</v>
      </c>
      <c r="P221">
        <v>9.3600000000000003E-2</v>
      </c>
      <c r="Q221" s="84" t="e">
        <v>#REF!</v>
      </c>
      <c r="R221" s="85">
        <v>5874567.6659996398</v>
      </c>
      <c r="S221" s="85">
        <v>0</v>
      </c>
      <c r="T221" s="86">
        <v>5874567.6659996398</v>
      </c>
      <c r="U221" s="84">
        <v>391.63784439997602</v>
      </c>
      <c r="V221" s="84">
        <v>921.19299999999998</v>
      </c>
      <c r="W221" s="84">
        <v>460.59649999999999</v>
      </c>
      <c r="X221" s="82">
        <v>0.35</v>
      </c>
      <c r="Y221" s="87">
        <v>692.75</v>
      </c>
      <c r="Z221" s="84">
        <v>692.75</v>
      </c>
      <c r="AA221" s="84">
        <v>1385.5</v>
      </c>
      <c r="AB221" s="88">
        <v>2.5</v>
      </c>
      <c r="AC221" t="s">
        <v>1130</v>
      </c>
    </row>
    <row r="222" spans="3:29">
      <c r="C222" t="s">
        <v>1131</v>
      </c>
      <c r="D222" t="s">
        <v>1132</v>
      </c>
      <c r="E222" s="84">
        <v>4359.99</v>
      </c>
      <c r="F222" s="84">
        <v>2179.9949999999999</v>
      </c>
      <c r="G222" t="s">
        <v>1018</v>
      </c>
      <c r="H222" t="s">
        <v>1133</v>
      </c>
      <c r="I222" t="s">
        <v>421</v>
      </c>
      <c r="J222" t="s">
        <v>1134</v>
      </c>
      <c r="K222" t="s">
        <v>1101</v>
      </c>
      <c r="L222" t="s">
        <v>50</v>
      </c>
      <c r="M222">
        <v>200</v>
      </c>
      <c r="N222">
        <v>50</v>
      </c>
      <c r="O222">
        <v>193</v>
      </c>
      <c r="P222">
        <v>1.93</v>
      </c>
      <c r="Q222" s="84" t="e">
        <v>#REF!</v>
      </c>
      <c r="R222" s="85">
        <v>12097924.043765999</v>
      </c>
      <c r="S222" s="85">
        <v>0</v>
      </c>
      <c r="T222" s="86">
        <v>12097924.043765999</v>
      </c>
      <c r="U222" s="84">
        <v>806.52826958439903</v>
      </c>
      <c r="V222" s="84">
        <v>3051.9929999999999</v>
      </c>
      <c r="W222" s="84">
        <v>1525.9965</v>
      </c>
      <c r="X222" s="82">
        <v>0.35</v>
      </c>
      <c r="Y222" s="87">
        <v>2016.320673961</v>
      </c>
      <c r="Z222" s="84">
        <v>2016.320673961</v>
      </c>
      <c r="AA222" s="84">
        <v>4032.641347922</v>
      </c>
      <c r="AB222" s="88">
        <v>2.5</v>
      </c>
      <c r="AC222" t="s">
        <v>1135</v>
      </c>
    </row>
    <row r="223" spans="3:29">
      <c r="C223" t="s">
        <v>1136</v>
      </c>
      <c r="D223" t="s">
        <v>1132</v>
      </c>
      <c r="E223" s="84"/>
      <c r="F223" s="84">
        <v>0</v>
      </c>
      <c r="G223" t="s">
        <v>1018</v>
      </c>
      <c r="H223" t="s">
        <v>1137</v>
      </c>
      <c r="I223" t="s">
        <v>421</v>
      </c>
      <c r="J223" t="s">
        <v>1138</v>
      </c>
      <c r="K223" t="s">
        <v>1101</v>
      </c>
      <c r="L223" t="s">
        <v>50</v>
      </c>
      <c r="M223">
        <v>200</v>
      </c>
      <c r="N223">
        <v>50</v>
      </c>
      <c r="O223">
        <v>248</v>
      </c>
      <c r="P223">
        <v>2.48</v>
      </c>
      <c r="Q223" s="84" t="e">
        <v>#REF!</v>
      </c>
      <c r="R223" s="85"/>
      <c r="S223" s="85"/>
      <c r="T223" s="86">
        <v>0</v>
      </c>
      <c r="U223" s="84">
        <v>0</v>
      </c>
      <c r="V223" s="84">
        <v>0</v>
      </c>
      <c r="W223" s="84">
        <v>0</v>
      </c>
      <c r="X223" s="82" t="e">
        <v>#DIV/0!</v>
      </c>
      <c r="Y223" s="82"/>
      <c r="Z223" s="84">
        <v>0</v>
      </c>
      <c r="AA223" s="84">
        <v>0</v>
      </c>
      <c r="AB223" s="88" t="e">
        <v>#DIV/0!</v>
      </c>
      <c r="AC223" t="s">
        <v>1139</v>
      </c>
    </row>
    <row r="224" spans="3:29">
      <c r="C224" t="s">
        <v>1140</v>
      </c>
      <c r="D224" t="s">
        <v>1141</v>
      </c>
      <c r="E224" s="84">
        <v>579.99</v>
      </c>
      <c r="F224" s="84">
        <v>289.995</v>
      </c>
      <c r="G224" t="s">
        <v>1018</v>
      </c>
      <c r="H224" t="s">
        <v>1142</v>
      </c>
      <c r="I224" t="s">
        <v>421</v>
      </c>
      <c r="K224" t="s">
        <v>1101</v>
      </c>
      <c r="L224" t="s">
        <v>50</v>
      </c>
      <c r="P224">
        <v>0</v>
      </c>
      <c r="Q224" s="84" t="e">
        <v>#REF!</v>
      </c>
      <c r="R224" s="85"/>
      <c r="S224" s="85"/>
      <c r="T224" s="86">
        <v>0</v>
      </c>
      <c r="U224" s="84">
        <v>0</v>
      </c>
      <c r="V224" s="84">
        <v>405.99299999999999</v>
      </c>
      <c r="W224" s="84">
        <v>202.9965</v>
      </c>
      <c r="X224" s="82">
        <v>0.35</v>
      </c>
      <c r="Y224" s="82"/>
      <c r="Z224" s="84">
        <v>202.9965</v>
      </c>
      <c r="AA224" s="84">
        <v>405.99299999999999</v>
      </c>
      <c r="AB224" s="88" t="e">
        <v>#DIV/0!</v>
      </c>
      <c r="AC224" t="s">
        <v>1143</v>
      </c>
    </row>
    <row r="225" spans="3:29">
      <c r="C225" t="s">
        <v>1144</v>
      </c>
      <c r="D225" t="s">
        <v>1145</v>
      </c>
      <c r="E225" s="84"/>
      <c r="F225" s="84">
        <v>0</v>
      </c>
      <c r="G225" t="s">
        <v>1018</v>
      </c>
      <c r="H225" t="s">
        <v>1146</v>
      </c>
      <c r="I225" t="s">
        <v>1147</v>
      </c>
      <c r="J225" t="s">
        <v>1148</v>
      </c>
      <c r="K225" t="s">
        <v>1101</v>
      </c>
      <c r="L225" t="s">
        <v>50</v>
      </c>
      <c r="M225">
        <v>185</v>
      </c>
      <c r="N225">
        <v>57</v>
      </c>
      <c r="O225">
        <v>200</v>
      </c>
      <c r="P225">
        <v>2.109</v>
      </c>
      <c r="Q225" s="84" t="e">
        <v>#REF!</v>
      </c>
      <c r="R225" s="85"/>
      <c r="S225" s="85"/>
      <c r="T225" s="86">
        <v>0</v>
      </c>
      <c r="U225" s="84">
        <v>0</v>
      </c>
      <c r="V225" s="84">
        <v>0</v>
      </c>
      <c r="W225" s="84">
        <v>0</v>
      </c>
      <c r="X225" s="82" t="e">
        <v>#DIV/0!</v>
      </c>
      <c r="Y225" s="82"/>
      <c r="Z225" s="84">
        <v>0</v>
      </c>
      <c r="AA225" s="84">
        <v>0</v>
      </c>
      <c r="AB225" s="88" t="e">
        <v>#DIV/0!</v>
      </c>
      <c r="AC225" t="s">
        <v>1149</v>
      </c>
    </row>
    <row r="226" spans="3:29">
      <c r="C226" t="s">
        <v>1150</v>
      </c>
      <c r="D226" t="s">
        <v>1151</v>
      </c>
      <c r="E226" s="84">
        <v>5519.99</v>
      </c>
      <c r="F226" s="84">
        <v>2759.9949999999999</v>
      </c>
      <c r="G226" t="s">
        <v>1018</v>
      </c>
      <c r="H226" t="s">
        <v>1152</v>
      </c>
      <c r="I226" t="s">
        <v>1153</v>
      </c>
      <c r="J226" t="s">
        <v>1154</v>
      </c>
      <c r="K226" t="s">
        <v>846</v>
      </c>
      <c r="L226" t="s">
        <v>50</v>
      </c>
      <c r="M226">
        <v>190</v>
      </c>
      <c r="N226">
        <v>50</v>
      </c>
      <c r="O226">
        <v>260</v>
      </c>
      <c r="P226">
        <v>2.4700000000000002</v>
      </c>
      <c r="Q226" s="84" t="e">
        <v>#REF!</v>
      </c>
      <c r="R226" s="85"/>
      <c r="S226" s="85"/>
      <c r="T226" s="86">
        <v>0</v>
      </c>
      <c r="U226" s="84">
        <v>0</v>
      </c>
      <c r="V226" s="84">
        <v>3863.9929999999999</v>
      </c>
      <c r="W226" s="84">
        <v>1931.9965</v>
      </c>
      <c r="X226" s="82">
        <v>0.35</v>
      </c>
      <c r="Y226" s="82"/>
      <c r="Z226" s="84">
        <v>1931.9965</v>
      </c>
      <c r="AA226" s="84">
        <v>3863.9929999999999</v>
      </c>
      <c r="AB226" s="88" t="e">
        <v>#DIV/0!</v>
      </c>
      <c r="AC226" t="s">
        <v>1155</v>
      </c>
    </row>
    <row r="227" spans="3:29">
      <c r="C227" t="s">
        <v>1156</v>
      </c>
      <c r="D227" t="s">
        <v>1157</v>
      </c>
      <c r="E227" s="84">
        <v>3269.99</v>
      </c>
      <c r="F227" s="84">
        <v>1634.9949999999999</v>
      </c>
      <c r="G227" t="s">
        <v>1018</v>
      </c>
      <c r="H227" t="s">
        <v>1158</v>
      </c>
      <c r="I227" t="s">
        <v>1159</v>
      </c>
      <c r="J227" t="s">
        <v>1160</v>
      </c>
      <c r="K227" t="s">
        <v>846</v>
      </c>
      <c r="L227" t="s">
        <v>50</v>
      </c>
      <c r="M227">
        <v>110</v>
      </c>
      <c r="N227">
        <v>45</v>
      </c>
      <c r="O227">
        <v>200</v>
      </c>
      <c r="P227">
        <v>0.99</v>
      </c>
      <c r="Q227" s="84" t="e">
        <v>#REF!</v>
      </c>
      <c r="R227" s="85"/>
      <c r="S227" s="85"/>
      <c r="T227" s="86">
        <v>0</v>
      </c>
      <c r="U227" s="84">
        <v>0</v>
      </c>
      <c r="V227" s="84">
        <v>2288.9929999999999</v>
      </c>
      <c r="W227" s="84">
        <v>1144.4965</v>
      </c>
      <c r="X227" s="82">
        <v>0.35</v>
      </c>
      <c r="Y227" s="82"/>
      <c r="Z227" s="84">
        <v>1144.4965</v>
      </c>
      <c r="AA227" s="84">
        <v>2288.9929999999999</v>
      </c>
      <c r="AB227" s="88" t="e">
        <v>#DIV/0!</v>
      </c>
      <c r="AC227" t="s">
        <v>1161</v>
      </c>
    </row>
    <row r="228" spans="3:29">
      <c r="C228" t="s">
        <v>1162</v>
      </c>
      <c r="D228" t="s">
        <v>1163</v>
      </c>
      <c r="E228" s="84"/>
      <c r="F228" s="84">
        <v>0</v>
      </c>
      <c r="G228" t="s">
        <v>1018</v>
      </c>
      <c r="H228" t="s">
        <v>1164</v>
      </c>
      <c r="I228" t="s">
        <v>1165</v>
      </c>
      <c r="J228" t="s">
        <v>1166</v>
      </c>
      <c r="K228" t="s">
        <v>1167</v>
      </c>
      <c r="L228" t="s">
        <v>50</v>
      </c>
      <c r="M228">
        <v>260</v>
      </c>
      <c r="N228">
        <v>45</v>
      </c>
      <c r="O228">
        <v>100</v>
      </c>
      <c r="P228">
        <v>1.17</v>
      </c>
      <c r="Q228" s="84" t="e">
        <v>#REF!</v>
      </c>
      <c r="R228" s="85"/>
      <c r="S228" s="85"/>
      <c r="T228" s="86">
        <v>0</v>
      </c>
      <c r="U228" s="84">
        <v>0</v>
      </c>
      <c r="V228" s="84">
        <v>0</v>
      </c>
      <c r="W228" s="84">
        <v>0</v>
      </c>
      <c r="X228" s="82" t="e">
        <v>#DIV/0!</v>
      </c>
      <c r="Y228" s="82"/>
      <c r="Z228" s="84">
        <v>0</v>
      </c>
      <c r="AA228" s="84">
        <v>0</v>
      </c>
      <c r="AB228" s="88" t="e">
        <v>#DIV/0!</v>
      </c>
      <c r="AC228" t="s">
        <v>1168</v>
      </c>
    </row>
    <row r="229" spans="3:29">
      <c r="C229" t="s">
        <v>1170</v>
      </c>
      <c r="E229" s="84"/>
      <c r="F229" s="82"/>
      <c r="R229" s="85"/>
      <c r="S229" s="85"/>
      <c r="T229" s="86"/>
      <c r="V229" s="84"/>
      <c r="W229" s="84"/>
      <c r="X229" s="82"/>
      <c r="Y229" s="82"/>
      <c r="Z229" s="82"/>
      <c r="AA229" s="82"/>
      <c r="AB229" s="88"/>
    </row>
    <row r="230" spans="3:29">
      <c r="C230" t="s">
        <v>1171</v>
      </c>
      <c r="D230" t="s">
        <v>1172</v>
      </c>
      <c r="E230" s="84">
        <v>1021.98</v>
      </c>
      <c r="F230" s="84">
        <v>510.99</v>
      </c>
      <c r="G230" t="s">
        <v>1170</v>
      </c>
      <c r="H230" t="s">
        <v>1173</v>
      </c>
      <c r="I230" t="s">
        <v>1174</v>
      </c>
      <c r="J230" t="s">
        <v>1175</v>
      </c>
      <c r="K230" t="s">
        <v>49</v>
      </c>
      <c r="L230" t="s">
        <v>1176</v>
      </c>
      <c r="M230">
        <v>40</v>
      </c>
      <c r="N230">
        <v>57</v>
      </c>
      <c r="O230">
        <v>83</v>
      </c>
      <c r="P230">
        <v>0.18923999999999999</v>
      </c>
      <c r="Q230" s="84" t="e">
        <v>#REF!</v>
      </c>
      <c r="R230" s="85">
        <v>869684.36908596999</v>
      </c>
      <c r="S230" s="85">
        <v>1020000</v>
      </c>
      <c r="T230" s="86">
        <v>1889684.3690859701</v>
      </c>
      <c r="U230" s="84">
        <v>125.978957939065</v>
      </c>
      <c r="V230" s="84">
        <v>715.38599999999997</v>
      </c>
      <c r="W230" s="84">
        <v>357.69299999999998</v>
      </c>
      <c r="X230" s="82">
        <v>0.35</v>
      </c>
      <c r="Y230" s="82"/>
      <c r="Z230" s="84">
        <v>357.69299999999998</v>
      </c>
      <c r="AA230" s="84">
        <v>715.38599999999997</v>
      </c>
      <c r="AB230" s="88">
        <v>2.8393074990587999</v>
      </c>
      <c r="AC230" t="s">
        <v>1177</v>
      </c>
    </row>
    <row r="231" spans="3:29">
      <c r="C231">
        <v>21912</v>
      </c>
      <c r="D231" t="s">
        <v>1179</v>
      </c>
      <c r="E231" s="84">
        <v>219.99</v>
      </c>
      <c r="F231" s="84">
        <v>109.995</v>
      </c>
      <c r="G231" t="s">
        <v>1170</v>
      </c>
      <c r="H231" t="s">
        <v>1180</v>
      </c>
      <c r="I231" t="s">
        <v>1181</v>
      </c>
      <c r="J231" t="s">
        <v>1182</v>
      </c>
      <c r="K231" t="s">
        <v>1183</v>
      </c>
      <c r="L231" t="s">
        <v>1176</v>
      </c>
      <c r="M231">
        <v>40</v>
      </c>
      <c r="N231">
        <v>54</v>
      </c>
      <c r="O231">
        <v>84</v>
      </c>
      <c r="P231">
        <v>0.18143999999999999</v>
      </c>
      <c r="Q231" s="84" t="e">
        <v>#REF!</v>
      </c>
      <c r="R231" s="85"/>
      <c r="S231" s="85"/>
      <c r="T231" s="86">
        <v>0</v>
      </c>
      <c r="U231" s="84">
        <v>0</v>
      </c>
      <c r="V231" s="84">
        <v>153.99299999999999</v>
      </c>
      <c r="W231" s="84">
        <v>76.996499999999997</v>
      </c>
      <c r="X231" s="82">
        <v>0.35</v>
      </c>
      <c r="Y231" s="82"/>
      <c r="Z231" s="84">
        <v>76.996499999999997</v>
      </c>
      <c r="AA231" s="84">
        <v>153.99299999999999</v>
      </c>
      <c r="AB231" s="88" t="e">
        <v>#DIV/0!</v>
      </c>
      <c r="AC231" t="s">
        <v>1184</v>
      </c>
    </row>
    <row r="232" spans="3:29">
      <c r="C232">
        <v>21910</v>
      </c>
      <c r="D232" t="s">
        <v>1186</v>
      </c>
      <c r="E232" s="84">
        <v>283.99</v>
      </c>
      <c r="F232" s="84">
        <v>141.995</v>
      </c>
      <c r="G232" t="s">
        <v>1170</v>
      </c>
      <c r="H232" t="s">
        <v>1187</v>
      </c>
      <c r="I232" t="s">
        <v>1188</v>
      </c>
      <c r="J232" t="s">
        <v>1189</v>
      </c>
      <c r="K232" t="s">
        <v>1183</v>
      </c>
      <c r="L232" t="s">
        <v>1176</v>
      </c>
      <c r="M232">
        <v>55</v>
      </c>
      <c r="N232">
        <v>55</v>
      </c>
      <c r="O232">
        <v>80</v>
      </c>
      <c r="P232">
        <v>0.24199999999999999</v>
      </c>
      <c r="Q232" s="84" t="e">
        <v>#REF!</v>
      </c>
      <c r="R232" s="85"/>
      <c r="S232" s="85"/>
      <c r="T232" s="86">
        <v>0</v>
      </c>
      <c r="U232" s="84">
        <v>0</v>
      </c>
      <c r="V232" s="84">
        <v>198.79300000000001</v>
      </c>
      <c r="W232" s="84">
        <v>99.396500000000003</v>
      </c>
      <c r="X232" s="82">
        <v>0.35</v>
      </c>
      <c r="Y232" s="82"/>
      <c r="Z232" s="84">
        <v>99.396500000000003</v>
      </c>
      <c r="AA232" s="84">
        <v>198.79300000000001</v>
      </c>
      <c r="AB232" s="88" t="e">
        <v>#DIV/0!</v>
      </c>
      <c r="AC232" t="s">
        <v>1190</v>
      </c>
    </row>
    <row r="233" spans="3:29">
      <c r="C233" t="s">
        <v>1191</v>
      </c>
      <c r="D233" t="s">
        <v>1192</v>
      </c>
      <c r="E233" s="84">
        <v>110.99</v>
      </c>
      <c r="F233" s="84">
        <v>55.494999999999997</v>
      </c>
      <c r="G233" t="s">
        <v>1170</v>
      </c>
      <c r="H233" t="s">
        <v>1193</v>
      </c>
      <c r="I233" t="s">
        <v>1194</v>
      </c>
      <c r="J233" t="s">
        <v>1195</v>
      </c>
      <c r="K233" t="s">
        <v>1196</v>
      </c>
      <c r="L233" t="s">
        <v>1176</v>
      </c>
      <c r="M233">
        <v>46</v>
      </c>
      <c r="N233">
        <v>53</v>
      </c>
      <c r="O233">
        <v>78</v>
      </c>
      <c r="P233">
        <v>0.190164</v>
      </c>
      <c r="Q233" s="84" t="e">
        <v>#REF!</v>
      </c>
      <c r="R233" s="85"/>
      <c r="S233" s="85"/>
      <c r="T233" s="86">
        <v>0</v>
      </c>
      <c r="U233" s="84">
        <v>0</v>
      </c>
      <c r="V233" s="84">
        <v>77.692999999999998</v>
      </c>
      <c r="W233" s="84">
        <v>38.846499999999999</v>
      </c>
      <c r="X233" s="82">
        <v>0.35</v>
      </c>
      <c r="Y233" s="82"/>
      <c r="Z233" s="84">
        <v>38.846499999999999</v>
      </c>
      <c r="AA233" s="84">
        <v>77.692999999999998</v>
      </c>
      <c r="AB233" s="88" t="e">
        <v>#DIV/0!</v>
      </c>
      <c r="AC233" t="s">
        <v>1197</v>
      </c>
    </row>
    <row r="234" spans="3:29">
      <c r="C234" t="s">
        <v>1199</v>
      </c>
      <c r="D234" t="s">
        <v>1200</v>
      </c>
      <c r="E234" s="84">
        <v>124.99</v>
      </c>
      <c r="F234" s="84">
        <v>62.494999999999997</v>
      </c>
      <c r="G234" t="s">
        <v>1170</v>
      </c>
      <c r="H234" t="s">
        <v>1201</v>
      </c>
      <c r="I234" t="s">
        <v>1202</v>
      </c>
      <c r="J234" t="s">
        <v>1203</v>
      </c>
      <c r="K234" t="s">
        <v>1196</v>
      </c>
      <c r="L234" t="s">
        <v>1176</v>
      </c>
      <c r="M234">
        <v>48</v>
      </c>
      <c r="N234">
        <v>53</v>
      </c>
      <c r="O234">
        <v>97</v>
      </c>
      <c r="P234">
        <v>0.24676799999999999</v>
      </c>
      <c r="Q234" s="84" t="e">
        <v>#REF!</v>
      </c>
      <c r="R234" s="85"/>
      <c r="S234" s="85"/>
      <c r="T234" s="86">
        <v>0</v>
      </c>
      <c r="U234" s="84">
        <v>0</v>
      </c>
      <c r="V234" s="84">
        <v>87.492999999999995</v>
      </c>
      <c r="W234" s="84">
        <v>43.746499999999997</v>
      </c>
      <c r="X234" s="82">
        <v>0.35</v>
      </c>
      <c r="Y234" s="82"/>
      <c r="Z234" s="84">
        <v>43.746499999999997</v>
      </c>
      <c r="AA234" s="84">
        <v>87.492999999999995</v>
      </c>
      <c r="AB234" s="88" t="e">
        <v>#DIV/0!</v>
      </c>
      <c r="AC234" t="s">
        <v>1204</v>
      </c>
    </row>
    <row r="235" spans="3:29">
      <c r="C235" t="s">
        <v>1205</v>
      </c>
      <c r="D235" t="s">
        <v>1206</v>
      </c>
      <c r="E235" s="84">
        <v>249.99</v>
      </c>
      <c r="F235" s="84">
        <v>124.995</v>
      </c>
      <c r="G235" t="s">
        <v>1170</v>
      </c>
      <c r="H235" t="s">
        <v>1207</v>
      </c>
      <c r="I235" t="s">
        <v>1208</v>
      </c>
      <c r="J235" t="s">
        <v>1209</v>
      </c>
      <c r="K235" t="s">
        <v>1196</v>
      </c>
      <c r="L235" t="s">
        <v>1176</v>
      </c>
      <c r="M235">
        <v>55</v>
      </c>
      <c r="N235">
        <v>61</v>
      </c>
      <c r="O235">
        <v>83</v>
      </c>
      <c r="P235">
        <v>0.27846500000000002</v>
      </c>
      <c r="Q235" s="84" t="e">
        <v>#REF!</v>
      </c>
      <c r="R235" s="85"/>
      <c r="S235" s="85"/>
      <c r="T235" s="86">
        <v>0</v>
      </c>
      <c r="U235" s="84">
        <v>0</v>
      </c>
      <c r="V235" s="84">
        <v>174.99299999999999</v>
      </c>
      <c r="W235" s="84">
        <v>87.496499999999997</v>
      </c>
      <c r="X235" s="82">
        <v>0.35</v>
      </c>
      <c r="Y235" s="82"/>
      <c r="Z235" s="84">
        <v>87.496499999999997</v>
      </c>
      <c r="AA235" s="84">
        <v>174.99299999999999</v>
      </c>
      <c r="AB235" s="88" t="e">
        <v>#DIV/0!</v>
      </c>
      <c r="AC235" t="s">
        <v>1210</v>
      </c>
    </row>
    <row r="236" spans="3:29">
      <c r="C236" t="s">
        <v>1211</v>
      </c>
      <c r="D236" t="s">
        <v>1212</v>
      </c>
      <c r="E236" s="84">
        <v>322.99</v>
      </c>
      <c r="F236" s="84">
        <v>161.495</v>
      </c>
      <c r="G236" t="s">
        <v>1170</v>
      </c>
      <c r="H236" t="s">
        <v>1213</v>
      </c>
      <c r="I236" t="s">
        <v>1214</v>
      </c>
      <c r="J236" t="s">
        <v>1215</v>
      </c>
      <c r="K236" t="s">
        <v>1216</v>
      </c>
      <c r="L236" t="s">
        <v>1176</v>
      </c>
      <c r="M236">
        <v>53</v>
      </c>
      <c r="N236">
        <v>65</v>
      </c>
      <c r="O236">
        <v>81</v>
      </c>
      <c r="P236">
        <v>0.27904499999999999</v>
      </c>
      <c r="Q236" s="84" t="e">
        <v>#REF!</v>
      </c>
      <c r="R236" s="85"/>
      <c r="S236" s="85"/>
      <c r="T236" s="86">
        <v>0</v>
      </c>
      <c r="U236" s="84">
        <v>0</v>
      </c>
      <c r="V236" s="84">
        <v>226.09299999999999</v>
      </c>
      <c r="W236" s="84">
        <v>113.04649999999999</v>
      </c>
      <c r="X236" s="82">
        <v>0.35</v>
      </c>
      <c r="Y236" s="82"/>
      <c r="Z236" s="84">
        <v>113.04649999999999</v>
      </c>
      <c r="AA236" s="84">
        <v>226.09299999999999</v>
      </c>
      <c r="AB236" s="88" t="e">
        <v>#DIV/0!</v>
      </c>
      <c r="AC236" t="s">
        <v>1217</v>
      </c>
    </row>
    <row r="237" spans="3:29">
      <c r="C237">
        <v>21997</v>
      </c>
      <c r="D237" t="s">
        <v>1219</v>
      </c>
      <c r="E237" s="84"/>
      <c r="F237" s="84">
        <v>0</v>
      </c>
      <c r="G237" t="s">
        <v>1170</v>
      </c>
      <c r="H237" t="s">
        <v>1220</v>
      </c>
      <c r="I237" t="s">
        <v>1221</v>
      </c>
      <c r="J237" t="s">
        <v>1222</v>
      </c>
      <c r="K237" t="s">
        <v>1223</v>
      </c>
      <c r="L237" t="s">
        <v>1176</v>
      </c>
      <c r="M237">
        <v>55</v>
      </c>
      <c r="N237">
        <v>63</v>
      </c>
      <c r="O237">
        <v>78</v>
      </c>
      <c r="P237">
        <v>0.27027000000000001</v>
      </c>
      <c r="Q237" s="84" t="e">
        <v>#REF!</v>
      </c>
      <c r="R237" s="85"/>
      <c r="S237" s="85"/>
      <c r="T237" s="86">
        <v>0</v>
      </c>
      <c r="U237" s="84">
        <v>0</v>
      </c>
      <c r="V237" s="84">
        <v>0</v>
      </c>
      <c r="W237" s="84">
        <v>0</v>
      </c>
      <c r="X237" s="82" t="e">
        <v>#DIV/0!</v>
      </c>
      <c r="Y237" s="82"/>
      <c r="Z237" s="84">
        <v>0</v>
      </c>
      <c r="AA237" s="84">
        <v>0</v>
      </c>
      <c r="AB237" s="88" t="e">
        <v>#DIV/0!</v>
      </c>
      <c r="AC237" t="s">
        <v>1224</v>
      </c>
    </row>
    <row r="238" spans="3:29">
      <c r="C238">
        <v>22003</v>
      </c>
      <c r="D238" t="s">
        <v>1226</v>
      </c>
      <c r="E238" s="84">
        <v>193.99</v>
      </c>
      <c r="F238" s="84">
        <v>96.995000000000005</v>
      </c>
      <c r="G238" t="s">
        <v>1170</v>
      </c>
      <c r="H238" t="s">
        <v>1227</v>
      </c>
      <c r="I238" t="s">
        <v>1228</v>
      </c>
      <c r="J238" t="s">
        <v>1229</v>
      </c>
      <c r="K238" t="s">
        <v>1230</v>
      </c>
      <c r="L238" t="s">
        <v>1176</v>
      </c>
      <c r="M238">
        <v>53</v>
      </c>
      <c r="N238">
        <v>53</v>
      </c>
      <c r="O238">
        <v>76</v>
      </c>
      <c r="P238">
        <v>0.21348400000000001</v>
      </c>
      <c r="Q238" s="84" t="e">
        <v>#REF!</v>
      </c>
      <c r="R238" s="85">
        <v>55000</v>
      </c>
      <c r="S238" s="85">
        <v>550000</v>
      </c>
      <c r="T238" s="86">
        <v>605000</v>
      </c>
      <c r="U238" s="84">
        <v>40.3333333333333</v>
      </c>
      <c r="V238" s="84">
        <v>135.79300000000001</v>
      </c>
      <c r="W238" s="84">
        <v>67.896500000000003</v>
      </c>
      <c r="X238" s="82">
        <v>0.35</v>
      </c>
      <c r="Y238" s="87">
        <v>80.6666666666667</v>
      </c>
      <c r="Z238" s="84">
        <v>80.6666666666667</v>
      </c>
      <c r="AA238" s="84">
        <v>161.333333333333</v>
      </c>
      <c r="AB238" s="88">
        <v>2</v>
      </c>
      <c r="AC238" t="s">
        <v>1231</v>
      </c>
    </row>
    <row r="239" spans="3:29">
      <c r="C239" t="s">
        <v>1233</v>
      </c>
      <c r="D239" t="s">
        <v>1234</v>
      </c>
      <c r="E239" s="84">
        <v>165.99</v>
      </c>
      <c r="F239" s="84">
        <v>82.995000000000005</v>
      </c>
      <c r="G239" t="s">
        <v>1170</v>
      </c>
      <c r="H239" t="s">
        <v>1235</v>
      </c>
      <c r="I239" t="s">
        <v>1236</v>
      </c>
      <c r="J239" t="s">
        <v>1237</v>
      </c>
      <c r="K239" t="s">
        <v>645</v>
      </c>
      <c r="L239" t="s">
        <v>646</v>
      </c>
      <c r="M239">
        <v>42</v>
      </c>
      <c r="N239">
        <v>42</v>
      </c>
      <c r="O239">
        <v>91</v>
      </c>
      <c r="P239">
        <v>0.160524</v>
      </c>
      <c r="Q239" s="84" t="e">
        <v>#REF!</v>
      </c>
      <c r="R239" s="85">
        <v>91096.423526507002</v>
      </c>
      <c r="S239" s="85">
        <v>220000</v>
      </c>
      <c r="T239" s="86">
        <v>311096.42352650699</v>
      </c>
      <c r="U239" s="84">
        <v>20.739761568433799</v>
      </c>
      <c r="V239" s="84">
        <v>116.193</v>
      </c>
      <c r="W239" s="84">
        <v>58.096499999999999</v>
      </c>
      <c r="X239" s="82">
        <v>0.35</v>
      </c>
      <c r="Y239" s="82"/>
      <c r="Z239" s="84">
        <v>58.096499999999999</v>
      </c>
      <c r="AA239" s="84">
        <v>116.193</v>
      </c>
      <c r="AB239" s="88">
        <v>2.8012134955506802</v>
      </c>
      <c r="AC239" t="s">
        <v>1238</v>
      </c>
    </row>
    <row r="240" spans="3:29">
      <c r="C240" t="s">
        <v>1239</v>
      </c>
      <c r="D240" t="s">
        <v>1240</v>
      </c>
      <c r="E240" s="84">
        <v>449.99</v>
      </c>
      <c r="F240" s="84">
        <v>224.995</v>
      </c>
      <c r="G240" t="s">
        <v>1170</v>
      </c>
      <c r="H240" t="s">
        <v>1241</v>
      </c>
      <c r="I240" t="s">
        <v>1242</v>
      </c>
      <c r="J240" t="s">
        <v>1243</v>
      </c>
      <c r="K240" t="s">
        <v>1244</v>
      </c>
      <c r="L240" t="s">
        <v>646</v>
      </c>
      <c r="M240">
        <v>47</v>
      </c>
      <c r="N240">
        <v>54</v>
      </c>
      <c r="O240">
        <v>78</v>
      </c>
      <c r="P240">
        <v>0.197964</v>
      </c>
      <c r="Q240" s="84" t="e">
        <v>#REF!</v>
      </c>
      <c r="R240" s="85">
        <v>174000</v>
      </c>
      <c r="S240" s="85">
        <v>1740000</v>
      </c>
      <c r="T240" s="86">
        <v>1914000</v>
      </c>
      <c r="U240" s="84">
        <v>127.6</v>
      </c>
      <c r="V240" s="84">
        <v>314.99299999999999</v>
      </c>
      <c r="W240" s="84">
        <v>157.4965</v>
      </c>
      <c r="X240" s="82">
        <v>0.35</v>
      </c>
      <c r="Y240" s="87">
        <v>216.92</v>
      </c>
      <c r="Z240" s="84">
        <v>216.92</v>
      </c>
      <c r="AA240" s="84">
        <v>433.84</v>
      </c>
      <c r="AB240" s="88">
        <v>2</v>
      </c>
      <c r="AC240" t="s">
        <v>1245</v>
      </c>
    </row>
    <row r="241" spans="3:29">
      <c r="C241" t="s">
        <v>1246</v>
      </c>
      <c r="D241" t="s">
        <v>1247</v>
      </c>
      <c r="E241" s="84">
        <v>539.99</v>
      </c>
      <c r="F241" s="84">
        <v>269.995</v>
      </c>
      <c r="G241" t="s">
        <v>1170</v>
      </c>
      <c r="H241" t="s">
        <v>1248</v>
      </c>
      <c r="I241" t="s">
        <v>1249</v>
      </c>
      <c r="J241" t="s">
        <v>1250</v>
      </c>
      <c r="K241" t="s">
        <v>1244</v>
      </c>
      <c r="L241" t="s">
        <v>646</v>
      </c>
      <c r="M241">
        <v>47</v>
      </c>
      <c r="N241">
        <v>54</v>
      </c>
      <c r="O241">
        <v>80</v>
      </c>
      <c r="P241">
        <v>0.20304</v>
      </c>
      <c r="Q241" s="84" t="e">
        <v>#REF!</v>
      </c>
      <c r="R241" s="85">
        <v>200000</v>
      </c>
      <c r="S241" s="85">
        <v>2000000</v>
      </c>
      <c r="T241" s="86">
        <v>2200000</v>
      </c>
      <c r="U241" s="84">
        <v>146.666666666667</v>
      </c>
      <c r="V241" s="84">
        <v>377.99299999999999</v>
      </c>
      <c r="W241" s="84">
        <v>188.9965</v>
      </c>
      <c r="X241" s="82">
        <v>0.35</v>
      </c>
      <c r="Y241" s="87">
        <v>249.333333333333</v>
      </c>
      <c r="Z241" s="84">
        <v>249.333333333333</v>
      </c>
      <c r="AA241" s="84">
        <v>498.66666666666703</v>
      </c>
      <c r="AB241" s="88">
        <v>1.7</v>
      </c>
      <c r="AC241" t="s">
        <v>1251</v>
      </c>
    </row>
    <row r="242" spans="3:29">
      <c r="C242" t="s">
        <v>1252</v>
      </c>
      <c r="D242" t="s">
        <v>1253</v>
      </c>
      <c r="E242" s="84">
        <v>469.99</v>
      </c>
      <c r="F242" s="84">
        <v>234.995</v>
      </c>
      <c r="G242" t="s">
        <v>1170</v>
      </c>
      <c r="H242" t="s">
        <v>1254</v>
      </c>
      <c r="I242" t="s">
        <v>1255</v>
      </c>
      <c r="J242" t="s">
        <v>1256</v>
      </c>
      <c r="K242" t="s">
        <v>1244</v>
      </c>
      <c r="L242" t="s">
        <v>50</v>
      </c>
      <c r="M242">
        <v>46</v>
      </c>
      <c r="N242">
        <v>55</v>
      </c>
      <c r="O242">
        <v>97</v>
      </c>
      <c r="P242">
        <v>0.24540999999999999</v>
      </c>
      <c r="Q242" s="84" t="e">
        <v>#REF!</v>
      </c>
      <c r="R242" s="85">
        <v>772158.00655311905</v>
      </c>
      <c r="S242" s="85"/>
      <c r="T242" s="86">
        <v>772158.00655311905</v>
      </c>
      <c r="U242" s="84">
        <v>51.477200436874597</v>
      </c>
      <c r="V242" s="84">
        <v>328.99299999999999</v>
      </c>
      <c r="W242" s="84">
        <v>164.4965</v>
      </c>
      <c r="X242" s="82">
        <v>0.35</v>
      </c>
      <c r="Y242" s="82"/>
      <c r="Z242" s="84">
        <v>164.4965</v>
      </c>
      <c r="AA242" s="84">
        <v>328.99299999999999</v>
      </c>
      <c r="AB242" s="88">
        <v>3.19552148531695</v>
      </c>
      <c r="AC242" t="s">
        <v>1257</v>
      </c>
    </row>
    <row r="243" spans="3:29">
      <c r="C243" t="s">
        <v>1258</v>
      </c>
      <c r="D243" t="s">
        <v>1259</v>
      </c>
      <c r="E243" s="84">
        <v>459.99</v>
      </c>
      <c r="F243" s="84">
        <v>229.995</v>
      </c>
      <c r="G243" t="s">
        <v>1170</v>
      </c>
      <c r="H243" t="s">
        <v>1260</v>
      </c>
      <c r="I243" t="s">
        <v>1261</v>
      </c>
      <c r="J243" t="s">
        <v>1262</v>
      </c>
      <c r="K243" t="s">
        <v>807</v>
      </c>
      <c r="L243" t="s">
        <v>50</v>
      </c>
      <c r="M243">
        <v>47</v>
      </c>
      <c r="N243">
        <v>50</v>
      </c>
      <c r="O243">
        <v>75</v>
      </c>
      <c r="P243">
        <v>0.17624999999999999</v>
      </c>
      <c r="Q243" s="84" t="e">
        <v>#REF!</v>
      </c>
      <c r="R243" s="85"/>
      <c r="S243" s="85"/>
      <c r="T243" s="86">
        <v>0</v>
      </c>
      <c r="U243" s="84">
        <v>0</v>
      </c>
      <c r="V243" s="84">
        <v>321.99299999999999</v>
      </c>
      <c r="W243" s="84">
        <v>160.9965</v>
      </c>
      <c r="X243" s="82">
        <v>0.35</v>
      </c>
      <c r="Y243" s="82"/>
      <c r="Z243" s="84">
        <v>160.9965</v>
      </c>
      <c r="AA243" s="84">
        <v>321.99299999999999</v>
      </c>
      <c r="AB243" s="88" t="e">
        <v>#DIV/0!</v>
      </c>
      <c r="AC243" t="s">
        <v>1263</v>
      </c>
    </row>
    <row r="244" spans="3:29">
      <c r="C244" t="s">
        <v>1264</v>
      </c>
      <c r="D244" t="s">
        <v>1265</v>
      </c>
      <c r="E244" s="84">
        <v>329.99</v>
      </c>
      <c r="F244" s="84">
        <v>164.995</v>
      </c>
      <c r="G244" t="s">
        <v>1170</v>
      </c>
      <c r="H244" t="s">
        <v>1266</v>
      </c>
      <c r="I244" t="s">
        <v>1267</v>
      </c>
      <c r="J244" t="s">
        <v>1268</v>
      </c>
      <c r="K244" t="s">
        <v>807</v>
      </c>
      <c r="L244" t="s">
        <v>50</v>
      </c>
      <c r="M244">
        <v>58</v>
      </c>
      <c r="N244">
        <v>56</v>
      </c>
      <c r="O244">
        <v>60</v>
      </c>
      <c r="P244">
        <v>0.19488</v>
      </c>
      <c r="Q244" s="84" t="e">
        <v>#REF!</v>
      </c>
      <c r="R244" s="85"/>
      <c r="S244" s="85"/>
      <c r="T244" s="86">
        <v>0</v>
      </c>
      <c r="U244" s="84">
        <v>0</v>
      </c>
      <c r="V244" s="84">
        <v>230.99299999999999</v>
      </c>
      <c r="W244" s="84">
        <v>115.4965</v>
      </c>
      <c r="X244" s="82">
        <v>0.35</v>
      </c>
      <c r="Y244" s="82"/>
      <c r="Z244" s="84">
        <v>115.4965</v>
      </c>
      <c r="AA244" s="84">
        <v>230.99299999999999</v>
      </c>
      <c r="AB244" s="88" t="e">
        <v>#DIV/0!</v>
      </c>
      <c r="AC244" t="s">
        <v>1269</v>
      </c>
    </row>
    <row r="245" spans="3:29">
      <c r="C245" t="s">
        <v>1270</v>
      </c>
      <c r="D245" t="s">
        <v>1271</v>
      </c>
      <c r="E245" s="84">
        <v>314.99</v>
      </c>
      <c r="F245" s="84">
        <v>157.495</v>
      </c>
      <c r="G245" t="s">
        <v>1170</v>
      </c>
      <c r="H245" t="s">
        <v>1272</v>
      </c>
      <c r="I245" t="s">
        <v>1273</v>
      </c>
      <c r="K245" t="s">
        <v>1223</v>
      </c>
      <c r="L245" t="s">
        <v>1176</v>
      </c>
      <c r="P245">
        <v>0</v>
      </c>
      <c r="Q245" s="84" t="e">
        <v>#REF!</v>
      </c>
      <c r="R245" s="85"/>
      <c r="S245" s="85"/>
      <c r="T245" s="86">
        <v>0</v>
      </c>
      <c r="U245" s="84">
        <v>0</v>
      </c>
      <c r="V245" s="84">
        <v>220.49299999999999</v>
      </c>
      <c r="W245" s="84">
        <v>110.2465</v>
      </c>
      <c r="X245" s="82">
        <v>0.35</v>
      </c>
      <c r="Y245" s="82"/>
      <c r="Z245" s="84">
        <v>110.2465</v>
      </c>
      <c r="AA245" s="84">
        <v>220.49299999999999</v>
      </c>
      <c r="AB245" s="88" t="e">
        <v>#DIV/0!</v>
      </c>
      <c r="AC245" t="s">
        <v>1274</v>
      </c>
    </row>
    <row r="246" spans="3:29">
      <c r="C246" t="s">
        <v>1275</v>
      </c>
      <c r="D246" t="s">
        <v>1276</v>
      </c>
      <c r="E246" s="84">
        <v>469.99</v>
      </c>
      <c r="F246" s="84">
        <v>234.995</v>
      </c>
      <c r="G246" t="s">
        <v>1170</v>
      </c>
      <c r="H246" t="s">
        <v>1277</v>
      </c>
      <c r="I246" t="s">
        <v>1278</v>
      </c>
      <c r="J246" t="s">
        <v>1279</v>
      </c>
      <c r="K246" t="s">
        <v>1244</v>
      </c>
      <c r="L246" t="s">
        <v>646</v>
      </c>
      <c r="M246">
        <v>50</v>
      </c>
      <c r="N246">
        <v>50</v>
      </c>
      <c r="O246">
        <v>78</v>
      </c>
      <c r="P246">
        <v>0.19500000000000001</v>
      </c>
      <c r="Q246" s="84" t="e">
        <v>#REF!</v>
      </c>
      <c r="R246" s="85">
        <v>452.64316230989101</v>
      </c>
      <c r="S246" s="85">
        <v>1533650</v>
      </c>
      <c r="T246" s="86">
        <v>1534102.6431623099</v>
      </c>
      <c r="U246" s="84">
        <v>102.273509544154</v>
      </c>
      <c r="V246" s="84">
        <v>328.99299999999999</v>
      </c>
      <c r="W246" s="84">
        <v>164.4965</v>
      </c>
      <c r="X246" s="82">
        <v>0.35</v>
      </c>
      <c r="Y246" s="87">
        <v>204.54701908830799</v>
      </c>
      <c r="Z246" s="84">
        <v>204.54701908830799</v>
      </c>
      <c r="AA246" s="84">
        <v>409.09403817661598</v>
      </c>
      <c r="AB246" s="88">
        <v>2</v>
      </c>
      <c r="AC246" t="s">
        <v>1280</v>
      </c>
    </row>
    <row r="247" spans="3:29">
      <c r="C247" t="s">
        <v>1281</v>
      </c>
      <c r="D247" t="s">
        <v>1282</v>
      </c>
      <c r="E247" s="84">
        <v>519.99</v>
      </c>
      <c r="F247" s="84">
        <v>259.995</v>
      </c>
      <c r="G247" t="s">
        <v>1170</v>
      </c>
      <c r="H247" t="s">
        <v>1283</v>
      </c>
      <c r="I247" t="s">
        <v>1284</v>
      </c>
      <c r="J247" t="s">
        <v>1285</v>
      </c>
      <c r="K247" t="s">
        <v>1244</v>
      </c>
      <c r="L247" t="s">
        <v>646</v>
      </c>
      <c r="M247">
        <v>56</v>
      </c>
      <c r="N247">
        <v>43</v>
      </c>
      <c r="O247">
        <v>80</v>
      </c>
      <c r="P247">
        <v>0.19264000000000001</v>
      </c>
      <c r="Q247" s="84" t="e">
        <v>#REF!</v>
      </c>
      <c r="R247" s="85"/>
      <c r="S247" s="85"/>
      <c r="T247" s="86">
        <v>0</v>
      </c>
      <c r="U247" s="84">
        <v>0</v>
      </c>
      <c r="V247" s="84">
        <v>363.99299999999999</v>
      </c>
      <c r="W247" s="84">
        <v>181.9965</v>
      </c>
      <c r="X247" s="82">
        <v>0.35</v>
      </c>
      <c r="Y247" s="82"/>
      <c r="Z247" s="84">
        <v>181.9965</v>
      </c>
      <c r="AA247" s="84">
        <v>363.99299999999999</v>
      </c>
      <c r="AB247" s="88" t="e">
        <v>#DIV/0!</v>
      </c>
      <c r="AC247" t="s">
        <v>1286</v>
      </c>
    </row>
    <row r="248" spans="3:29">
      <c r="C248" t="s">
        <v>1287</v>
      </c>
      <c r="D248" t="s">
        <v>1288</v>
      </c>
      <c r="E248" s="84"/>
      <c r="F248" s="84">
        <v>0</v>
      </c>
      <c r="G248" t="s">
        <v>1170</v>
      </c>
      <c r="H248" t="s">
        <v>1289</v>
      </c>
      <c r="I248" t="s">
        <v>1290</v>
      </c>
      <c r="J248" t="s">
        <v>1291</v>
      </c>
      <c r="K248" t="s">
        <v>1244</v>
      </c>
      <c r="L248" t="s">
        <v>646</v>
      </c>
      <c r="M248">
        <v>53</v>
      </c>
      <c r="N248">
        <v>66</v>
      </c>
      <c r="O248">
        <v>79</v>
      </c>
      <c r="P248">
        <v>0.27634199999999998</v>
      </c>
      <c r="Q248" s="84" t="e">
        <v>#REF!</v>
      </c>
      <c r="R248" s="85"/>
      <c r="S248" s="85"/>
      <c r="T248" s="86">
        <v>0</v>
      </c>
      <c r="U248" s="84">
        <v>0</v>
      </c>
      <c r="V248" s="84">
        <v>0</v>
      </c>
      <c r="W248" s="84">
        <v>0</v>
      </c>
      <c r="X248" s="82" t="e">
        <v>#DIV/0!</v>
      </c>
      <c r="Y248" s="82"/>
      <c r="Z248" s="84">
        <v>0</v>
      </c>
      <c r="AA248" s="84">
        <v>0</v>
      </c>
      <c r="AB248" s="88" t="e">
        <v>#DIV/0!</v>
      </c>
      <c r="AC248" t="s">
        <v>1292</v>
      </c>
    </row>
    <row r="249" spans="3:29">
      <c r="C249">
        <v>22002</v>
      </c>
      <c r="D249" t="s">
        <v>1293</v>
      </c>
      <c r="E249" s="84">
        <v>243.99</v>
      </c>
      <c r="F249" s="84">
        <v>121.995</v>
      </c>
      <c r="G249" t="s">
        <v>1170</v>
      </c>
      <c r="H249" t="s">
        <v>1294</v>
      </c>
      <c r="I249" t="s">
        <v>1295</v>
      </c>
      <c r="J249" t="s">
        <v>1296</v>
      </c>
      <c r="K249" t="s">
        <v>1297</v>
      </c>
      <c r="L249" t="s">
        <v>1176</v>
      </c>
      <c r="M249">
        <v>45</v>
      </c>
      <c r="N249">
        <v>45</v>
      </c>
      <c r="O249">
        <v>81</v>
      </c>
      <c r="P249">
        <v>0.164025</v>
      </c>
      <c r="Q249" s="84" t="e">
        <v>#REF!</v>
      </c>
      <c r="R249" s="85"/>
      <c r="S249" s="85"/>
      <c r="T249" s="86">
        <v>0</v>
      </c>
      <c r="U249" s="84">
        <v>0</v>
      </c>
      <c r="V249" s="84">
        <v>170.79300000000001</v>
      </c>
      <c r="W249" s="84">
        <v>85.396500000000003</v>
      </c>
      <c r="X249" s="82">
        <v>0.35</v>
      </c>
      <c r="Y249" s="82"/>
      <c r="Z249" s="84">
        <v>85.396500000000003</v>
      </c>
      <c r="AA249" s="84">
        <v>170.79300000000001</v>
      </c>
      <c r="AB249" s="88" t="e">
        <v>#DIV/0!</v>
      </c>
      <c r="AC249" t="s">
        <v>1298</v>
      </c>
    </row>
    <row r="250" spans="3:29">
      <c r="C250">
        <v>21066</v>
      </c>
      <c r="D250" t="s">
        <v>1299</v>
      </c>
      <c r="E250" s="84">
        <v>161.99</v>
      </c>
      <c r="F250" s="84">
        <v>80.995000000000005</v>
      </c>
      <c r="G250" t="s">
        <v>1170</v>
      </c>
      <c r="H250" t="s">
        <v>1300</v>
      </c>
      <c r="I250" t="s">
        <v>1301</v>
      </c>
      <c r="J250" t="s">
        <v>1302</v>
      </c>
      <c r="K250" t="s">
        <v>1196</v>
      </c>
      <c r="L250" t="s">
        <v>1176</v>
      </c>
      <c r="M250">
        <v>52</v>
      </c>
      <c r="N250">
        <v>62</v>
      </c>
      <c r="O250">
        <v>83</v>
      </c>
      <c r="P250">
        <v>0.267592</v>
      </c>
      <c r="Q250" s="84" t="e">
        <v>#REF!</v>
      </c>
      <c r="R250" s="85"/>
      <c r="S250" s="85"/>
      <c r="T250" s="86">
        <v>0</v>
      </c>
      <c r="U250" s="84">
        <v>0</v>
      </c>
      <c r="V250" s="84">
        <v>113.393</v>
      </c>
      <c r="W250" s="84">
        <v>56.6965</v>
      </c>
      <c r="X250" s="82">
        <v>0.35</v>
      </c>
      <c r="Y250" s="82"/>
      <c r="Z250" s="84">
        <v>56.6965</v>
      </c>
      <c r="AA250" s="84">
        <v>113.393</v>
      </c>
      <c r="AB250" s="88" t="e">
        <v>#DIV/0!</v>
      </c>
      <c r="AC250" t="s">
        <v>1303</v>
      </c>
    </row>
    <row r="251" spans="3:29">
      <c r="C251" t="s">
        <v>1304</v>
      </c>
      <c r="D251" t="s">
        <v>1305</v>
      </c>
      <c r="E251" s="84">
        <v>160.99</v>
      </c>
      <c r="F251" s="84">
        <v>80.495000000000005</v>
      </c>
      <c r="G251" t="s">
        <v>1170</v>
      </c>
      <c r="H251" t="s">
        <v>1306</v>
      </c>
      <c r="I251" t="s">
        <v>1307</v>
      </c>
      <c r="J251" t="s">
        <v>1308</v>
      </c>
      <c r="K251" t="s">
        <v>645</v>
      </c>
      <c r="L251" t="s">
        <v>646</v>
      </c>
      <c r="M251">
        <v>48</v>
      </c>
      <c r="N251">
        <v>63</v>
      </c>
      <c r="O251">
        <v>84.5</v>
      </c>
      <c r="P251">
        <v>0.25552799999999998</v>
      </c>
      <c r="Q251" s="84" t="e">
        <v>#REF!</v>
      </c>
      <c r="R251" s="85">
        <v>120000</v>
      </c>
      <c r="S251" s="85">
        <v>600000</v>
      </c>
      <c r="T251" s="86">
        <v>720000</v>
      </c>
      <c r="U251" s="84">
        <v>48</v>
      </c>
      <c r="V251" s="84">
        <v>112.693</v>
      </c>
      <c r="W251" s="84">
        <v>56.346499999999999</v>
      </c>
      <c r="X251" s="82">
        <v>0.35</v>
      </c>
      <c r="Y251" s="87">
        <v>79.2</v>
      </c>
      <c r="Z251" s="84">
        <v>79.2</v>
      </c>
      <c r="AA251" s="84">
        <v>158.4</v>
      </c>
      <c r="AB251" s="88">
        <v>2</v>
      </c>
      <c r="AC251" t="s">
        <v>1309</v>
      </c>
    </row>
    <row r="252" spans="3:29">
      <c r="C252" t="s">
        <v>1310</v>
      </c>
      <c r="D252" t="s">
        <v>1311</v>
      </c>
      <c r="E252" s="84">
        <v>155.99</v>
      </c>
      <c r="F252" s="84">
        <v>77.995000000000005</v>
      </c>
      <c r="G252" t="s">
        <v>1170</v>
      </c>
      <c r="H252" t="s">
        <v>1312</v>
      </c>
      <c r="I252" t="s">
        <v>1313</v>
      </c>
      <c r="J252" t="s">
        <v>1314</v>
      </c>
      <c r="K252" t="s">
        <v>1196</v>
      </c>
      <c r="L252" t="s">
        <v>1176</v>
      </c>
      <c r="M252">
        <v>50</v>
      </c>
      <c r="N252">
        <v>51</v>
      </c>
      <c r="O252">
        <v>82</v>
      </c>
      <c r="P252">
        <v>0.20910000000000001</v>
      </c>
      <c r="Q252" s="84" t="e">
        <v>#REF!</v>
      </c>
      <c r="R252" s="85"/>
      <c r="S252" s="85"/>
      <c r="T252" s="86">
        <v>0</v>
      </c>
      <c r="U252" s="84">
        <v>0</v>
      </c>
      <c r="V252" s="84">
        <v>109.193</v>
      </c>
      <c r="W252" s="84">
        <v>54.596499999999999</v>
      </c>
      <c r="X252" s="82">
        <v>0.35</v>
      </c>
      <c r="Y252" s="82"/>
      <c r="Z252" s="84">
        <v>54.596499999999999</v>
      </c>
      <c r="AA252" s="84">
        <v>109.193</v>
      </c>
      <c r="AB252" s="88" t="e">
        <v>#DIV/0!</v>
      </c>
      <c r="AC252" t="s">
        <v>1315</v>
      </c>
    </row>
    <row r="253" spans="3:29">
      <c r="C253" t="s">
        <v>1316</v>
      </c>
      <c r="D253" t="s">
        <v>1317</v>
      </c>
      <c r="E253" s="84">
        <v>211.99</v>
      </c>
      <c r="F253" s="84">
        <v>105.995</v>
      </c>
      <c r="G253" t="s">
        <v>1170</v>
      </c>
      <c r="H253" t="s">
        <v>1318</v>
      </c>
      <c r="I253" t="s">
        <v>1319</v>
      </c>
      <c r="J253" t="s">
        <v>1320</v>
      </c>
      <c r="K253" t="s">
        <v>1196</v>
      </c>
      <c r="L253" t="s">
        <v>1176</v>
      </c>
      <c r="M253">
        <v>63</v>
      </c>
      <c r="N253">
        <v>61</v>
      </c>
      <c r="O253">
        <v>81</v>
      </c>
      <c r="P253">
        <v>0.31128299999999998</v>
      </c>
      <c r="Q253" s="84" t="e">
        <v>#REF!</v>
      </c>
      <c r="R253" s="85"/>
      <c r="S253" s="85"/>
      <c r="T253" s="86">
        <v>0</v>
      </c>
      <c r="U253" s="84">
        <v>0</v>
      </c>
      <c r="V253" s="84">
        <v>148.393</v>
      </c>
      <c r="W253" s="84">
        <v>74.1965</v>
      </c>
      <c r="X253" s="82">
        <v>0.35</v>
      </c>
      <c r="Y253" s="82"/>
      <c r="Z253" s="84">
        <v>74.1965</v>
      </c>
      <c r="AA253" s="84">
        <v>148.393</v>
      </c>
      <c r="AB253" s="88" t="e">
        <v>#DIV/0!</v>
      </c>
      <c r="AC253" t="s">
        <v>1321</v>
      </c>
    </row>
    <row r="254" spans="3:29">
      <c r="C254">
        <v>21899</v>
      </c>
      <c r="D254" t="s">
        <v>1322</v>
      </c>
      <c r="E254" s="84">
        <v>314.99</v>
      </c>
      <c r="F254" s="84">
        <v>157.495</v>
      </c>
      <c r="G254" t="s">
        <v>1170</v>
      </c>
      <c r="H254" t="s">
        <v>1323</v>
      </c>
      <c r="I254" t="s">
        <v>1324</v>
      </c>
      <c r="J254" t="s">
        <v>1325</v>
      </c>
      <c r="K254" t="s">
        <v>1326</v>
      </c>
      <c r="L254" t="s">
        <v>1176</v>
      </c>
      <c r="M254">
        <v>58</v>
      </c>
      <c r="N254">
        <v>62</v>
      </c>
      <c r="O254">
        <v>84</v>
      </c>
      <c r="P254">
        <v>0.302064</v>
      </c>
      <c r="Q254" s="84" t="e">
        <v>#REF!</v>
      </c>
      <c r="R254" s="85">
        <v>112000</v>
      </c>
      <c r="S254" s="85">
        <v>760750</v>
      </c>
      <c r="T254" s="86">
        <v>872750</v>
      </c>
      <c r="U254" s="84">
        <v>58.183333333333302</v>
      </c>
      <c r="V254" s="84">
        <v>220.49299999999999</v>
      </c>
      <c r="W254" s="84">
        <v>110.2465</v>
      </c>
      <c r="X254" s="82">
        <v>0.35</v>
      </c>
      <c r="Y254" s="87">
        <v>116.366666666667</v>
      </c>
      <c r="Z254" s="84">
        <v>116.366666666667</v>
      </c>
      <c r="AA254" s="84">
        <v>232.73333333333301</v>
      </c>
      <c r="AB254" s="88">
        <v>2</v>
      </c>
      <c r="AC254" t="s">
        <v>1327</v>
      </c>
    </row>
    <row r="255" spans="3:29">
      <c r="C255" t="s">
        <v>1328</v>
      </c>
      <c r="D255" t="s">
        <v>1329</v>
      </c>
      <c r="E255" s="84">
        <v>280.99</v>
      </c>
      <c r="F255" s="84">
        <v>140.495</v>
      </c>
      <c r="G255" t="s">
        <v>1170</v>
      </c>
      <c r="H255" t="s">
        <v>1330</v>
      </c>
      <c r="I255" t="s">
        <v>1331</v>
      </c>
      <c r="J255" t="s">
        <v>1325</v>
      </c>
      <c r="K255" t="s">
        <v>1196</v>
      </c>
      <c r="L255" t="s">
        <v>1176</v>
      </c>
      <c r="M255">
        <v>58</v>
      </c>
      <c r="N255">
        <v>62</v>
      </c>
      <c r="O255">
        <v>84</v>
      </c>
      <c r="P255">
        <v>0.302064</v>
      </c>
      <c r="Q255" s="84" t="e">
        <v>#REF!</v>
      </c>
      <c r="R255" s="85">
        <v>113115.17556322399</v>
      </c>
      <c r="S255" s="85">
        <v>872950</v>
      </c>
      <c r="T255" s="86">
        <v>986065.17556322401</v>
      </c>
      <c r="U255" s="84">
        <v>65.737678370881596</v>
      </c>
      <c r="V255" s="84">
        <v>196.69300000000001</v>
      </c>
      <c r="W255" s="84">
        <v>98.346500000000006</v>
      </c>
      <c r="X255" s="82">
        <v>0.35</v>
      </c>
      <c r="Y255" s="87">
        <v>131.47535674176299</v>
      </c>
      <c r="Z255" s="84">
        <v>131.47535674176299</v>
      </c>
      <c r="AA255" s="84">
        <v>262.95071348352599</v>
      </c>
      <c r="AB255" s="88">
        <v>2</v>
      </c>
      <c r="AC255" t="s">
        <v>1332</v>
      </c>
    </row>
    <row r="256" spans="3:29">
      <c r="C256" t="s">
        <v>1333</v>
      </c>
      <c r="E256" s="84"/>
      <c r="F256" s="82"/>
      <c r="R256" s="85"/>
      <c r="S256" s="85"/>
      <c r="T256" s="86"/>
      <c r="V256" s="84"/>
      <c r="W256" s="84"/>
      <c r="X256" s="82"/>
      <c r="Y256" s="82"/>
      <c r="Z256" s="82"/>
      <c r="AA256" s="82"/>
      <c r="AB256" s="88"/>
    </row>
    <row r="257" spans="3:29">
      <c r="C257" t="s">
        <v>1334</v>
      </c>
      <c r="D257" t="s">
        <v>1335</v>
      </c>
      <c r="E257" s="84">
        <v>214.99</v>
      </c>
      <c r="F257" s="84">
        <v>107.495</v>
      </c>
      <c r="G257" t="s">
        <v>1333</v>
      </c>
      <c r="H257" t="s">
        <v>1336</v>
      </c>
      <c r="I257" t="s">
        <v>1337</v>
      </c>
      <c r="J257" t="s">
        <v>1338</v>
      </c>
      <c r="K257" t="s">
        <v>662</v>
      </c>
      <c r="L257" t="s">
        <v>646</v>
      </c>
      <c r="M257">
        <v>45</v>
      </c>
      <c r="N257">
        <v>45</v>
      </c>
      <c r="O257">
        <v>105</v>
      </c>
      <c r="P257">
        <v>0.21262500000000001</v>
      </c>
      <c r="Q257" s="84" t="e">
        <v>#REF!</v>
      </c>
      <c r="R257" s="85"/>
      <c r="S257" s="85"/>
      <c r="T257" s="86">
        <v>0</v>
      </c>
      <c r="U257" s="84">
        <v>0</v>
      </c>
      <c r="V257" s="84">
        <v>150.49299999999999</v>
      </c>
      <c r="W257" s="84">
        <v>75.246499999999997</v>
      </c>
      <c r="X257" s="82">
        <v>0.35</v>
      </c>
      <c r="Y257" s="82"/>
      <c r="Z257" s="84">
        <v>75.246499999999997</v>
      </c>
      <c r="AA257" s="84">
        <v>150.49299999999999</v>
      </c>
      <c r="AB257" s="88" t="e">
        <v>#DIV/0!</v>
      </c>
      <c r="AC257" t="s">
        <v>1339</v>
      </c>
    </row>
    <row r="258" spans="3:29">
      <c r="C258">
        <v>21913</v>
      </c>
      <c r="D258" t="s">
        <v>1341</v>
      </c>
      <c r="E258" s="84">
        <v>275.99</v>
      </c>
      <c r="F258" s="84">
        <v>137.995</v>
      </c>
      <c r="G258" t="s">
        <v>1333</v>
      </c>
      <c r="H258" t="s">
        <v>1342</v>
      </c>
      <c r="I258" t="s">
        <v>1343</v>
      </c>
      <c r="J258" t="s">
        <v>1344</v>
      </c>
      <c r="K258" t="s">
        <v>1183</v>
      </c>
      <c r="L258" t="s">
        <v>670</v>
      </c>
      <c r="M258">
        <v>41</v>
      </c>
      <c r="N258">
        <v>55</v>
      </c>
      <c r="O258">
        <v>110</v>
      </c>
      <c r="P258">
        <v>0.24804999999999999</v>
      </c>
      <c r="Q258" s="84" t="e">
        <v>#REF!</v>
      </c>
      <c r="R258" s="85"/>
      <c r="S258" s="85"/>
      <c r="T258" s="86">
        <v>0</v>
      </c>
      <c r="U258" s="84">
        <v>0</v>
      </c>
      <c r="V258" s="84">
        <v>193.19300000000001</v>
      </c>
      <c r="W258" s="84">
        <v>96.596500000000006</v>
      </c>
      <c r="X258" s="82">
        <v>0.35</v>
      </c>
      <c r="Y258" s="82"/>
      <c r="Z258" s="84">
        <v>96.596500000000006</v>
      </c>
      <c r="AA258" s="84">
        <v>193.19300000000001</v>
      </c>
      <c r="AB258" s="88" t="e">
        <v>#DIV/0!</v>
      </c>
      <c r="AC258" t="s">
        <v>1345</v>
      </c>
    </row>
    <row r="259" spans="3:29">
      <c r="C259">
        <v>21951</v>
      </c>
      <c r="D259" t="s">
        <v>1346</v>
      </c>
      <c r="E259" s="84">
        <v>374.99</v>
      </c>
      <c r="F259" s="84">
        <v>187.495</v>
      </c>
      <c r="G259" t="s">
        <v>1333</v>
      </c>
      <c r="H259" t="s">
        <v>1347</v>
      </c>
      <c r="I259" t="s">
        <v>1348</v>
      </c>
      <c r="J259" t="s">
        <v>1349</v>
      </c>
      <c r="K259" t="s">
        <v>1183</v>
      </c>
      <c r="L259" t="s">
        <v>670</v>
      </c>
      <c r="M259">
        <v>55</v>
      </c>
      <c r="N259">
        <v>55</v>
      </c>
      <c r="O259">
        <v>110</v>
      </c>
      <c r="P259">
        <v>0.33274999999999999</v>
      </c>
      <c r="Q259" s="84" t="e">
        <v>#REF!</v>
      </c>
      <c r="R259" s="85"/>
      <c r="S259" s="85"/>
      <c r="T259" s="86">
        <v>0</v>
      </c>
      <c r="U259" s="84">
        <v>0</v>
      </c>
      <c r="V259" s="84">
        <v>262.49299999999999</v>
      </c>
      <c r="W259" s="84">
        <v>131.2465</v>
      </c>
      <c r="X259" s="82">
        <v>0.35</v>
      </c>
      <c r="Y259" s="82"/>
      <c r="Z259" s="84">
        <v>131.2465</v>
      </c>
      <c r="AA259" s="84">
        <v>262.49299999999999</v>
      </c>
      <c r="AB259" s="88" t="e">
        <v>#DIV/0!</v>
      </c>
      <c r="AC259" t="s">
        <v>1350</v>
      </c>
    </row>
    <row r="260" spans="3:29">
      <c r="C260" t="s">
        <v>1351</v>
      </c>
      <c r="D260" t="s">
        <v>1352</v>
      </c>
      <c r="E260" s="84">
        <v>449.99</v>
      </c>
      <c r="F260" s="84">
        <v>224.995</v>
      </c>
      <c r="G260" t="s">
        <v>1333</v>
      </c>
      <c r="H260" t="s">
        <v>1353</v>
      </c>
      <c r="I260" t="s">
        <v>721</v>
      </c>
      <c r="J260" t="s">
        <v>1354</v>
      </c>
      <c r="K260" t="s">
        <v>807</v>
      </c>
      <c r="L260" t="s">
        <v>50</v>
      </c>
      <c r="M260">
        <v>45</v>
      </c>
      <c r="N260">
        <v>40</v>
      </c>
      <c r="O260">
        <v>65</v>
      </c>
      <c r="P260">
        <v>0.11700000000000001</v>
      </c>
      <c r="Q260" s="84" t="e">
        <v>#REF!</v>
      </c>
      <c r="R260" s="85"/>
      <c r="S260" s="85"/>
      <c r="T260" s="86">
        <v>0</v>
      </c>
      <c r="U260" s="84">
        <v>0</v>
      </c>
      <c r="V260" s="84">
        <v>314.99299999999999</v>
      </c>
      <c r="W260" s="84">
        <v>157.4965</v>
      </c>
      <c r="X260" s="82">
        <v>0.35</v>
      </c>
      <c r="Y260" s="82"/>
      <c r="Z260" s="84">
        <v>157.4965</v>
      </c>
      <c r="AA260" s="84">
        <v>314.99299999999999</v>
      </c>
      <c r="AB260" s="88" t="e">
        <v>#DIV/0!</v>
      </c>
      <c r="AC260" t="s">
        <v>1355</v>
      </c>
    </row>
    <row r="261" spans="3:29">
      <c r="C261" t="s">
        <v>1356</v>
      </c>
      <c r="D261" t="s">
        <v>1352</v>
      </c>
      <c r="E261" s="84">
        <v>469.99</v>
      </c>
      <c r="F261" s="84">
        <v>234.995</v>
      </c>
      <c r="G261" t="s">
        <v>1333</v>
      </c>
      <c r="H261" t="s">
        <v>1357</v>
      </c>
      <c r="I261" t="s">
        <v>721</v>
      </c>
      <c r="J261" t="s">
        <v>1358</v>
      </c>
      <c r="K261" t="s">
        <v>807</v>
      </c>
      <c r="L261" t="s">
        <v>50</v>
      </c>
      <c r="M261">
        <v>45</v>
      </c>
      <c r="N261">
        <v>40</v>
      </c>
      <c r="O261">
        <v>75</v>
      </c>
      <c r="P261">
        <v>0.13500000000000001</v>
      </c>
      <c r="Q261" s="84" t="e">
        <v>#REF!</v>
      </c>
      <c r="R261" s="85"/>
      <c r="S261" s="85"/>
      <c r="T261" s="86">
        <v>0</v>
      </c>
      <c r="U261" s="84">
        <v>0</v>
      </c>
      <c r="V261" s="84">
        <v>328.99299999999999</v>
      </c>
      <c r="W261" s="84">
        <v>164.4965</v>
      </c>
      <c r="X261" s="82">
        <v>0.35</v>
      </c>
      <c r="Y261" s="82"/>
      <c r="Z261" s="84">
        <v>164.4965</v>
      </c>
      <c r="AA261" s="84">
        <v>328.99299999999999</v>
      </c>
      <c r="AB261" s="88" t="e">
        <v>#DIV/0!</v>
      </c>
      <c r="AC261" t="s">
        <v>1355</v>
      </c>
    </row>
    <row r="262" spans="3:29">
      <c r="C262" t="s">
        <v>1359</v>
      </c>
      <c r="D262" t="s">
        <v>1360</v>
      </c>
      <c r="E262" s="84">
        <v>229.99</v>
      </c>
      <c r="F262" s="84">
        <v>114.995</v>
      </c>
      <c r="G262" t="s">
        <v>1333</v>
      </c>
      <c r="H262" t="s">
        <v>1361</v>
      </c>
      <c r="I262" t="s">
        <v>1362</v>
      </c>
      <c r="J262" t="s">
        <v>1363</v>
      </c>
      <c r="K262" t="s">
        <v>815</v>
      </c>
      <c r="L262" t="s">
        <v>50</v>
      </c>
      <c r="M262">
        <v>49</v>
      </c>
      <c r="N262">
        <v>25</v>
      </c>
      <c r="O262">
        <v>75</v>
      </c>
      <c r="P262">
        <v>9.1874999999999998E-2</v>
      </c>
      <c r="Q262" s="84" t="e">
        <v>#REF!</v>
      </c>
      <c r="R262" s="85"/>
      <c r="S262" s="85"/>
      <c r="T262" s="86">
        <v>0</v>
      </c>
      <c r="U262" s="84">
        <v>0</v>
      </c>
      <c r="V262" s="84">
        <v>160.99299999999999</v>
      </c>
      <c r="W262" s="84">
        <v>80.496499999999997</v>
      </c>
      <c r="X262" s="82">
        <v>0.35</v>
      </c>
      <c r="Y262" s="82"/>
      <c r="Z262" s="84">
        <v>80.496499999999997</v>
      </c>
      <c r="AA262" s="84">
        <v>160.99299999999999</v>
      </c>
      <c r="AB262" s="88" t="e">
        <v>#DIV/0!</v>
      </c>
      <c r="AC262" t="s">
        <v>1364</v>
      </c>
    </row>
    <row r="263" spans="3:29">
      <c r="C263" t="s">
        <v>1365</v>
      </c>
      <c r="D263" t="s">
        <v>1366</v>
      </c>
      <c r="E263" s="84">
        <v>339.99</v>
      </c>
      <c r="F263" s="84">
        <v>169.995</v>
      </c>
      <c r="G263" t="s">
        <v>1333</v>
      </c>
      <c r="H263" t="s">
        <v>1367</v>
      </c>
      <c r="I263" t="s">
        <v>212</v>
      </c>
      <c r="J263" t="s">
        <v>1368</v>
      </c>
      <c r="K263" t="s">
        <v>807</v>
      </c>
      <c r="L263" t="s">
        <v>50</v>
      </c>
      <c r="N263">
        <v>40</v>
      </c>
      <c r="O263">
        <v>65</v>
      </c>
      <c r="P263">
        <v>0.104</v>
      </c>
      <c r="Q263" s="84" t="e">
        <v>#REF!</v>
      </c>
      <c r="R263" s="85"/>
      <c r="S263" s="85"/>
      <c r="T263" s="86">
        <v>0</v>
      </c>
      <c r="U263" s="84">
        <v>0</v>
      </c>
      <c r="V263" s="84">
        <v>237.99299999999999</v>
      </c>
      <c r="W263" s="84">
        <v>118.9965</v>
      </c>
      <c r="X263" s="82">
        <v>0.35</v>
      </c>
      <c r="Y263" s="82"/>
      <c r="Z263" s="84">
        <v>118.9965</v>
      </c>
      <c r="AA263" s="84">
        <v>237.99299999999999</v>
      </c>
      <c r="AB263" s="88" t="e">
        <v>#DIV/0!</v>
      </c>
      <c r="AC263" t="s">
        <v>1369</v>
      </c>
    </row>
    <row r="264" spans="3:29">
      <c r="C264" t="s">
        <v>1370</v>
      </c>
      <c r="D264" t="s">
        <v>1366</v>
      </c>
      <c r="E264" s="84">
        <v>369.99</v>
      </c>
      <c r="F264" s="84">
        <v>184.995</v>
      </c>
      <c r="G264" t="s">
        <v>1333</v>
      </c>
      <c r="H264" t="s">
        <v>1371</v>
      </c>
      <c r="I264" t="s">
        <v>212</v>
      </c>
      <c r="J264" t="s">
        <v>1372</v>
      </c>
      <c r="K264" t="s">
        <v>807</v>
      </c>
      <c r="L264" t="s">
        <v>50</v>
      </c>
      <c r="N264">
        <v>40</v>
      </c>
      <c r="O264">
        <v>75</v>
      </c>
      <c r="P264">
        <v>0.12</v>
      </c>
      <c r="Q264" s="84" t="e">
        <v>#REF!</v>
      </c>
      <c r="R264" s="85">
        <v>701359.60932572302</v>
      </c>
      <c r="S264" s="85">
        <v>0</v>
      </c>
      <c r="T264" s="86">
        <v>701359.60932572302</v>
      </c>
      <c r="U264" s="84">
        <v>46.757307288381497</v>
      </c>
      <c r="V264" s="84">
        <v>258.99299999999999</v>
      </c>
      <c r="W264" s="84">
        <v>129.4965</v>
      </c>
      <c r="X264" s="82">
        <v>0.35</v>
      </c>
      <c r="Y264" s="82"/>
      <c r="Z264" s="84">
        <v>129.4965</v>
      </c>
      <c r="AA264" s="84">
        <v>258.99299999999999</v>
      </c>
      <c r="AB264" s="88">
        <v>2.7695457140274198</v>
      </c>
      <c r="AC264" t="s">
        <v>1373</v>
      </c>
    </row>
    <row r="265" spans="3:29">
      <c r="C265" t="s">
        <v>1374</v>
      </c>
      <c r="D265" t="s">
        <v>1375</v>
      </c>
      <c r="E265" s="84">
        <v>359.99</v>
      </c>
      <c r="F265" s="84">
        <v>179.995</v>
      </c>
      <c r="G265" t="s">
        <v>1333</v>
      </c>
      <c r="H265" t="s">
        <v>1376</v>
      </c>
      <c r="I265" t="s">
        <v>1377</v>
      </c>
      <c r="J265" t="s">
        <v>1378</v>
      </c>
      <c r="K265" t="s">
        <v>807</v>
      </c>
      <c r="L265" t="s">
        <v>50</v>
      </c>
      <c r="M265">
        <v>46</v>
      </c>
      <c r="N265">
        <v>45</v>
      </c>
      <c r="O265">
        <v>96</v>
      </c>
      <c r="P265">
        <v>0.19872000000000001</v>
      </c>
      <c r="Q265" s="84" t="e">
        <v>#REF!</v>
      </c>
      <c r="R265" s="85"/>
      <c r="S265" s="85"/>
      <c r="T265" s="86">
        <v>0</v>
      </c>
      <c r="U265" s="84">
        <v>0</v>
      </c>
      <c r="V265" s="84">
        <v>251.99299999999999</v>
      </c>
      <c r="W265" s="84">
        <v>125.9965</v>
      </c>
      <c r="X265" s="82">
        <v>0.35</v>
      </c>
      <c r="Y265" s="82"/>
      <c r="Z265" s="84">
        <v>125.9965</v>
      </c>
      <c r="AA265" s="84">
        <v>251.99299999999999</v>
      </c>
      <c r="AB265" s="88" t="e">
        <v>#DIV/0!</v>
      </c>
      <c r="AC265" t="s">
        <v>1379</v>
      </c>
    </row>
    <row r="266" spans="3:29">
      <c r="C266" t="s">
        <v>1380</v>
      </c>
      <c r="D266" t="s">
        <v>1381</v>
      </c>
      <c r="E266" s="84">
        <v>144.99</v>
      </c>
      <c r="F266" s="84">
        <v>72.495000000000005</v>
      </c>
      <c r="G266" t="s">
        <v>1333</v>
      </c>
      <c r="H266" t="s">
        <v>1382</v>
      </c>
      <c r="I266" t="s">
        <v>1383</v>
      </c>
      <c r="K266" t="s">
        <v>1223</v>
      </c>
      <c r="L266" t="s">
        <v>670</v>
      </c>
      <c r="P266">
        <v>0</v>
      </c>
      <c r="Q266" s="84" t="e">
        <v>#REF!</v>
      </c>
      <c r="R266" s="85"/>
      <c r="S266" s="85"/>
      <c r="T266" s="86">
        <v>0</v>
      </c>
      <c r="U266" s="84">
        <v>0</v>
      </c>
      <c r="V266" s="84">
        <v>101.49299999999999</v>
      </c>
      <c r="W266" s="84">
        <v>50.746499999999997</v>
      </c>
      <c r="X266" s="82">
        <v>0.35</v>
      </c>
      <c r="Y266" s="82"/>
      <c r="Z266" s="84">
        <v>50.746499999999997</v>
      </c>
      <c r="AA266" s="84">
        <v>101.49299999999999</v>
      </c>
      <c r="AB266" s="88" t="e">
        <v>#DIV/0!</v>
      </c>
      <c r="AC266" t="s">
        <v>1384</v>
      </c>
    </row>
    <row r="267" spans="3:29">
      <c r="C267" t="s">
        <v>1385</v>
      </c>
      <c r="D267" t="s">
        <v>1386</v>
      </c>
      <c r="E267" s="84">
        <v>164.99</v>
      </c>
      <c r="F267" s="84">
        <v>82.495000000000005</v>
      </c>
      <c r="G267" t="s">
        <v>1333</v>
      </c>
      <c r="H267" t="s">
        <v>1387</v>
      </c>
      <c r="I267" t="s">
        <v>1388</v>
      </c>
      <c r="K267" t="s">
        <v>1223</v>
      </c>
      <c r="L267" t="s">
        <v>670</v>
      </c>
      <c r="P267">
        <v>0</v>
      </c>
      <c r="Q267" s="84" t="e">
        <v>#REF!</v>
      </c>
      <c r="R267" s="85"/>
      <c r="S267" s="85"/>
      <c r="T267" s="86">
        <v>0</v>
      </c>
      <c r="U267" s="84">
        <v>0</v>
      </c>
      <c r="V267" s="84">
        <v>115.49299999999999</v>
      </c>
      <c r="W267" s="84">
        <v>57.746499999999997</v>
      </c>
      <c r="X267" s="82">
        <v>0.35</v>
      </c>
      <c r="Y267" s="82"/>
      <c r="Z267" s="84">
        <v>57.746499999999997</v>
      </c>
      <c r="AA267" s="84">
        <v>115.49299999999999</v>
      </c>
      <c r="AB267" s="88" t="e">
        <v>#DIV/0!</v>
      </c>
      <c r="AC267" t="s">
        <v>1389</v>
      </c>
    </row>
    <row r="268" spans="3:29">
      <c r="C268" t="s">
        <v>1390</v>
      </c>
      <c r="D268" t="s">
        <v>1391</v>
      </c>
      <c r="E268" s="84">
        <v>268.99</v>
      </c>
      <c r="F268" s="84">
        <v>134.495</v>
      </c>
      <c r="G268" t="s">
        <v>1333</v>
      </c>
      <c r="H268" t="s">
        <v>1392</v>
      </c>
      <c r="I268" t="s">
        <v>1393</v>
      </c>
      <c r="J268" t="s">
        <v>1394</v>
      </c>
      <c r="K268" t="s">
        <v>645</v>
      </c>
      <c r="L268" t="s">
        <v>646</v>
      </c>
      <c r="M268">
        <v>31</v>
      </c>
      <c r="N268">
        <v>31</v>
      </c>
      <c r="O268">
        <v>75</v>
      </c>
      <c r="P268">
        <v>7.2075E-2</v>
      </c>
      <c r="Q268" s="84" t="e">
        <v>#REF!</v>
      </c>
      <c r="R268" s="85">
        <v>66134.338600643998</v>
      </c>
      <c r="S268" s="85">
        <v>330000</v>
      </c>
      <c r="T268" s="86">
        <v>396134.33860064403</v>
      </c>
      <c r="U268" s="84">
        <v>26.4089559067096</v>
      </c>
      <c r="V268" s="84">
        <v>188.29300000000001</v>
      </c>
      <c r="W268" s="84">
        <v>94.146500000000003</v>
      </c>
      <c r="X268" s="82">
        <v>0.35</v>
      </c>
      <c r="Y268" s="82"/>
      <c r="Z268" s="84">
        <v>94.146500000000003</v>
      </c>
      <c r="AA268" s="84">
        <v>188.29300000000001</v>
      </c>
      <c r="AB268" s="88">
        <v>3.5649459347266599</v>
      </c>
      <c r="AC268" t="s">
        <v>1395</v>
      </c>
    </row>
    <row r="269" spans="3:29">
      <c r="C269" t="s">
        <v>1396</v>
      </c>
      <c r="D269" t="s">
        <v>1397</v>
      </c>
      <c r="E269" s="84">
        <v>479.99</v>
      </c>
      <c r="F269" s="84">
        <v>239.995</v>
      </c>
      <c r="G269" t="s">
        <v>1333</v>
      </c>
      <c r="H269" t="s">
        <v>1398</v>
      </c>
      <c r="I269" t="s">
        <v>1399</v>
      </c>
      <c r="J269" t="s">
        <v>1400</v>
      </c>
      <c r="K269" t="s">
        <v>1401</v>
      </c>
      <c r="L269" t="s">
        <v>646</v>
      </c>
      <c r="M269">
        <v>47</v>
      </c>
      <c r="N269">
        <v>52</v>
      </c>
      <c r="O269">
        <v>93</v>
      </c>
      <c r="P269">
        <v>0.22729199999999999</v>
      </c>
      <c r="Q269" s="84" t="e">
        <v>#REF!</v>
      </c>
      <c r="R269" s="85">
        <v>310023.87898669002</v>
      </c>
      <c r="S269" s="85">
        <v>1400737</v>
      </c>
      <c r="T269" s="86">
        <v>1710760.87898669</v>
      </c>
      <c r="U269" s="84">
        <v>114.05072526577899</v>
      </c>
      <c r="V269" s="84">
        <v>335.99299999999999</v>
      </c>
      <c r="W269" s="84">
        <v>167.9965</v>
      </c>
      <c r="X269" s="82">
        <v>0.35</v>
      </c>
      <c r="Y269" s="87">
        <v>228.10145053155901</v>
      </c>
      <c r="Z269" s="84">
        <v>228.10145053155901</v>
      </c>
      <c r="AA269" s="84">
        <v>456.202901063117</v>
      </c>
      <c r="AB269" s="88">
        <v>2</v>
      </c>
      <c r="AC269" t="s">
        <v>1402</v>
      </c>
    </row>
    <row r="270" spans="3:29">
      <c r="C270" t="s">
        <v>1403</v>
      </c>
      <c r="D270" t="s">
        <v>1404</v>
      </c>
      <c r="E270" s="84">
        <v>599.99</v>
      </c>
      <c r="F270" s="84">
        <v>299.995</v>
      </c>
      <c r="G270" t="s">
        <v>1333</v>
      </c>
      <c r="H270" t="s">
        <v>1398</v>
      </c>
      <c r="I270" t="s">
        <v>1405</v>
      </c>
      <c r="J270" t="s">
        <v>1400</v>
      </c>
      <c r="K270" t="s">
        <v>1401</v>
      </c>
      <c r="L270" t="s">
        <v>646</v>
      </c>
      <c r="M270">
        <v>47</v>
      </c>
      <c r="N270">
        <v>52</v>
      </c>
      <c r="O270">
        <v>93</v>
      </c>
      <c r="P270">
        <v>0.22729199999999999</v>
      </c>
      <c r="Q270" s="84" t="e">
        <v>#REF!</v>
      </c>
      <c r="R270" s="85"/>
      <c r="S270" s="85"/>
      <c r="T270" s="86">
        <v>0</v>
      </c>
      <c r="U270" s="84">
        <v>0</v>
      </c>
      <c r="V270" s="84">
        <v>419.99299999999999</v>
      </c>
      <c r="W270" s="84">
        <v>209.9965</v>
      </c>
      <c r="X270" s="82">
        <v>0.35</v>
      </c>
      <c r="Y270" s="82"/>
      <c r="Z270" s="84">
        <v>209.9965</v>
      </c>
      <c r="AA270" s="84">
        <v>419.99299999999999</v>
      </c>
      <c r="AB270" s="88" t="e">
        <v>#DIV/0!</v>
      </c>
      <c r="AC270" t="s">
        <v>1406</v>
      </c>
    </row>
    <row r="271" spans="3:29">
      <c r="C271" t="s">
        <v>1407</v>
      </c>
      <c r="D271" t="s">
        <v>1408</v>
      </c>
      <c r="E271" s="84">
        <v>739.99</v>
      </c>
      <c r="F271" s="84">
        <v>369.995</v>
      </c>
      <c r="G271" t="s">
        <v>1333</v>
      </c>
      <c r="H271" t="s">
        <v>1409</v>
      </c>
      <c r="I271" t="s">
        <v>1410</v>
      </c>
      <c r="J271" t="s">
        <v>1411</v>
      </c>
      <c r="K271" t="s">
        <v>1401</v>
      </c>
      <c r="L271" t="s">
        <v>50</v>
      </c>
      <c r="M271">
        <v>41</v>
      </c>
      <c r="N271">
        <v>45</v>
      </c>
      <c r="O271">
        <v>95</v>
      </c>
      <c r="P271">
        <v>0.17527499999999999</v>
      </c>
      <c r="Q271" s="84" t="e">
        <v>#REF!</v>
      </c>
      <c r="R271" s="85">
        <v>42758.483684780098</v>
      </c>
      <c r="S271" s="85">
        <v>2750000</v>
      </c>
      <c r="T271" s="86">
        <v>2792758.4836847801</v>
      </c>
      <c r="U271" s="84">
        <v>186.18389891231899</v>
      </c>
      <c r="V271" s="84">
        <v>517.99300000000005</v>
      </c>
      <c r="W271" s="84">
        <v>258.99650000000003</v>
      </c>
      <c r="X271" s="82">
        <v>0.35</v>
      </c>
      <c r="Y271" s="87">
        <v>316.51262815094202</v>
      </c>
      <c r="Z271" s="84">
        <v>316.51262815094202</v>
      </c>
      <c r="AA271" s="84">
        <v>633.02525630188302</v>
      </c>
      <c r="AB271" s="88">
        <v>1.7</v>
      </c>
      <c r="AC271" t="s">
        <v>1412</v>
      </c>
    </row>
    <row r="272" spans="3:29">
      <c r="C272" t="s">
        <v>1413</v>
      </c>
      <c r="D272" t="s">
        <v>1414</v>
      </c>
      <c r="E272" s="84">
        <v>549.99</v>
      </c>
      <c r="F272" s="84">
        <v>274.995</v>
      </c>
      <c r="G272" t="s">
        <v>1333</v>
      </c>
      <c r="H272" t="s">
        <v>1415</v>
      </c>
      <c r="I272" t="s">
        <v>1416</v>
      </c>
      <c r="J272" t="s">
        <v>1417</v>
      </c>
      <c r="K272" t="s">
        <v>1401</v>
      </c>
      <c r="L272" t="s">
        <v>646</v>
      </c>
      <c r="M272">
        <v>44</v>
      </c>
      <c r="N272">
        <v>47</v>
      </c>
      <c r="O272">
        <v>120</v>
      </c>
      <c r="P272">
        <v>0.24815999999999999</v>
      </c>
      <c r="Q272" s="84" t="e">
        <v>#REF!</v>
      </c>
      <c r="R272" s="85"/>
      <c r="S272" s="85"/>
      <c r="T272" s="86">
        <v>0</v>
      </c>
      <c r="U272" s="84">
        <v>0</v>
      </c>
      <c r="V272" s="84">
        <v>384.99299999999999</v>
      </c>
      <c r="W272" s="84">
        <v>192.4965</v>
      </c>
      <c r="X272" s="82">
        <v>0.35</v>
      </c>
      <c r="Y272" s="82"/>
      <c r="Z272" s="84">
        <v>192.4965</v>
      </c>
      <c r="AA272" s="84">
        <v>384.99299999999999</v>
      </c>
      <c r="AB272" s="88" t="e">
        <v>#DIV/0!</v>
      </c>
      <c r="AC272" t="s">
        <v>1418</v>
      </c>
    </row>
    <row r="273" spans="3:29">
      <c r="C273" t="s">
        <v>1419</v>
      </c>
      <c r="D273" t="s">
        <v>1420</v>
      </c>
      <c r="E273" s="84">
        <v>679.99</v>
      </c>
      <c r="F273" s="84">
        <v>339.995</v>
      </c>
      <c r="G273" t="s">
        <v>1333</v>
      </c>
      <c r="H273" t="s">
        <v>1415</v>
      </c>
      <c r="I273" t="s">
        <v>1421</v>
      </c>
      <c r="J273" t="s">
        <v>1422</v>
      </c>
      <c r="K273" t="s">
        <v>1401</v>
      </c>
      <c r="L273" t="s">
        <v>646</v>
      </c>
      <c r="M273">
        <v>44</v>
      </c>
      <c r="N273">
        <v>47</v>
      </c>
      <c r="O273">
        <v>120</v>
      </c>
      <c r="P273">
        <v>0.24815999999999999</v>
      </c>
      <c r="Q273" s="84" t="e">
        <v>#REF!</v>
      </c>
      <c r="R273" s="85"/>
      <c r="S273" s="85"/>
      <c r="T273" s="86">
        <v>0</v>
      </c>
      <c r="U273" s="84">
        <v>0</v>
      </c>
      <c r="V273" s="84">
        <v>475.99299999999999</v>
      </c>
      <c r="W273" s="84">
        <v>237.9965</v>
      </c>
      <c r="X273" s="82">
        <v>0.35</v>
      </c>
      <c r="Y273" s="82"/>
      <c r="Z273" s="84">
        <v>237.9965</v>
      </c>
      <c r="AA273" s="84">
        <v>475.99299999999999</v>
      </c>
      <c r="AB273" s="88" t="e">
        <v>#DIV/0!</v>
      </c>
      <c r="AC273" t="s">
        <v>1423</v>
      </c>
    </row>
    <row r="274" spans="3:29">
      <c r="C274" t="s">
        <v>1424</v>
      </c>
      <c r="D274" t="s">
        <v>1425</v>
      </c>
      <c r="E274" s="84">
        <v>439.99</v>
      </c>
      <c r="F274" s="84">
        <v>219.995</v>
      </c>
      <c r="G274" t="s">
        <v>1333</v>
      </c>
      <c r="H274" t="s">
        <v>1426</v>
      </c>
      <c r="I274" t="s">
        <v>736</v>
      </c>
      <c r="J274" t="s">
        <v>1427</v>
      </c>
      <c r="K274" t="s">
        <v>807</v>
      </c>
      <c r="L274" t="s">
        <v>50</v>
      </c>
      <c r="M274">
        <v>45</v>
      </c>
      <c r="N274">
        <v>40</v>
      </c>
      <c r="O274">
        <v>65</v>
      </c>
      <c r="P274">
        <v>0.11700000000000001</v>
      </c>
      <c r="Q274" s="84" t="e">
        <v>#REF!</v>
      </c>
      <c r="R274" s="85"/>
      <c r="S274" s="85"/>
      <c r="T274" s="86">
        <v>0</v>
      </c>
      <c r="U274" s="84">
        <v>0</v>
      </c>
      <c r="V274" s="84">
        <v>307.99299999999999</v>
      </c>
      <c r="W274" s="84">
        <v>153.9965</v>
      </c>
      <c r="X274" s="82">
        <v>0.35</v>
      </c>
      <c r="Y274" s="82"/>
      <c r="Z274" s="84">
        <v>153.9965</v>
      </c>
      <c r="AA274" s="84">
        <v>307.99299999999999</v>
      </c>
      <c r="AB274" s="88" t="e">
        <v>#DIV/0!</v>
      </c>
      <c r="AC274" t="s">
        <v>1428</v>
      </c>
    </row>
    <row r="275" spans="3:29">
      <c r="C275" t="s">
        <v>1429</v>
      </c>
      <c r="D275" t="s">
        <v>1425</v>
      </c>
      <c r="E275" s="84">
        <v>509.99</v>
      </c>
      <c r="F275" s="84">
        <v>254.995</v>
      </c>
      <c r="G275" t="s">
        <v>1333</v>
      </c>
      <c r="H275" t="s">
        <v>1430</v>
      </c>
      <c r="I275" t="s">
        <v>736</v>
      </c>
      <c r="J275" t="s">
        <v>1358</v>
      </c>
      <c r="K275" t="s">
        <v>807</v>
      </c>
      <c r="L275" t="s">
        <v>50</v>
      </c>
      <c r="M275">
        <v>45</v>
      </c>
      <c r="N275">
        <v>40</v>
      </c>
      <c r="O275">
        <v>75</v>
      </c>
      <c r="P275">
        <v>0.13500000000000001</v>
      </c>
      <c r="Q275" s="84" t="e">
        <v>#REF!</v>
      </c>
      <c r="R275" s="85"/>
      <c r="S275" s="85"/>
      <c r="T275" s="86">
        <v>0</v>
      </c>
      <c r="U275" s="84">
        <v>0</v>
      </c>
      <c r="V275" s="84">
        <v>356.99299999999999</v>
      </c>
      <c r="W275" s="84">
        <v>178.4965</v>
      </c>
      <c r="X275" s="82">
        <v>0.35</v>
      </c>
      <c r="Y275" s="82"/>
      <c r="Z275" s="84">
        <v>178.4965</v>
      </c>
      <c r="AA275" s="84">
        <v>356.99299999999999</v>
      </c>
      <c r="AB275" s="88" t="e">
        <v>#DIV/0!</v>
      </c>
      <c r="AC275" t="s">
        <v>1428</v>
      </c>
    </row>
    <row r="276" spans="3:29">
      <c r="C276" t="s">
        <v>1431</v>
      </c>
      <c r="D276" t="s">
        <v>1432</v>
      </c>
      <c r="E276" s="84">
        <v>174.99</v>
      </c>
      <c r="F276" s="84">
        <v>87.495000000000005</v>
      </c>
      <c r="G276" t="s">
        <v>1333</v>
      </c>
      <c r="H276" t="s">
        <v>1433</v>
      </c>
      <c r="I276" t="s">
        <v>1434</v>
      </c>
      <c r="J276" t="s">
        <v>1435</v>
      </c>
      <c r="K276" t="s">
        <v>645</v>
      </c>
      <c r="L276" t="s">
        <v>646</v>
      </c>
      <c r="M276">
        <v>48</v>
      </c>
      <c r="N276">
        <v>63</v>
      </c>
      <c r="O276">
        <v>105</v>
      </c>
      <c r="P276">
        <v>0.31752000000000002</v>
      </c>
      <c r="Q276" s="84" t="e">
        <v>#REF!</v>
      </c>
      <c r="R276" s="85"/>
      <c r="S276" s="85"/>
      <c r="T276" s="86">
        <v>0</v>
      </c>
      <c r="U276" s="84">
        <v>0</v>
      </c>
      <c r="V276" s="84">
        <v>122.49299999999999</v>
      </c>
      <c r="W276" s="84">
        <v>61.246499999999997</v>
      </c>
      <c r="X276" s="82">
        <v>0.35</v>
      </c>
      <c r="Y276" s="82"/>
      <c r="Z276" s="84">
        <v>61.246499999999997</v>
      </c>
      <c r="AA276" s="84">
        <v>122.49299999999999</v>
      </c>
      <c r="AB276" s="88" t="e">
        <v>#DIV/0!</v>
      </c>
      <c r="AC276" t="s">
        <v>1436</v>
      </c>
    </row>
    <row r="277" spans="3:29">
      <c r="C277" t="s">
        <v>1437</v>
      </c>
      <c r="D277" t="s">
        <v>1438</v>
      </c>
      <c r="E277" s="84">
        <v>204.99</v>
      </c>
      <c r="F277" s="84">
        <v>102.495</v>
      </c>
      <c r="G277" t="s">
        <v>1333</v>
      </c>
      <c r="H277" t="s">
        <v>1439</v>
      </c>
      <c r="I277" t="s">
        <v>1440</v>
      </c>
      <c r="J277" t="s">
        <v>1441</v>
      </c>
      <c r="K277" t="s">
        <v>662</v>
      </c>
      <c r="L277" t="s">
        <v>646</v>
      </c>
      <c r="M277">
        <v>40</v>
      </c>
      <c r="N277">
        <v>47</v>
      </c>
      <c r="O277">
        <v>105</v>
      </c>
      <c r="P277">
        <v>0.19739999999999999</v>
      </c>
      <c r="Q277" s="84" t="e">
        <v>#REF!</v>
      </c>
      <c r="R277" s="85">
        <v>171548.442935812</v>
      </c>
      <c r="S277" s="85">
        <v>385000</v>
      </c>
      <c r="T277" s="86">
        <v>556548.44293581205</v>
      </c>
      <c r="U277" s="84">
        <v>37.103229529054097</v>
      </c>
      <c r="V277" s="84">
        <v>143.49299999999999</v>
      </c>
      <c r="W277" s="84">
        <v>71.746499999999997</v>
      </c>
      <c r="X277" s="82">
        <v>0.35</v>
      </c>
      <c r="Y277" s="87">
        <v>74.206459058108294</v>
      </c>
      <c r="Z277" s="84">
        <v>74.206459058108294</v>
      </c>
      <c r="AA277" s="84">
        <v>148.41291811621701</v>
      </c>
      <c r="AB277" s="88">
        <v>2</v>
      </c>
      <c r="AC277" t="s">
        <v>1442</v>
      </c>
    </row>
    <row r="278" spans="3:29">
      <c r="C278" t="s">
        <v>1443</v>
      </c>
      <c r="D278" t="s">
        <v>1444</v>
      </c>
      <c r="E278" s="84">
        <v>329.99</v>
      </c>
      <c r="F278" s="84">
        <v>164.995</v>
      </c>
      <c r="G278" t="s">
        <v>1333</v>
      </c>
      <c r="H278" t="s">
        <v>1445</v>
      </c>
      <c r="I278" t="s">
        <v>1446</v>
      </c>
      <c r="J278" t="s">
        <v>1447</v>
      </c>
      <c r="K278" t="s">
        <v>807</v>
      </c>
      <c r="L278" t="s">
        <v>50</v>
      </c>
      <c r="M278">
        <v>40</v>
      </c>
      <c r="N278">
        <v>40</v>
      </c>
      <c r="O278">
        <v>75</v>
      </c>
      <c r="P278">
        <v>0.12</v>
      </c>
      <c r="Q278" s="84" t="e">
        <v>#REF!</v>
      </c>
      <c r="R278" s="85"/>
      <c r="S278" s="85"/>
      <c r="T278" s="86">
        <v>0</v>
      </c>
      <c r="U278" s="84">
        <v>0</v>
      </c>
      <c r="V278" s="84">
        <v>230.99299999999999</v>
      </c>
      <c r="W278" s="84">
        <v>115.4965</v>
      </c>
      <c r="X278" s="82">
        <v>0.35</v>
      </c>
      <c r="Y278" s="82"/>
      <c r="Z278" s="84">
        <v>115.4965</v>
      </c>
      <c r="AA278" s="84">
        <v>230.99299999999999</v>
      </c>
      <c r="AB278" s="88" t="e">
        <v>#DIV/0!</v>
      </c>
      <c r="AC278" t="s">
        <v>1448</v>
      </c>
    </row>
    <row r="279" spans="3:29">
      <c r="C279" t="s">
        <v>1449</v>
      </c>
      <c r="D279" t="s">
        <v>1450</v>
      </c>
      <c r="E279" s="84">
        <v>237.99</v>
      </c>
      <c r="F279" s="84">
        <v>118.995</v>
      </c>
      <c r="G279" t="s">
        <v>1333</v>
      </c>
      <c r="H279" t="s">
        <v>1451</v>
      </c>
      <c r="I279" t="s">
        <v>1452</v>
      </c>
      <c r="J279" t="s">
        <v>1435</v>
      </c>
      <c r="K279" t="s">
        <v>645</v>
      </c>
      <c r="L279" t="s">
        <v>646</v>
      </c>
      <c r="M279">
        <v>48</v>
      </c>
      <c r="N279">
        <v>63</v>
      </c>
      <c r="O279">
        <v>105</v>
      </c>
      <c r="P279">
        <v>0.31752000000000002</v>
      </c>
      <c r="Q279" s="84" t="e">
        <v>#REF!</v>
      </c>
      <c r="R279" s="85">
        <v>299475.25683625898</v>
      </c>
      <c r="S279" s="85">
        <v>440000</v>
      </c>
      <c r="T279" s="86">
        <v>739475.25683625904</v>
      </c>
      <c r="U279" s="84">
        <v>49.298350455750601</v>
      </c>
      <c r="V279" s="84">
        <v>166.59299999999999</v>
      </c>
      <c r="W279" s="84">
        <v>83.296499999999995</v>
      </c>
      <c r="X279" s="82">
        <v>0.35</v>
      </c>
      <c r="Y279" s="87">
        <v>98.596700911501202</v>
      </c>
      <c r="Z279" s="84">
        <v>98.596700911501202</v>
      </c>
      <c r="AA279" s="84">
        <v>197.19340182300201</v>
      </c>
      <c r="AB279" s="88">
        <v>2</v>
      </c>
      <c r="AC279" t="s">
        <v>1453</v>
      </c>
    </row>
    <row r="280" spans="3:29">
      <c r="C280" t="s">
        <v>1454</v>
      </c>
      <c r="E280" s="84"/>
      <c r="F280" s="82"/>
      <c r="R280" s="85"/>
      <c r="S280" s="85"/>
      <c r="T280" s="86"/>
      <c r="V280" s="84"/>
      <c r="W280" s="84"/>
      <c r="X280" s="82"/>
      <c r="Y280" s="82"/>
      <c r="Z280" s="82"/>
      <c r="AA280" s="82"/>
      <c r="AB280" s="88"/>
    </row>
    <row r="281" spans="3:29">
      <c r="C281" t="s">
        <v>1455</v>
      </c>
      <c r="D281" t="s">
        <v>1456</v>
      </c>
      <c r="E281" s="84">
        <v>129.99</v>
      </c>
      <c r="F281" s="84">
        <v>64.995000000000005</v>
      </c>
      <c r="G281" t="s">
        <v>1454</v>
      </c>
      <c r="H281" t="s">
        <v>1457</v>
      </c>
      <c r="I281" t="s">
        <v>1458</v>
      </c>
      <c r="J281" t="s">
        <v>1459</v>
      </c>
      <c r="K281" t="s">
        <v>645</v>
      </c>
      <c r="L281" t="s">
        <v>646</v>
      </c>
      <c r="M281">
        <v>31</v>
      </c>
      <c r="N281">
        <v>31</v>
      </c>
      <c r="O281">
        <v>43</v>
      </c>
      <c r="P281">
        <v>4.1322999999999999E-2</v>
      </c>
      <c r="Q281" s="84" t="e">
        <v>#REF!</v>
      </c>
      <c r="R281" s="85">
        <v>55473.415383084997</v>
      </c>
      <c r="S281" s="85">
        <v>350000</v>
      </c>
      <c r="T281" s="86">
        <v>405473.41538308503</v>
      </c>
      <c r="U281" s="84">
        <v>27.031561025538998</v>
      </c>
      <c r="V281" s="84">
        <v>90.992999999999995</v>
      </c>
      <c r="W281" s="84">
        <v>45.496499999999997</v>
      </c>
      <c r="X281" s="82">
        <v>0.35</v>
      </c>
      <c r="Y281" s="87">
        <v>54.063122051077997</v>
      </c>
      <c r="Z281" s="84">
        <v>54.063122051077997</v>
      </c>
      <c r="AA281" s="84">
        <v>108.12624410215599</v>
      </c>
      <c r="AB281" s="88">
        <v>2</v>
      </c>
      <c r="AC281" t="s">
        <v>1460</v>
      </c>
    </row>
    <row r="282" spans="3:29">
      <c r="C282" t="s">
        <v>1462</v>
      </c>
      <c r="D282" t="s">
        <v>1463</v>
      </c>
      <c r="E282" s="84">
        <v>149.99</v>
      </c>
      <c r="F282" s="84">
        <v>74.995000000000005</v>
      </c>
      <c r="G282" t="s">
        <v>1454</v>
      </c>
      <c r="H282" t="s">
        <v>1464</v>
      </c>
      <c r="I282" t="s">
        <v>1465</v>
      </c>
      <c r="J282" t="s">
        <v>1466</v>
      </c>
      <c r="K282" t="s">
        <v>815</v>
      </c>
      <c r="L282" t="s">
        <v>50</v>
      </c>
      <c r="M282">
        <v>35</v>
      </c>
      <c r="N282">
        <v>25</v>
      </c>
      <c r="O282">
        <v>43</v>
      </c>
      <c r="P282">
        <v>3.7624999999999999E-2</v>
      </c>
      <c r="Q282" s="84" t="e">
        <v>#REF!</v>
      </c>
      <c r="R282" s="85">
        <v>608015.89993965405</v>
      </c>
      <c r="S282" s="85">
        <v>0</v>
      </c>
      <c r="T282" s="86">
        <v>608015.89993965405</v>
      </c>
      <c r="U282" s="84">
        <v>40.534393329310298</v>
      </c>
      <c r="V282" s="84">
        <v>104.99299999999999</v>
      </c>
      <c r="W282" s="84">
        <v>52.496499999999997</v>
      </c>
      <c r="X282" s="82">
        <v>0.35</v>
      </c>
      <c r="Y282" s="87">
        <v>93.2291046574136</v>
      </c>
      <c r="Z282" s="84">
        <v>93.2291046574136</v>
      </c>
      <c r="AA282" s="84">
        <v>186.458209314827</v>
      </c>
      <c r="AB282" s="88">
        <v>2.2999999999999998</v>
      </c>
      <c r="AC282" t="s">
        <v>1467</v>
      </c>
    </row>
    <row r="283" spans="3:29">
      <c r="C283" t="s">
        <v>1468</v>
      </c>
      <c r="D283" t="s">
        <v>1469</v>
      </c>
      <c r="E283" s="84">
        <v>239.99</v>
      </c>
      <c r="F283" s="84">
        <v>119.995</v>
      </c>
      <c r="G283" t="s">
        <v>1454</v>
      </c>
      <c r="H283" t="s">
        <v>1470</v>
      </c>
      <c r="I283" t="s">
        <v>1471</v>
      </c>
      <c r="J283" t="s">
        <v>1472</v>
      </c>
      <c r="K283" t="s">
        <v>1473</v>
      </c>
      <c r="L283" t="s">
        <v>50</v>
      </c>
      <c r="N283">
        <v>40</v>
      </c>
      <c r="O283">
        <v>43</v>
      </c>
      <c r="P283">
        <v>6.88E-2</v>
      </c>
      <c r="Q283" s="84" t="e">
        <v>#REF!</v>
      </c>
      <c r="R283" s="85">
        <v>583827.75478439499</v>
      </c>
      <c r="S283" s="85">
        <v>0</v>
      </c>
      <c r="T283" s="86">
        <v>583827.75478439499</v>
      </c>
      <c r="U283" s="84">
        <v>38.921850318959599</v>
      </c>
      <c r="V283" s="84">
        <v>167.99299999999999</v>
      </c>
      <c r="W283" s="84">
        <v>83.996499999999997</v>
      </c>
      <c r="X283" s="82">
        <v>0.35</v>
      </c>
      <c r="Y283" s="82"/>
      <c r="Z283" s="84">
        <v>83.996499999999997</v>
      </c>
      <c r="AA283" s="84">
        <v>167.99299999999999</v>
      </c>
      <c r="AB283" s="88">
        <v>2.1580808546268799</v>
      </c>
      <c r="AC283" t="s">
        <v>1474</v>
      </c>
    </row>
    <row r="284" spans="3:29">
      <c r="C284">
        <v>22005</v>
      </c>
      <c r="D284" t="s">
        <v>1475</v>
      </c>
      <c r="E284" s="84">
        <v>183.99</v>
      </c>
      <c r="F284" s="84">
        <v>91.995000000000005</v>
      </c>
      <c r="G284" t="s">
        <v>1454</v>
      </c>
      <c r="H284" t="s">
        <v>1476</v>
      </c>
      <c r="I284" t="s">
        <v>1477</v>
      </c>
      <c r="J284" t="s">
        <v>1478</v>
      </c>
      <c r="K284" t="s">
        <v>645</v>
      </c>
      <c r="L284" t="s">
        <v>670</v>
      </c>
      <c r="N284">
        <v>40</v>
      </c>
      <c r="O284">
        <v>46</v>
      </c>
      <c r="P284">
        <v>7.3599999999999999E-2</v>
      </c>
      <c r="Q284" s="84" t="e">
        <v>#REF!</v>
      </c>
      <c r="R284" s="85"/>
      <c r="S284" s="85"/>
      <c r="T284" s="86">
        <v>0</v>
      </c>
      <c r="U284" s="84">
        <v>0</v>
      </c>
      <c r="V284" s="84">
        <v>128.79300000000001</v>
      </c>
      <c r="W284" s="84">
        <v>64.396500000000003</v>
      </c>
      <c r="X284" s="82">
        <v>0.35</v>
      </c>
      <c r="Y284" s="82"/>
      <c r="Z284" s="84">
        <v>64.396500000000003</v>
      </c>
      <c r="AA284" s="84">
        <v>128.79300000000001</v>
      </c>
      <c r="AB284" s="88" t="e">
        <v>#DIV/0!</v>
      </c>
      <c r="AC284" t="s">
        <v>1479</v>
      </c>
    </row>
    <row r="285" spans="3:29">
      <c r="C285" t="s">
        <v>1480</v>
      </c>
      <c r="D285" t="s">
        <v>1481</v>
      </c>
      <c r="E285" s="84">
        <v>110.99</v>
      </c>
      <c r="F285" s="84">
        <v>55.494999999999997</v>
      </c>
      <c r="G285" t="s">
        <v>1454</v>
      </c>
      <c r="H285" t="s">
        <v>1482</v>
      </c>
      <c r="I285" t="s">
        <v>1483</v>
      </c>
      <c r="J285" t="s">
        <v>1478</v>
      </c>
      <c r="K285" t="s">
        <v>645</v>
      </c>
      <c r="L285" t="s">
        <v>646</v>
      </c>
      <c r="N285">
        <v>40</v>
      </c>
      <c r="O285">
        <v>46</v>
      </c>
      <c r="P285">
        <v>7.3599999999999999E-2</v>
      </c>
      <c r="Q285" s="84" t="e">
        <v>#REF!</v>
      </c>
      <c r="R285" s="85">
        <v>39547.302620784001</v>
      </c>
      <c r="S285" s="85">
        <v>330000</v>
      </c>
      <c r="T285" s="86">
        <v>369547.30262078397</v>
      </c>
      <c r="U285" s="84">
        <v>24.636486841385601</v>
      </c>
      <c r="V285" s="84">
        <v>77.692999999999998</v>
      </c>
      <c r="W285" s="84">
        <v>38.846499999999999</v>
      </c>
      <c r="X285" s="82">
        <v>0.35</v>
      </c>
      <c r="Y285" s="87">
        <v>49.272973682771202</v>
      </c>
      <c r="Z285" s="84">
        <v>49.272973682771202</v>
      </c>
      <c r="AA285" s="84">
        <v>98.545947365542403</v>
      </c>
      <c r="AB285" s="88">
        <v>2</v>
      </c>
      <c r="AC285" t="s">
        <v>1484</v>
      </c>
    </row>
    <row r="286" spans="3:29">
      <c r="C286" t="s">
        <v>1485</v>
      </c>
      <c r="D286" t="s">
        <v>1486</v>
      </c>
      <c r="E286" s="84">
        <v>229.99</v>
      </c>
      <c r="F286" s="84">
        <v>114.995</v>
      </c>
      <c r="G286" t="s">
        <v>1454</v>
      </c>
      <c r="H286" t="s">
        <v>1487</v>
      </c>
      <c r="I286" t="s">
        <v>1488</v>
      </c>
      <c r="J286" t="s">
        <v>1489</v>
      </c>
      <c r="K286" t="s">
        <v>815</v>
      </c>
      <c r="L286" t="s">
        <v>50</v>
      </c>
      <c r="N286">
        <v>30</v>
      </c>
      <c r="O286">
        <v>46</v>
      </c>
      <c r="P286">
        <v>4.1399999999999999E-2</v>
      </c>
      <c r="Q286" s="84" t="e">
        <v>#REF!</v>
      </c>
      <c r="R286" s="85">
        <v>654322.48805114103</v>
      </c>
      <c r="S286" s="85"/>
      <c r="T286" s="86">
        <v>654322.48805114103</v>
      </c>
      <c r="U286" s="84">
        <v>43.6214992034094</v>
      </c>
      <c r="V286" s="84">
        <v>160.99299999999999</v>
      </c>
      <c r="W286" s="84">
        <v>80.496499999999997</v>
      </c>
      <c r="X286" s="82">
        <v>0.35</v>
      </c>
      <c r="Y286" s="87">
        <v>100.329448167842</v>
      </c>
      <c r="Z286" s="84">
        <v>100.329448167842</v>
      </c>
      <c r="AA286" s="84">
        <v>200.65889633568301</v>
      </c>
      <c r="AB286" s="88">
        <v>2.2999999999999998</v>
      </c>
      <c r="AC286" t="s">
        <v>1490</v>
      </c>
    </row>
    <row r="287" spans="3:29">
      <c r="C287" t="s">
        <v>1491</v>
      </c>
      <c r="D287" t="s">
        <v>1492</v>
      </c>
      <c r="E287" s="84">
        <v>349.99</v>
      </c>
      <c r="F287" s="84">
        <v>174.995</v>
      </c>
      <c r="G287" t="s">
        <v>1454</v>
      </c>
      <c r="H287" t="s">
        <v>1493</v>
      </c>
      <c r="I287" t="s">
        <v>1494</v>
      </c>
      <c r="J287" t="s">
        <v>1495</v>
      </c>
      <c r="K287" t="s">
        <v>1473</v>
      </c>
      <c r="L287" t="s">
        <v>50</v>
      </c>
      <c r="M287">
        <v>45</v>
      </c>
      <c r="N287">
        <v>40</v>
      </c>
      <c r="O287">
        <v>45</v>
      </c>
      <c r="P287">
        <v>8.1000000000000003E-2</v>
      </c>
      <c r="Q287" s="84" t="e">
        <v>#REF!</v>
      </c>
      <c r="R287" s="85"/>
      <c r="S287" s="85"/>
      <c r="T287" s="86">
        <v>0</v>
      </c>
      <c r="U287" s="84">
        <v>0</v>
      </c>
      <c r="V287" s="84">
        <v>244.99299999999999</v>
      </c>
      <c r="W287" s="84">
        <v>122.4965</v>
      </c>
      <c r="X287" s="82">
        <v>0.35</v>
      </c>
      <c r="Y287" s="82"/>
      <c r="Z287" s="84">
        <v>122.4965</v>
      </c>
      <c r="AA287" s="84">
        <v>244.99299999999999</v>
      </c>
      <c r="AB287" s="88" t="e">
        <v>#DIV/0!</v>
      </c>
      <c r="AC287" t="s">
        <v>1496</v>
      </c>
    </row>
    <row r="288" spans="3:29">
      <c r="C288">
        <v>33026</v>
      </c>
      <c r="D288" t="s">
        <v>1497</v>
      </c>
      <c r="E288" s="84">
        <v>221.99</v>
      </c>
      <c r="F288" s="84">
        <v>110.995</v>
      </c>
      <c r="G288" t="s">
        <v>1454</v>
      </c>
      <c r="H288" t="s">
        <v>1498</v>
      </c>
      <c r="I288" t="s">
        <v>1499</v>
      </c>
      <c r="J288" t="s">
        <v>1500</v>
      </c>
      <c r="K288" t="s">
        <v>1501</v>
      </c>
      <c r="L288" t="s">
        <v>670</v>
      </c>
      <c r="N288">
        <v>50</v>
      </c>
      <c r="O288">
        <v>43</v>
      </c>
      <c r="P288">
        <v>0.1075</v>
      </c>
      <c r="Q288" s="84" t="e">
        <v>#REF!</v>
      </c>
      <c r="R288" s="85">
        <v>50000</v>
      </c>
      <c r="S288" s="85">
        <v>500000</v>
      </c>
      <c r="T288" s="86">
        <v>550000</v>
      </c>
      <c r="U288" s="84">
        <v>36.6666666666667</v>
      </c>
      <c r="V288" s="84">
        <v>155.393</v>
      </c>
      <c r="W288" s="84">
        <v>77.6965</v>
      </c>
      <c r="X288" s="82">
        <v>0.35</v>
      </c>
      <c r="Y288" s="87"/>
      <c r="Z288" s="84">
        <v>77.6965</v>
      </c>
      <c r="AA288" s="84">
        <v>155.393</v>
      </c>
      <c r="AB288" s="88">
        <v>2</v>
      </c>
      <c r="AC288" t="s">
        <v>1502</v>
      </c>
    </row>
    <row r="289" spans="3:29">
      <c r="C289" t="s">
        <v>802</v>
      </c>
      <c r="D289" t="s">
        <v>803</v>
      </c>
      <c r="E289" s="84">
        <v>499.99</v>
      </c>
      <c r="F289" s="84">
        <v>249.995</v>
      </c>
      <c r="G289" t="s">
        <v>1454</v>
      </c>
      <c r="H289" t="s">
        <v>1504</v>
      </c>
      <c r="I289" t="s">
        <v>1505</v>
      </c>
      <c r="J289" t="s">
        <v>806</v>
      </c>
      <c r="K289" t="s">
        <v>645</v>
      </c>
      <c r="L289" t="s">
        <v>646</v>
      </c>
      <c r="N289">
        <v>35</v>
      </c>
      <c r="O289">
        <v>45</v>
      </c>
      <c r="P289">
        <v>5.5125E-2</v>
      </c>
      <c r="Q289" s="84" t="e">
        <v>#REF!</v>
      </c>
      <c r="R289" s="85">
        <v>77959.658376777006</v>
      </c>
      <c r="S289" s="85">
        <v>900000</v>
      </c>
      <c r="T289" s="86">
        <v>977959.65837677696</v>
      </c>
      <c r="U289" s="84">
        <v>65.197310558451804</v>
      </c>
      <c r="V289" s="84">
        <v>349.99299999999999</v>
      </c>
      <c r="W289" s="84">
        <v>174.9965</v>
      </c>
      <c r="X289" s="82">
        <v>0.35</v>
      </c>
      <c r="Y289" s="82"/>
      <c r="Z289" s="84">
        <v>174.9965</v>
      </c>
      <c r="AA289" s="84">
        <v>349.99299999999999</v>
      </c>
      <c r="AB289" s="88">
        <v>2.6841061157439801</v>
      </c>
      <c r="AC289" t="s">
        <v>1506</v>
      </c>
    </row>
    <row r="290" spans="3:29">
      <c r="C290" t="s">
        <v>1507</v>
      </c>
      <c r="E290" s="84"/>
      <c r="F290" s="82"/>
      <c r="R290" s="85"/>
      <c r="S290" s="85"/>
      <c r="T290" s="86"/>
      <c r="V290" s="84">
        <v>0</v>
      </c>
      <c r="W290" s="84">
        <v>0</v>
      </c>
      <c r="X290" s="82" t="e">
        <v>#DIV/0!</v>
      </c>
      <c r="Y290" s="82">
        <v>0</v>
      </c>
      <c r="Z290" s="82"/>
      <c r="AA290" s="82"/>
      <c r="AB290" s="88" t="e">
        <v>#DIV/0!</v>
      </c>
    </row>
    <row r="291" spans="3:29">
      <c r="C291" t="s">
        <v>1508</v>
      </c>
      <c r="D291" t="s">
        <v>1509</v>
      </c>
      <c r="E291" s="84">
        <v>459.99</v>
      </c>
      <c r="F291" s="84">
        <v>229.995</v>
      </c>
      <c r="G291" t="s">
        <v>1507</v>
      </c>
      <c r="H291" t="s">
        <v>1510</v>
      </c>
      <c r="I291" t="s">
        <v>1511</v>
      </c>
      <c r="J291" t="s">
        <v>1512</v>
      </c>
      <c r="K291" t="s">
        <v>1101</v>
      </c>
      <c r="L291" t="s">
        <v>50</v>
      </c>
      <c r="M291">
        <v>110</v>
      </c>
      <c r="N291">
        <v>24</v>
      </c>
      <c r="O291">
        <v>43</v>
      </c>
      <c r="P291">
        <v>0.11352</v>
      </c>
      <c r="Q291" s="84" t="e">
        <v>#REF!</v>
      </c>
      <c r="R291" s="85"/>
      <c r="S291" s="85"/>
      <c r="T291" s="86">
        <v>0</v>
      </c>
      <c r="U291" s="84">
        <v>0</v>
      </c>
      <c r="V291" s="84">
        <v>321.99299999999999</v>
      </c>
      <c r="W291" s="84">
        <v>160.9965</v>
      </c>
      <c r="X291" s="82">
        <v>0.35</v>
      </c>
      <c r="Y291" s="82"/>
      <c r="Z291" s="84">
        <v>160.9965</v>
      </c>
      <c r="AA291" s="84">
        <v>321.99299999999999</v>
      </c>
      <c r="AB291" s="88" t="e">
        <v>#DIV/0!</v>
      </c>
      <c r="AC291" t="s">
        <v>1513</v>
      </c>
    </row>
    <row r="292" spans="3:29">
      <c r="C292" t="s">
        <v>1515</v>
      </c>
      <c r="D292" t="s">
        <v>1509</v>
      </c>
      <c r="E292" s="84">
        <v>469.99</v>
      </c>
      <c r="F292" s="84">
        <v>234.995</v>
      </c>
      <c r="G292" t="s">
        <v>1507</v>
      </c>
      <c r="H292" t="s">
        <v>1516</v>
      </c>
      <c r="I292" t="s">
        <v>1511</v>
      </c>
      <c r="J292" t="s">
        <v>1512</v>
      </c>
      <c r="K292" t="s">
        <v>5249</v>
      </c>
      <c r="L292" t="s">
        <v>50</v>
      </c>
      <c r="M292">
        <v>110</v>
      </c>
      <c r="N292">
        <v>24</v>
      </c>
      <c r="O292">
        <v>43</v>
      </c>
      <c r="P292">
        <v>0.11352</v>
      </c>
      <c r="Q292" s="84" t="e">
        <v>#REF!</v>
      </c>
      <c r="R292" s="85">
        <v>1002896.00796532</v>
      </c>
      <c r="S292" s="85">
        <v>0</v>
      </c>
      <c r="T292" s="86">
        <v>1002896.00796532</v>
      </c>
      <c r="U292" s="84">
        <v>66.859733864354894</v>
      </c>
      <c r="V292" s="84">
        <v>328.99299999999999</v>
      </c>
      <c r="W292" s="84">
        <v>164.4965</v>
      </c>
      <c r="X292" s="82">
        <v>0.35</v>
      </c>
      <c r="Y292" s="82"/>
      <c r="Z292" s="84">
        <v>164.4965</v>
      </c>
      <c r="AA292" s="84">
        <v>328.99299999999999</v>
      </c>
      <c r="AB292" s="88">
        <v>2.4603223867706498</v>
      </c>
      <c r="AC292" t="s">
        <v>1513</v>
      </c>
    </row>
    <row r="293" spans="3:29">
      <c r="C293" t="s">
        <v>1518</v>
      </c>
      <c r="D293" t="s">
        <v>1509</v>
      </c>
      <c r="E293" s="84">
        <v>499.99</v>
      </c>
      <c r="F293" s="84">
        <v>249.995</v>
      </c>
      <c r="G293" t="s">
        <v>1507</v>
      </c>
      <c r="H293" t="s">
        <v>1519</v>
      </c>
      <c r="I293" t="s">
        <v>1511</v>
      </c>
      <c r="J293" t="s">
        <v>1520</v>
      </c>
      <c r="K293" t="s">
        <v>1101</v>
      </c>
      <c r="L293" t="s">
        <v>50</v>
      </c>
      <c r="M293">
        <v>170</v>
      </c>
      <c r="N293">
        <v>25</v>
      </c>
      <c r="O293">
        <v>43</v>
      </c>
      <c r="P293">
        <v>0.18275</v>
      </c>
      <c r="Q293" s="84" t="e">
        <v>#REF!</v>
      </c>
      <c r="R293" s="85"/>
      <c r="S293" s="85"/>
      <c r="T293" s="86">
        <v>0</v>
      </c>
      <c r="U293" s="84">
        <v>0</v>
      </c>
      <c r="V293" s="84">
        <v>349.99299999999999</v>
      </c>
      <c r="W293" s="84">
        <v>174.9965</v>
      </c>
      <c r="X293" s="82">
        <v>0.35</v>
      </c>
      <c r="Y293" s="82"/>
      <c r="Z293" s="84">
        <v>174.9965</v>
      </c>
      <c r="AA293" s="84">
        <v>349.99299999999999</v>
      </c>
      <c r="AB293" s="88" t="e">
        <v>#DIV/0!</v>
      </c>
      <c r="AC293" t="s">
        <v>1513</v>
      </c>
    </row>
    <row r="294" spans="3:29">
      <c r="C294" t="s">
        <v>1521</v>
      </c>
      <c r="D294" t="s">
        <v>1509</v>
      </c>
      <c r="E294" s="84"/>
      <c r="F294" s="84">
        <v>0</v>
      </c>
      <c r="G294" t="s">
        <v>1507</v>
      </c>
      <c r="H294" t="s">
        <v>1522</v>
      </c>
      <c r="I294" t="s">
        <v>1511</v>
      </c>
      <c r="J294" t="s">
        <v>1520</v>
      </c>
      <c r="K294" t="s">
        <v>5249</v>
      </c>
      <c r="L294" t="s">
        <v>50</v>
      </c>
      <c r="M294">
        <v>170</v>
      </c>
      <c r="N294">
        <v>25</v>
      </c>
      <c r="O294">
        <v>43</v>
      </c>
      <c r="P294">
        <v>0.18275</v>
      </c>
      <c r="Q294" s="84" t="e">
        <v>#REF!</v>
      </c>
      <c r="R294" s="85"/>
      <c r="S294" s="85"/>
      <c r="T294" s="86">
        <v>0</v>
      </c>
      <c r="U294" s="84">
        <v>0</v>
      </c>
      <c r="V294" s="84">
        <v>0</v>
      </c>
      <c r="W294" s="84">
        <v>0</v>
      </c>
      <c r="X294" s="82" t="e">
        <v>#DIV/0!</v>
      </c>
      <c r="Y294" s="82"/>
      <c r="Z294" s="84">
        <v>0</v>
      </c>
      <c r="AA294" s="84">
        <v>0</v>
      </c>
      <c r="AB294" s="88" t="e">
        <v>#DIV/0!</v>
      </c>
      <c r="AC294" t="s">
        <v>1523</v>
      </c>
    </row>
    <row r="295" spans="3:29">
      <c r="C295" t="s">
        <v>1524</v>
      </c>
      <c r="D295" t="s">
        <v>1525</v>
      </c>
      <c r="E295" s="84">
        <v>309.99</v>
      </c>
      <c r="F295" s="84">
        <v>154.995</v>
      </c>
      <c r="G295" t="s">
        <v>1507</v>
      </c>
      <c r="H295" t="s">
        <v>1526</v>
      </c>
      <c r="I295" t="s">
        <v>1527</v>
      </c>
      <c r="J295" t="s">
        <v>1528</v>
      </c>
      <c r="K295" t="s">
        <v>645</v>
      </c>
      <c r="L295" t="s">
        <v>646</v>
      </c>
      <c r="M295">
        <v>100</v>
      </c>
      <c r="N295">
        <v>66</v>
      </c>
      <c r="O295">
        <v>86</v>
      </c>
      <c r="P295">
        <v>0.56759999999999999</v>
      </c>
      <c r="Q295" s="84" t="e">
        <v>#REF!</v>
      </c>
      <c r="R295" s="85">
        <v>236404.45621119399</v>
      </c>
      <c r="S295" s="85">
        <v>450000</v>
      </c>
      <c r="T295" s="86">
        <v>686404.45621119405</v>
      </c>
      <c r="U295" s="84">
        <v>45.760297080746298</v>
      </c>
      <c r="V295" s="84">
        <v>216.99299999999999</v>
      </c>
      <c r="W295" s="84">
        <v>108.4965</v>
      </c>
      <c r="X295" s="82">
        <v>0.35</v>
      </c>
      <c r="Y295" s="82"/>
      <c r="Z295" s="84">
        <v>108.4965</v>
      </c>
      <c r="AA295" s="84">
        <v>216.99299999999999</v>
      </c>
      <c r="AB295" s="88">
        <v>2.3709745548319501</v>
      </c>
      <c r="AC295" t="s">
        <v>1529</v>
      </c>
    </row>
    <row r="296" spans="3:29">
      <c r="C296" t="s">
        <v>1530</v>
      </c>
      <c r="D296" t="s">
        <v>1525</v>
      </c>
      <c r="E296" s="84">
        <v>579.99</v>
      </c>
      <c r="F296" s="84">
        <v>289.995</v>
      </c>
      <c r="G296" t="s">
        <v>1507</v>
      </c>
      <c r="H296" t="s">
        <v>1531</v>
      </c>
      <c r="I296" t="s">
        <v>1527</v>
      </c>
      <c r="J296" t="s">
        <v>1532</v>
      </c>
      <c r="K296" t="s">
        <v>645</v>
      </c>
      <c r="L296" t="s">
        <v>646</v>
      </c>
      <c r="M296">
        <v>135</v>
      </c>
      <c r="N296">
        <v>66</v>
      </c>
      <c r="O296">
        <v>86</v>
      </c>
      <c r="P296">
        <v>0.76626000000000005</v>
      </c>
      <c r="Q296" s="84" t="e">
        <v>#REF!</v>
      </c>
      <c r="R296" s="85">
        <v>269819.46142896003</v>
      </c>
      <c r="S296" s="85">
        <v>800000</v>
      </c>
      <c r="T296" s="86">
        <v>1069819.4614289601</v>
      </c>
      <c r="U296" s="84">
        <v>71.321297428597305</v>
      </c>
      <c r="V296" s="84">
        <v>405.99299999999999</v>
      </c>
      <c r="W296" s="84">
        <v>202.9965</v>
      </c>
      <c r="X296" s="82">
        <v>0.35</v>
      </c>
      <c r="Y296" s="82"/>
      <c r="Z296" s="84">
        <v>202.9965</v>
      </c>
      <c r="AA296" s="84">
        <v>405.99299999999999</v>
      </c>
      <c r="AB296" s="88">
        <v>2.8462255640151302</v>
      </c>
      <c r="AC296" t="s">
        <v>1533</v>
      </c>
    </row>
    <row r="297" spans="3:29">
      <c r="C297">
        <v>22015</v>
      </c>
      <c r="D297" t="s">
        <v>1534</v>
      </c>
      <c r="E297" s="84">
        <v>301.99</v>
      </c>
      <c r="F297" s="84">
        <v>150.995</v>
      </c>
      <c r="G297" t="s">
        <v>1507</v>
      </c>
      <c r="H297" t="s">
        <v>1535</v>
      </c>
      <c r="I297" t="s">
        <v>1536</v>
      </c>
      <c r="J297" t="s">
        <v>1537</v>
      </c>
      <c r="K297" t="s">
        <v>1538</v>
      </c>
      <c r="L297" t="s">
        <v>646</v>
      </c>
      <c r="M297">
        <v>152</v>
      </c>
      <c r="N297">
        <v>41</v>
      </c>
      <c r="O297">
        <v>47</v>
      </c>
      <c r="P297">
        <v>0.292904</v>
      </c>
      <c r="Q297" s="84" t="e">
        <v>#REF!</v>
      </c>
      <c r="R297" s="85"/>
      <c r="S297" s="85"/>
      <c r="T297" s="86">
        <v>0</v>
      </c>
      <c r="U297" s="84">
        <v>0</v>
      </c>
      <c r="V297" s="84">
        <v>211.393</v>
      </c>
      <c r="W297" s="84">
        <v>105.6965</v>
      </c>
      <c r="X297" s="82">
        <v>0.35</v>
      </c>
      <c r="Y297" s="82"/>
      <c r="Z297" s="84">
        <v>105.6965</v>
      </c>
      <c r="AA297" s="84">
        <v>211.393</v>
      </c>
      <c r="AB297" s="88" t="e">
        <v>#DIV/0!</v>
      </c>
      <c r="AC297" t="s">
        <v>1539</v>
      </c>
    </row>
    <row r="298" spans="3:29">
      <c r="C298" t="s">
        <v>1540</v>
      </c>
      <c r="D298" t="s">
        <v>1541</v>
      </c>
      <c r="E298" s="84">
        <v>599.99</v>
      </c>
      <c r="F298" s="84">
        <v>299.995</v>
      </c>
      <c r="G298" t="s">
        <v>1507</v>
      </c>
      <c r="H298" t="s">
        <v>1542</v>
      </c>
      <c r="I298" t="s">
        <v>1543</v>
      </c>
      <c r="J298" t="s">
        <v>1544</v>
      </c>
      <c r="K298" t="s">
        <v>645</v>
      </c>
      <c r="L298" t="s">
        <v>646</v>
      </c>
      <c r="M298">
        <v>127</v>
      </c>
      <c r="N298">
        <v>38</v>
      </c>
      <c r="O298">
        <v>47</v>
      </c>
      <c r="P298">
        <v>0.226822</v>
      </c>
      <c r="Q298" s="84" t="e">
        <v>#REF!</v>
      </c>
      <c r="R298" s="85"/>
      <c r="S298" s="85"/>
      <c r="T298" s="86">
        <v>0</v>
      </c>
      <c r="U298" s="84">
        <v>0</v>
      </c>
      <c r="V298" s="84">
        <v>419.99299999999999</v>
      </c>
      <c r="W298" s="84">
        <v>209.9965</v>
      </c>
      <c r="X298" s="82">
        <v>0.35</v>
      </c>
      <c r="Y298" s="82"/>
      <c r="Z298" s="84">
        <v>209.9965</v>
      </c>
      <c r="AA298" s="84">
        <v>419.99299999999999</v>
      </c>
      <c r="AB298" s="88" t="e">
        <v>#DIV/0!</v>
      </c>
      <c r="AC298" t="s">
        <v>1545</v>
      </c>
    </row>
    <row r="299" spans="3:29">
      <c r="C299" t="s">
        <v>1546</v>
      </c>
      <c r="D299" t="s">
        <v>1547</v>
      </c>
      <c r="E299" s="84">
        <v>1599.99</v>
      </c>
      <c r="F299" s="84">
        <v>799.995</v>
      </c>
      <c r="G299" t="s">
        <v>1507</v>
      </c>
      <c r="H299" t="s">
        <v>1548</v>
      </c>
      <c r="I299" t="s">
        <v>1549</v>
      </c>
      <c r="J299" t="s">
        <v>1550</v>
      </c>
      <c r="K299" t="s">
        <v>1101</v>
      </c>
      <c r="L299" t="s">
        <v>50</v>
      </c>
      <c r="M299">
        <v>240</v>
      </c>
      <c r="N299">
        <v>40</v>
      </c>
      <c r="O299">
        <v>45</v>
      </c>
      <c r="P299">
        <v>0.432</v>
      </c>
      <c r="Q299" s="84" t="e">
        <v>#REF!</v>
      </c>
      <c r="R299" s="85"/>
      <c r="S299" s="85"/>
      <c r="T299" s="86">
        <v>0</v>
      </c>
      <c r="U299" s="84">
        <v>0</v>
      </c>
      <c r="V299" s="84">
        <v>1119.9929999999999</v>
      </c>
      <c r="W299" s="84">
        <v>559.99649999999997</v>
      </c>
      <c r="X299" s="82">
        <v>0.35</v>
      </c>
      <c r="Y299" s="82"/>
      <c r="Z299" s="84">
        <v>559.99649999999997</v>
      </c>
      <c r="AA299" s="84">
        <v>1119.9929999999999</v>
      </c>
      <c r="AB299" s="88" t="e">
        <v>#DIV/0!</v>
      </c>
      <c r="AC299" t="s">
        <v>1551</v>
      </c>
    </row>
    <row r="300" spans="3:29">
      <c r="C300" t="s">
        <v>1552</v>
      </c>
      <c r="D300" t="s">
        <v>1547</v>
      </c>
      <c r="E300" s="84">
        <v>1699.99</v>
      </c>
      <c r="F300" s="84">
        <v>849.995</v>
      </c>
      <c r="G300" t="s">
        <v>1507</v>
      </c>
      <c r="H300" t="s">
        <v>1553</v>
      </c>
      <c r="I300" t="s">
        <v>1549</v>
      </c>
      <c r="J300" t="s">
        <v>1550</v>
      </c>
      <c r="K300" t="s">
        <v>5249</v>
      </c>
      <c r="L300" t="s">
        <v>50</v>
      </c>
      <c r="M300">
        <v>240</v>
      </c>
      <c r="N300">
        <v>40</v>
      </c>
      <c r="O300">
        <v>45</v>
      </c>
      <c r="P300">
        <v>0.432</v>
      </c>
      <c r="Q300" s="84" t="e">
        <v>#REF!</v>
      </c>
      <c r="R300" s="85">
        <v>2241743.5828553401</v>
      </c>
      <c r="S300" s="85">
        <v>0</v>
      </c>
      <c r="T300" s="86">
        <v>2241743.5828553401</v>
      </c>
      <c r="U300" s="84">
        <v>149.44957219035601</v>
      </c>
      <c r="V300" s="84">
        <v>1189.9929999999999</v>
      </c>
      <c r="W300" s="84">
        <v>594.99649999999997</v>
      </c>
      <c r="X300" s="82">
        <v>0.35</v>
      </c>
      <c r="Y300" s="82"/>
      <c r="Z300" s="84">
        <v>594.99649999999997</v>
      </c>
      <c r="AA300" s="84">
        <v>1189.9929999999999</v>
      </c>
      <c r="AB300" s="88">
        <v>3.98125261437447</v>
      </c>
      <c r="AC300" t="s">
        <v>1554</v>
      </c>
    </row>
    <row r="301" spans="3:29">
      <c r="C301" t="s">
        <v>1555</v>
      </c>
      <c r="D301" t="s">
        <v>1547</v>
      </c>
      <c r="E301" s="84">
        <v>1649.99</v>
      </c>
      <c r="F301" s="84">
        <v>824.995</v>
      </c>
      <c r="G301" t="s">
        <v>1507</v>
      </c>
      <c r="H301" t="s">
        <v>1556</v>
      </c>
      <c r="I301" t="s">
        <v>1549</v>
      </c>
      <c r="J301" t="s">
        <v>1557</v>
      </c>
      <c r="K301" t="s">
        <v>1101</v>
      </c>
      <c r="L301" t="s">
        <v>50</v>
      </c>
      <c r="M301">
        <v>250</v>
      </c>
      <c r="N301">
        <v>40</v>
      </c>
      <c r="O301">
        <v>45</v>
      </c>
      <c r="P301">
        <v>0.45</v>
      </c>
      <c r="Q301" s="84" t="e">
        <v>#REF!</v>
      </c>
      <c r="R301" s="85"/>
      <c r="S301" s="85"/>
      <c r="T301" s="86">
        <v>0</v>
      </c>
      <c r="U301" s="84">
        <v>0</v>
      </c>
      <c r="V301" s="84">
        <v>1154.9929999999999</v>
      </c>
      <c r="W301" s="84">
        <v>577.49649999999997</v>
      </c>
      <c r="X301" s="82">
        <v>0.35</v>
      </c>
      <c r="Y301" s="82"/>
      <c r="Z301" s="84">
        <v>577.49649999999997</v>
      </c>
      <c r="AA301" s="84">
        <v>1154.9929999999999</v>
      </c>
      <c r="AB301" s="88" t="e">
        <v>#DIV/0!</v>
      </c>
      <c r="AC301" t="s">
        <v>1551</v>
      </c>
    </row>
    <row r="302" spans="3:29">
      <c r="C302" t="s">
        <v>1558</v>
      </c>
      <c r="D302" t="s">
        <v>1547</v>
      </c>
      <c r="E302" s="84">
        <v>1789.99</v>
      </c>
      <c r="F302" s="84">
        <v>894.995</v>
      </c>
      <c r="G302" t="s">
        <v>1507</v>
      </c>
      <c r="H302" t="s">
        <v>1559</v>
      </c>
      <c r="I302" t="s">
        <v>1549</v>
      </c>
      <c r="J302" t="s">
        <v>1557</v>
      </c>
      <c r="K302" t="s">
        <v>5249</v>
      </c>
      <c r="L302" t="s">
        <v>50</v>
      </c>
      <c r="M302">
        <v>250</v>
      </c>
      <c r="N302">
        <v>40</v>
      </c>
      <c r="O302">
        <v>45</v>
      </c>
      <c r="P302">
        <v>0.45</v>
      </c>
      <c r="Q302" s="84" t="e">
        <v>#REF!</v>
      </c>
      <c r="R302" s="85"/>
      <c r="S302" s="85"/>
      <c r="T302" s="86">
        <v>0</v>
      </c>
      <c r="U302" s="84">
        <v>0</v>
      </c>
      <c r="V302" s="84">
        <v>1252.9929999999999</v>
      </c>
      <c r="W302" s="84">
        <v>626.49649999999997</v>
      </c>
      <c r="X302" s="82">
        <v>0.35</v>
      </c>
      <c r="Y302" s="82"/>
      <c r="Z302" s="84">
        <v>626.49649999999997</v>
      </c>
      <c r="AA302" s="84">
        <v>1252.9929999999999</v>
      </c>
      <c r="AB302" s="88" t="e">
        <v>#DIV/0!</v>
      </c>
      <c r="AC302" t="s">
        <v>1560</v>
      </c>
    </row>
    <row r="303" spans="3:29">
      <c r="C303" t="s">
        <v>1561</v>
      </c>
      <c r="D303" t="s">
        <v>1547</v>
      </c>
      <c r="E303" s="84">
        <v>2009.99</v>
      </c>
      <c r="F303" s="84">
        <v>1004.995</v>
      </c>
      <c r="G303" t="s">
        <v>1507</v>
      </c>
      <c r="H303" t="s">
        <v>1562</v>
      </c>
      <c r="I303" t="s">
        <v>1549</v>
      </c>
      <c r="J303" t="s">
        <v>1563</v>
      </c>
      <c r="K303" t="s">
        <v>1101</v>
      </c>
      <c r="L303" t="s">
        <v>50</v>
      </c>
      <c r="M303">
        <v>300</v>
      </c>
      <c r="N303">
        <v>40</v>
      </c>
      <c r="O303">
        <v>45</v>
      </c>
      <c r="P303">
        <v>0.54</v>
      </c>
      <c r="Q303" s="84" t="e">
        <v>#REF!</v>
      </c>
      <c r="R303" s="85"/>
      <c r="S303" s="85"/>
      <c r="T303" s="86">
        <v>0</v>
      </c>
      <c r="U303" s="84">
        <v>0</v>
      </c>
      <c r="V303" s="84">
        <v>1406.9929999999999</v>
      </c>
      <c r="W303" s="84">
        <v>703.49649999999997</v>
      </c>
      <c r="X303" s="82">
        <v>0.35</v>
      </c>
      <c r="Y303" s="82"/>
      <c r="Z303" s="84">
        <v>703.49649999999997</v>
      </c>
      <c r="AA303" s="84">
        <v>1406.9929999999999</v>
      </c>
      <c r="AB303" s="88" t="e">
        <v>#DIV/0!</v>
      </c>
      <c r="AC303" t="s">
        <v>1564</v>
      </c>
    </row>
    <row r="304" spans="3:29">
      <c r="C304" t="s">
        <v>1565</v>
      </c>
      <c r="D304" t="s">
        <v>1547</v>
      </c>
      <c r="E304" s="84">
        <v>2159.9899999999998</v>
      </c>
      <c r="F304" s="84">
        <v>1079.9949999999999</v>
      </c>
      <c r="G304" t="s">
        <v>1507</v>
      </c>
      <c r="H304" t="s">
        <v>1566</v>
      </c>
      <c r="I304" t="s">
        <v>1549</v>
      </c>
      <c r="J304" t="s">
        <v>1563</v>
      </c>
      <c r="K304" t="s">
        <v>5249</v>
      </c>
      <c r="L304" t="s">
        <v>50</v>
      </c>
      <c r="M304">
        <v>300</v>
      </c>
      <c r="N304">
        <v>40</v>
      </c>
      <c r="O304">
        <v>45</v>
      </c>
      <c r="P304">
        <v>0.54</v>
      </c>
      <c r="Q304" s="84" t="e">
        <v>#REF!</v>
      </c>
      <c r="R304" s="85"/>
      <c r="S304" s="85"/>
      <c r="T304" s="86">
        <v>0</v>
      </c>
      <c r="U304" s="84">
        <v>0</v>
      </c>
      <c r="V304" s="84">
        <v>1511.9929999999999</v>
      </c>
      <c r="W304" s="84">
        <v>755.99649999999997</v>
      </c>
      <c r="X304" s="82">
        <v>0.35</v>
      </c>
      <c r="Y304" s="82"/>
      <c r="Z304" s="84">
        <v>755.99649999999997</v>
      </c>
      <c r="AA304" s="84">
        <v>1511.9929999999999</v>
      </c>
      <c r="AB304" s="88" t="e">
        <v>#DIV/0!</v>
      </c>
      <c r="AC304" t="s">
        <v>1551</v>
      </c>
    </row>
    <row r="305" spans="3:29">
      <c r="C305" t="s">
        <v>1567</v>
      </c>
      <c r="D305" t="s">
        <v>1568</v>
      </c>
      <c r="E305" s="84">
        <v>1739.99</v>
      </c>
      <c r="F305" s="84">
        <v>869.995</v>
      </c>
      <c r="G305" t="s">
        <v>1507</v>
      </c>
      <c r="H305" t="s">
        <v>1569</v>
      </c>
      <c r="I305" t="s">
        <v>1570</v>
      </c>
      <c r="J305" t="s">
        <v>1557</v>
      </c>
      <c r="K305" t="s">
        <v>1101</v>
      </c>
      <c r="L305" t="s">
        <v>50</v>
      </c>
      <c r="M305">
        <v>250</v>
      </c>
      <c r="N305">
        <v>40</v>
      </c>
      <c r="O305">
        <v>45</v>
      </c>
      <c r="P305">
        <v>0.45</v>
      </c>
      <c r="Q305" s="84" t="e">
        <v>#REF!</v>
      </c>
      <c r="R305" s="85"/>
      <c r="S305" s="85"/>
      <c r="T305" s="86">
        <v>0</v>
      </c>
      <c r="U305" s="84">
        <v>0</v>
      </c>
      <c r="V305" s="84">
        <v>1217.9929999999999</v>
      </c>
      <c r="W305" s="84">
        <v>608.99649999999997</v>
      </c>
      <c r="X305" s="82">
        <v>0.35</v>
      </c>
      <c r="Y305" s="82"/>
      <c r="Z305" s="84">
        <v>608.99649999999997</v>
      </c>
      <c r="AA305" s="84">
        <v>1217.9929999999999</v>
      </c>
      <c r="AB305" s="88" t="e">
        <v>#DIV/0!</v>
      </c>
      <c r="AC305" t="s">
        <v>1571</v>
      </c>
    </row>
    <row r="306" spans="3:29">
      <c r="C306" t="s">
        <v>1572</v>
      </c>
      <c r="D306" t="s">
        <v>1568</v>
      </c>
      <c r="E306" s="84">
        <v>1979.99</v>
      </c>
      <c r="F306" s="84">
        <v>989.995</v>
      </c>
      <c r="G306" t="s">
        <v>1507</v>
      </c>
      <c r="H306" t="s">
        <v>1573</v>
      </c>
      <c r="I306" t="s">
        <v>1570</v>
      </c>
      <c r="J306" t="s">
        <v>1557</v>
      </c>
      <c r="K306" t="s">
        <v>5249</v>
      </c>
      <c r="L306" t="s">
        <v>50</v>
      </c>
      <c r="M306">
        <v>250</v>
      </c>
      <c r="N306">
        <v>40</v>
      </c>
      <c r="O306">
        <v>45</v>
      </c>
      <c r="P306">
        <v>0.45</v>
      </c>
      <c r="Q306" s="84" t="e">
        <v>#REF!</v>
      </c>
      <c r="R306" s="85"/>
      <c r="S306" s="85"/>
      <c r="T306" s="86">
        <v>0</v>
      </c>
      <c r="U306" s="84">
        <v>0</v>
      </c>
      <c r="V306" s="84">
        <v>1385.9929999999999</v>
      </c>
      <c r="W306" s="84">
        <v>692.99649999999997</v>
      </c>
      <c r="X306" s="82">
        <v>0.35</v>
      </c>
      <c r="Y306" s="82"/>
      <c r="Z306" s="84">
        <v>692.99649999999997</v>
      </c>
      <c r="AA306" s="84">
        <v>1385.9929999999999</v>
      </c>
      <c r="AB306" s="88" t="e">
        <v>#DIV/0!</v>
      </c>
      <c r="AC306" t="s">
        <v>1574</v>
      </c>
    </row>
    <row r="307" spans="3:29">
      <c r="C307" t="s">
        <v>1575</v>
      </c>
      <c r="D307" t="s">
        <v>1568</v>
      </c>
      <c r="E307" s="84">
        <v>2219.9899999999998</v>
      </c>
      <c r="F307" s="84">
        <v>1109.9949999999999</v>
      </c>
      <c r="G307" t="s">
        <v>1507</v>
      </c>
      <c r="H307" t="s">
        <v>1576</v>
      </c>
      <c r="I307" t="s">
        <v>1570</v>
      </c>
      <c r="J307" t="s">
        <v>1577</v>
      </c>
      <c r="K307" t="s">
        <v>1101</v>
      </c>
      <c r="L307" t="s">
        <v>50</v>
      </c>
      <c r="M307">
        <v>300</v>
      </c>
      <c r="N307">
        <v>40</v>
      </c>
      <c r="O307">
        <v>45</v>
      </c>
      <c r="P307">
        <v>0.54</v>
      </c>
      <c r="Q307" s="84" t="e">
        <v>#REF!</v>
      </c>
      <c r="R307" s="85"/>
      <c r="S307" s="85"/>
      <c r="T307" s="86">
        <v>0</v>
      </c>
      <c r="U307" s="84">
        <v>0</v>
      </c>
      <c r="V307" s="84">
        <v>1553.9929999999999</v>
      </c>
      <c r="W307" s="84">
        <v>776.99649999999997</v>
      </c>
      <c r="X307" s="82">
        <v>0.35</v>
      </c>
      <c r="Y307" s="82"/>
      <c r="Z307" s="84">
        <v>776.99649999999997</v>
      </c>
      <c r="AA307" s="84">
        <v>1553.9929999999999</v>
      </c>
      <c r="AB307" s="88" t="e">
        <v>#DIV/0!</v>
      </c>
      <c r="AC307" t="s">
        <v>1578</v>
      </c>
    </row>
    <row r="308" spans="3:29">
      <c r="C308" t="s">
        <v>1579</v>
      </c>
      <c r="D308" t="s">
        <v>1568</v>
      </c>
      <c r="E308" s="84">
        <v>2429.9899999999998</v>
      </c>
      <c r="F308" s="84">
        <v>1214.9949999999999</v>
      </c>
      <c r="G308" t="s">
        <v>1507</v>
      </c>
      <c r="H308" t="s">
        <v>1580</v>
      </c>
      <c r="I308" t="s">
        <v>1570</v>
      </c>
      <c r="J308" t="s">
        <v>1577</v>
      </c>
      <c r="K308" t="s">
        <v>5249</v>
      </c>
      <c r="L308" t="s">
        <v>50</v>
      </c>
      <c r="M308">
        <v>300</v>
      </c>
      <c r="N308">
        <v>40</v>
      </c>
      <c r="O308">
        <v>45</v>
      </c>
      <c r="P308">
        <v>0.54</v>
      </c>
      <c r="Q308" s="84" t="e">
        <v>#REF!</v>
      </c>
      <c r="R308" s="85">
        <v>3034405.8361179102</v>
      </c>
      <c r="S308" s="85">
        <v>0</v>
      </c>
      <c r="T308" s="86">
        <v>3034405.8361179102</v>
      </c>
      <c r="U308" s="84">
        <v>202.293722407861</v>
      </c>
      <c r="V308" s="84">
        <v>1700.9929999999999</v>
      </c>
      <c r="W308" s="84">
        <v>850.49649999999997</v>
      </c>
      <c r="X308" s="82">
        <v>0.35</v>
      </c>
      <c r="Y308" s="82"/>
      <c r="Z308" s="84">
        <v>850.49649999999997</v>
      </c>
      <c r="AA308" s="84">
        <v>1700.9929999999999</v>
      </c>
      <c r="AB308" s="88">
        <v>4.20426541108995</v>
      </c>
      <c r="AC308" t="s">
        <v>1574</v>
      </c>
    </row>
    <row r="309" spans="3:29">
      <c r="C309" t="s">
        <v>1581</v>
      </c>
      <c r="D309" t="s">
        <v>1582</v>
      </c>
      <c r="E309" s="84">
        <v>1669.99</v>
      </c>
      <c r="F309" s="84">
        <v>834.995</v>
      </c>
      <c r="G309" t="s">
        <v>1507</v>
      </c>
      <c r="H309" t="s">
        <v>1583</v>
      </c>
      <c r="I309" t="s">
        <v>1584</v>
      </c>
      <c r="J309" t="s">
        <v>1585</v>
      </c>
      <c r="K309" t="s">
        <v>1101</v>
      </c>
      <c r="L309" t="s">
        <v>50</v>
      </c>
      <c r="M309">
        <v>280</v>
      </c>
      <c r="N309">
        <v>40</v>
      </c>
      <c r="O309">
        <v>45</v>
      </c>
      <c r="P309">
        <v>0.504</v>
      </c>
      <c r="Q309" s="84" t="e">
        <v>#REF!</v>
      </c>
      <c r="R309" s="85"/>
      <c r="S309" s="85"/>
      <c r="T309" s="86">
        <v>0</v>
      </c>
      <c r="U309" s="84">
        <v>0</v>
      </c>
      <c r="V309" s="84">
        <v>1168.9929999999999</v>
      </c>
      <c r="W309" s="84">
        <v>584.49649999999997</v>
      </c>
      <c r="X309" s="82">
        <v>0.35</v>
      </c>
      <c r="Y309" s="82"/>
      <c r="Z309" s="84">
        <v>584.49649999999997</v>
      </c>
      <c r="AA309" s="84">
        <v>1168.9929999999999</v>
      </c>
      <c r="AB309" s="88" t="e">
        <v>#DIV/0!</v>
      </c>
      <c r="AC309" t="s">
        <v>1586</v>
      </c>
    </row>
    <row r="310" spans="3:29">
      <c r="C310" t="s">
        <v>1587</v>
      </c>
      <c r="D310" t="s">
        <v>1582</v>
      </c>
      <c r="E310" s="84">
        <v>1739.99</v>
      </c>
      <c r="F310" s="84">
        <v>869.995</v>
      </c>
      <c r="G310" t="s">
        <v>1507</v>
      </c>
      <c r="H310" t="s">
        <v>1588</v>
      </c>
      <c r="I310" t="s">
        <v>1584</v>
      </c>
      <c r="J310" t="s">
        <v>1585</v>
      </c>
      <c r="K310" t="s">
        <v>5249</v>
      </c>
      <c r="L310" t="s">
        <v>50</v>
      </c>
      <c r="M310">
        <v>280</v>
      </c>
      <c r="N310">
        <v>40</v>
      </c>
      <c r="O310">
        <v>45</v>
      </c>
      <c r="P310">
        <v>0.504</v>
      </c>
      <c r="Q310" s="84" t="e">
        <v>#REF!</v>
      </c>
      <c r="R310" s="85"/>
      <c r="S310" s="85"/>
      <c r="T310" s="86">
        <v>0</v>
      </c>
      <c r="U310" s="84">
        <v>0</v>
      </c>
      <c r="V310" s="84">
        <v>1217.9929999999999</v>
      </c>
      <c r="W310" s="84">
        <v>608.99649999999997</v>
      </c>
      <c r="X310" s="82">
        <v>0.35</v>
      </c>
      <c r="Y310" s="82"/>
      <c r="Z310" s="84">
        <v>608.99649999999997</v>
      </c>
      <c r="AA310" s="84">
        <v>1217.9929999999999</v>
      </c>
      <c r="AB310" s="88" t="e">
        <v>#DIV/0!</v>
      </c>
      <c r="AC310" t="s">
        <v>1589</v>
      </c>
    </row>
    <row r="311" spans="3:29">
      <c r="C311" t="s">
        <v>1590</v>
      </c>
      <c r="D311" t="s">
        <v>1582</v>
      </c>
      <c r="E311" s="84">
        <v>2049.9899999999998</v>
      </c>
      <c r="F311" s="84">
        <v>1024.9949999999999</v>
      </c>
      <c r="G311" t="s">
        <v>1507</v>
      </c>
      <c r="H311" t="s">
        <v>1591</v>
      </c>
      <c r="I311" t="s">
        <v>1584</v>
      </c>
      <c r="J311" t="s">
        <v>1592</v>
      </c>
      <c r="K311" t="s">
        <v>1101</v>
      </c>
      <c r="L311" t="s">
        <v>50</v>
      </c>
      <c r="M311">
        <v>320</v>
      </c>
      <c r="N311">
        <v>40</v>
      </c>
      <c r="O311">
        <v>45</v>
      </c>
      <c r="P311">
        <v>0.57599999999999996</v>
      </c>
      <c r="Q311" s="84" t="e">
        <v>#REF!</v>
      </c>
      <c r="R311" s="85"/>
      <c r="S311" s="85"/>
      <c r="T311" s="86">
        <v>0</v>
      </c>
      <c r="U311" s="84">
        <v>0</v>
      </c>
      <c r="V311" s="84">
        <v>1434.9929999999999</v>
      </c>
      <c r="W311" s="84">
        <v>717.49649999999997</v>
      </c>
      <c r="X311" s="82">
        <v>0.35</v>
      </c>
      <c r="Y311" s="82"/>
      <c r="Z311" s="84">
        <v>717.49649999999997</v>
      </c>
      <c r="AA311" s="84">
        <v>1434.9929999999999</v>
      </c>
      <c r="AB311" s="88" t="e">
        <v>#DIV/0!</v>
      </c>
      <c r="AC311" t="s">
        <v>1586</v>
      </c>
    </row>
    <row r="312" spans="3:29">
      <c r="C312" t="s">
        <v>1593</v>
      </c>
      <c r="D312" t="s">
        <v>1582</v>
      </c>
      <c r="E312" s="84">
        <v>2129.9899999999998</v>
      </c>
      <c r="F312" s="84">
        <v>1064.9949999999999</v>
      </c>
      <c r="G312" t="s">
        <v>1507</v>
      </c>
      <c r="H312" t="s">
        <v>1594</v>
      </c>
      <c r="I312" t="s">
        <v>1584</v>
      </c>
      <c r="J312" t="s">
        <v>1592</v>
      </c>
      <c r="K312" t="s">
        <v>5249</v>
      </c>
      <c r="L312" t="s">
        <v>50</v>
      </c>
      <c r="M312">
        <v>320</v>
      </c>
      <c r="N312">
        <v>40</v>
      </c>
      <c r="O312">
        <v>45</v>
      </c>
      <c r="P312">
        <v>0.57599999999999996</v>
      </c>
      <c r="Q312" s="84" t="e">
        <v>#REF!</v>
      </c>
      <c r="R312" s="85"/>
      <c r="S312" s="85"/>
      <c r="T312" s="86">
        <v>0</v>
      </c>
      <c r="U312" s="84">
        <v>0</v>
      </c>
      <c r="V312" s="84">
        <v>1490.9929999999999</v>
      </c>
      <c r="W312" s="84">
        <v>745.49649999999997</v>
      </c>
      <c r="X312" s="82">
        <v>0.35</v>
      </c>
      <c r="Y312" s="82"/>
      <c r="Z312" s="84">
        <v>745.49649999999997</v>
      </c>
      <c r="AA312" s="84">
        <v>1490.9929999999999</v>
      </c>
      <c r="AB312" s="88" t="e">
        <v>#DIV/0!</v>
      </c>
      <c r="AC312" t="s">
        <v>1586</v>
      </c>
    </row>
    <row r="313" spans="3:29">
      <c r="C313" t="s">
        <v>1595</v>
      </c>
      <c r="D313" t="s">
        <v>1582</v>
      </c>
      <c r="E313" s="84">
        <v>4049.99</v>
      </c>
      <c r="F313" s="84">
        <v>2024.9949999999999</v>
      </c>
      <c r="G313" t="s">
        <v>1507</v>
      </c>
      <c r="H313" t="s">
        <v>1596</v>
      </c>
      <c r="I313" t="s">
        <v>1584</v>
      </c>
      <c r="J313" t="s">
        <v>1597</v>
      </c>
      <c r="K313" t="s">
        <v>1101</v>
      </c>
      <c r="L313" t="s">
        <v>50</v>
      </c>
      <c r="M313">
        <v>400</v>
      </c>
      <c r="N313">
        <v>40</v>
      </c>
      <c r="O313">
        <v>45</v>
      </c>
      <c r="P313">
        <v>0.72</v>
      </c>
      <c r="Q313" s="84" t="e">
        <v>#REF!</v>
      </c>
      <c r="R313" s="85"/>
      <c r="S313" s="85"/>
      <c r="T313" s="86">
        <v>0</v>
      </c>
      <c r="U313" s="84">
        <v>0</v>
      </c>
      <c r="V313" s="84">
        <v>2834.9929999999999</v>
      </c>
      <c r="W313" s="84">
        <v>1417.4965</v>
      </c>
      <c r="X313" s="82">
        <v>0.35</v>
      </c>
      <c r="Y313" s="82"/>
      <c r="Z313" s="84">
        <v>1417.4965</v>
      </c>
      <c r="AA313" s="84">
        <v>2834.9929999999999</v>
      </c>
      <c r="AB313" s="88" t="e">
        <v>#DIV/0!</v>
      </c>
      <c r="AC313" t="s">
        <v>1586</v>
      </c>
    </row>
    <row r="314" spans="3:29">
      <c r="C314" t="s">
        <v>1598</v>
      </c>
      <c r="D314" t="s">
        <v>1582</v>
      </c>
      <c r="E314" s="84">
        <v>4259.99</v>
      </c>
      <c r="F314" s="84">
        <v>2129.9949999999999</v>
      </c>
      <c r="G314" t="s">
        <v>1507</v>
      </c>
      <c r="H314" t="s">
        <v>1599</v>
      </c>
      <c r="I314" t="s">
        <v>1584</v>
      </c>
      <c r="J314" t="s">
        <v>1597</v>
      </c>
      <c r="K314" t="s">
        <v>5249</v>
      </c>
      <c r="L314" t="s">
        <v>50</v>
      </c>
      <c r="M314">
        <v>400</v>
      </c>
      <c r="N314">
        <v>40</v>
      </c>
      <c r="O314">
        <v>45</v>
      </c>
      <c r="P314">
        <v>0.72</v>
      </c>
      <c r="Q314" s="84" t="e">
        <v>#REF!</v>
      </c>
      <c r="R314" s="85"/>
      <c r="S314" s="85"/>
      <c r="T314" s="86">
        <v>0</v>
      </c>
      <c r="U314" s="84">
        <v>0</v>
      </c>
      <c r="V314" s="84">
        <v>2981.9929999999999</v>
      </c>
      <c r="W314" s="84">
        <v>1490.9965</v>
      </c>
      <c r="X314" s="82">
        <v>0.35</v>
      </c>
      <c r="Y314" s="82"/>
      <c r="Z314" s="84">
        <v>1490.9965</v>
      </c>
      <c r="AA314" s="84">
        <v>2981.9929999999999</v>
      </c>
      <c r="AB314" s="88" t="e">
        <v>#DIV/0!</v>
      </c>
      <c r="AC314" t="s">
        <v>1600</v>
      </c>
    </row>
    <row r="315" spans="3:29">
      <c r="C315" t="s">
        <v>1601</v>
      </c>
      <c r="D315" t="s">
        <v>1602</v>
      </c>
      <c r="E315" s="84">
        <v>1979.99</v>
      </c>
      <c r="F315" s="84">
        <v>989.995</v>
      </c>
      <c r="G315" t="s">
        <v>1507</v>
      </c>
      <c r="H315" t="s">
        <v>1603</v>
      </c>
      <c r="I315" t="s">
        <v>1604</v>
      </c>
      <c r="J315" t="s">
        <v>1605</v>
      </c>
      <c r="K315" t="s">
        <v>1101</v>
      </c>
      <c r="L315" t="s">
        <v>50</v>
      </c>
      <c r="M315">
        <v>260</v>
      </c>
      <c r="N315">
        <v>40</v>
      </c>
      <c r="O315">
        <v>45</v>
      </c>
      <c r="P315">
        <v>0.46800000000000003</v>
      </c>
      <c r="Q315" s="84" t="e">
        <v>#REF!</v>
      </c>
      <c r="R315" s="85"/>
      <c r="S315" s="85"/>
      <c r="T315" s="86">
        <v>0</v>
      </c>
      <c r="U315" s="84">
        <v>0</v>
      </c>
      <c r="V315" s="84">
        <v>1385.9929999999999</v>
      </c>
      <c r="W315" s="84">
        <v>692.99649999999997</v>
      </c>
      <c r="X315" s="82">
        <v>0.35</v>
      </c>
      <c r="Y315" s="82"/>
      <c r="Z315" s="84">
        <v>692.99649999999997</v>
      </c>
      <c r="AA315" s="84">
        <v>1385.9929999999999</v>
      </c>
      <c r="AB315" s="88" t="e">
        <v>#DIV/0!</v>
      </c>
      <c r="AC315" t="s">
        <v>1606</v>
      </c>
    </row>
    <row r="316" spans="3:29">
      <c r="C316" t="s">
        <v>1607</v>
      </c>
      <c r="D316" t="s">
        <v>1602</v>
      </c>
      <c r="E316" s="84">
        <v>2029.99</v>
      </c>
      <c r="F316" s="84">
        <v>1014.995</v>
      </c>
      <c r="G316" t="s">
        <v>1507</v>
      </c>
      <c r="H316" t="s">
        <v>1608</v>
      </c>
      <c r="I316" t="s">
        <v>1604</v>
      </c>
      <c r="J316" t="s">
        <v>1605</v>
      </c>
      <c r="K316" t="s">
        <v>5249</v>
      </c>
      <c r="L316" t="s">
        <v>50</v>
      </c>
      <c r="M316">
        <v>260</v>
      </c>
      <c r="N316">
        <v>40</v>
      </c>
      <c r="O316">
        <v>45</v>
      </c>
      <c r="P316">
        <v>0.46800000000000003</v>
      </c>
      <c r="Q316" s="84" t="e">
        <v>#REF!</v>
      </c>
      <c r="R316" s="85"/>
      <c r="S316" s="85"/>
      <c r="T316" s="86"/>
      <c r="U316" s="84">
        <v>0</v>
      </c>
      <c r="V316" s="84">
        <v>1420.9929999999999</v>
      </c>
      <c r="W316" s="84">
        <v>710.49649999999997</v>
      </c>
      <c r="X316" s="82">
        <v>0.35</v>
      </c>
      <c r="Y316" s="82"/>
      <c r="Z316" s="84">
        <v>710.49649999999997</v>
      </c>
      <c r="AA316" s="84">
        <v>1420.9929999999999</v>
      </c>
      <c r="AB316" s="88" t="e">
        <v>#DIV/0!</v>
      </c>
      <c r="AC316" t="s">
        <v>1609</v>
      </c>
    </row>
    <row r="317" spans="3:29">
      <c r="C317" t="s">
        <v>1610</v>
      </c>
      <c r="E317" s="84"/>
      <c r="F317" s="82"/>
      <c r="R317" s="85"/>
      <c r="S317" s="85"/>
      <c r="T317" s="86"/>
      <c r="V317" s="84">
        <v>0</v>
      </c>
      <c r="W317" s="84">
        <v>0</v>
      </c>
      <c r="X317" s="82" t="e">
        <v>#DIV/0!</v>
      </c>
      <c r="Y317" s="82">
        <v>0</v>
      </c>
      <c r="Z317" s="82"/>
      <c r="AA317" s="82"/>
      <c r="AB317" s="88" t="e">
        <v>#DIV/0!</v>
      </c>
    </row>
    <row r="318" spans="3:29">
      <c r="C318" t="s">
        <v>1611</v>
      </c>
      <c r="D318" t="s">
        <v>1612</v>
      </c>
      <c r="E318" s="84">
        <v>1359.99</v>
      </c>
      <c r="F318" s="84">
        <v>679.995</v>
      </c>
      <c r="G318" t="s">
        <v>1610</v>
      </c>
      <c r="H318" t="s">
        <v>1613</v>
      </c>
      <c r="I318" t="s">
        <v>1614</v>
      </c>
      <c r="J318" t="s">
        <v>1615</v>
      </c>
      <c r="K318" t="s">
        <v>807</v>
      </c>
      <c r="L318" t="s">
        <v>50</v>
      </c>
      <c r="M318">
        <v>102</v>
      </c>
      <c r="N318">
        <v>67</v>
      </c>
      <c r="O318">
        <v>64</v>
      </c>
      <c r="P318">
        <v>0.43737599999999999</v>
      </c>
      <c r="Q318" s="84" t="e">
        <v>#REF!</v>
      </c>
      <c r="R318" s="85"/>
      <c r="S318" s="85"/>
      <c r="T318" s="86">
        <v>0</v>
      </c>
      <c r="U318" s="84">
        <v>0</v>
      </c>
      <c r="V318" s="84">
        <v>951.99300000000005</v>
      </c>
      <c r="W318" s="84">
        <v>475.99650000000003</v>
      </c>
      <c r="X318" s="82">
        <v>0.35</v>
      </c>
      <c r="Y318" s="82"/>
      <c r="Z318" s="84">
        <v>475.99650000000003</v>
      </c>
      <c r="AA318" s="84">
        <v>951.99300000000005</v>
      </c>
      <c r="AB318" s="88" t="e">
        <v>#DIV/0!</v>
      </c>
      <c r="AC318" t="s">
        <v>1616</v>
      </c>
    </row>
    <row r="319" spans="3:29">
      <c r="C319" t="s">
        <v>1618</v>
      </c>
      <c r="D319" t="s">
        <v>1619</v>
      </c>
      <c r="E319" s="84">
        <v>3369.99</v>
      </c>
      <c r="F319" s="84">
        <v>1684.9949999999999</v>
      </c>
      <c r="G319" t="s">
        <v>1610</v>
      </c>
      <c r="H319" t="s">
        <v>1620</v>
      </c>
      <c r="I319" t="s">
        <v>1621</v>
      </c>
      <c r="J319" t="s">
        <v>1622</v>
      </c>
      <c r="K319" t="s">
        <v>1223</v>
      </c>
      <c r="L319" t="s">
        <v>670</v>
      </c>
      <c r="M319">
        <v>102</v>
      </c>
      <c r="N319">
        <v>70</v>
      </c>
      <c r="O319">
        <v>75</v>
      </c>
      <c r="P319">
        <v>0.53549999999999998</v>
      </c>
      <c r="Q319" s="84" t="e">
        <v>#REF!</v>
      </c>
      <c r="R319" s="85"/>
      <c r="S319" s="85"/>
      <c r="T319" s="86">
        <v>0</v>
      </c>
      <c r="U319" s="84">
        <v>0</v>
      </c>
      <c r="V319" s="84">
        <v>2358.9929999999999</v>
      </c>
      <c r="W319" s="84">
        <v>1179.4965</v>
      </c>
      <c r="X319" s="82">
        <v>0.35</v>
      </c>
      <c r="Y319" s="82"/>
      <c r="Z319" s="84">
        <v>1179.4965</v>
      </c>
      <c r="AA319" s="84">
        <v>2358.9929999999999</v>
      </c>
      <c r="AB319" s="88" t="e">
        <v>#DIV/0!</v>
      </c>
      <c r="AC319" t="s">
        <v>1623</v>
      </c>
    </row>
    <row r="320" spans="3:29">
      <c r="C320" t="s">
        <v>1624</v>
      </c>
      <c r="D320" t="s">
        <v>1625</v>
      </c>
      <c r="E320" s="84">
        <v>1359.99</v>
      </c>
      <c r="F320" s="84">
        <v>679.995</v>
      </c>
      <c r="G320" t="s">
        <v>1610</v>
      </c>
      <c r="H320" t="s">
        <v>1626</v>
      </c>
      <c r="I320" t="s">
        <v>1627</v>
      </c>
      <c r="J320" t="s">
        <v>1628</v>
      </c>
      <c r="K320" t="s">
        <v>807</v>
      </c>
      <c r="L320" t="s">
        <v>50</v>
      </c>
      <c r="M320">
        <v>202</v>
      </c>
      <c r="N320">
        <v>67</v>
      </c>
      <c r="O320">
        <v>64</v>
      </c>
      <c r="P320">
        <v>0.86617599999999995</v>
      </c>
      <c r="Q320" s="84" t="e">
        <v>#REF!</v>
      </c>
      <c r="R320" s="85"/>
      <c r="S320" s="85"/>
      <c r="T320" s="86">
        <v>0</v>
      </c>
      <c r="U320" s="84">
        <v>0</v>
      </c>
      <c r="V320" s="84">
        <v>951.99300000000005</v>
      </c>
      <c r="W320" s="84">
        <v>475.99650000000003</v>
      </c>
      <c r="X320" s="82">
        <v>0.35</v>
      </c>
      <c r="Y320" s="82"/>
      <c r="Z320" s="84">
        <v>475.99650000000003</v>
      </c>
      <c r="AA320" s="84">
        <v>951.99300000000005</v>
      </c>
      <c r="AB320" s="88" t="e">
        <v>#DIV/0!</v>
      </c>
      <c r="AC320" t="s">
        <v>1629</v>
      </c>
    </row>
    <row r="321" spans="3:29">
      <c r="C321" t="s">
        <v>1630</v>
      </c>
      <c r="D321" t="s">
        <v>1631</v>
      </c>
      <c r="E321" s="84">
        <v>3674.99</v>
      </c>
      <c r="F321" s="84">
        <v>1837.4949999999999</v>
      </c>
      <c r="G321" t="s">
        <v>1610</v>
      </c>
      <c r="H321" t="s">
        <v>1632</v>
      </c>
      <c r="I321" t="s">
        <v>1633</v>
      </c>
      <c r="J321" t="s">
        <v>1634</v>
      </c>
      <c r="K321" t="s">
        <v>1223</v>
      </c>
      <c r="L321" t="s">
        <v>670</v>
      </c>
      <c r="M321">
        <v>202</v>
      </c>
      <c r="N321">
        <v>70</v>
      </c>
      <c r="O321">
        <v>75</v>
      </c>
      <c r="P321">
        <v>1.0605</v>
      </c>
      <c r="Q321" s="84" t="e">
        <v>#REF!</v>
      </c>
      <c r="R321" s="85"/>
      <c r="S321" s="85"/>
      <c r="T321" s="86">
        <v>0</v>
      </c>
      <c r="U321" s="84">
        <v>0</v>
      </c>
      <c r="V321" s="84">
        <v>2572.4929999999999</v>
      </c>
      <c r="W321" s="84">
        <v>1286.2465</v>
      </c>
      <c r="X321" s="82">
        <v>0.35</v>
      </c>
      <c r="Y321" s="82"/>
      <c r="Z321" s="84">
        <v>1286.2465</v>
      </c>
      <c r="AA321" s="84">
        <v>2572.4929999999999</v>
      </c>
      <c r="AB321" s="88" t="e">
        <v>#DIV/0!</v>
      </c>
      <c r="AC321" t="s">
        <v>1635</v>
      </c>
    </row>
    <row r="322" spans="3:29">
      <c r="C322" t="s">
        <v>1636</v>
      </c>
      <c r="D322" t="s">
        <v>1637</v>
      </c>
      <c r="E322" s="84">
        <v>1359.99</v>
      </c>
      <c r="F322" s="84">
        <v>679.995</v>
      </c>
      <c r="G322" t="s">
        <v>1610</v>
      </c>
      <c r="H322" t="s">
        <v>1638</v>
      </c>
      <c r="I322" t="s">
        <v>1639</v>
      </c>
      <c r="J322" t="s">
        <v>1640</v>
      </c>
      <c r="K322" t="s">
        <v>807</v>
      </c>
      <c r="L322" t="s">
        <v>50</v>
      </c>
      <c r="M322">
        <v>250</v>
      </c>
      <c r="N322">
        <v>67</v>
      </c>
      <c r="O322">
        <v>64</v>
      </c>
      <c r="P322">
        <v>1.0720000000000001</v>
      </c>
      <c r="Q322" s="84" t="e">
        <v>#REF!</v>
      </c>
      <c r="R322" s="85"/>
      <c r="S322" s="85"/>
      <c r="T322" s="86">
        <v>0</v>
      </c>
      <c r="U322" s="84">
        <v>0</v>
      </c>
      <c r="V322" s="84">
        <v>951.99300000000005</v>
      </c>
      <c r="W322" s="84">
        <v>475.99650000000003</v>
      </c>
      <c r="X322" s="82">
        <v>0.35</v>
      </c>
      <c r="Y322" s="82"/>
      <c r="Z322" s="84">
        <v>475.99650000000003</v>
      </c>
      <c r="AA322" s="84">
        <v>951.99300000000005</v>
      </c>
      <c r="AB322" s="88" t="e">
        <v>#DIV/0!</v>
      </c>
      <c r="AC322" t="s">
        <v>1641</v>
      </c>
    </row>
    <row r="323" spans="3:29">
      <c r="C323" t="s">
        <v>1642</v>
      </c>
      <c r="D323" t="s">
        <v>1643</v>
      </c>
      <c r="E323" s="84">
        <v>3674.99</v>
      </c>
      <c r="F323" s="84">
        <v>1837.4949999999999</v>
      </c>
      <c r="G323" t="s">
        <v>1610</v>
      </c>
      <c r="H323" t="s">
        <v>1644</v>
      </c>
      <c r="I323" t="s">
        <v>1645</v>
      </c>
      <c r="J323" t="s">
        <v>1646</v>
      </c>
      <c r="K323" t="s">
        <v>1223</v>
      </c>
      <c r="L323" t="s">
        <v>670</v>
      </c>
      <c r="M323">
        <v>250</v>
      </c>
      <c r="N323">
        <v>67</v>
      </c>
      <c r="O323">
        <v>64</v>
      </c>
      <c r="P323">
        <v>1.0720000000000001</v>
      </c>
      <c r="Q323" s="84" t="e">
        <v>#REF!</v>
      </c>
      <c r="R323" s="85"/>
      <c r="S323" s="85"/>
      <c r="T323" s="86">
        <v>0</v>
      </c>
      <c r="U323" s="84">
        <v>0</v>
      </c>
      <c r="V323" s="84">
        <v>2572.4929999999999</v>
      </c>
      <c r="W323" s="84">
        <v>1286.2465</v>
      </c>
      <c r="X323" s="82">
        <v>0.35</v>
      </c>
      <c r="Y323" s="82"/>
      <c r="Z323" s="84">
        <v>1286.2465</v>
      </c>
      <c r="AA323" s="84">
        <v>2572.4929999999999</v>
      </c>
      <c r="AB323" s="88" t="e">
        <v>#DIV/0!</v>
      </c>
      <c r="AC323" t="s">
        <v>1647</v>
      </c>
    </row>
    <row r="324" spans="3:29">
      <c r="C324" t="s">
        <v>1648</v>
      </c>
      <c r="D324" t="s">
        <v>1649</v>
      </c>
      <c r="E324" s="84">
        <v>1279.99</v>
      </c>
      <c r="F324" s="84">
        <v>639.995</v>
      </c>
      <c r="G324" t="s">
        <v>1610</v>
      </c>
      <c r="H324" t="s">
        <v>1650</v>
      </c>
      <c r="I324" t="s">
        <v>1651</v>
      </c>
      <c r="J324" t="s">
        <v>1652</v>
      </c>
      <c r="K324" t="s">
        <v>807</v>
      </c>
      <c r="L324" t="s">
        <v>50</v>
      </c>
      <c r="M324">
        <v>106</v>
      </c>
      <c r="N324">
        <v>86</v>
      </c>
      <c r="O324">
        <v>73</v>
      </c>
      <c r="P324">
        <v>0.66546799999999995</v>
      </c>
      <c r="Q324" s="84" t="e">
        <v>#REF!</v>
      </c>
      <c r="R324" s="85"/>
      <c r="S324" s="85"/>
      <c r="T324" s="86">
        <v>0</v>
      </c>
      <c r="U324" s="84">
        <v>0</v>
      </c>
      <c r="V324" s="84">
        <v>895.99300000000005</v>
      </c>
      <c r="W324" s="84">
        <v>447.99650000000003</v>
      </c>
      <c r="X324" s="82">
        <v>0.35</v>
      </c>
      <c r="Y324" s="82"/>
      <c r="Z324" s="84">
        <v>447.99650000000003</v>
      </c>
      <c r="AA324" s="84">
        <v>895.99300000000005</v>
      </c>
      <c r="AB324" s="88" t="e">
        <v>#DIV/0!</v>
      </c>
      <c r="AC324" t="s">
        <v>1653</v>
      </c>
    </row>
    <row r="325" spans="3:29">
      <c r="C325" t="s">
        <v>1654</v>
      </c>
      <c r="D325" t="s">
        <v>1655</v>
      </c>
      <c r="E325" s="84">
        <v>2049.9899999999998</v>
      </c>
      <c r="F325" s="84">
        <v>1024.9949999999999</v>
      </c>
      <c r="G325" t="s">
        <v>1610</v>
      </c>
      <c r="H325" t="s">
        <v>1656</v>
      </c>
      <c r="I325" t="s">
        <v>1657</v>
      </c>
      <c r="J325" t="s">
        <v>1658</v>
      </c>
      <c r="K325" t="s">
        <v>807</v>
      </c>
      <c r="L325" t="s">
        <v>50</v>
      </c>
      <c r="M325">
        <v>206</v>
      </c>
      <c r="N325">
        <v>86</v>
      </c>
      <c r="O325">
        <v>73</v>
      </c>
      <c r="P325">
        <v>1.2932680000000001</v>
      </c>
      <c r="Q325" s="84" t="e">
        <v>#REF!</v>
      </c>
      <c r="R325" s="85"/>
      <c r="S325" s="85"/>
      <c r="T325" s="86">
        <v>0</v>
      </c>
      <c r="U325" s="84">
        <v>0</v>
      </c>
      <c r="V325" s="84">
        <v>1434.9929999999999</v>
      </c>
      <c r="W325" s="84">
        <v>717.49649999999997</v>
      </c>
      <c r="X325" s="82">
        <v>0.35</v>
      </c>
      <c r="Y325" s="82"/>
      <c r="Z325" s="84">
        <v>717.49649999999997</v>
      </c>
      <c r="AA325" s="84">
        <v>1434.9929999999999</v>
      </c>
      <c r="AB325" s="88" t="e">
        <v>#DIV/0!</v>
      </c>
      <c r="AC325" t="s">
        <v>1659</v>
      </c>
    </row>
    <row r="326" spans="3:29">
      <c r="C326" t="s">
        <v>1660</v>
      </c>
      <c r="D326" t="s">
        <v>1661</v>
      </c>
      <c r="E326" s="84">
        <v>1279.99</v>
      </c>
      <c r="F326" s="84">
        <v>639.995</v>
      </c>
      <c r="G326" t="s">
        <v>1610</v>
      </c>
      <c r="H326" t="s">
        <v>1662</v>
      </c>
      <c r="I326" t="s">
        <v>1663</v>
      </c>
      <c r="J326" t="s">
        <v>1664</v>
      </c>
      <c r="K326" t="s">
        <v>807</v>
      </c>
      <c r="L326" t="s">
        <v>50</v>
      </c>
      <c r="M326">
        <v>250</v>
      </c>
      <c r="N326">
        <v>86</v>
      </c>
      <c r="O326">
        <v>73</v>
      </c>
      <c r="P326">
        <v>1.5694999999999999</v>
      </c>
      <c r="Q326" s="84" t="e">
        <v>#REF!</v>
      </c>
      <c r="R326" s="85"/>
      <c r="S326" s="85"/>
      <c r="T326" s="86">
        <v>0</v>
      </c>
      <c r="U326" s="84">
        <v>0</v>
      </c>
      <c r="V326" s="84">
        <v>895.99300000000005</v>
      </c>
      <c r="W326" s="84">
        <v>447.99650000000003</v>
      </c>
      <c r="X326" s="82">
        <v>0.35</v>
      </c>
      <c r="Y326" s="82"/>
      <c r="Z326" s="84">
        <v>447.99650000000003</v>
      </c>
      <c r="AA326" s="84">
        <v>895.99300000000005</v>
      </c>
      <c r="AB326" s="88" t="e">
        <v>#DIV/0!</v>
      </c>
      <c r="AC326" t="s">
        <v>1665</v>
      </c>
    </row>
    <row r="327" spans="3:29">
      <c r="C327" t="s">
        <v>1666</v>
      </c>
      <c r="D327" t="s">
        <v>1667</v>
      </c>
      <c r="E327" s="84">
        <v>3594.99</v>
      </c>
      <c r="F327" s="84">
        <v>1797.4949999999999</v>
      </c>
      <c r="G327" t="s">
        <v>1610</v>
      </c>
      <c r="H327" t="s">
        <v>1668</v>
      </c>
      <c r="I327" t="s">
        <v>1669</v>
      </c>
      <c r="J327" t="s">
        <v>1670</v>
      </c>
      <c r="K327" t="s">
        <v>1671</v>
      </c>
      <c r="L327" t="s">
        <v>670</v>
      </c>
      <c r="M327">
        <v>105</v>
      </c>
      <c r="N327">
        <v>90</v>
      </c>
      <c r="O327">
        <v>67</v>
      </c>
      <c r="P327">
        <v>0.63314999999999999</v>
      </c>
      <c r="Q327" s="84" t="e">
        <v>#REF!</v>
      </c>
      <c r="R327" s="85"/>
      <c r="S327" s="85"/>
      <c r="T327" s="86">
        <v>0</v>
      </c>
      <c r="U327" s="84">
        <v>0</v>
      </c>
      <c r="V327" s="84">
        <v>2516.4929999999999</v>
      </c>
      <c r="W327" s="84">
        <v>1258.2465</v>
      </c>
      <c r="X327" s="82">
        <v>0.35</v>
      </c>
      <c r="Y327" s="82"/>
      <c r="Z327" s="84">
        <v>1258.2465</v>
      </c>
      <c r="AA327" s="84">
        <v>2516.4929999999999</v>
      </c>
      <c r="AB327" s="88" t="e">
        <v>#DIV/0!</v>
      </c>
      <c r="AC327" t="s">
        <v>1672</v>
      </c>
    </row>
    <row r="328" spans="3:29">
      <c r="C328" t="s">
        <v>1674</v>
      </c>
      <c r="D328" t="s">
        <v>1675</v>
      </c>
      <c r="E328" s="84">
        <v>5084.99</v>
      </c>
      <c r="F328" s="84">
        <v>2542.4949999999999</v>
      </c>
      <c r="G328" t="s">
        <v>1610</v>
      </c>
      <c r="H328" t="s">
        <v>1676</v>
      </c>
      <c r="I328" t="s">
        <v>1677</v>
      </c>
      <c r="J328" t="s">
        <v>1678</v>
      </c>
      <c r="K328" t="s">
        <v>1671</v>
      </c>
      <c r="L328" t="s">
        <v>670</v>
      </c>
      <c r="M328">
        <v>205</v>
      </c>
      <c r="N328">
        <v>90</v>
      </c>
      <c r="O328">
        <v>67</v>
      </c>
      <c r="P328">
        <v>1.2361500000000001</v>
      </c>
      <c r="Q328" s="84" t="e">
        <v>#REF!</v>
      </c>
      <c r="R328" s="85"/>
      <c r="S328" s="85"/>
      <c r="T328" s="86">
        <v>0</v>
      </c>
      <c r="U328" s="84">
        <v>0</v>
      </c>
      <c r="V328" s="84">
        <v>3559.4929999999999</v>
      </c>
      <c r="W328" s="84">
        <v>1779.7465</v>
      </c>
      <c r="X328" s="82">
        <v>0.35</v>
      </c>
      <c r="Y328" s="82"/>
      <c r="Z328" s="84">
        <v>1779.7465</v>
      </c>
      <c r="AA328" s="84">
        <v>3559.4929999999999</v>
      </c>
      <c r="AB328" s="88" t="e">
        <v>#DIV/0!</v>
      </c>
      <c r="AC328" t="s">
        <v>1679</v>
      </c>
    </row>
    <row r="329" spans="3:29">
      <c r="C329" t="s">
        <v>1680</v>
      </c>
      <c r="D329" t="s">
        <v>1681</v>
      </c>
      <c r="E329" s="84">
        <v>5979.99</v>
      </c>
      <c r="F329" s="84">
        <v>2989.9949999999999</v>
      </c>
      <c r="G329" t="s">
        <v>1610</v>
      </c>
      <c r="H329" t="s">
        <v>1682</v>
      </c>
      <c r="I329" t="s">
        <v>1683</v>
      </c>
      <c r="J329" t="s">
        <v>1684</v>
      </c>
      <c r="K329" t="s">
        <v>1671</v>
      </c>
      <c r="L329" t="s">
        <v>670</v>
      </c>
      <c r="M329">
        <v>270</v>
      </c>
      <c r="N329">
        <v>90</v>
      </c>
      <c r="O329">
        <v>67</v>
      </c>
      <c r="P329">
        <v>1.6281000000000001</v>
      </c>
      <c r="Q329" s="84" t="e">
        <v>#REF!</v>
      </c>
      <c r="R329" s="85"/>
      <c r="S329" s="85"/>
      <c r="T329" s="86">
        <v>0</v>
      </c>
      <c r="U329" s="84">
        <v>0</v>
      </c>
      <c r="V329" s="84">
        <v>4185.9930000000004</v>
      </c>
      <c r="W329" s="84">
        <v>2092.9965000000002</v>
      </c>
      <c r="X329" s="82">
        <v>0.35</v>
      </c>
      <c r="Y329" s="82"/>
      <c r="Z329" s="84">
        <v>2092.9965000000002</v>
      </c>
      <c r="AA329" s="84">
        <v>4185.9930000000004</v>
      </c>
      <c r="AB329" s="88" t="e">
        <v>#DIV/0!</v>
      </c>
      <c r="AC329" t="s">
        <v>1685</v>
      </c>
    </row>
    <row r="330" spans="3:29">
      <c r="C330" t="s">
        <v>1686</v>
      </c>
      <c r="E330" s="84"/>
      <c r="F330" s="82"/>
      <c r="R330" s="85"/>
      <c r="S330" s="85"/>
      <c r="T330" s="86"/>
      <c r="V330" s="84"/>
      <c r="W330" s="84"/>
      <c r="X330" s="82"/>
      <c r="Y330" s="82"/>
      <c r="Z330" s="82"/>
      <c r="AA330" s="82"/>
      <c r="AB330" s="88"/>
    </row>
    <row r="331" spans="3:29">
      <c r="C331" t="s">
        <v>1687</v>
      </c>
      <c r="D331" t="s">
        <v>1688</v>
      </c>
      <c r="E331" s="84">
        <v>2189.9899999999998</v>
      </c>
      <c r="F331" s="84">
        <v>1094.9949999999999</v>
      </c>
      <c r="G331" t="s">
        <v>1686</v>
      </c>
      <c r="H331" t="s">
        <v>1689</v>
      </c>
      <c r="I331" t="s">
        <v>1690</v>
      </c>
      <c r="J331" t="s">
        <v>1691</v>
      </c>
      <c r="K331" t="s">
        <v>807</v>
      </c>
      <c r="L331" t="s">
        <v>50</v>
      </c>
      <c r="M331">
        <v>92</v>
      </c>
      <c r="N331">
        <v>87</v>
      </c>
      <c r="O331">
        <v>66</v>
      </c>
      <c r="P331">
        <v>0.52826399999999996</v>
      </c>
      <c r="Q331" s="84" t="e">
        <v>#REF!</v>
      </c>
      <c r="R331" s="85">
        <v>2755166.5439385101</v>
      </c>
      <c r="S331" s="85">
        <v>0</v>
      </c>
      <c r="T331" s="86">
        <v>2755166.5439385101</v>
      </c>
      <c r="U331" s="84">
        <v>183.6777695959</v>
      </c>
      <c r="V331" s="84">
        <v>1532.9929999999999</v>
      </c>
      <c r="W331" s="84">
        <v>766.49649999999997</v>
      </c>
      <c r="X331" s="82">
        <v>0.35</v>
      </c>
      <c r="Y331" s="82"/>
      <c r="Z331" s="84">
        <v>766.49649999999997</v>
      </c>
      <c r="AA331" s="84">
        <v>1532.9929999999999</v>
      </c>
      <c r="AB331" s="88">
        <v>4.1730499106469301</v>
      </c>
      <c r="AC331" t="s">
        <v>1692</v>
      </c>
    </row>
    <row r="332" spans="3:29">
      <c r="C332" t="s">
        <v>1694</v>
      </c>
      <c r="D332" t="s">
        <v>1695</v>
      </c>
      <c r="E332" s="84">
        <v>724.99</v>
      </c>
      <c r="F332" s="84">
        <v>362.495</v>
      </c>
      <c r="G332" t="s">
        <v>1686</v>
      </c>
      <c r="H332" t="s">
        <v>1696</v>
      </c>
      <c r="I332" t="s">
        <v>1697</v>
      </c>
      <c r="K332" t="s">
        <v>1223</v>
      </c>
      <c r="L332" t="s">
        <v>1698</v>
      </c>
      <c r="P332">
        <v>0</v>
      </c>
      <c r="Q332" s="84" t="e">
        <v>#REF!</v>
      </c>
      <c r="R332" s="85"/>
      <c r="S332" s="85"/>
      <c r="T332" s="86">
        <v>0</v>
      </c>
      <c r="U332" s="84">
        <v>0</v>
      </c>
      <c r="V332" s="84">
        <v>507.49299999999999</v>
      </c>
      <c r="W332" s="84">
        <v>253.7465</v>
      </c>
      <c r="X332" s="82">
        <v>0.35</v>
      </c>
      <c r="Y332" s="82"/>
      <c r="Z332" s="84">
        <v>253.7465</v>
      </c>
      <c r="AA332" s="84">
        <v>507.49299999999999</v>
      </c>
      <c r="AB332" s="88" t="e">
        <v>#DIV/0!</v>
      </c>
      <c r="AC332" t="s">
        <v>1699</v>
      </c>
    </row>
    <row r="333" spans="3:29">
      <c r="C333" t="s">
        <v>1700</v>
      </c>
      <c r="D333" t="s">
        <v>1701</v>
      </c>
      <c r="E333" s="84">
        <v>3259.99</v>
      </c>
      <c r="F333" s="84">
        <v>1629.9949999999999</v>
      </c>
      <c r="G333" t="s">
        <v>1686</v>
      </c>
      <c r="H333" t="s">
        <v>1702</v>
      </c>
      <c r="I333" t="s">
        <v>1703</v>
      </c>
      <c r="J333" t="s">
        <v>1704</v>
      </c>
      <c r="K333" t="s">
        <v>807</v>
      </c>
      <c r="L333" t="s">
        <v>50</v>
      </c>
      <c r="M333">
        <v>188</v>
      </c>
      <c r="N333">
        <v>87</v>
      </c>
      <c r="O333">
        <v>66</v>
      </c>
      <c r="P333">
        <v>1.079496</v>
      </c>
      <c r="Q333" s="84" t="e">
        <v>#REF!</v>
      </c>
      <c r="R333" s="85">
        <v>4262379.4144301098</v>
      </c>
      <c r="S333" s="85">
        <v>0</v>
      </c>
      <c r="T333" s="86">
        <v>4262379.4144301098</v>
      </c>
      <c r="U333" s="84">
        <v>284.15862762867403</v>
      </c>
      <c r="V333" s="84">
        <v>2281.9929999999999</v>
      </c>
      <c r="W333" s="84">
        <v>1140.9965</v>
      </c>
      <c r="X333" s="82">
        <v>0.35</v>
      </c>
      <c r="Y333" s="82"/>
      <c r="Z333" s="84">
        <v>1140.9965</v>
      </c>
      <c r="AA333" s="84">
        <v>2281.9929999999999</v>
      </c>
      <c r="AB333" s="88">
        <v>4.0153505438905901</v>
      </c>
      <c r="AC333" t="s">
        <v>1705</v>
      </c>
    </row>
    <row r="334" spans="3:29">
      <c r="C334" t="s">
        <v>1706</v>
      </c>
      <c r="D334" t="s">
        <v>1707</v>
      </c>
      <c r="E334" s="84">
        <v>1359.99</v>
      </c>
      <c r="F334" s="84">
        <v>679.995</v>
      </c>
      <c r="G334" t="s">
        <v>1686</v>
      </c>
      <c r="H334" t="s">
        <v>1708</v>
      </c>
      <c r="I334" t="s">
        <v>1709</v>
      </c>
      <c r="K334" t="s">
        <v>1223</v>
      </c>
      <c r="L334" t="s">
        <v>1698</v>
      </c>
      <c r="P334">
        <v>0</v>
      </c>
      <c r="Q334" s="84" t="e">
        <v>#REF!</v>
      </c>
      <c r="R334" s="85"/>
      <c r="S334" s="85"/>
      <c r="T334" s="86">
        <v>0</v>
      </c>
      <c r="U334" s="84">
        <v>0</v>
      </c>
      <c r="V334" s="84">
        <v>951.99300000000005</v>
      </c>
      <c r="W334" s="84">
        <v>475.99650000000003</v>
      </c>
      <c r="X334" s="82">
        <v>0.35</v>
      </c>
      <c r="Y334" s="82"/>
      <c r="Z334" s="84">
        <v>475.99650000000003</v>
      </c>
      <c r="AA334" s="84">
        <v>951.99300000000005</v>
      </c>
      <c r="AB334" s="88" t="e">
        <v>#DIV/0!</v>
      </c>
      <c r="AC334" t="s">
        <v>1710</v>
      </c>
    </row>
    <row r="335" spans="3:29">
      <c r="C335" t="s">
        <v>1711</v>
      </c>
      <c r="D335" t="s">
        <v>1712</v>
      </c>
      <c r="E335" s="84">
        <v>4139.99</v>
      </c>
      <c r="F335" s="84">
        <v>2069.9949999999999</v>
      </c>
      <c r="G335" t="s">
        <v>1686</v>
      </c>
      <c r="H335" t="s">
        <v>1713</v>
      </c>
      <c r="I335" t="s">
        <v>1714</v>
      </c>
      <c r="J335" t="s">
        <v>1715</v>
      </c>
      <c r="K335" t="s">
        <v>807</v>
      </c>
      <c r="L335" t="s">
        <v>50</v>
      </c>
      <c r="M335">
        <v>300</v>
      </c>
      <c r="N335">
        <v>87</v>
      </c>
      <c r="O335">
        <v>66</v>
      </c>
      <c r="P335">
        <v>1.7225999999999999</v>
      </c>
      <c r="Q335" s="84" t="e">
        <v>#REF!</v>
      </c>
      <c r="R335" s="85"/>
      <c r="S335" s="85"/>
      <c r="T335" s="86">
        <v>0</v>
      </c>
      <c r="U335" s="84">
        <v>0</v>
      </c>
      <c r="V335" s="84">
        <v>2897.9929999999999</v>
      </c>
      <c r="W335" s="84">
        <v>1448.9965</v>
      </c>
      <c r="X335" s="82">
        <v>0.35</v>
      </c>
      <c r="Y335" s="82"/>
      <c r="Z335" s="84">
        <v>1448.9965</v>
      </c>
      <c r="AA335" s="84">
        <v>2897.9929999999999</v>
      </c>
      <c r="AB335" s="88" t="e">
        <v>#DIV/0!</v>
      </c>
      <c r="AC335" t="s">
        <v>1716</v>
      </c>
    </row>
    <row r="336" spans="3:29">
      <c r="C336" t="s">
        <v>1717</v>
      </c>
      <c r="D336" t="s">
        <v>1718</v>
      </c>
      <c r="E336" s="84">
        <v>2379.9899999999998</v>
      </c>
      <c r="F336" s="84">
        <v>1189.9949999999999</v>
      </c>
      <c r="G336" t="s">
        <v>1686</v>
      </c>
      <c r="H336" t="s">
        <v>1708</v>
      </c>
      <c r="I336" t="s">
        <v>1719</v>
      </c>
      <c r="K336" t="s">
        <v>1223</v>
      </c>
      <c r="L336" t="s">
        <v>1698</v>
      </c>
      <c r="P336">
        <v>0</v>
      </c>
      <c r="Q336" s="84" t="e">
        <v>#REF!</v>
      </c>
      <c r="R336" s="85"/>
      <c r="S336" s="85"/>
      <c r="T336" s="86">
        <v>0</v>
      </c>
      <c r="U336" s="84">
        <v>0</v>
      </c>
      <c r="V336" s="84">
        <v>1665.9929999999999</v>
      </c>
      <c r="W336" s="84">
        <v>832.99649999999997</v>
      </c>
      <c r="X336" s="82">
        <v>0.35</v>
      </c>
      <c r="Y336" s="82"/>
      <c r="Z336" s="84">
        <v>832.99649999999997</v>
      </c>
      <c r="AA336" s="84">
        <v>1665.9929999999999</v>
      </c>
      <c r="AB336" s="88" t="e">
        <v>#DIV/0!</v>
      </c>
      <c r="AC336" t="s">
        <v>1720</v>
      </c>
    </row>
    <row r="337" spans="3:29">
      <c r="C337" t="s">
        <v>1721</v>
      </c>
      <c r="D337" t="s">
        <v>1722</v>
      </c>
      <c r="E337" s="84">
        <v>2259.9899999999998</v>
      </c>
      <c r="F337" s="84">
        <v>1129.9949999999999</v>
      </c>
      <c r="G337" t="s">
        <v>1686</v>
      </c>
      <c r="H337" t="s">
        <v>1723</v>
      </c>
      <c r="I337" t="s">
        <v>1724</v>
      </c>
      <c r="J337" t="s">
        <v>1725</v>
      </c>
      <c r="K337" t="s">
        <v>815</v>
      </c>
      <c r="L337" t="s">
        <v>50</v>
      </c>
      <c r="M337">
        <v>62</v>
      </c>
      <c r="N337">
        <v>76</v>
      </c>
      <c r="O337">
        <v>87</v>
      </c>
      <c r="P337">
        <v>0.40994399999999998</v>
      </c>
      <c r="Q337" s="84" t="e">
        <v>#REF!</v>
      </c>
      <c r="R337" s="85">
        <v>4774103.60102381</v>
      </c>
      <c r="S337" s="85">
        <v>0</v>
      </c>
      <c r="T337" s="86">
        <v>4774103.60102381</v>
      </c>
      <c r="U337" s="84">
        <v>318.27357340158699</v>
      </c>
      <c r="V337" s="84">
        <v>1581.9929999999999</v>
      </c>
      <c r="W337" s="84">
        <v>790.99649999999997</v>
      </c>
      <c r="X337" s="82">
        <v>0.35</v>
      </c>
      <c r="Y337" s="82"/>
      <c r="Z337" s="84">
        <v>790.99649999999997</v>
      </c>
      <c r="AA337" s="84">
        <v>1581.9929999999999</v>
      </c>
      <c r="AB337" s="88">
        <v>2.4852723132056802</v>
      </c>
      <c r="AC337" t="s">
        <v>1726</v>
      </c>
    </row>
    <row r="338" spans="3:29">
      <c r="C338" t="s">
        <v>1727</v>
      </c>
      <c r="D338" t="s">
        <v>1728</v>
      </c>
      <c r="E338" s="84">
        <v>2499.9899999999998</v>
      </c>
      <c r="F338" s="84">
        <v>1249.9949999999999</v>
      </c>
      <c r="G338" t="s">
        <v>1686</v>
      </c>
      <c r="H338" t="s">
        <v>1729</v>
      </c>
      <c r="I338" t="s">
        <v>1730</v>
      </c>
      <c r="J338" t="s">
        <v>1731</v>
      </c>
      <c r="K338" t="s">
        <v>807</v>
      </c>
      <c r="L338" t="s">
        <v>646</v>
      </c>
      <c r="M338">
        <v>200</v>
      </c>
      <c r="N338">
        <v>109</v>
      </c>
      <c r="O338">
        <v>84</v>
      </c>
      <c r="P338">
        <v>1.8311999999999999</v>
      </c>
      <c r="Q338" s="84" t="e">
        <v>#REF!</v>
      </c>
      <c r="R338" s="85"/>
      <c r="S338" s="85"/>
      <c r="T338" s="86">
        <v>0</v>
      </c>
      <c r="U338" s="84">
        <v>0</v>
      </c>
      <c r="V338" s="84">
        <v>1749.9929999999999</v>
      </c>
      <c r="W338" s="84">
        <v>874.99649999999997</v>
      </c>
      <c r="X338" s="82">
        <v>0.35</v>
      </c>
      <c r="Y338" s="82"/>
      <c r="Z338" s="84">
        <v>874.99649999999997</v>
      </c>
      <c r="AA338" s="84">
        <v>1749.9929999999999</v>
      </c>
      <c r="AB338" s="88" t="e">
        <v>#DIV/0!</v>
      </c>
      <c r="AC338" t="s">
        <v>1732</v>
      </c>
    </row>
    <row r="339" spans="3:29">
      <c r="C339">
        <v>21422</v>
      </c>
      <c r="D339" t="s">
        <v>1733</v>
      </c>
      <c r="E339" s="84">
        <v>289.99</v>
      </c>
      <c r="F339" s="84">
        <v>144.995</v>
      </c>
      <c r="G339" t="s">
        <v>1686</v>
      </c>
      <c r="H339" t="s">
        <v>1734</v>
      </c>
      <c r="I339" t="s">
        <v>1735</v>
      </c>
      <c r="J339" t="s">
        <v>1736</v>
      </c>
      <c r="K339" t="s">
        <v>1196</v>
      </c>
      <c r="L339" t="s">
        <v>1698</v>
      </c>
      <c r="M339">
        <v>70</v>
      </c>
      <c r="N339">
        <v>66</v>
      </c>
      <c r="O339">
        <v>77</v>
      </c>
      <c r="P339">
        <v>0.35574</v>
      </c>
      <c r="Q339" s="84" t="e">
        <v>#REF!</v>
      </c>
      <c r="R339" s="85"/>
      <c r="S339" s="85"/>
      <c r="T339" s="86">
        <v>0</v>
      </c>
      <c r="U339" s="84">
        <v>0</v>
      </c>
      <c r="V339" s="84">
        <v>202.99299999999999</v>
      </c>
      <c r="W339" s="84">
        <v>101.4965</v>
      </c>
      <c r="X339" s="82">
        <v>0.35</v>
      </c>
      <c r="Y339" s="82"/>
      <c r="Z339" s="84">
        <v>101.4965</v>
      </c>
      <c r="AA339" s="84">
        <v>202.99299999999999</v>
      </c>
      <c r="AB339" s="88" t="e">
        <v>#DIV/0!</v>
      </c>
      <c r="AC339" t="s">
        <v>1737</v>
      </c>
    </row>
    <row r="340" spans="3:29">
      <c r="C340" t="s">
        <v>1738</v>
      </c>
      <c r="D340" t="s">
        <v>1739</v>
      </c>
      <c r="E340" s="84">
        <v>164.99</v>
      </c>
      <c r="F340" s="84">
        <v>82.495000000000005</v>
      </c>
      <c r="G340" t="s">
        <v>1686</v>
      </c>
      <c r="H340" t="s">
        <v>1740</v>
      </c>
      <c r="I340" t="s">
        <v>1741</v>
      </c>
      <c r="K340" t="s">
        <v>1223</v>
      </c>
      <c r="L340" t="s">
        <v>1698</v>
      </c>
      <c r="P340">
        <v>0</v>
      </c>
      <c r="Q340" s="84" t="e">
        <v>#REF!</v>
      </c>
      <c r="R340" s="85"/>
      <c r="S340" s="85"/>
      <c r="T340" s="86">
        <v>0</v>
      </c>
      <c r="U340" s="84">
        <v>0</v>
      </c>
      <c r="V340" s="84">
        <v>115.49299999999999</v>
      </c>
      <c r="W340" s="84">
        <v>57.746499999999997</v>
      </c>
      <c r="X340" s="82">
        <v>0.35</v>
      </c>
      <c r="Y340" s="82"/>
      <c r="Z340" s="84">
        <v>57.746499999999997</v>
      </c>
      <c r="AA340" s="84">
        <v>115.49299999999999</v>
      </c>
      <c r="AB340" s="88" t="e">
        <v>#DIV/0!</v>
      </c>
      <c r="AC340" t="s">
        <v>1742</v>
      </c>
    </row>
    <row r="341" spans="3:29">
      <c r="C341" t="s">
        <v>1743</v>
      </c>
      <c r="D341" t="s">
        <v>1744</v>
      </c>
      <c r="E341" s="84">
        <v>2359.9899999999998</v>
      </c>
      <c r="F341" s="84">
        <v>1179.9949999999999</v>
      </c>
      <c r="G341" t="s">
        <v>1686</v>
      </c>
      <c r="H341" t="s">
        <v>1745</v>
      </c>
      <c r="I341" t="s">
        <v>1746</v>
      </c>
      <c r="J341" t="s">
        <v>1747</v>
      </c>
      <c r="K341" t="s">
        <v>815</v>
      </c>
      <c r="L341" t="s">
        <v>853</v>
      </c>
      <c r="M341">
        <v>88</v>
      </c>
      <c r="N341">
        <v>78</v>
      </c>
      <c r="O341">
        <v>74</v>
      </c>
      <c r="P341">
        <v>0.50793600000000005</v>
      </c>
      <c r="Q341" s="84" t="e">
        <v>#REF!</v>
      </c>
      <c r="R341" s="85"/>
      <c r="S341" s="85"/>
      <c r="T341" s="86">
        <v>0</v>
      </c>
      <c r="U341" s="84">
        <v>0</v>
      </c>
      <c r="V341" s="84">
        <v>1651.9929999999999</v>
      </c>
      <c r="W341" s="84">
        <v>825.99649999999997</v>
      </c>
      <c r="X341" s="82">
        <v>0.35</v>
      </c>
      <c r="Y341" s="82"/>
      <c r="Z341" s="84">
        <v>825.99649999999997</v>
      </c>
      <c r="AA341" s="84">
        <v>1651.9929999999999</v>
      </c>
      <c r="AB341" s="88" t="e">
        <v>#DIV/0!</v>
      </c>
      <c r="AC341" t="s">
        <v>1748</v>
      </c>
    </row>
    <row r="342" spans="3:29">
      <c r="C342" t="s">
        <v>1749</v>
      </c>
      <c r="D342" t="s">
        <v>1750</v>
      </c>
      <c r="E342" s="84">
        <v>874.99</v>
      </c>
      <c r="F342" s="84">
        <v>437.495</v>
      </c>
      <c r="G342" t="s">
        <v>1686</v>
      </c>
      <c r="H342" t="s">
        <v>1751</v>
      </c>
      <c r="I342" t="s">
        <v>1752</v>
      </c>
      <c r="K342" t="s">
        <v>1223</v>
      </c>
      <c r="L342" t="s">
        <v>1698</v>
      </c>
      <c r="P342">
        <v>0</v>
      </c>
      <c r="Q342" s="84" t="e">
        <v>#REF!</v>
      </c>
      <c r="R342" s="85"/>
      <c r="S342" s="85"/>
      <c r="T342" s="86">
        <v>0</v>
      </c>
      <c r="U342" s="84">
        <v>0</v>
      </c>
      <c r="V342" s="84">
        <v>612.49300000000005</v>
      </c>
      <c r="W342" s="84">
        <v>306.24650000000003</v>
      </c>
      <c r="X342" s="82">
        <v>0.35</v>
      </c>
      <c r="Y342" s="82"/>
      <c r="Z342" s="84">
        <v>306.24650000000003</v>
      </c>
      <c r="AA342" s="84">
        <v>612.49300000000005</v>
      </c>
      <c r="AB342" s="88" t="e">
        <v>#DIV/0!</v>
      </c>
      <c r="AC342" t="s">
        <v>1753</v>
      </c>
    </row>
    <row r="343" spans="3:29">
      <c r="C343" t="s">
        <v>1754</v>
      </c>
      <c r="D343" t="s">
        <v>1755</v>
      </c>
      <c r="E343" s="84">
        <v>3709.99</v>
      </c>
      <c r="F343" s="84">
        <v>1854.9949999999999</v>
      </c>
      <c r="G343" t="s">
        <v>1686</v>
      </c>
      <c r="H343" t="s">
        <v>1756</v>
      </c>
      <c r="I343" t="s">
        <v>1757</v>
      </c>
      <c r="J343" t="s">
        <v>1758</v>
      </c>
      <c r="K343" t="s">
        <v>815</v>
      </c>
      <c r="L343" t="s">
        <v>853</v>
      </c>
      <c r="M343">
        <v>178</v>
      </c>
      <c r="N343">
        <v>78</v>
      </c>
      <c r="O343">
        <v>74</v>
      </c>
      <c r="P343">
        <v>1.0274160000000001</v>
      </c>
      <c r="Q343" s="84" t="e">
        <v>#REF!</v>
      </c>
      <c r="R343" s="85"/>
      <c r="S343" s="85"/>
      <c r="T343" s="86">
        <v>0</v>
      </c>
      <c r="U343" s="84">
        <v>0</v>
      </c>
      <c r="V343" s="84">
        <v>2596.9929999999999</v>
      </c>
      <c r="W343" s="84">
        <v>1298.4965</v>
      </c>
      <c r="X343" s="82">
        <v>0.35</v>
      </c>
      <c r="Y343" s="82"/>
      <c r="Z343" s="84">
        <v>1298.4965</v>
      </c>
      <c r="AA343" s="84">
        <v>2596.9929999999999</v>
      </c>
      <c r="AB343" s="88" t="e">
        <v>#DIV/0!</v>
      </c>
      <c r="AC343" t="s">
        <v>1759</v>
      </c>
    </row>
    <row r="344" spans="3:29">
      <c r="C344" t="s">
        <v>1760</v>
      </c>
      <c r="D344" t="s">
        <v>1761</v>
      </c>
      <c r="E344" s="84">
        <v>1744.99</v>
      </c>
      <c r="F344" s="84">
        <v>872.495</v>
      </c>
      <c r="G344" t="s">
        <v>1686</v>
      </c>
      <c r="H344" t="s">
        <v>1751</v>
      </c>
      <c r="I344" t="s">
        <v>1752</v>
      </c>
      <c r="K344" t="s">
        <v>1223</v>
      </c>
      <c r="L344" t="s">
        <v>1698</v>
      </c>
      <c r="P344">
        <v>0</v>
      </c>
      <c r="Q344" s="84" t="e">
        <v>#REF!</v>
      </c>
      <c r="R344" s="85"/>
      <c r="S344" s="85"/>
      <c r="T344" s="86">
        <v>0</v>
      </c>
      <c r="U344" s="84">
        <v>0</v>
      </c>
      <c r="V344" s="84">
        <v>1221.4929999999999</v>
      </c>
      <c r="W344" s="84">
        <v>610.74649999999997</v>
      </c>
      <c r="X344" s="82">
        <v>0.35</v>
      </c>
      <c r="Y344" s="82"/>
      <c r="Z344" s="84">
        <v>610.74649999999997</v>
      </c>
      <c r="AA344" s="84">
        <v>1221.4929999999999</v>
      </c>
      <c r="AB344" s="88" t="e">
        <v>#DIV/0!</v>
      </c>
      <c r="AC344" t="s">
        <v>1753</v>
      </c>
    </row>
    <row r="345" spans="3:29">
      <c r="C345" t="s">
        <v>1762</v>
      </c>
      <c r="D345" t="s">
        <v>1763</v>
      </c>
      <c r="E345" s="84">
        <v>5259.99</v>
      </c>
      <c r="F345" s="84">
        <v>2629.9949999999999</v>
      </c>
      <c r="G345" t="s">
        <v>1686</v>
      </c>
      <c r="H345" t="s">
        <v>1764</v>
      </c>
      <c r="I345" t="s">
        <v>1765</v>
      </c>
      <c r="J345" t="s">
        <v>1766</v>
      </c>
      <c r="K345" t="s">
        <v>815</v>
      </c>
      <c r="L345" t="s">
        <v>853</v>
      </c>
      <c r="M345">
        <v>248</v>
      </c>
      <c r="N345">
        <v>110</v>
      </c>
      <c r="O345">
        <v>74</v>
      </c>
      <c r="P345">
        <v>2.0187200000000001</v>
      </c>
      <c r="Q345" s="84" t="e">
        <v>#REF!</v>
      </c>
      <c r="R345" s="85"/>
      <c r="S345" s="85"/>
      <c r="T345" s="86">
        <v>0</v>
      </c>
      <c r="U345" s="84">
        <v>0</v>
      </c>
      <c r="V345" s="84">
        <v>3681.9929999999999</v>
      </c>
      <c r="W345" s="84">
        <v>1840.9965</v>
      </c>
      <c r="X345" s="82">
        <v>0.35</v>
      </c>
      <c r="Y345" s="82"/>
      <c r="Z345" s="84">
        <v>1840.9965</v>
      </c>
      <c r="AA345" s="84">
        <v>3681.9929999999999</v>
      </c>
      <c r="AB345" s="88" t="e">
        <v>#DIV/0!</v>
      </c>
      <c r="AC345" t="s">
        <v>1767</v>
      </c>
    </row>
    <row r="346" spans="3:29">
      <c r="C346" t="s">
        <v>1768</v>
      </c>
      <c r="D346" t="s">
        <v>1769</v>
      </c>
      <c r="E346" s="84">
        <v>2569.9899999999998</v>
      </c>
      <c r="F346" s="84">
        <v>1284.9949999999999</v>
      </c>
      <c r="G346" t="s">
        <v>1686</v>
      </c>
      <c r="H346" t="s">
        <v>1751</v>
      </c>
      <c r="I346" t="s">
        <v>1752</v>
      </c>
      <c r="K346" t="s">
        <v>1223</v>
      </c>
      <c r="L346" t="s">
        <v>1698</v>
      </c>
      <c r="P346">
        <v>0</v>
      </c>
      <c r="Q346" s="84" t="e">
        <v>#REF!</v>
      </c>
      <c r="R346" s="85"/>
      <c r="S346" s="85"/>
      <c r="T346" s="86">
        <v>0</v>
      </c>
      <c r="U346" s="84">
        <v>0</v>
      </c>
      <c r="V346" s="84">
        <v>1798.9929999999999</v>
      </c>
      <c r="W346" s="84">
        <v>899.49649999999997</v>
      </c>
      <c r="X346" s="82">
        <v>0.35</v>
      </c>
      <c r="Y346" s="82"/>
      <c r="Z346" s="84">
        <v>899.49649999999997</v>
      </c>
      <c r="AA346" s="84">
        <v>1798.9929999999999</v>
      </c>
      <c r="AB346" s="88" t="e">
        <v>#DIV/0!</v>
      </c>
      <c r="AC346" t="s">
        <v>1770</v>
      </c>
    </row>
    <row r="347" spans="3:29">
      <c r="C347" t="s">
        <v>1771</v>
      </c>
      <c r="D347" t="s">
        <v>1772</v>
      </c>
      <c r="E347" s="84">
        <v>519.99</v>
      </c>
      <c r="F347" s="84">
        <v>259.995</v>
      </c>
      <c r="G347" t="s">
        <v>1686</v>
      </c>
      <c r="H347" t="s">
        <v>1773</v>
      </c>
      <c r="I347" t="s">
        <v>1774</v>
      </c>
      <c r="J347" t="s">
        <v>1775</v>
      </c>
      <c r="K347" t="s">
        <v>815</v>
      </c>
      <c r="L347" t="s">
        <v>853</v>
      </c>
      <c r="M347">
        <v>68</v>
      </c>
      <c r="N347">
        <v>50</v>
      </c>
      <c r="O347">
        <v>21</v>
      </c>
      <c r="P347">
        <v>7.1400000000000005E-2</v>
      </c>
      <c r="Q347" s="84" t="e">
        <v>#REF!</v>
      </c>
      <c r="R347" s="85"/>
      <c r="S347" s="85"/>
      <c r="T347" s="86">
        <v>0</v>
      </c>
      <c r="U347" s="84">
        <v>0</v>
      </c>
      <c r="V347" s="84">
        <v>363.99299999999999</v>
      </c>
      <c r="W347" s="84">
        <v>181.9965</v>
      </c>
      <c r="X347" s="82">
        <v>0.35</v>
      </c>
      <c r="Y347" s="82"/>
      <c r="Z347" s="84">
        <v>181.9965</v>
      </c>
      <c r="AA347" s="84">
        <v>363.99299999999999</v>
      </c>
      <c r="AB347" s="88" t="e">
        <v>#DIV/0!</v>
      </c>
      <c r="AC347" t="s">
        <v>1776</v>
      </c>
    </row>
    <row r="348" spans="3:29">
      <c r="C348" t="s">
        <v>1777</v>
      </c>
      <c r="D348" t="s">
        <v>1778</v>
      </c>
      <c r="E348" s="84">
        <v>714.99</v>
      </c>
      <c r="F348" s="84">
        <v>357.495</v>
      </c>
      <c r="G348" t="s">
        <v>1686</v>
      </c>
      <c r="H348" t="s">
        <v>1751</v>
      </c>
      <c r="I348" t="s">
        <v>1752</v>
      </c>
      <c r="K348" t="s">
        <v>1223</v>
      </c>
      <c r="L348" t="s">
        <v>1698</v>
      </c>
      <c r="P348">
        <v>0</v>
      </c>
      <c r="Q348" s="84" t="e">
        <v>#REF!</v>
      </c>
      <c r="R348" s="85"/>
      <c r="S348" s="85"/>
      <c r="T348" s="86">
        <v>0</v>
      </c>
      <c r="U348" s="84">
        <v>0</v>
      </c>
      <c r="V348" s="84">
        <v>500.49299999999999</v>
      </c>
      <c r="W348" s="84">
        <v>250.2465</v>
      </c>
      <c r="X348" s="82">
        <v>0.35</v>
      </c>
      <c r="Y348" s="82"/>
      <c r="Z348" s="84">
        <v>250.2465</v>
      </c>
      <c r="AA348" s="84">
        <v>500.49299999999999</v>
      </c>
      <c r="AB348" s="88" t="e">
        <v>#DIV/0!</v>
      </c>
      <c r="AC348" t="s">
        <v>1779</v>
      </c>
    </row>
    <row r="349" spans="3:29">
      <c r="C349" t="s">
        <v>1780</v>
      </c>
      <c r="D349" t="s">
        <v>1781</v>
      </c>
      <c r="E349" s="84">
        <v>420.99</v>
      </c>
      <c r="F349" s="84">
        <v>210.495</v>
      </c>
      <c r="G349" t="s">
        <v>1686</v>
      </c>
      <c r="H349" t="s">
        <v>1782</v>
      </c>
      <c r="I349" t="s">
        <v>1783</v>
      </c>
      <c r="J349" t="s">
        <v>1784</v>
      </c>
      <c r="K349" t="s">
        <v>1785</v>
      </c>
      <c r="L349" t="s">
        <v>646</v>
      </c>
      <c r="M349">
        <v>76</v>
      </c>
      <c r="N349">
        <v>80</v>
      </c>
      <c r="O349">
        <v>90</v>
      </c>
      <c r="P349">
        <v>0.54720000000000002</v>
      </c>
      <c r="Q349" s="84" t="e">
        <v>#REF!</v>
      </c>
      <c r="R349" s="85">
        <v>255000</v>
      </c>
      <c r="S349" s="85">
        <v>850000</v>
      </c>
      <c r="T349" s="86">
        <v>1105000</v>
      </c>
      <c r="U349" s="84">
        <v>73.6666666666667</v>
      </c>
      <c r="V349" s="84">
        <v>294.69299999999998</v>
      </c>
      <c r="W349" s="84">
        <v>147.34649999999999</v>
      </c>
      <c r="X349" s="82">
        <v>0.35</v>
      </c>
      <c r="Y349" s="87"/>
      <c r="Z349" s="84">
        <v>147.34649999999999</v>
      </c>
      <c r="AA349" s="84">
        <v>294.69299999999998</v>
      </c>
      <c r="AB349" s="88">
        <v>2</v>
      </c>
      <c r="AC349" t="s">
        <v>1786</v>
      </c>
    </row>
    <row r="350" spans="3:29">
      <c r="C350" t="s">
        <v>1787</v>
      </c>
      <c r="D350" t="s">
        <v>1788</v>
      </c>
      <c r="E350" s="84">
        <v>1879.99</v>
      </c>
      <c r="F350" s="84">
        <v>939.995</v>
      </c>
      <c r="G350" t="s">
        <v>1686</v>
      </c>
      <c r="H350" t="s">
        <v>1789</v>
      </c>
      <c r="I350" t="s">
        <v>1790</v>
      </c>
      <c r="J350" t="s">
        <v>1791</v>
      </c>
      <c r="K350" t="s">
        <v>807</v>
      </c>
      <c r="L350" t="s">
        <v>50</v>
      </c>
      <c r="M350">
        <v>92</v>
      </c>
      <c r="N350">
        <v>89</v>
      </c>
      <c r="O350">
        <v>66</v>
      </c>
      <c r="P350">
        <v>0.540408</v>
      </c>
      <c r="Q350" s="84" t="e">
        <v>#REF!</v>
      </c>
      <c r="R350" s="85">
        <v>2866791.4549196302</v>
      </c>
      <c r="S350" s="85">
        <v>0</v>
      </c>
      <c r="T350" s="86">
        <v>2866791.4549196302</v>
      </c>
      <c r="U350" s="84">
        <v>191.11943032797501</v>
      </c>
      <c r="V350" s="84">
        <v>1315.9929999999999</v>
      </c>
      <c r="W350" s="84">
        <v>657.99649999999997</v>
      </c>
      <c r="X350" s="82">
        <v>0.35</v>
      </c>
      <c r="Y350" s="82"/>
      <c r="Z350" s="84">
        <v>657.99649999999997</v>
      </c>
      <c r="AA350" s="84">
        <v>1315.9929999999999</v>
      </c>
      <c r="AB350" s="88">
        <v>3.4428550716733999</v>
      </c>
      <c r="AC350" t="s">
        <v>1792</v>
      </c>
    </row>
    <row r="351" spans="3:29">
      <c r="C351" t="s">
        <v>1793</v>
      </c>
      <c r="D351" t="s">
        <v>1788</v>
      </c>
      <c r="E351" s="84">
        <v>1599.99</v>
      </c>
      <c r="F351" s="84">
        <v>799.995</v>
      </c>
      <c r="G351" t="s">
        <v>1686</v>
      </c>
      <c r="H351" t="s">
        <v>1794</v>
      </c>
      <c r="I351" t="s">
        <v>1795</v>
      </c>
      <c r="J351" t="s">
        <v>1791</v>
      </c>
      <c r="K351" t="s">
        <v>1796</v>
      </c>
      <c r="L351" t="s">
        <v>50</v>
      </c>
      <c r="M351">
        <v>92</v>
      </c>
      <c r="N351">
        <v>89</v>
      </c>
      <c r="O351">
        <v>66</v>
      </c>
      <c r="P351">
        <v>0.540408</v>
      </c>
      <c r="Q351" s="84" t="e">
        <v>#REF!</v>
      </c>
      <c r="R351" s="85">
        <v>1883818.20491963</v>
      </c>
      <c r="S351" s="85">
        <v>0</v>
      </c>
      <c r="T351" s="86">
        <v>1883818.20491963</v>
      </c>
      <c r="U351" s="84">
        <v>125.587880327975</v>
      </c>
      <c r="V351" s="84">
        <v>1119.9929999999999</v>
      </c>
      <c r="W351" s="84">
        <v>559.99649999999997</v>
      </c>
      <c r="X351" s="82">
        <v>0.35</v>
      </c>
      <c r="Y351" s="82"/>
      <c r="Z351" s="84">
        <v>559.99649999999997</v>
      </c>
      <c r="AA351" s="84">
        <v>1119.9929999999999</v>
      </c>
      <c r="AB351" s="88">
        <v>4.4590011276371397</v>
      </c>
      <c r="AC351" t="s">
        <v>1797</v>
      </c>
    </row>
    <row r="352" spans="3:29">
      <c r="C352" t="s">
        <v>1798</v>
      </c>
      <c r="D352" t="s">
        <v>1799</v>
      </c>
      <c r="E352" s="84">
        <v>1154.99</v>
      </c>
      <c r="F352" s="84">
        <v>577.495</v>
      </c>
      <c r="G352" t="s">
        <v>1686</v>
      </c>
      <c r="H352" t="s">
        <v>1800</v>
      </c>
      <c r="I352" t="s">
        <v>1801</v>
      </c>
      <c r="K352" t="s">
        <v>1223</v>
      </c>
      <c r="L352" t="s">
        <v>1698</v>
      </c>
      <c r="P352">
        <v>0</v>
      </c>
      <c r="Q352" s="84" t="e">
        <v>#REF!</v>
      </c>
      <c r="R352" s="85">
        <v>51806.5187373101</v>
      </c>
      <c r="S352" s="85">
        <v>2100669.4399999999</v>
      </c>
      <c r="T352" s="86">
        <v>2152475.95873731</v>
      </c>
      <c r="U352" s="84">
        <v>143.49839724915401</v>
      </c>
      <c r="V352" s="84">
        <v>808.49300000000005</v>
      </c>
      <c r="W352" s="84">
        <v>404.24650000000003</v>
      </c>
      <c r="X352" s="82">
        <v>0.35</v>
      </c>
      <c r="Y352" s="82"/>
      <c r="Z352" s="84">
        <v>404.24650000000003</v>
      </c>
      <c r="AA352" s="84">
        <v>808.49300000000005</v>
      </c>
      <c r="AB352" s="88">
        <v>2.8170802444442198</v>
      </c>
      <c r="AC352" t="s">
        <v>1802</v>
      </c>
    </row>
    <row r="353" spans="3:29">
      <c r="C353" t="s">
        <v>1803</v>
      </c>
      <c r="D353" t="s">
        <v>1804</v>
      </c>
      <c r="E353" s="84">
        <v>2549.9899999999998</v>
      </c>
      <c r="F353" s="84">
        <v>1274.9949999999999</v>
      </c>
      <c r="G353" t="s">
        <v>1686</v>
      </c>
      <c r="H353" t="s">
        <v>1805</v>
      </c>
      <c r="I353" t="s">
        <v>1806</v>
      </c>
      <c r="J353" t="s">
        <v>1807</v>
      </c>
      <c r="K353" t="s">
        <v>807</v>
      </c>
      <c r="L353" t="s">
        <v>50</v>
      </c>
      <c r="M353">
        <v>188</v>
      </c>
      <c r="N353">
        <v>89</v>
      </c>
      <c r="O353">
        <v>66</v>
      </c>
      <c r="P353">
        <v>1.104312</v>
      </c>
      <c r="Q353" s="84" t="e">
        <v>#REF!</v>
      </c>
      <c r="R353" s="85">
        <v>4562805.6522448901</v>
      </c>
      <c r="S353" s="85">
        <v>0</v>
      </c>
      <c r="T353" s="86">
        <v>4562805.6522448901</v>
      </c>
      <c r="U353" s="84">
        <v>304.18704348299298</v>
      </c>
      <c r="V353" s="84">
        <v>1784.9929999999999</v>
      </c>
      <c r="W353" s="84">
        <v>892.49649999999997</v>
      </c>
      <c r="X353" s="82">
        <v>0.35</v>
      </c>
      <c r="Y353" s="82"/>
      <c r="Z353" s="84">
        <v>892.49649999999997</v>
      </c>
      <c r="AA353" s="84">
        <v>1784.9929999999999</v>
      </c>
      <c r="AB353" s="88">
        <v>2.9340385105846898</v>
      </c>
      <c r="AC353" t="s">
        <v>1808</v>
      </c>
    </row>
    <row r="354" spans="3:29">
      <c r="C354" t="s">
        <v>1809</v>
      </c>
      <c r="D354" t="s">
        <v>1804</v>
      </c>
      <c r="E354" s="84">
        <v>2259.9899999999998</v>
      </c>
      <c r="F354" s="84">
        <v>1129.9949999999999</v>
      </c>
      <c r="G354" t="s">
        <v>1686</v>
      </c>
      <c r="H354" t="s">
        <v>1810</v>
      </c>
      <c r="I354" t="s">
        <v>1806</v>
      </c>
      <c r="J354" t="s">
        <v>1807</v>
      </c>
      <c r="K354" t="s">
        <v>1796</v>
      </c>
      <c r="L354" t="s">
        <v>50</v>
      </c>
      <c r="M354">
        <v>188</v>
      </c>
      <c r="N354">
        <v>89</v>
      </c>
      <c r="O354">
        <v>66</v>
      </c>
      <c r="P354">
        <v>1.104312</v>
      </c>
      <c r="Q354" s="84" t="e">
        <v>#REF!</v>
      </c>
      <c r="R354" s="85">
        <v>2786100.6522448901</v>
      </c>
      <c r="S354" s="85">
        <v>0</v>
      </c>
      <c r="T354" s="86">
        <v>2786100.6522448901</v>
      </c>
      <c r="U354" s="84">
        <v>185.740043482993</v>
      </c>
      <c r="V354" s="84">
        <v>1581.9929999999999</v>
      </c>
      <c r="W354" s="84">
        <v>790.99649999999997</v>
      </c>
      <c r="X354" s="82">
        <v>0.35</v>
      </c>
      <c r="Y354" s="82"/>
      <c r="Z354" s="84">
        <v>790.99649999999997</v>
      </c>
      <c r="AA354" s="84">
        <v>1581.9929999999999</v>
      </c>
      <c r="AB354" s="88">
        <v>4.2586212707139097</v>
      </c>
      <c r="AC354" t="s">
        <v>1811</v>
      </c>
    </row>
    <row r="355" spans="3:29">
      <c r="C355" t="s">
        <v>1812</v>
      </c>
      <c r="D355" t="s">
        <v>1813</v>
      </c>
      <c r="E355" s="84">
        <v>2464.9899999999998</v>
      </c>
      <c r="F355" s="84">
        <v>1232.4949999999999</v>
      </c>
      <c r="G355" t="s">
        <v>1686</v>
      </c>
      <c r="H355" t="s">
        <v>1800</v>
      </c>
      <c r="I355" t="s">
        <v>1801</v>
      </c>
      <c r="K355" t="s">
        <v>1223</v>
      </c>
      <c r="L355" t="s">
        <v>1698</v>
      </c>
      <c r="P355">
        <v>0</v>
      </c>
      <c r="Q355" s="84" t="e">
        <v>#REF!</v>
      </c>
      <c r="R355" s="85">
        <v>119014.975477614</v>
      </c>
      <c r="S355" s="85">
        <v>4775817.4366666703</v>
      </c>
      <c r="T355" s="86">
        <v>4894832.41214428</v>
      </c>
      <c r="U355" s="84">
        <v>326.32216080961899</v>
      </c>
      <c r="V355" s="84">
        <v>1725.4929999999999</v>
      </c>
      <c r="W355" s="84">
        <v>862.74649999999997</v>
      </c>
      <c r="X355" s="82">
        <v>0.35</v>
      </c>
      <c r="Y355" s="82"/>
      <c r="Z355" s="84">
        <v>862.74649999999997</v>
      </c>
      <c r="AA355" s="84">
        <v>1725.4929999999999</v>
      </c>
      <c r="AB355" s="88">
        <v>2.6438489432023</v>
      </c>
      <c r="AC355" t="s">
        <v>1814</v>
      </c>
    </row>
    <row r="356" spans="3:29">
      <c r="C356" t="s">
        <v>1815</v>
      </c>
      <c r="D356" t="s">
        <v>1816</v>
      </c>
      <c r="E356" s="84">
        <v>3419.99</v>
      </c>
      <c r="F356" s="84">
        <v>1709.9949999999999</v>
      </c>
      <c r="G356" t="s">
        <v>1686</v>
      </c>
      <c r="H356" t="s">
        <v>1817</v>
      </c>
      <c r="I356" t="s">
        <v>1818</v>
      </c>
      <c r="J356" t="s">
        <v>1819</v>
      </c>
      <c r="K356" t="s">
        <v>807</v>
      </c>
      <c r="L356" t="s">
        <v>50</v>
      </c>
      <c r="M356">
        <v>300</v>
      </c>
      <c r="N356">
        <v>89</v>
      </c>
      <c r="O356">
        <v>66</v>
      </c>
      <c r="P356">
        <v>1.7622</v>
      </c>
      <c r="Q356" s="84" t="e">
        <v>#REF!</v>
      </c>
      <c r="R356" s="85">
        <v>4283509.4287039703</v>
      </c>
      <c r="S356" s="85">
        <v>0</v>
      </c>
      <c r="T356" s="86">
        <v>4283509.4287039703</v>
      </c>
      <c r="U356" s="84">
        <v>285.567295246931</v>
      </c>
      <c r="V356" s="84">
        <v>2393.9929999999999</v>
      </c>
      <c r="W356" s="84">
        <v>1196.9965</v>
      </c>
      <c r="X356" s="82">
        <v>0.35</v>
      </c>
      <c r="Y356" s="82"/>
      <c r="Z356" s="84">
        <v>1196.9965</v>
      </c>
      <c r="AA356" s="84">
        <v>2393.9929999999999</v>
      </c>
      <c r="AB356" s="88">
        <v>4.1916442110955003</v>
      </c>
      <c r="AC356" t="s">
        <v>1820</v>
      </c>
    </row>
    <row r="357" spans="3:29">
      <c r="C357" t="s">
        <v>1821</v>
      </c>
      <c r="D357" t="s">
        <v>1822</v>
      </c>
      <c r="E357" s="84">
        <v>1219.99</v>
      </c>
      <c r="F357" s="84">
        <v>609.995</v>
      </c>
      <c r="G357" t="s">
        <v>1686</v>
      </c>
      <c r="H357" t="s">
        <v>1823</v>
      </c>
      <c r="I357" t="s">
        <v>1824</v>
      </c>
      <c r="J357" t="s">
        <v>1825</v>
      </c>
      <c r="K357" t="s">
        <v>807</v>
      </c>
      <c r="L357" t="s">
        <v>50</v>
      </c>
      <c r="M357">
        <v>84</v>
      </c>
      <c r="N357">
        <v>91</v>
      </c>
      <c r="O357">
        <v>70</v>
      </c>
      <c r="P357">
        <v>0.53508</v>
      </c>
      <c r="Q357" s="84" t="e">
        <v>#REF!</v>
      </c>
      <c r="R357" s="85"/>
      <c r="S357" s="85"/>
      <c r="T357" s="86">
        <v>0</v>
      </c>
      <c r="U357" s="84">
        <v>0</v>
      </c>
      <c r="V357" s="84">
        <v>853.99300000000005</v>
      </c>
      <c r="W357" s="84">
        <v>426.99650000000003</v>
      </c>
      <c r="X357" s="82">
        <v>0.35</v>
      </c>
      <c r="Y357" s="82"/>
      <c r="Z357" s="84">
        <v>426.99650000000003</v>
      </c>
      <c r="AA357" s="84">
        <v>853.99300000000005</v>
      </c>
      <c r="AB357" s="88" t="e">
        <v>#DIV/0!</v>
      </c>
      <c r="AC357" t="s">
        <v>1826</v>
      </c>
    </row>
    <row r="358" spans="3:29">
      <c r="C358" t="s">
        <v>1827</v>
      </c>
      <c r="D358" t="s">
        <v>1828</v>
      </c>
      <c r="E358" s="84">
        <v>1019.99</v>
      </c>
      <c r="F358" s="84">
        <v>509.995</v>
      </c>
      <c r="G358" t="s">
        <v>1686</v>
      </c>
      <c r="H358" t="s">
        <v>1829</v>
      </c>
      <c r="I358" t="s">
        <v>1830</v>
      </c>
      <c r="K358" t="s">
        <v>1223</v>
      </c>
      <c r="L358" t="s">
        <v>1698</v>
      </c>
      <c r="P358">
        <v>0</v>
      </c>
      <c r="Q358" s="84" t="e">
        <v>#REF!</v>
      </c>
      <c r="R358" s="85"/>
      <c r="S358" s="85"/>
      <c r="T358" s="86">
        <v>0</v>
      </c>
      <c r="U358" s="84">
        <v>0</v>
      </c>
      <c r="V358" s="84">
        <v>713.99300000000005</v>
      </c>
      <c r="W358" s="84">
        <v>356.99650000000003</v>
      </c>
      <c r="X358" s="82">
        <v>0.35</v>
      </c>
      <c r="Y358" s="82"/>
      <c r="Z358" s="84">
        <v>356.99650000000003</v>
      </c>
      <c r="AA358" s="84">
        <v>713.99300000000005</v>
      </c>
      <c r="AB358" s="88" t="e">
        <v>#DIV/0!</v>
      </c>
      <c r="AC358" t="s">
        <v>1831</v>
      </c>
    </row>
    <row r="359" spans="3:29">
      <c r="C359" t="s">
        <v>1832</v>
      </c>
      <c r="D359" t="s">
        <v>1833</v>
      </c>
      <c r="E359" s="84">
        <v>709.99</v>
      </c>
      <c r="F359" s="84">
        <v>354.995</v>
      </c>
      <c r="G359" t="s">
        <v>1686</v>
      </c>
      <c r="H359" t="s">
        <v>1834</v>
      </c>
      <c r="I359" t="s">
        <v>1835</v>
      </c>
      <c r="J359" t="s">
        <v>1836</v>
      </c>
      <c r="K359" t="s">
        <v>807</v>
      </c>
      <c r="L359" t="s">
        <v>50</v>
      </c>
      <c r="M359">
        <v>70</v>
      </c>
      <c r="N359">
        <v>84</v>
      </c>
      <c r="O359">
        <v>70</v>
      </c>
      <c r="P359">
        <v>0.41160000000000002</v>
      </c>
      <c r="Q359" s="84" t="e">
        <v>#REF!</v>
      </c>
      <c r="R359" s="85"/>
      <c r="S359" s="85"/>
      <c r="T359" s="86">
        <v>0</v>
      </c>
      <c r="U359" s="84">
        <v>0</v>
      </c>
      <c r="V359" s="84">
        <v>496.99299999999999</v>
      </c>
      <c r="W359" s="84">
        <v>248.4965</v>
      </c>
      <c r="X359" s="82">
        <v>0.35</v>
      </c>
      <c r="Y359" s="82"/>
      <c r="Z359" s="84">
        <v>248.4965</v>
      </c>
      <c r="AA359" s="84">
        <v>496.99299999999999</v>
      </c>
      <c r="AB359" s="88" t="e">
        <v>#DIV/0!</v>
      </c>
      <c r="AC359" t="s">
        <v>1837</v>
      </c>
    </row>
    <row r="360" spans="3:29">
      <c r="C360" t="s">
        <v>1838</v>
      </c>
      <c r="D360" t="s">
        <v>1839</v>
      </c>
      <c r="E360" s="84">
        <v>1019.99</v>
      </c>
      <c r="F360" s="84">
        <v>509.995</v>
      </c>
      <c r="G360" t="s">
        <v>1686</v>
      </c>
      <c r="H360" t="s">
        <v>1829</v>
      </c>
      <c r="I360" t="s">
        <v>1840</v>
      </c>
      <c r="K360" t="s">
        <v>1223</v>
      </c>
      <c r="L360" t="s">
        <v>1698</v>
      </c>
      <c r="P360">
        <v>0</v>
      </c>
      <c r="Q360" s="84" t="e">
        <v>#REF!</v>
      </c>
      <c r="R360" s="85"/>
      <c r="S360" s="85"/>
      <c r="T360" s="86">
        <v>0</v>
      </c>
      <c r="U360" s="84">
        <v>0</v>
      </c>
      <c r="V360" s="84">
        <v>713.99300000000005</v>
      </c>
      <c r="W360" s="84">
        <v>356.99650000000003</v>
      </c>
      <c r="X360" s="82">
        <v>0.35</v>
      </c>
      <c r="Y360" s="82"/>
      <c r="Z360" s="84">
        <v>356.99650000000003</v>
      </c>
      <c r="AA360" s="84">
        <v>713.99300000000005</v>
      </c>
      <c r="AB360" s="88" t="e">
        <v>#DIV/0!</v>
      </c>
      <c r="AC360" t="s">
        <v>1841</v>
      </c>
    </row>
    <row r="361" spans="3:29">
      <c r="C361" t="s">
        <v>1842</v>
      </c>
      <c r="D361" t="s">
        <v>1843</v>
      </c>
      <c r="E361" s="84">
        <v>1199.99</v>
      </c>
      <c r="F361" s="84">
        <v>599.995</v>
      </c>
      <c r="G361" t="s">
        <v>1686</v>
      </c>
      <c r="H361" t="s">
        <v>1844</v>
      </c>
      <c r="I361" t="s">
        <v>1845</v>
      </c>
      <c r="J361" t="s">
        <v>1846</v>
      </c>
      <c r="K361" t="s">
        <v>807</v>
      </c>
      <c r="L361" t="s">
        <v>646</v>
      </c>
      <c r="M361">
        <v>88</v>
      </c>
      <c r="N361">
        <v>74</v>
      </c>
      <c r="O361">
        <v>93</v>
      </c>
      <c r="P361">
        <v>0.60561600000000004</v>
      </c>
      <c r="Q361" s="84" t="e">
        <v>#REF!</v>
      </c>
      <c r="R361" s="85">
        <v>374510.21675477998</v>
      </c>
      <c r="S361" s="85">
        <v>1518000</v>
      </c>
      <c r="T361" s="86">
        <v>1892510.2167547799</v>
      </c>
      <c r="U361" s="84">
        <v>126.167347783652</v>
      </c>
      <c r="V361" s="84">
        <v>839.99300000000005</v>
      </c>
      <c r="W361" s="84">
        <v>419.99650000000003</v>
      </c>
      <c r="X361" s="82">
        <v>0.35</v>
      </c>
      <c r="Y361" s="82"/>
      <c r="Z361" s="84">
        <v>419.99650000000003</v>
      </c>
      <c r="AA361" s="84">
        <v>839.99300000000005</v>
      </c>
      <c r="AB361" s="88">
        <v>3.3288842745604601</v>
      </c>
      <c r="AC361" t="s">
        <v>1847</v>
      </c>
    </row>
    <row r="362" spans="3:29">
      <c r="C362" t="s">
        <v>1848</v>
      </c>
      <c r="D362" t="s">
        <v>1849</v>
      </c>
      <c r="E362" s="84">
        <v>579.99</v>
      </c>
      <c r="F362" s="84">
        <v>289.995</v>
      </c>
      <c r="G362" t="s">
        <v>1686</v>
      </c>
      <c r="H362" t="s">
        <v>1850</v>
      </c>
      <c r="I362" t="s">
        <v>1851</v>
      </c>
      <c r="J362" t="s">
        <v>1852</v>
      </c>
      <c r="K362" t="s">
        <v>807</v>
      </c>
      <c r="L362" t="s">
        <v>646</v>
      </c>
      <c r="M362">
        <v>65</v>
      </c>
      <c r="N362">
        <v>51</v>
      </c>
      <c r="O362">
        <v>70</v>
      </c>
      <c r="P362">
        <v>0.23205000000000001</v>
      </c>
      <c r="Q362" s="84" t="e">
        <v>#REF!</v>
      </c>
      <c r="R362" s="85"/>
      <c r="S362" s="85"/>
      <c r="T362" s="86">
        <v>0</v>
      </c>
      <c r="U362" s="84">
        <v>0</v>
      </c>
      <c r="V362" s="84">
        <v>405.99299999999999</v>
      </c>
      <c r="W362" s="84">
        <v>202.9965</v>
      </c>
      <c r="X362" s="82">
        <v>0.35</v>
      </c>
      <c r="Y362" s="82"/>
      <c r="Z362" s="84">
        <v>202.9965</v>
      </c>
      <c r="AA362" s="84">
        <v>405.99299999999999</v>
      </c>
      <c r="AB362" s="88" t="e">
        <v>#DIV/0!</v>
      </c>
      <c r="AC362" t="s">
        <v>1853</v>
      </c>
    </row>
    <row r="363" spans="3:29">
      <c r="C363" t="s">
        <v>1854</v>
      </c>
      <c r="D363" t="s">
        <v>1855</v>
      </c>
      <c r="E363" s="84">
        <v>1159.99</v>
      </c>
      <c r="F363" s="84">
        <v>579.995</v>
      </c>
      <c r="G363" t="s">
        <v>1686</v>
      </c>
      <c r="H363" t="s">
        <v>1856</v>
      </c>
      <c r="I363" t="s">
        <v>1857</v>
      </c>
      <c r="J363" t="s">
        <v>1858</v>
      </c>
      <c r="K363" t="s">
        <v>807</v>
      </c>
      <c r="L363" t="s">
        <v>646</v>
      </c>
      <c r="M363">
        <v>88</v>
      </c>
      <c r="N363">
        <v>74</v>
      </c>
      <c r="O363">
        <v>90</v>
      </c>
      <c r="P363">
        <v>0.58608000000000005</v>
      </c>
      <c r="Q363" s="84" t="e">
        <v>#REF!</v>
      </c>
      <c r="R363" s="85">
        <v>567230.90249613998</v>
      </c>
      <c r="S363" s="85">
        <v>1200000</v>
      </c>
      <c r="T363" s="86">
        <v>1767230.90249614</v>
      </c>
      <c r="U363" s="84">
        <v>117.815393499743</v>
      </c>
      <c r="V363" s="84">
        <v>811.99300000000005</v>
      </c>
      <c r="W363" s="84">
        <v>405.99650000000003</v>
      </c>
      <c r="X363" s="82">
        <v>0.35</v>
      </c>
      <c r="Y363" s="82"/>
      <c r="Z363" s="84">
        <v>405.99650000000003</v>
      </c>
      <c r="AA363" s="84">
        <v>811.99300000000005</v>
      </c>
      <c r="AB363" s="88">
        <v>3.44603950247713</v>
      </c>
      <c r="AC363" t="s">
        <v>1859</v>
      </c>
    </row>
    <row r="364" spans="3:29">
      <c r="C364" t="s">
        <v>1860</v>
      </c>
      <c r="D364" t="s">
        <v>1861</v>
      </c>
      <c r="E364" s="84">
        <v>609.99</v>
      </c>
      <c r="F364" s="84">
        <v>304.995</v>
      </c>
      <c r="G364" t="s">
        <v>1686</v>
      </c>
      <c r="H364" t="s">
        <v>1862</v>
      </c>
      <c r="I364" t="s">
        <v>1863</v>
      </c>
      <c r="J364" t="s">
        <v>1864</v>
      </c>
      <c r="K364" t="s">
        <v>807</v>
      </c>
      <c r="L364" t="s">
        <v>646</v>
      </c>
      <c r="M364">
        <v>70</v>
      </c>
      <c r="N364">
        <v>45</v>
      </c>
      <c r="O364">
        <v>70</v>
      </c>
      <c r="P364">
        <v>0.2205</v>
      </c>
      <c r="Q364" s="84" t="e">
        <v>#REF!</v>
      </c>
      <c r="R364" s="85"/>
      <c r="S364" s="85"/>
      <c r="T364" s="86">
        <v>0</v>
      </c>
      <c r="U364" s="84">
        <v>0</v>
      </c>
      <c r="V364" s="84">
        <v>426.99299999999999</v>
      </c>
      <c r="W364" s="84">
        <v>213.4965</v>
      </c>
      <c r="X364" s="82">
        <v>0.35</v>
      </c>
      <c r="Y364" s="82"/>
      <c r="Z364" s="84">
        <v>213.4965</v>
      </c>
      <c r="AA364" s="84">
        <v>426.99299999999999</v>
      </c>
      <c r="AB364" s="88" t="e">
        <v>#DIV/0!</v>
      </c>
      <c r="AC364" t="s">
        <v>1865</v>
      </c>
    </row>
    <row r="365" spans="3:29">
      <c r="C365" t="s">
        <v>1866</v>
      </c>
      <c r="E365" s="84"/>
      <c r="F365" s="82"/>
      <c r="R365" s="85"/>
      <c r="S365" s="85"/>
      <c r="T365" s="86"/>
      <c r="V365" s="84">
        <v>0</v>
      </c>
      <c r="W365" s="84">
        <v>0</v>
      </c>
      <c r="X365" s="82" t="e">
        <v>#DIV/0!</v>
      </c>
      <c r="Y365" s="82">
        <v>0</v>
      </c>
      <c r="Z365" s="82"/>
      <c r="AA365" s="82"/>
      <c r="AB365" s="88" t="e">
        <v>#DIV/0!</v>
      </c>
    </row>
    <row r="366" spans="3:29">
      <c r="C366">
        <v>22565</v>
      </c>
      <c r="D366" t="s">
        <v>1867</v>
      </c>
      <c r="E366" s="84">
        <v>986.99</v>
      </c>
      <c r="F366" s="84">
        <v>493.495</v>
      </c>
      <c r="G366" t="s">
        <v>1866</v>
      </c>
      <c r="H366" t="s">
        <v>1868</v>
      </c>
      <c r="I366" t="s">
        <v>1867</v>
      </c>
      <c r="J366" t="s">
        <v>1869</v>
      </c>
      <c r="K366" t="s">
        <v>1196</v>
      </c>
      <c r="L366" t="s">
        <v>670</v>
      </c>
      <c r="M366">
        <v>200</v>
      </c>
      <c r="N366">
        <v>200</v>
      </c>
      <c r="O366">
        <v>41</v>
      </c>
      <c r="P366">
        <v>1.64</v>
      </c>
      <c r="Q366" s="84" t="e">
        <v>#REF!</v>
      </c>
      <c r="R366" s="85"/>
      <c r="S366" s="85"/>
      <c r="T366" s="86">
        <v>0</v>
      </c>
      <c r="U366" s="84">
        <v>0</v>
      </c>
      <c r="V366" s="84">
        <v>690.89300000000003</v>
      </c>
      <c r="W366" s="84">
        <v>345.44650000000001</v>
      </c>
      <c r="X366" s="82">
        <v>0.35</v>
      </c>
      <c r="Y366" s="82"/>
      <c r="Z366" s="84">
        <v>345.44650000000001</v>
      </c>
      <c r="AA366" s="84">
        <v>690.89300000000003</v>
      </c>
      <c r="AB366" s="88" t="e">
        <v>#DIV/0!</v>
      </c>
      <c r="AC366" t="s">
        <v>1870</v>
      </c>
    </row>
    <row r="367" spans="3:29">
      <c r="C367">
        <v>22567</v>
      </c>
      <c r="D367" t="s">
        <v>1872</v>
      </c>
      <c r="E367" s="84">
        <v>798.99</v>
      </c>
      <c r="F367" s="84">
        <v>399.495</v>
      </c>
      <c r="G367" t="s">
        <v>1866</v>
      </c>
      <c r="H367" t="s">
        <v>1873</v>
      </c>
      <c r="I367" t="s">
        <v>1874</v>
      </c>
      <c r="J367" t="s">
        <v>1875</v>
      </c>
      <c r="K367" t="s">
        <v>1876</v>
      </c>
      <c r="L367" t="s">
        <v>670</v>
      </c>
      <c r="M367">
        <v>200</v>
      </c>
      <c r="N367">
        <v>200</v>
      </c>
      <c r="O367">
        <v>41</v>
      </c>
      <c r="P367">
        <v>1.64</v>
      </c>
      <c r="Q367" s="84" t="e">
        <v>#REF!</v>
      </c>
      <c r="R367" s="85"/>
      <c r="S367" s="85"/>
      <c r="T367" s="86">
        <v>0</v>
      </c>
      <c r="U367" s="84">
        <v>0</v>
      </c>
      <c r="V367" s="84">
        <v>559.29300000000001</v>
      </c>
      <c r="W367" s="84">
        <v>279.6465</v>
      </c>
      <c r="X367" s="82">
        <v>0.35</v>
      </c>
      <c r="Y367" s="82"/>
      <c r="Z367" s="84">
        <v>279.6465</v>
      </c>
      <c r="AA367" s="84">
        <v>559.29300000000001</v>
      </c>
      <c r="AB367" s="88" t="e">
        <v>#DIV/0!</v>
      </c>
      <c r="AC367" t="s">
        <v>1877</v>
      </c>
    </row>
    <row r="368" spans="3:29">
      <c r="C368" t="s">
        <v>1879</v>
      </c>
      <c r="D368" t="s">
        <v>1880</v>
      </c>
      <c r="E368" s="84">
        <v>269.99</v>
      </c>
      <c r="F368" s="84">
        <v>134.995</v>
      </c>
      <c r="G368" t="s">
        <v>1866</v>
      </c>
      <c r="H368" t="s">
        <v>1881</v>
      </c>
      <c r="I368" t="s">
        <v>1882</v>
      </c>
      <c r="L368" t="s">
        <v>646</v>
      </c>
      <c r="P368">
        <v>0</v>
      </c>
      <c r="Q368" s="84" t="e">
        <v>#REF!</v>
      </c>
      <c r="R368" s="85">
        <v>31482.847140516002</v>
      </c>
      <c r="S368" s="85">
        <v>250000</v>
      </c>
      <c r="T368" s="86">
        <v>281482.84714051598</v>
      </c>
      <c r="U368" s="84">
        <v>18.765523142701099</v>
      </c>
      <c r="V368" s="84">
        <v>188.99299999999999</v>
      </c>
      <c r="W368" s="84">
        <v>94.496499999999997</v>
      </c>
      <c r="X368" s="82">
        <v>0.35</v>
      </c>
      <c r="Y368" s="82"/>
      <c r="Z368" s="84">
        <v>94.496499999999997</v>
      </c>
      <c r="AA368" s="84">
        <v>188.99299999999999</v>
      </c>
      <c r="AB368" s="88">
        <v>5.0356443186479902</v>
      </c>
      <c r="AC368" t="s">
        <v>1883</v>
      </c>
    </row>
    <row r="369" spans="3:29">
      <c r="C369" t="s">
        <v>1884</v>
      </c>
      <c r="D369" t="s">
        <v>993</v>
      </c>
      <c r="E369" s="84">
        <v>99.99</v>
      </c>
      <c r="F369" s="84">
        <v>49.994999999999997</v>
      </c>
      <c r="G369" t="s">
        <v>1866</v>
      </c>
      <c r="H369" t="s">
        <v>1885</v>
      </c>
      <c r="I369" t="s">
        <v>1886</v>
      </c>
      <c r="J369" t="s">
        <v>1887</v>
      </c>
      <c r="K369" t="s">
        <v>1888</v>
      </c>
      <c r="L369" t="s">
        <v>670</v>
      </c>
      <c r="M369">
        <v>30</v>
      </c>
      <c r="N369">
        <v>88</v>
      </c>
      <c r="O369">
        <v>2</v>
      </c>
      <c r="P369">
        <v>5.28E-3</v>
      </c>
      <c r="Q369" s="84" t="e">
        <v>#REF!</v>
      </c>
      <c r="R369" s="85"/>
      <c r="S369" s="85"/>
      <c r="T369" s="86">
        <v>0</v>
      </c>
      <c r="U369" s="84">
        <v>0</v>
      </c>
      <c r="V369" s="84">
        <v>69.992999999999995</v>
      </c>
      <c r="W369" s="84">
        <v>34.996499999999997</v>
      </c>
      <c r="X369" s="82">
        <v>0.35</v>
      </c>
      <c r="Y369" s="82"/>
      <c r="Z369" s="84">
        <v>34.996499999999997</v>
      </c>
      <c r="AA369" s="84">
        <v>69.992999999999995</v>
      </c>
      <c r="AB369" s="88" t="e">
        <v>#DIV/0!</v>
      </c>
      <c r="AC369" t="s">
        <v>1889</v>
      </c>
    </row>
    <row r="370" spans="3:29">
      <c r="C370" t="s">
        <v>1890</v>
      </c>
      <c r="D370" t="s">
        <v>1891</v>
      </c>
      <c r="E370" s="84">
        <v>1259.99</v>
      </c>
      <c r="F370" s="84">
        <v>629.995</v>
      </c>
      <c r="G370" t="s">
        <v>1866</v>
      </c>
      <c r="H370" t="s">
        <v>1892</v>
      </c>
      <c r="I370" t="s">
        <v>1893</v>
      </c>
      <c r="J370" t="s">
        <v>1894</v>
      </c>
      <c r="K370" t="s">
        <v>1517</v>
      </c>
      <c r="L370" t="s">
        <v>50</v>
      </c>
      <c r="M370">
        <v>200</v>
      </c>
      <c r="N370">
        <v>80</v>
      </c>
      <c r="O370">
        <v>32</v>
      </c>
      <c r="P370">
        <v>0.51200000000000001</v>
      </c>
      <c r="Q370" s="84" t="e">
        <v>#REF!</v>
      </c>
      <c r="R370" s="85">
        <v>2463694.1711876998</v>
      </c>
      <c r="S370" s="85">
        <v>0</v>
      </c>
      <c r="T370" s="86">
        <v>2463694.1711876998</v>
      </c>
      <c r="U370" s="84">
        <v>164.24627807918</v>
      </c>
      <c r="V370" s="84">
        <v>881.99300000000005</v>
      </c>
      <c r="W370" s="84">
        <v>440.99650000000003</v>
      </c>
      <c r="X370" s="82">
        <v>0.35</v>
      </c>
      <c r="Y370" s="82"/>
      <c r="Z370" s="84">
        <v>440.99650000000003</v>
      </c>
      <c r="AA370" s="84">
        <v>881.99300000000005</v>
      </c>
      <c r="AB370" s="88">
        <v>2.6849710395714701</v>
      </c>
      <c r="AC370" t="s">
        <v>1895</v>
      </c>
    </row>
    <row r="371" spans="3:29">
      <c r="C371" t="s">
        <v>1896</v>
      </c>
      <c r="D371" t="s">
        <v>1897</v>
      </c>
      <c r="E371" s="84">
        <v>1209.99</v>
      </c>
      <c r="F371" s="84">
        <v>604.995</v>
      </c>
      <c r="G371" t="s">
        <v>1866</v>
      </c>
      <c r="H371" t="s">
        <v>1898</v>
      </c>
      <c r="I371" t="s">
        <v>1899</v>
      </c>
      <c r="K371" t="s">
        <v>1223</v>
      </c>
      <c r="L371" t="s">
        <v>1698</v>
      </c>
      <c r="P371">
        <v>0</v>
      </c>
      <c r="Q371" s="84" t="e">
        <v>#REF!</v>
      </c>
      <c r="R371" s="85"/>
      <c r="S371" s="85"/>
      <c r="T371" s="86">
        <v>0</v>
      </c>
      <c r="U371" s="84">
        <v>0</v>
      </c>
      <c r="V371" s="84">
        <v>846.99300000000005</v>
      </c>
      <c r="W371" s="84">
        <v>423.49650000000003</v>
      </c>
      <c r="X371" s="82">
        <v>0.35</v>
      </c>
      <c r="Y371" s="82"/>
      <c r="Z371" s="84">
        <v>423.49650000000003</v>
      </c>
      <c r="AA371" s="84">
        <v>846.99300000000005</v>
      </c>
      <c r="AB371" s="88" t="e">
        <v>#DIV/0!</v>
      </c>
      <c r="AC371" t="s">
        <v>1900</v>
      </c>
    </row>
    <row r="372" spans="3:29">
      <c r="C372" t="s">
        <v>1901</v>
      </c>
      <c r="D372" t="s">
        <v>1902</v>
      </c>
      <c r="E372" s="84">
        <v>2929.99</v>
      </c>
      <c r="F372" s="84">
        <v>1464.9949999999999</v>
      </c>
      <c r="G372" t="s">
        <v>1866</v>
      </c>
      <c r="H372" t="s">
        <v>1903</v>
      </c>
      <c r="I372" t="s">
        <v>1904</v>
      </c>
      <c r="J372" t="s">
        <v>1905</v>
      </c>
      <c r="K372" t="s">
        <v>1517</v>
      </c>
      <c r="L372" t="s">
        <v>50</v>
      </c>
      <c r="M372">
        <v>200</v>
      </c>
      <c r="N372">
        <v>200</v>
      </c>
      <c r="O372">
        <v>32</v>
      </c>
      <c r="P372">
        <v>1.28</v>
      </c>
      <c r="Q372" s="84" t="e">
        <v>#REF!</v>
      </c>
      <c r="R372" s="85">
        <v>4086217.8357164799</v>
      </c>
      <c r="S372" s="85">
        <v>0</v>
      </c>
      <c r="T372" s="86">
        <v>4086217.8357164799</v>
      </c>
      <c r="U372" s="84">
        <v>272.414522381099</v>
      </c>
      <c r="V372" s="84">
        <v>2050.9929999999999</v>
      </c>
      <c r="W372" s="84">
        <v>1025.4965</v>
      </c>
      <c r="X372" s="82">
        <v>0.35</v>
      </c>
      <c r="Y372" s="82"/>
      <c r="Z372" s="84">
        <v>1025.4965</v>
      </c>
      <c r="AA372" s="84">
        <v>2050.9929999999999</v>
      </c>
      <c r="AB372" s="88">
        <v>3.7644707449383499</v>
      </c>
      <c r="AC372" t="s">
        <v>1906</v>
      </c>
    </row>
    <row r="373" spans="3:29">
      <c r="C373" t="s">
        <v>1907</v>
      </c>
      <c r="D373" t="s">
        <v>1908</v>
      </c>
      <c r="E373" s="84">
        <v>2569.9899999999998</v>
      </c>
      <c r="F373" s="84">
        <v>1284.9949999999999</v>
      </c>
      <c r="G373" t="s">
        <v>1866</v>
      </c>
      <c r="H373" t="s">
        <v>1909</v>
      </c>
      <c r="I373" t="s">
        <v>1910</v>
      </c>
      <c r="K373" t="s">
        <v>1223</v>
      </c>
      <c r="L373" t="s">
        <v>1698</v>
      </c>
      <c r="P373">
        <v>0</v>
      </c>
      <c r="Q373" s="84" t="e">
        <v>#REF!</v>
      </c>
      <c r="R373" s="85"/>
      <c r="S373" s="85"/>
      <c r="T373" s="86">
        <v>0</v>
      </c>
      <c r="U373" s="84">
        <v>0</v>
      </c>
      <c r="V373" s="84">
        <v>1798.9929999999999</v>
      </c>
      <c r="W373" s="84">
        <v>899.49649999999997</v>
      </c>
      <c r="X373" s="82">
        <v>0.35</v>
      </c>
      <c r="Y373" s="82"/>
      <c r="Z373" s="84">
        <v>899.49649999999997</v>
      </c>
      <c r="AA373" s="84">
        <v>1798.9929999999999</v>
      </c>
      <c r="AB373" s="88" t="e">
        <v>#DIV/0!</v>
      </c>
      <c r="AC373" t="s">
        <v>1911</v>
      </c>
    </row>
    <row r="374" spans="3:29">
      <c r="C374" t="s">
        <v>1912</v>
      </c>
      <c r="D374" t="s">
        <v>1913</v>
      </c>
      <c r="E374" s="84">
        <v>2119.9899999999998</v>
      </c>
      <c r="F374" s="84">
        <v>1059.9949999999999</v>
      </c>
      <c r="G374" t="s">
        <v>1866</v>
      </c>
      <c r="H374" t="s">
        <v>1914</v>
      </c>
      <c r="I374" t="s">
        <v>1915</v>
      </c>
      <c r="J374" t="s">
        <v>1916</v>
      </c>
      <c r="K374" t="s">
        <v>1917</v>
      </c>
      <c r="L374" t="s">
        <v>50</v>
      </c>
      <c r="M374">
        <v>200</v>
      </c>
      <c r="N374">
        <v>80</v>
      </c>
      <c r="O374">
        <v>45</v>
      </c>
      <c r="P374">
        <v>0.72</v>
      </c>
      <c r="Q374" s="84" t="e">
        <v>#REF!</v>
      </c>
      <c r="R374" s="85">
        <v>3590351.9575761198</v>
      </c>
      <c r="S374" s="85">
        <v>0</v>
      </c>
      <c r="T374" s="86">
        <v>3590351.9575761198</v>
      </c>
      <c r="U374" s="84">
        <v>239.35679717174099</v>
      </c>
      <c r="V374" s="84">
        <v>1483.9929999999999</v>
      </c>
      <c r="W374" s="84">
        <v>741.99649999999997</v>
      </c>
      <c r="X374" s="82">
        <v>0.35</v>
      </c>
      <c r="Y374" s="82"/>
      <c r="Z374" s="84">
        <v>741.99649999999997</v>
      </c>
      <c r="AA374" s="84">
        <v>1483.9929999999999</v>
      </c>
      <c r="AB374" s="88">
        <v>3.09996001269857</v>
      </c>
      <c r="AC374" t="s">
        <v>1918</v>
      </c>
    </row>
    <row r="375" spans="3:29">
      <c r="C375" t="s">
        <v>1919</v>
      </c>
      <c r="D375" t="s">
        <v>1920</v>
      </c>
      <c r="E375" s="84">
        <v>859.99</v>
      </c>
      <c r="F375" s="84">
        <v>429.995</v>
      </c>
      <c r="G375" t="s">
        <v>1866</v>
      </c>
      <c r="H375" t="s">
        <v>1921</v>
      </c>
      <c r="I375" t="s">
        <v>1922</v>
      </c>
      <c r="K375" t="s">
        <v>1223</v>
      </c>
      <c r="L375" t="s">
        <v>1698</v>
      </c>
      <c r="P375">
        <v>0</v>
      </c>
      <c r="Q375" s="84" t="e">
        <v>#REF!</v>
      </c>
      <c r="R375" s="85"/>
      <c r="S375" s="85"/>
      <c r="T375" s="86">
        <v>0</v>
      </c>
      <c r="U375" s="84">
        <v>0</v>
      </c>
      <c r="V375" s="84">
        <v>601.99300000000005</v>
      </c>
      <c r="W375" s="84">
        <v>300.99650000000003</v>
      </c>
      <c r="X375" s="82">
        <v>0.35</v>
      </c>
      <c r="Y375" s="82"/>
      <c r="Z375" s="84">
        <v>300.99650000000003</v>
      </c>
      <c r="AA375" s="84">
        <v>601.99300000000005</v>
      </c>
      <c r="AB375" s="88" t="e">
        <v>#DIV/0!</v>
      </c>
      <c r="AC375" t="s">
        <v>1923</v>
      </c>
    </row>
    <row r="376" spans="3:29">
      <c r="C376">
        <v>22004</v>
      </c>
      <c r="D376" t="s">
        <v>1924</v>
      </c>
      <c r="E376" s="84">
        <v>625.99</v>
      </c>
      <c r="F376" s="84">
        <v>312.995</v>
      </c>
      <c r="G376" t="s">
        <v>1866</v>
      </c>
      <c r="H376" t="s">
        <v>1925</v>
      </c>
      <c r="I376" t="s">
        <v>1926</v>
      </c>
      <c r="J376" t="s">
        <v>1927</v>
      </c>
      <c r="K376" t="s">
        <v>1196</v>
      </c>
      <c r="L376" t="s">
        <v>1698</v>
      </c>
      <c r="M376">
        <v>213</v>
      </c>
      <c r="N376">
        <v>152.5</v>
      </c>
      <c r="O376">
        <v>5</v>
      </c>
      <c r="P376">
        <v>0.16241249999999999</v>
      </c>
      <c r="Q376" s="84" t="e">
        <v>#REF!</v>
      </c>
      <c r="R376" s="85"/>
      <c r="S376" s="85"/>
      <c r="T376" s="86">
        <v>0</v>
      </c>
      <c r="U376" s="84">
        <v>0</v>
      </c>
      <c r="V376" s="84">
        <v>438.19299999999998</v>
      </c>
      <c r="W376" s="84">
        <v>219.09649999999999</v>
      </c>
      <c r="X376" s="82">
        <v>0.35</v>
      </c>
      <c r="Y376" s="82"/>
      <c r="Z376" s="84">
        <v>219.09649999999999</v>
      </c>
      <c r="AA376" s="84">
        <v>438.19299999999998</v>
      </c>
      <c r="AB376" s="88" t="e">
        <v>#DIV/0!</v>
      </c>
      <c r="AC376" t="s">
        <v>1928</v>
      </c>
    </row>
    <row r="377" spans="3:29">
      <c r="C377" t="s">
        <v>1929</v>
      </c>
      <c r="D377" t="s">
        <v>1930</v>
      </c>
      <c r="E377" s="84">
        <v>1499.99</v>
      </c>
      <c r="F377" s="84">
        <v>749.995</v>
      </c>
      <c r="G377" t="s">
        <v>1866</v>
      </c>
      <c r="H377" t="s">
        <v>1931</v>
      </c>
      <c r="I377" t="s">
        <v>1932</v>
      </c>
      <c r="K377" t="s">
        <v>1223</v>
      </c>
      <c r="L377" t="s">
        <v>1698</v>
      </c>
      <c r="P377">
        <v>0</v>
      </c>
      <c r="Q377" s="84" t="e">
        <v>#REF!</v>
      </c>
      <c r="R377" s="85"/>
      <c r="S377" s="85"/>
      <c r="T377" s="86">
        <v>0</v>
      </c>
      <c r="U377" s="84">
        <v>0</v>
      </c>
      <c r="V377" s="84">
        <v>1049.9929999999999</v>
      </c>
      <c r="W377" s="84">
        <v>524.99649999999997</v>
      </c>
      <c r="X377" s="82">
        <v>0.35</v>
      </c>
      <c r="Y377" s="82"/>
      <c r="Z377" s="84">
        <v>524.99649999999997</v>
      </c>
      <c r="AA377" s="84">
        <v>1049.9929999999999</v>
      </c>
      <c r="AB377" s="88" t="e">
        <v>#DIV/0!</v>
      </c>
      <c r="AC377" t="s">
        <v>1933</v>
      </c>
    </row>
    <row r="378" spans="3:29">
      <c r="C378" t="s">
        <v>1934</v>
      </c>
      <c r="E378" s="84"/>
      <c r="F378" s="82"/>
      <c r="R378" s="85"/>
      <c r="S378" s="85"/>
      <c r="T378" s="86"/>
      <c r="V378" s="84"/>
      <c r="W378" s="84"/>
      <c r="X378" s="82"/>
      <c r="Y378" s="82"/>
      <c r="Z378" s="82"/>
      <c r="AA378" s="82"/>
      <c r="AB378" s="88"/>
    </row>
    <row r="379" spans="3:29">
      <c r="C379" t="s">
        <v>1935</v>
      </c>
      <c r="D379" t="s">
        <v>1936</v>
      </c>
      <c r="E379" s="84">
        <v>7239.99</v>
      </c>
      <c r="F379" s="84">
        <v>3619.9949999999999</v>
      </c>
      <c r="G379" t="s">
        <v>1934</v>
      </c>
      <c r="H379" t="s">
        <v>1937</v>
      </c>
      <c r="I379" t="s">
        <v>1938</v>
      </c>
      <c r="J379" t="s">
        <v>1939</v>
      </c>
      <c r="K379" t="s">
        <v>58</v>
      </c>
      <c r="L379" t="s">
        <v>50</v>
      </c>
      <c r="M379">
        <v>230</v>
      </c>
      <c r="N379">
        <v>200</v>
      </c>
      <c r="O379">
        <v>250</v>
      </c>
      <c r="P379">
        <v>11.5</v>
      </c>
      <c r="Q379" s="84" t="e">
        <v>#REF!</v>
      </c>
      <c r="R379" s="85"/>
      <c r="S379" s="85"/>
      <c r="T379" s="86">
        <v>0</v>
      </c>
      <c r="U379" s="84">
        <v>0</v>
      </c>
      <c r="V379" s="84">
        <v>5067.9930000000004</v>
      </c>
      <c r="W379" s="84">
        <v>2533.9965000000002</v>
      </c>
      <c r="X379" s="82">
        <v>0.35</v>
      </c>
      <c r="Y379" s="82"/>
      <c r="Z379" s="84">
        <v>2533.9965000000002</v>
      </c>
      <c r="AA379" s="84">
        <v>5067.9930000000004</v>
      </c>
      <c r="AB379" s="88" t="e">
        <v>#DIV/0!</v>
      </c>
      <c r="AC379" t="s">
        <v>1940</v>
      </c>
    </row>
    <row r="380" spans="3:29">
      <c r="C380" t="s">
        <v>1942</v>
      </c>
      <c r="D380" t="s">
        <v>1943</v>
      </c>
      <c r="E380" s="84">
        <v>1049.99</v>
      </c>
      <c r="F380" s="84">
        <v>524.995</v>
      </c>
      <c r="G380" t="s">
        <v>1934</v>
      </c>
      <c r="H380" t="s">
        <v>1944</v>
      </c>
      <c r="I380" t="s">
        <v>1945</v>
      </c>
      <c r="J380" t="s">
        <v>1946</v>
      </c>
      <c r="K380" t="s">
        <v>58</v>
      </c>
      <c r="L380" t="s">
        <v>50</v>
      </c>
      <c r="P380">
        <v>0</v>
      </c>
      <c r="Q380" s="84" t="e">
        <v>#REF!</v>
      </c>
      <c r="R380" s="85"/>
      <c r="S380" s="85"/>
      <c r="T380" s="86">
        <v>0</v>
      </c>
      <c r="U380" s="84">
        <v>0</v>
      </c>
      <c r="V380" s="84">
        <v>734.99300000000005</v>
      </c>
      <c r="W380" s="84">
        <v>367.49650000000003</v>
      </c>
      <c r="X380" s="82">
        <v>0.35</v>
      </c>
      <c r="Y380" s="82"/>
      <c r="Z380" s="84">
        <v>367.49650000000003</v>
      </c>
      <c r="AA380" s="84">
        <v>734.99300000000005</v>
      </c>
      <c r="AB380" s="88" t="e">
        <v>#DIV/0!</v>
      </c>
      <c r="AC380" t="s">
        <v>1947</v>
      </c>
    </row>
    <row r="381" spans="3:29">
      <c r="C381" t="s">
        <v>1948</v>
      </c>
      <c r="D381" t="s">
        <v>1949</v>
      </c>
      <c r="E381" s="84">
        <v>3539.99</v>
      </c>
      <c r="F381" s="84">
        <v>1769.9949999999999</v>
      </c>
      <c r="G381" t="s">
        <v>1934</v>
      </c>
      <c r="H381" t="s">
        <v>1950</v>
      </c>
      <c r="I381" t="s">
        <v>1951</v>
      </c>
      <c r="J381" t="s">
        <v>1952</v>
      </c>
      <c r="K381" t="s">
        <v>58</v>
      </c>
      <c r="L381" t="s">
        <v>50</v>
      </c>
      <c r="M381">
        <v>230</v>
      </c>
      <c r="N381">
        <v>210</v>
      </c>
      <c r="O381">
        <v>250</v>
      </c>
      <c r="P381">
        <v>12.074999999999999</v>
      </c>
      <c r="Q381" s="84" t="e">
        <v>#REF!</v>
      </c>
      <c r="R381" s="85"/>
      <c r="S381" s="85"/>
      <c r="T381" s="86">
        <v>0</v>
      </c>
      <c r="U381" s="84">
        <v>0</v>
      </c>
      <c r="V381" s="84">
        <v>2477.9929999999999</v>
      </c>
      <c r="W381" s="84">
        <v>1238.9965</v>
      </c>
      <c r="X381" s="82">
        <v>0.35</v>
      </c>
      <c r="Y381" s="82"/>
      <c r="Z381" s="84">
        <v>1238.9965</v>
      </c>
      <c r="AA381" s="84">
        <v>2477.9929999999999</v>
      </c>
      <c r="AB381" s="88" t="e">
        <v>#DIV/0!</v>
      </c>
      <c r="AC381" t="s">
        <v>1953</v>
      </c>
    </row>
    <row r="382" spans="3:29">
      <c r="C382" t="s">
        <v>1954</v>
      </c>
      <c r="D382" t="s">
        <v>1955</v>
      </c>
      <c r="E382" s="84">
        <v>2124.9899999999998</v>
      </c>
      <c r="F382" s="84">
        <v>1062.4949999999999</v>
      </c>
      <c r="G382" t="s">
        <v>1934</v>
      </c>
      <c r="H382" t="s">
        <v>1956</v>
      </c>
      <c r="I382" t="s">
        <v>1957</v>
      </c>
      <c r="J382" t="s">
        <v>1958</v>
      </c>
      <c r="K382" t="s">
        <v>662</v>
      </c>
      <c r="L382" t="s">
        <v>646</v>
      </c>
      <c r="M382">
        <v>220</v>
      </c>
      <c r="N382">
        <v>220</v>
      </c>
      <c r="O382">
        <v>230</v>
      </c>
      <c r="P382">
        <v>11.132</v>
      </c>
      <c r="Q382" s="84" t="e">
        <v>#REF!</v>
      </c>
      <c r="R382" s="85"/>
      <c r="S382" s="85"/>
      <c r="T382" s="86">
        <v>0</v>
      </c>
      <c r="U382" s="84">
        <v>0</v>
      </c>
      <c r="V382" s="84">
        <v>1487.4929999999999</v>
      </c>
      <c r="W382" s="84">
        <v>743.74649999999997</v>
      </c>
      <c r="X382" s="82">
        <v>0.35</v>
      </c>
      <c r="Y382" s="82"/>
      <c r="Z382" s="84">
        <v>743.74649999999997</v>
      </c>
      <c r="AA382" s="84">
        <v>1487.4929999999999</v>
      </c>
      <c r="AB382" s="88" t="e">
        <v>#DIV/0!</v>
      </c>
      <c r="AC382" t="s">
        <v>1959</v>
      </c>
    </row>
    <row r="383" spans="3:29">
      <c r="C383" t="s">
        <v>1960</v>
      </c>
      <c r="D383" t="s">
        <v>1961</v>
      </c>
      <c r="E383" s="84">
        <v>439.99</v>
      </c>
      <c r="F383" s="84">
        <v>219.995</v>
      </c>
      <c r="G383" t="s">
        <v>1934</v>
      </c>
      <c r="H383" t="s">
        <v>1962</v>
      </c>
      <c r="I383" t="s">
        <v>1963</v>
      </c>
      <c r="J383" t="s">
        <v>1946</v>
      </c>
      <c r="K383" t="s">
        <v>1964</v>
      </c>
      <c r="L383" t="s">
        <v>670</v>
      </c>
      <c r="P383">
        <v>0</v>
      </c>
      <c r="Q383" s="84" t="e">
        <v>#REF!</v>
      </c>
      <c r="R383" s="85"/>
      <c r="S383" s="85"/>
      <c r="T383" s="86">
        <v>0</v>
      </c>
      <c r="U383" s="84">
        <v>0</v>
      </c>
      <c r="V383" s="84">
        <v>307.99299999999999</v>
      </c>
      <c r="W383" s="84">
        <v>153.9965</v>
      </c>
      <c r="X383" s="82">
        <v>0.35</v>
      </c>
      <c r="Y383" s="82"/>
      <c r="Z383" s="84">
        <v>153.9965</v>
      </c>
      <c r="AA383" s="84">
        <v>307.99299999999999</v>
      </c>
      <c r="AB383" s="88" t="e">
        <v>#DIV/0!</v>
      </c>
      <c r="AC383" t="s">
        <v>1965</v>
      </c>
    </row>
    <row r="384" spans="3:29">
      <c r="C384" t="s">
        <v>1966</v>
      </c>
      <c r="D384" t="s">
        <v>1967</v>
      </c>
      <c r="E384" s="84">
        <v>4304.99</v>
      </c>
      <c r="F384" s="84">
        <v>2152.4949999999999</v>
      </c>
      <c r="G384" t="s">
        <v>1934</v>
      </c>
      <c r="H384" t="s">
        <v>1968</v>
      </c>
      <c r="I384" t="s">
        <v>1969</v>
      </c>
      <c r="J384" t="s">
        <v>1970</v>
      </c>
      <c r="K384" t="s">
        <v>662</v>
      </c>
      <c r="L384" t="s">
        <v>646</v>
      </c>
      <c r="M384">
        <v>210</v>
      </c>
      <c r="N384">
        <v>210</v>
      </c>
      <c r="O384">
        <v>250</v>
      </c>
      <c r="P384">
        <v>11.025</v>
      </c>
      <c r="Q384" s="84" t="e">
        <v>#REF!</v>
      </c>
      <c r="R384" s="85">
        <v>784066.31220895995</v>
      </c>
      <c r="S384" s="85">
        <v>8000000</v>
      </c>
      <c r="T384" s="86">
        <v>8784066.3122089598</v>
      </c>
      <c r="U384" s="84">
        <v>585.60442081393103</v>
      </c>
      <c r="V384" s="84">
        <v>3013.4929999999999</v>
      </c>
      <c r="W384" s="84">
        <v>1506.7465</v>
      </c>
      <c r="X384" s="82">
        <v>0.35</v>
      </c>
      <c r="Y384" s="82"/>
      <c r="Z384" s="84">
        <v>1506.7465</v>
      </c>
      <c r="AA384" s="84">
        <v>3013.4929999999999</v>
      </c>
      <c r="AB384" s="88">
        <v>2.57297664847846</v>
      </c>
      <c r="AC384" t="s">
        <v>1971</v>
      </c>
    </row>
    <row r="385" spans="3:29">
      <c r="C385" t="s">
        <v>1972</v>
      </c>
      <c r="D385" t="s">
        <v>1973</v>
      </c>
      <c r="E385" s="84">
        <v>2889.99</v>
      </c>
      <c r="F385" s="84">
        <v>1444.9949999999999</v>
      </c>
      <c r="G385" t="s">
        <v>1934</v>
      </c>
      <c r="H385" t="s">
        <v>1974</v>
      </c>
      <c r="I385" t="s">
        <v>1975</v>
      </c>
      <c r="J385" t="s">
        <v>1970</v>
      </c>
      <c r="K385" t="s">
        <v>662</v>
      </c>
      <c r="L385" t="s">
        <v>646</v>
      </c>
      <c r="M385">
        <v>210</v>
      </c>
      <c r="N385">
        <v>210</v>
      </c>
      <c r="O385">
        <v>250</v>
      </c>
      <c r="P385">
        <v>11.025</v>
      </c>
      <c r="Q385" s="84" t="e">
        <v>#REF!</v>
      </c>
      <c r="R385" s="85"/>
      <c r="S385" s="85"/>
      <c r="T385" s="86">
        <v>0</v>
      </c>
      <c r="U385" s="84">
        <v>0</v>
      </c>
      <c r="V385" s="84">
        <v>2022.9929999999999</v>
      </c>
      <c r="W385" s="84">
        <v>1011.4965</v>
      </c>
      <c r="X385" s="82">
        <v>0.35</v>
      </c>
      <c r="Y385" s="82"/>
      <c r="Z385" s="84">
        <v>1011.4965</v>
      </c>
      <c r="AA385" s="84">
        <v>2022.9929999999999</v>
      </c>
      <c r="AB385" s="88" t="e">
        <v>#DIV/0!</v>
      </c>
      <c r="AC385" t="s">
        <v>1976</v>
      </c>
    </row>
    <row r="386" spans="3:29">
      <c r="C386" t="s">
        <v>1977</v>
      </c>
      <c r="D386" t="s">
        <v>1978</v>
      </c>
      <c r="E386" s="84">
        <v>5079.99</v>
      </c>
      <c r="F386" s="84">
        <v>2539.9949999999999</v>
      </c>
      <c r="G386" t="s">
        <v>1934</v>
      </c>
      <c r="H386" t="s">
        <v>1979</v>
      </c>
      <c r="I386" t="s">
        <v>1980</v>
      </c>
      <c r="J386" t="s">
        <v>1981</v>
      </c>
      <c r="K386" t="s">
        <v>662</v>
      </c>
      <c r="L386" t="s">
        <v>646</v>
      </c>
      <c r="M386">
        <v>200</v>
      </c>
      <c r="N386">
        <v>200</v>
      </c>
      <c r="O386">
        <v>230</v>
      </c>
      <c r="P386">
        <v>9.1999999999999993</v>
      </c>
      <c r="Q386" s="84" t="e">
        <v>#REF!</v>
      </c>
      <c r="R386" s="85">
        <v>458728.20764178998</v>
      </c>
      <c r="S386" s="85">
        <v>7000000</v>
      </c>
      <c r="T386" s="86">
        <v>7458728.2076417897</v>
      </c>
      <c r="U386" s="84">
        <v>497.24854717611902</v>
      </c>
      <c r="V386" s="84">
        <v>3555.9929999999999</v>
      </c>
      <c r="W386" s="84">
        <v>1777.9965</v>
      </c>
      <c r="X386" s="82">
        <v>0.35</v>
      </c>
      <c r="Y386" s="82"/>
      <c r="Z386" s="84">
        <v>1777.9965</v>
      </c>
      <c r="AA386" s="84">
        <v>3555.9929999999999</v>
      </c>
      <c r="AB386" s="88">
        <v>3.5756695722838501</v>
      </c>
      <c r="AC386" t="s">
        <v>1982</v>
      </c>
    </row>
    <row r="387" spans="3:29">
      <c r="C387" t="s">
        <v>1983</v>
      </c>
      <c r="D387" t="s">
        <v>1984</v>
      </c>
      <c r="E387" s="84">
        <v>4334.99</v>
      </c>
      <c r="F387" s="84">
        <v>2167.4949999999999</v>
      </c>
      <c r="G387" t="s">
        <v>1934</v>
      </c>
      <c r="H387" t="s">
        <v>1985</v>
      </c>
      <c r="I387" t="s">
        <v>1986</v>
      </c>
      <c r="J387" t="s">
        <v>1970</v>
      </c>
      <c r="K387" t="s">
        <v>662</v>
      </c>
      <c r="L387" t="s">
        <v>646</v>
      </c>
      <c r="M387">
        <v>210</v>
      </c>
      <c r="N387">
        <v>210</v>
      </c>
      <c r="O387">
        <v>250</v>
      </c>
      <c r="P387">
        <v>11.025</v>
      </c>
      <c r="Q387" s="84" t="e">
        <v>#REF!</v>
      </c>
      <c r="R387" s="85">
        <v>622142.31220895995</v>
      </c>
      <c r="S387" s="85">
        <v>6750000</v>
      </c>
      <c r="T387" s="86">
        <v>7372142.3122089598</v>
      </c>
      <c r="U387" s="84">
        <v>491.47615414726403</v>
      </c>
      <c r="V387" s="84">
        <v>3034.4929999999999</v>
      </c>
      <c r="W387" s="84">
        <v>1517.2465</v>
      </c>
      <c r="X387" s="82">
        <v>0.35</v>
      </c>
      <c r="Y387" s="82"/>
      <c r="Z387" s="84">
        <v>1517.2465</v>
      </c>
      <c r="AA387" s="84">
        <v>3034.4929999999999</v>
      </c>
      <c r="AB387" s="88">
        <v>3.08712129204417</v>
      </c>
      <c r="AC387" t="s">
        <v>1987</v>
      </c>
    </row>
    <row r="388" spans="3:29">
      <c r="C388" t="s">
        <v>1988</v>
      </c>
      <c r="E388" s="84"/>
      <c r="F388" s="82"/>
      <c r="R388" s="85"/>
      <c r="S388" s="85"/>
      <c r="T388" s="86"/>
      <c r="V388" s="84">
        <v>0</v>
      </c>
      <c r="W388" s="84">
        <v>0</v>
      </c>
      <c r="X388" s="82" t="e">
        <v>#DIV/0!</v>
      </c>
      <c r="Y388" s="82">
        <v>0</v>
      </c>
      <c r="Z388" s="82"/>
      <c r="AA388" s="82"/>
      <c r="AB388" s="88" t="e">
        <v>#DIV/0!</v>
      </c>
    </row>
    <row r="389" spans="3:29">
      <c r="C389">
        <v>22636</v>
      </c>
      <c r="D389" t="s">
        <v>1874</v>
      </c>
      <c r="E389" s="84">
        <v>470.99</v>
      </c>
      <c r="F389" s="84">
        <v>235.495</v>
      </c>
      <c r="G389" t="s">
        <v>1989</v>
      </c>
      <c r="H389" t="s">
        <v>1990</v>
      </c>
      <c r="I389" t="s">
        <v>1991</v>
      </c>
      <c r="J389" t="s">
        <v>1992</v>
      </c>
      <c r="K389" t="s">
        <v>1196</v>
      </c>
      <c r="L389" t="s">
        <v>670</v>
      </c>
      <c r="M389">
        <v>180</v>
      </c>
      <c r="N389">
        <v>180</v>
      </c>
      <c r="O389">
        <v>50</v>
      </c>
      <c r="P389">
        <v>1.62</v>
      </c>
      <c r="Q389" s="84" t="e">
        <v>#REF!</v>
      </c>
      <c r="R389" s="85"/>
      <c r="S389" s="85"/>
      <c r="T389" s="86">
        <v>0</v>
      </c>
      <c r="U389" s="84">
        <v>0</v>
      </c>
      <c r="V389" s="84">
        <v>329.69299999999998</v>
      </c>
      <c r="W389" s="84">
        <v>164.84649999999999</v>
      </c>
      <c r="X389" s="82">
        <v>0.35</v>
      </c>
      <c r="Y389" s="82"/>
      <c r="Z389" s="84">
        <v>164.84649999999999</v>
      </c>
      <c r="AA389" s="84">
        <v>329.69299999999998</v>
      </c>
      <c r="AB389" s="88" t="e">
        <v>#DIV/0!</v>
      </c>
      <c r="AC389" t="s">
        <v>1993</v>
      </c>
    </row>
    <row r="390" spans="3:29">
      <c r="C390">
        <v>22567</v>
      </c>
      <c r="D390" t="s">
        <v>1874</v>
      </c>
      <c r="E390" s="84">
        <v>798.99</v>
      </c>
      <c r="F390" s="84">
        <v>399.495</v>
      </c>
      <c r="G390" t="s">
        <v>1989</v>
      </c>
      <c r="H390" t="s">
        <v>1995</v>
      </c>
      <c r="I390" t="s">
        <v>1996</v>
      </c>
      <c r="J390" t="s">
        <v>1997</v>
      </c>
      <c r="K390" t="s">
        <v>1196</v>
      </c>
      <c r="L390" t="s">
        <v>670</v>
      </c>
      <c r="M390">
        <v>225</v>
      </c>
      <c r="N390">
        <v>225</v>
      </c>
      <c r="O390">
        <v>50</v>
      </c>
      <c r="P390">
        <v>2.53125</v>
      </c>
      <c r="Q390" s="84" t="e">
        <v>#REF!</v>
      </c>
      <c r="R390" s="85"/>
      <c r="S390" s="85"/>
      <c r="T390" s="86">
        <v>0</v>
      </c>
      <c r="U390" s="84">
        <v>0</v>
      </c>
      <c r="V390" s="84">
        <v>559.29300000000001</v>
      </c>
      <c r="W390" s="84">
        <v>279.6465</v>
      </c>
      <c r="X390" s="82">
        <v>0.35</v>
      </c>
      <c r="Y390" s="82"/>
      <c r="Z390" s="84">
        <v>279.6465</v>
      </c>
      <c r="AA390" s="84">
        <v>559.29300000000001</v>
      </c>
      <c r="AB390" s="88" t="e">
        <v>#DIV/0!</v>
      </c>
      <c r="AC390" t="s">
        <v>1998</v>
      </c>
    </row>
    <row r="391" spans="3:29">
      <c r="C391">
        <v>21950</v>
      </c>
      <c r="D391" t="s">
        <v>1999</v>
      </c>
      <c r="E391" s="84">
        <v>267.99</v>
      </c>
      <c r="F391" s="84">
        <v>133.995</v>
      </c>
      <c r="G391" t="s">
        <v>1989</v>
      </c>
      <c r="H391" t="s">
        <v>2000</v>
      </c>
      <c r="I391" t="s">
        <v>2001</v>
      </c>
      <c r="J391" t="s">
        <v>2002</v>
      </c>
      <c r="K391" t="s">
        <v>1196</v>
      </c>
      <c r="L391" t="s">
        <v>670</v>
      </c>
      <c r="N391">
        <v>120</v>
      </c>
      <c r="O391">
        <v>30</v>
      </c>
      <c r="P391">
        <v>0.432</v>
      </c>
      <c r="Q391" s="84" t="e">
        <v>#REF!</v>
      </c>
      <c r="R391" s="85">
        <v>104288.98459701</v>
      </c>
      <c r="S391" s="85">
        <v>1300000</v>
      </c>
      <c r="T391" s="86">
        <v>1404288.9845970101</v>
      </c>
      <c r="U391" s="84">
        <v>93.619265639800702</v>
      </c>
      <c r="V391" s="84">
        <v>187.59299999999999</v>
      </c>
      <c r="W391" s="84">
        <v>93.796499999999995</v>
      </c>
      <c r="X391" s="82">
        <v>0.35</v>
      </c>
      <c r="Y391" s="87">
        <v>140.428898459701</v>
      </c>
      <c r="Z391" s="84">
        <v>140.428898459701</v>
      </c>
      <c r="AA391" s="84">
        <v>280.85779691940201</v>
      </c>
      <c r="AB391" s="88">
        <v>2</v>
      </c>
      <c r="AC391" t="s">
        <v>2003</v>
      </c>
    </row>
    <row r="392" spans="3:29">
      <c r="C392">
        <v>22354</v>
      </c>
      <c r="D392" t="s">
        <v>1999</v>
      </c>
      <c r="E392" s="84">
        <v>434.99</v>
      </c>
      <c r="F392" s="84">
        <v>217.495</v>
      </c>
      <c r="G392" t="s">
        <v>1989</v>
      </c>
      <c r="H392" t="s">
        <v>2004</v>
      </c>
      <c r="I392" t="s">
        <v>2005</v>
      </c>
      <c r="J392" t="s">
        <v>2006</v>
      </c>
      <c r="K392" t="s">
        <v>1196</v>
      </c>
      <c r="L392" t="s">
        <v>670</v>
      </c>
      <c r="N392">
        <v>180</v>
      </c>
      <c r="O392">
        <v>40</v>
      </c>
      <c r="P392">
        <v>1.296</v>
      </c>
      <c r="Q392" s="84" t="e">
        <v>#REF!</v>
      </c>
      <c r="R392" s="85">
        <v>312866.95379104</v>
      </c>
      <c r="S392" s="85">
        <v>2000000</v>
      </c>
      <c r="T392" s="86">
        <v>2312866.95379104</v>
      </c>
      <c r="U392" s="84">
        <v>154.191130252736</v>
      </c>
      <c r="V392" s="84">
        <v>304.49299999999999</v>
      </c>
      <c r="W392" s="84">
        <v>152.2465</v>
      </c>
      <c r="X392" s="82">
        <v>0.35</v>
      </c>
      <c r="Y392" s="87">
        <v>231.286695379104</v>
      </c>
      <c r="Z392" s="84">
        <v>231.286695379104</v>
      </c>
      <c r="AA392" s="84">
        <v>462.57339075820801</v>
      </c>
      <c r="AB392" s="88">
        <v>2</v>
      </c>
      <c r="AC392" t="s">
        <v>2007</v>
      </c>
    </row>
    <row r="393" spans="3:29">
      <c r="C393">
        <v>22007</v>
      </c>
      <c r="D393" t="s">
        <v>2008</v>
      </c>
      <c r="E393" s="84">
        <v>585.99</v>
      </c>
      <c r="F393" s="84">
        <v>292.995</v>
      </c>
      <c r="G393" t="s">
        <v>1989</v>
      </c>
      <c r="H393" t="s">
        <v>2009</v>
      </c>
      <c r="I393" t="s">
        <v>2010</v>
      </c>
      <c r="J393" t="s">
        <v>2011</v>
      </c>
      <c r="K393" t="s">
        <v>2012</v>
      </c>
      <c r="L393" t="s">
        <v>670</v>
      </c>
      <c r="N393">
        <v>183</v>
      </c>
      <c r="O393">
        <v>50</v>
      </c>
      <c r="P393">
        <v>1.67445</v>
      </c>
      <c r="Q393" s="84" t="e">
        <v>#REF!</v>
      </c>
      <c r="R393" s="85">
        <v>2245802.8833473101</v>
      </c>
      <c r="S393" s="85"/>
      <c r="T393" s="86">
        <v>2245802.8833473101</v>
      </c>
      <c r="U393" s="84">
        <v>149.72019222315399</v>
      </c>
      <c r="V393" s="84">
        <v>410.19299999999998</v>
      </c>
      <c r="W393" s="84">
        <v>205.09649999999999</v>
      </c>
      <c r="X393" s="82">
        <v>0.35</v>
      </c>
      <c r="Y393" s="87">
        <v>269.49634600167701</v>
      </c>
      <c r="Z393" s="84">
        <v>269.49634600167701</v>
      </c>
      <c r="AA393" s="84">
        <v>538.99269200335402</v>
      </c>
      <c r="AB393" s="88">
        <v>2</v>
      </c>
      <c r="AC393" t="s">
        <v>2013</v>
      </c>
    </row>
    <row r="394" spans="3:29">
      <c r="C394">
        <v>22016</v>
      </c>
      <c r="D394" t="s">
        <v>2015</v>
      </c>
      <c r="E394" s="84">
        <v>189.99</v>
      </c>
      <c r="F394" s="84">
        <v>94.995000000000005</v>
      </c>
      <c r="G394" t="s">
        <v>1989</v>
      </c>
      <c r="H394" t="s">
        <v>2016</v>
      </c>
      <c r="I394" t="s">
        <v>2017</v>
      </c>
      <c r="J394" t="s">
        <v>2018</v>
      </c>
      <c r="K394" t="s">
        <v>2019</v>
      </c>
      <c r="L394" t="s">
        <v>646</v>
      </c>
      <c r="N394">
        <v>5</v>
      </c>
      <c r="O394">
        <v>235</v>
      </c>
      <c r="P394">
        <v>5.875E-3</v>
      </c>
      <c r="Q394" s="84" t="e">
        <v>#REF!</v>
      </c>
      <c r="R394" s="85">
        <v>2396.896425504</v>
      </c>
      <c r="S394" s="85">
        <v>133031.79999999999</v>
      </c>
      <c r="T394" s="86">
        <v>135428.69642550399</v>
      </c>
      <c r="U394" s="84">
        <v>9.0285797617002697</v>
      </c>
      <c r="V394" s="84">
        <v>132.99299999999999</v>
      </c>
      <c r="W394" s="84">
        <v>66.496499999999997</v>
      </c>
      <c r="X394" s="82">
        <v>0.35</v>
      </c>
      <c r="Y394" s="82"/>
      <c r="Z394" s="84">
        <v>66.496499999999997</v>
      </c>
      <c r="AA394" s="84">
        <v>132.99299999999999</v>
      </c>
      <c r="AB394" s="88">
        <v>7.3651118730857101</v>
      </c>
      <c r="AC394" t="s">
        <v>2020</v>
      </c>
    </row>
    <row r="395" spans="3:29">
      <c r="C395" t="s">
        <v>1879</v>
      </c>
      <c r="D395" t="s">
        <v>2021</v>
      </c>
      <c r="E395" s="84">
        <v>269.99</v>
      </c>
      <c r="F395" s="84">
        <v>134.995</v>
      </c>
      <c r="G395" t="s">
        <v>1989</v>
      </c>
      <c r="H395" t="s">
        <v>2022</v>
      </c>
      <c r="I395" t="s">
        <v>2023</v>
      </c>
      <c r="J395" t="s">
        <v>2024</v>
      </c>
      <c r="K395" t="s">
        <v>2019</v>
      </c>
      <c r="L395" t="s">
        <v>646</v>
      </c>
      <c r="N395">
        <v>8</v>
      </c>
      <c r="O395">
        <v>235</v>
      </c>
      <c r="P395">
        <v>1.504E-2</v>
      </c>
      <c r="Q395" s="84" t="e">
        <v>#REF!</v>
      </c>
      <c r="R395" s="85"/>
      <c r="S395" s="85"/>
      <c r="T395" s="86">
        <v>0</v>
      </c>
      <c r="U395" s="84">
        <v>0</v>
      </c>
      <c r="V395" s="84">
        <v>188.99299999999999</v>
      </c>
      <c r="W395" s="84">
        <v>94.496499999999997</v>
      </c>
      <c r="X395" s="82">
        <v>0.35</v>
      </c>
      <c r="Y395" s="82"/>
      <c r="Z395" s="84">
        <v>94.496499999999997</v>
      </c>
      <c r="AA395" s="84">
        <v>188.99299999999999</v>
      </c>
      <c r="AB395" s="88" t="e">
        <v>#DIV/0!</v>
      </c>
      <c r="AC395" t="s">
        <v>2025</v>
      </c>
    </row>
    <row r="396" spans="3:29">
      <c r="C396" t="s">
        <v>2026</v>
      </c>
      <c r="D396" t="s">
        <v>2027</v>
      </c>
      <c r="E396" s="84">
        <v>195.99</v>
      </c>
      <c r="F396" s="84">
        <v>97.995000000000005</v>
      </c>
      <c r="G396" t="s">
        <v>1989</v>
      </c>
      <c r="H396" t="s">
        <v>2028</v>
      </c>
      <c r="I396" t="s">
        <v>2029</v>
      </c>
      <c r="J396" t="s">
        <v>2030</v>
      </c>
      <c r="K396" t="s">
        <v>2031</v>
      </c>
      <c r="L396" t="s">
        <v>670</v>
      </c>
      <c r="M396">
        <v>30</v>
      </c>
      <c r="N396">
        <v>30</v>
      </c>
      <c r="O396">
        <v>40</v>
      </c>
      <c r="P396">
        <v>3.5999999999999997E-2</v>
      </c>
      <c r="Q396" s="84" t="e">
        <v>#REF!</v>
      </c>
      <c r="R396" s="85">
        <v>8690.7487164179893</v>
      </c>
      <c r="S396" s="85">
        <v>350000</v>
      </c>
      <c r="T396" s="86">
        <v>358690.74871641799</v>
      </c>
      <c r="U396" s="84">
        <v>23.9127165810945</v>
      </c>
      <c r="V396" s="84">
        <v>137.19300000000001</v>
      </c>
      <c r="W396" s="84">
        <v>68.596500000000006</v>
      </c>
      <c r="X396" s="82">
        <v>0.35</v>
      </c>
      <c r="Y396" s="82"/>
      <c r="Z396" s="84">
        <v>68.596500000000006</v>
      </c>
      <c r="AA396" s="84">
        <v>137.19300000000001</v>
      </c>
      <c r="AB396" s="88">
        <v>2.8686201238312101</v>
      </c>
      <c r="AC396" t="s">
        <v>2032</v>
      </c>
    </row>
    <row r="397" spans="3:29">
      <c r="C397" t="s">
        <v>2033</v>
      </c>
      <c r="D397" t="s">
        <v>2027</v>
      </c>
      <c r="E397" s="84">
        <v>289.99</v>
      </c>
      <c r="F397" s="84">
        <v>144.995</v>
      </c>
      <c r="G397" t="s">
        <v>1989</v>
      </c>
      <c r="H397" t="s">
        <v>2034</v>
      </c>
      <c r="I397" t="s">
        <v>2035</v>
      </c>
      <c r="J397" t="s">
        <v>2036</v>
      </c>
      <c r="K397" t="s">
        <v>2031</v>
      </c>
      <c r="L397" t="s">
        <v>670</v>
      </c>
      <c r="M397">
        <v>40</v>
      </c>
      <c r="N397">
        <v>40</v>
      </c>
      <c r="O397">
        <v>40</v>
      </c>
      <c r="P397">
        <v>6.4000000000000001E-2</v>
      </c>
      <c r="Q397" s="84" t="e">
        <v>#REF!</v>
      </c>
      <c r="R397" s="85">
        <v>81026.934226013007</v>
      </c>
      <c r="S397" s="85">
        <v>600000</v>
      </c>
      <c r="T397" s="86">
        <v>681026.93422601302</v>
      </c>
      <c r="U397" s="84">
        <v>45.401795615067499</v>
      </c>
      <c r="V397" s="84">
        <v>202.99299999999999</v>
      </c>
      <c r="W397" s="84">
        <v>101.4965</v>
      </c>
      <c r="X397" s="82">
        <v>0.35</v>
      </c>
      <c r="Y397" s="82"/>
      <c r="Z397" s="84">
        <v>101.4965</v>
      </c>
      <c r="AA397" s="84">
        <v>202.99299999999999</v>
      </c>
      <c r="AB397" s="88">
        <v>2.2355173099434902</v>
      </c>
      <c r="AC397" t="s">
        <v>2037</v>
      </c>
    </row>
    <row r="398" spans="3:29">
      <c r="C398" t="s">
        <v>2038</v>
      </c>
      <c r="D398" t="s">
        <v>2027</v>
      </c>
      <c r="E398" s="84">
        <v>289.99</v>
      </c>
      <c r="F398" s="84">
        <v>144.995</v>
      </c>
      <c r="G398" t="s">
        <v>1989</v>
      </c>
      <c r="H398" t="s">
        <v>2034</v>
      </c>
      <c r="I398" t="s">
        <v>2039</v>
      </c>
      <c r="J398" t="s">
        <v>2036</v>
      </c>
      <c r="K398" t="s">
        <v>2031</v>
      </c>
      <c r="L398" t="s">
        <v>670</v>
      </c>
      <c r="M398">
        <v>40</v>
      </c>
      <c r="N398">
        <v>40</v>
      </c>
      <c r="O398">
        <v>40</v>
      </c>
      <c r="P398">
        <v>6.4000000000000001E-2</v>
      </c>
      <c r="Q398" s="84" t="e">
        <v>#REF!</v>
      </c>
      <c r="R398" s="85"/>
      <c r="S398" s="85"/>
      <c r="T398" s="86">
        <v>0</v>
      </c>
      <c r="U398" s="84">
        <v>0</v>
      </c>
      <c r="V398" s="84">
        <v>202.99299999999999</v>
      </c>
      <c r="W398" s="84">
        <v>101.4965</v>
      </c>
      <c r="X398" s="82">
        <v>0.35</v>
      </c>
      <c r="Y398" s="82"/>
      <c r="Z398" s="84">
        <v>101.4965</v>
      </c>
      <c r="AA398" s="84">
        <v>202.99299999999999</v>
      </c>
      <c r="AB398" s="88" t="e">
        <v>#DIV/0!</v>
      </c>
      <c r="AC398" t="s">
        <v>2040</v>
      </c>
    </row>
    <row r="399" spans="3:29">
      <c r="C399" t="s">
        <v>2041</v>
      </c>
      <c r="D399" t="s">
        <v>2027</v>
      </c>
      <c r="E399" s="84">
        <v>309.99</v>
      </c>
      <c r="F399" s="84">
        <v>154.995</v>
      </c>
      <c r="G399" t="s">
        <v>1989</v>
      </c>
      <c r="H399" t="s">
        <v>2042</v>
      </c>
      <c r="I399" t="s">
        <v>2043</v>
      </c>
      <c r="J399" t="s">
        <v>2044</v>
      </c>
      <c r="K399" t="s">
        <v>2031</v>
      </c>
      <c r="L399" t="s">
        <v>670</v>
      </c>
      <c r="M399">
        <v>50</v>
      </c>
      <c r="N399">
        <v>50</v>
      </c>
      <c r="O399">
        <v>40</v>
      </c>
      <c r="P399">
        <v>0.1</v>
      </c>
      <c r="Q399" s="84" t="e">
        <v>#REF!</v>
      </c>
      <c r="R399" s="85"/>
      <c r="S399" s="85"/>
      <c r="T399" s="86">
        <v>0</v>
      </c>
      <c r="U399" s="84">
        <v>0</v>
      </c>
      <c r="V399" s="84">
        <v>216.99299999999999</v>
      </c>
      <c r="W399" s="84">
        <v>108.4965</v>
      </c>
      <c r="X399" s="82">
        <v>0.35</v>
      </c>
      <c r="Y399" s="82"/>
      <c r="Z399" s="84">
        <v>108.4965</v>
      </c>
      <c r="AA399" s="84">
        <v>216.99299999999999</v>
      </c>
      <c r="AB399" s="88" t="e">
        <v>#DIV/0!</v>
      </c>
      <c r="AC399" t="s">
        <v>2045</v>
      </c>
    </row>
    <row r="400" spans="3:29">
      <c r="C400" t="s">
        <v>2046</v>
      </c>
      <c r="D400" t="s">
        <v>2047</v>
      </c>
      <c r="E400" s="84">
        <v>454.99</v>
      </c>
      <c r="F400" s="84">
        <v>227.495</v>
      </c>
      <c r="G400" t="s">
        <v>1989</v>
      </c>
      <c r="H400" t="s">
        <v>2048</v>
      </c>
      <c r="I400" t="s">
        <v>2049</v>
      </c>
      <c r="J400" t="s">
        <v>2050</v>
      </c>
      <c r="K400" t="s">
        <v>2051</v>
      </c>
      <c r="L400" t="s">
        <v>670</v>
      </c>
      <c r="N400">
        <v>20</v>
      </c>
      <c r="O400">
        <v>20</v>
      </c>
      <c r="P400">
        <v>8.0000000000000002E-3</v>
      </c>
      <c r="Q400" s="84" t="e">
        <v>#REF!</v>
      </c>
      <c r="R400" s="85"/>
      <c r="S400" s="85"/>
      <c r="T400" s="86">
        <v>0</v>
      </c>
      <c r="U400" s="84">
        <v>0</v>
      </c>
      <c r="V400" s="84">
        <v>318.49299999999999</v>
      </c>
      <c r="W400" s="84">
        <v>159.2465</v>
      </c>
      <c r="X400" s="82">
        <v>0.35</v>
      </c>
      <c r="Y400" s="82"/>
      <c r="Z400" s="84">
        <v>159.2465</v>
      </c>
      <c r="AA400" s="84">
        <v>318.49299999999999</v>
      </c>
      <c r="AB400" s="88" t="e">
        <v>#DIV/0!</v>
      </c>
      <c r="AC400" t="s">
        <v>2052</v>
      </c>
    </row>
    <row r="401" spans="3:29">
      <c r="C401" t="s">
        <v>2053</v>
      </c>
      <c r="D401" t="s">
        <v>2054</v>
      </c>
      <c r="E401" s="84">
        <v>714.99</v>
      </c>
      <c r="F401" s="84">
        <v>357.495</v>
      </c>
      <c r="G401" t="s">
        <v>1989</v>
      </c>
      <c r="H401" t="s">
        <v>2055</v>
      </c>
      <c r="I401" t="s">
        <v>2056</v>
      </c>
      <c r="J401" t="s">
        <v>2057</v>
      </c>
      <c r="K401" t="s">
        <v>1888</v>
      </c>
      <c r="L401" t="s">
        <v>670</v>
      </c>
      <c r="M401">
        <v>40</v>
      </c>
      <c r="N401">
        <v>40</v>
      </c>
      <c r="O401">
        <v>42</v>
      </c>
      <c r="P401">
        <v>6.7199999999999996E-2</v>
      </c>
      <c r="Q401" s="84" t="e">
        <v>#REF!</v>
      </c>
      <c r="R401" s="85"/>
      <c r="S401" s="85"/>
      <c r="T401" s="86">
        <v>0</v>
      </c>
      <c r="U401" s="84">
        <v>0</v>
      </c>
      <c r="V401" s="84">
        <v>500.49299999999999</v>
      </c>
      <c r="W401" s="84">
        <v>250.2465</v>
      </c>
      <c r="X401" s="82">
        <v>0.35</v>
      </c>
      <c r="Y401" s="82"/>
      <c r="Z401" s="84">
        <v>250.2465</v>
      </c>
      <c r="AA401" s="84">
        <v>500.49299999999999</v>
      </c>
      <c r="AB401" s="88" t="e">
        <v>#DIV/0!</v>
      </c>
      <c r="AC401" t="s">
        <v>2058</v>
      </c>
    </row>
    <row r="402" spans="3:29">
      <c r="C402" t="s">
        <v>2059</v>
      </c>
      <c r="D402" t="s">
        <v>2054</v>
      </c>
      <c r="E402" s="84">
        <v>1069.99</v>
      </c>
      <c r="F402" s="84">
        <v>534.995</v>
      </c>
      <c r="G402" t="s">
        <v>1989</v>
      </c>
      <c r="H402" t="s">
        <v>2055</v>
      </c>
      <c r="I402" t="s">
        <v>2060</v>
      </c>
      <c r="J402" t="s">
        <v>2057</v>
      </c>
      <c r="K402" t="s">
        <v>1888</v>
      </c>
      <c r="L402" t="s">
        <v>670</v>
      </c>
      <c r="M402">
        <v>40</v>
      </c>
      <c r="N402">
        <v>40</v>
      </c>
      <c r="O402">
        <v>42</v>
      </c>
      <c r="P402">
        <v>6.7199999999999996E-2</v>
      </c>
      <c r="Q402" s="84" t="e">
        <v>#REF!</v>
      </c>
      <c r="R402" s="85"/>
      <c r="S402" s="85"/>
      <c r="T402" s="86">
        <v>0</v>
      </c>
      <c r="U402" s="84">
        <v>0</v>
      </c>
      <c r="V402" s="84">
        <v>748.99300000000005</v>
      </c>
      <c r="W402" s="84">
        <v>374.49650000000003</v>
      </c>
      <c r="X402" s="82">
        <v>0.35</v>
      </c>
      <c r="Y402" s="82"/>
      <c r="Z402" s="84">
        <v>374.49650000000003</v>
      </c>
      <c r="AA402" s="84">
        <v>748.99300000000005</v>
      </c>
      <c r="AB402" s="88" t="e">
        <v>#DIV/0!</v>
      </c>
      <c r="AC402" t="s">
        <v>2061</v>
      </c>
    </row>
    <row r="403" spans="3:29">
      <c r="C403" t="s">
        <v>2062</v>
      </c>
      <c r="E403" s="84"/>
      <c r="F403" s="82"/>
      <c r="R403" s="85"/>
      <c r="S403" s="85"/>
      <c r="T403" s="86"/>
      <c r="V403" s="84"/>
      <c r="W403" s="84"/>
      <c r="X403" s="82"/>
      <c r="Y403" s="82"/>
      <c r="Z403" s="82"/>
      <c r="AA403" s="82"/>
      <c r="AB403" s="88"/>
    </row>
    <row r="404" spans="3:29">
      <c r="C404" t="s">
        <v>2063</v>
      </c>
      <c r="D404" t="s">
        <v>2064</v>
      </c>
      <c r="E404" s="84">
        <v>43.99</v>
      </c>
      <c r="F404" s="84">
        <v>21.995000000000001</v>
      </c>
      <c r="G404" t="s">
        <v>2065</v>
      </c>
      <c r="H404" t="s">
        <v>2066</v>
      </c>
      <c r="I404" t="s">
        <v>2067</v>
      </c>
      <c r="J404" t="s">
        <v>2068</v>
      </c>
      <c r="K404" t="s">
        <v>846</v>
      </c>
      <c r="L404" t="s">
        <v>50</v>
      </c>
      <c r="M404">
        <v>10</v>
      </c>
      <c r="N404">
        <v>20</v>
      </c>
      <c r="O404">
        <v>10</v>
      </c>
      <c r="P404">
        <v>2E-3</v>
      </c>
      <c r="Q404" s="84" t="e">
        <v>#REF!</v>
      </c>
      <c r="R404" s="85">
        <v>154227.87566195399</v>
      </c>
      <c r="S404" s="85">
        <v>0</v>
      </c>
      <c r="T404" s="86">
        <v>154227.87566195399</v>
      </c>
      <c r="U404" s="84">
        <v>10.2818583774636</v>
      </c>
      <c r="V404" s="84">
        <v>30.792999999999999</v>
      </c>
      <c r="W404" s="84">
        <v>15.3965</v>
      </c>
      <c r="X404" s="82">
        <v>0.35</v>
      </c>
      <c r="Y404" s="87">
        <v>18.507345079434501</v>
      </c>
      <c r="Z404" s="84">
        <v>18.507345079434501</v>
      </c>
      <c r="AA404" s="84">
        <v>37.014690158869001</v>
      </c>
      <c r="AB404" s="88">
        <v>2</v>
      </c>
      <c r="AC404" t="s">
        <v>2069</v>
      </c>
    </row>
    <row r="405" spans="3:29">
      <c r="C405" t="s">
        <v>2071</v>
      </c>
      <c r="D405" t="s">
        <v>2072</v>
      </c>
      <c r="E405" s="84">
        <v>11.99</v>
      </c>
      <c r="F405" s="84">
        <v>5.9950000000000001</v>
      </c>
      <c r="G405" t="s">
        <v>2065</v>
      </c>
      <c r="H405" t="s">
        <v>2073</v>
      </c>
      <c r="I405" t="s">
        <v>2074</v>
      </c>
      <c r="J405" t="s">
        <v>2075</v>
      </c>
      <c r="K405" t="s">
        <v>645</v>
      </c>
      <c r="L405" t="s">
        <v>646</v>
      </c>
      <c r="M405">
        <v>12</v>
      </c>
      <c r="N405">
        <v>12</v>
      </c>
      <c r="O405">
        <v>6</v>
      </c>
      <c r="P405">
        <v>8.6399999999999997E-4</v>
      </c>
      <c r="Q405" s="84" t="e">
        <v>#REF!</v>
      </c>
      <c r="R405" s="85">
        <v>8795.1779691939992</v>
      </c>
      <c r="S405" s="85">
        <v>28000</v>
      </c>
      <c r="T405" s="86">
        <v>36795.177969194003</v>
      </c>
      <c r="U405" s="84">
        <v>2.4530118646129302</v>
      </c>
      <c r="V405" s="84">
        <v>8.3930000000000007</v>
      </c>
      <c r="W405" s="84">
        <v>4.1965000000000003</v>
      </c>
      <c r="X405" s="82">
        <v>0.35</v>
      </c>
      <c r="Y405" s="87">
        <v>4.9060237292258702</v>
      </c>
      <c r="Z405" s="84">
        <v>4.9060237292258702</v>
      </c>
      <c r="AA405" s="84">
        <v>9.8120474584517297</v>
      </c>
      <c r="AB405" s="88">
        <v>2</v>
      </c>
      <c r="AC405" t="s">
        <v>2076</v>
      </c>
    </row>
    <row r="406" spans="3:29">
      <c r="C406" t="s">
        <v>2078</v>
      </c>
      <c r="D406" t="s">
        <v>2072</v>
      </c>
      <c r="E406" s="84">
        <v>17.989999999999998</v>
      </c>
      <c r="F406" s="84">
        <v>8.9949999999999992</v>
      </c>
      <c r="G406" t="s">
        <v>2065</v>
      </c>
      <c r="H406" t="s">
        <v>2079</v>
      </c>
      <c r="I406" t="s">
        <v>2080</v>
      </c>
      <c r="J406" t="s">
        <v>2081</v>
      </c>
      <c r="K406" t="s">
        <v>645</v>
      </c>
      <c r="L406" t="s">
        <v>646</v>
      </c>
      <c r="M406">
        <v>18</v>
      </c>
      <c r="N406">
        <v>18</v>
      </c>
      <c r="O406">
        <v>6</v>
      </c>
      <c r="P406">
        <v>1.944E-3</v>
      </c>
      <c r="Q406" s="84" t="e">
        <v>#REF!</v>
      </c>
      <c r="R406" s="85">
        <v>7654.3670973531998</v>
      </c>
      <c r="S406" s="85">
        <v>48000</v>
      </c>
      <c r="T406" s="86">
        <v>55654.367097353199</v>
      </c>
      <c r="U406" s="84">
        <v>3.7102911398235499</v>
      </c>
      <c r="V406" s="84">
        <v>12.593</v>
      </c>
      <c r="W406" s="84">
        <v>6.2965</v>
      </c>
      <c r="X406" s="82">
        <v>0.35</v>
      </c>
      <c r="Y406" s="87">
        <v>7.4205822796470899</v>
      </c>
      <c r="Z406" s="84">
        <v>7.4205822796470899</v>
      </c>
      <c r="AA406" s="84">
        <v>14.841164559294199</v>
      </c>
      <c r="AB406" s="88">
        <v>2</v>
      </c>
      <c r="AC406" t="s">
        <v>2082</v>
      </c>
    </row>
    <row r="407" spans="3:29">
      <c r="C407" t="s">
        <v>2083</v>
      </c>
      <c r="D407" t="s">
        <v>2072</v>
      </c>
      <c r="E407" s="84">
        <v>44.99</v>
      </c>
      <c r="F407" s="84">
        <v>22.495000000000001</v>
      </c>
      <c r="G407" t="s">
        <v>2065</v>
      </c>
      <c r="H407" t="s">
        <v>2084</v>
      </c>
      <c r="I407" t="s">
        <v>2085</v>
      </c>
      <c r="J407" t="s">
        <v>2086</v>
      </c>
      <c r="K407" t="s">
        <v>645</v>
      </c>
      <c r="L407" t="s">
        <v>646</v>
      </c>
      <c r="M407">
        <v>28</v>
      </c>
      <c r="N407">
        <v>28</v>
      </c>
      <c r="O407">
        <v>6</v>
      </c>
      <c r="P407">
        <v>4.7039999999999998E-3</v>
      </c>
      <c r="Q407" s="84" t="e">
        <v>#REF!</v>
      </c>
      <c r="R407" s="85">
        <v>8725.7578322785994</v>
      </c>
      <c r="S407" s="85">
        <v>82500</v>
      </c>
      <c r="T407" s="86">
        <v>91225.757832278599</v>
      </c>
      <c r="U407" s="84">
        <v>6.0817171888185699</v>
      </c>
      <c r="V407" s="84">
        <v>31.492999999999999</v>
      </c>
      <c r="W407" s="84">
        <v>15.746499999999999</v>
      </c>
      <c r="X407" s="82">
        <v>0.35</v>
      </c>
      <c r="Y407" s="82"/>
      <c r="Z407" s="84">
        <v>15.746499999999999</v>
      </c>
      <c r="AA407" s="84">
        <v>31.492999999999999</v>
      </c>
      <c r="AB407" s="88">
        <v>2.5891536076275301</v>
      </c>
      <c r="AC407" t="s">
        <v>2087</v>
      </c>
    </row>
    <row r="408" spans="3:29">
      <c r="C408" t="s">
        <v>2088</v>
      </c>
      <c r="D408" t="s">
        <v>2089</v>
      </c>
      <c r="E408" s="84">
        <v>29.99</v>
      </c>
      <c r="F408" s="84">
        <v>14.994999999999999</v>
      </c>
      <c r="G408" t="s">
        <v>2065</v>
      </c>
      <c r="H408" t="s">
        <v>2090</v>
      </c>
      <c r="I408" t="s">
        <v>2091</v>
      </c>
      <c r="J408" t="s">
        <v>2092</v>
      </c>
      <c r="K408" t="s">
        <v>645</v>
      </c>
      <c r="L408" t="s">
        <v>646</v>
      </c>
      <c r="M408">
        <v>24</v>
      </c>
      <c r="N408">
        <v>16</v>
      </c>
      <c r="O408">
        <v>6</v>
      </c>
      <c r="P408">
        <v>2.3040000000000001E-3</v>
      </c>
      <c r="Q408" s="84" t="e">
        <v>#REF!</v>
      </c>
      <c r="R408" s="85">
        <v>17732.795779699001</v>
      </c>
      <c r="S408" s="85">
        <v>45000</v>
      </c>
      <c r="T408" s="86">
        <v>62732.795779699001</v>
      </c>
      <c r="U408" s="84">
        <v>4.1821863853132699</v>
      </c>
      <c r="V408" s="84">
        <v>20.992999999999999</v>
      </c>
      <c r="W408" s="84">
        <v>10.496499999999999</v>
      </c>
      <c r="X408" s="82">
        <v>0.35</v>
      </c>
      <c r="Y408" s="82"/>
      <c r="Z408" s="84">
        <v>10.496499999999999</v>
      </c>
      <c r="AA408" s="84">
        <v>20.992999999999999</v>
      </c>
      <c r="AB408" s="88">
        <v>2.5098116231406902</v>
      </c>
      <c r="AC408" t="s">
        <v>2093</v>
      </c>
    </row>
    <row r="409" spans="3:29">
      <c r="C409" t="s">
        <v>2094</v>
      </c>
      <c r="D409" t="s">
        <v>2089</v>
      </c>
      <c r="E409" s="84">
        <v>58.99</v>
      </c>
      <c r="F409" s="84">
        <v>29.495000000000001</v>
      </c>
      <c r="G409" t="s">
        <v>2065</v>
      </c>
      <c r="H409" t="s">
        <v>2095</v>
      </c>
      <c r="I409" t="s">
        <v>2096</v>
      </c>
      <c r="J409" t="s">
        <v>2097</v>
      </c>
      <c r="K409" t="s">
        <v>645</v>
      </c>
      <c r="L409" t="s">
        <v>646</v>
      </c>
      <c r="M409">
        <v>40</v>
      </c>
      <c r="N409">
        <v>30</v>
      </c>
      <c r="O409">
        <v>6</v>
      </c>
      <c r="P409">
        <v>7.1999999999999998E-3</v>
      </c>
      <c r="Q409" s="84" t="e">
        <v>#REF!</v>
      </c>
      <c r="R409" s="85">
        <v>14024.749743283999</v>
      </c>
      <c r="S409" s="85">
        <v>125000</v>
      </c>
      <c r="T409" s="86">
        <v>139024.74974328399</v>
      </c>
      <c r="U409" s="84">
        <v>9.2683166495522702</v>
      </c>
      <c r="V409" s="84">
        <v>41.292999999999999</v>
      </c>
      <c r="W409" s="84">
        <v>20.6465</v>
      </c>
      <c r="X409" s="82">
        <v>0.35</v>
      </c>
      <c r="Y409" s="82"/>
      <c r="Z409" s="84">
        <v>20.6465</v>
      </c>
      <c r="AA409" s="84">
        <v>41.292999999999999</v>
      </c>
      <c r="AB409" s="88">
        <v>2.2276429238094102</v>
      </c>
      <c r="AC409" t="s">
        <v>2098</v>
      </c>
    </row>
    <row r="410" spans="3:29">
      <c r="C410" t="s">
        <v>2099</v>
      </c>
      <c r="D410" t="s">
        <v>2089</v>
      </c>
      <c r="E410" s="84">
        <v>76.989999999999995</v>
      </c>
      <c r="F410" s="84">
        <v>38.494999999999997</v>
      </c>
      <c r="G410" t="s">
        <v>2065</v>
      </c>
      <c r="H410" t="s">
        <v>2100</v>
      </c>
      <c r="I410" t="s">
        <v>2101</v>
      </c>
      <c r="J410" t="s">
        <v>2102</v>
      </c>
      <c r="K410" t="s">
        <v>645</v>
      </c>
      <c r="L410" t="s">
        <v>646</v>
      </c>
      <c r="M410">
        <v>60</v>
      </c>
      <c r="N410">
        <v>22</v>
      </c>
      <c r="O410">
        <v>6</v>
      </c>
      <c r="P410">
        <v>7.92E-3</v>
      </c>
      <c r="Q410" s="84" t="e">
        <v>#REF!</v>
      </c>
      <c r="R410" s="85">
        <v>11322.964717612</v>
      </c>
      <c r="S410" s="85">
        <v>143000</v>
      </c>
      <c r="T410" s="86">
        <v>154322.96471761199</v>
      </c>
      <c r="U410" s="84">
        <v>10.2881976478408</v>
      </c>
      <c r="V410" s="84">
        <v>53.893000000000001</v>
      </c>
      <c r="W410" s="84">
        <v>26.9465</v>
      </c>
      <c r="X410" s="82">
        <v>0.35</v>
      </c>
      <c r="Y410" s="82"/>
      <c r="Z410" s="84">
        <v>26.9465</v>
      </c>
      <c r="AA410" s="84">
        <v>53.893000000000001</v>
      </c>
      <c r="AB410" s="88">
        <v>2.61916624489182</v>
      </c>
      <c r="AC410" t="s">
        <v>2103</v>
      </c>
    </row>
    <row r="411" spans="3:29">
      <c r="C411" t="s">
        <v>2104</v>
      </c>
      <c r="D411" t="s">
        <v>2105</v>
      </c>
      <c r="E411" s="84">
        <v>17.989999999999998</v>
      </c>
      <c r="F411" s="84">
        <v>8.9949999999999992</v>
      </c>
      <c r="G411" t="s">
        <v>2065</v>
      </c>
      <c r="H411" t="s">
        <v>2106</v>
      </c>
      <c r="I411" t="s">
        <v>2107</v>
      </c>
      <c r="J411" t="s">
        <v>2108</v>
      </c>
      <c r="K411" t="s">
        <v>645</v>
      </c>
      <c r="L411" t="s">
        <v>646</v>
      </c>
      <c r="N411">
        <v>18</v>
      </c>
      <c r="O411">
        <v>6</v>
      </c>
      <c r="P411">
        <v>1.944E-3</v>
      </c>
      <c r="Q411" s="84" t="e">
        <v>#REF!</v>
      </c>
      <c r="R411" s="85">
        <v>6799.6504306866</v>
      </c>
      <c r="S411" s="85">
        <v>33000</v>
      </c>
      <c r="T411" s="86">
        <v>39799.650430686597</v>
      </c>
      <c r="U411" s="84">
        <v>2.6533100287124398</v>
      </c>
      <c r="V411" s="84">
        <v>12.593</v>
      </c>
      <c r="W411" s="84">
        <v>6.2965</v>
      </c>
      <c r="X411" s="82">
        <v>0.35</v>
      </c>
      <c r="Y411" s="82"/>
      <c r="Z411" s="84">
        <v>6.2965</v>
      </c>
      <c r="AA411" s="84">
        <v>12.593</v>
      </c>
      <c r="AB411" s="88">
        <v>2.3730736068771701</v>
      </c>
      <c r="AC411" t="s">
        <v>2109</v>
      </c>
    </row>
    <row r="412" spans="3:29">
      <c r="C412" t="s">
        <v>2110</v>
      </c>
      <c r="D412" t="s">
        <v>2105</v>
      </c>
      <c r="E412" s="84">
        <v>36.99</v>
      </c>
      <c r="F412" s="84">
        <v>18.495000000000001</v>
      </c>
      <c r="G412" t="s">
        <v>2065</v>
      </c>
      <c r="H412" t="s">
        <v>2111</v>
      </c>
      <c r="I412" t="s">
        <v>2112</v>
      </c>
      <c r="J412" t="s">
        <v>2113</v>
      </c>
      <c r="K412" t="s">
        <v>645</v>
      </c>
      <c r="L412" t="s">
        <v>646</v>
      </c>
      <c r="N412">
        <v>26</v>
      </c>
      <c r="O412">
        <v>6</v>
      </c>
      <c r="P412">
        <v>4.0559999999999997E-3</v>
      </c>
      <c r="Q412" s="84" t="e">
        <v>#REF!</v>
      </c>
      <c r="R412" s="85">
        <v>18155.745550564701</v>
      </c>
      <c r="S412" s="85">
        <v>72600</v>
      </c>
      <c r="T412" s="86">
        <v>90755.745550564694</v>
      </c>
      <c r="U412" s="84">
        <v>6.0503830367043099</v>
      </c>
      <c r="V412" s="84">
        <v>25.893000000000001</v>
      </c>
      <c r="W412" s="84">
        <v>12.9465</v>
      </c>
      <c r="X412" s="82">
        <v>0.35</v>
      </c>
      <c r="Y412" s="82"/>
      <c r="Z412" s="84">
        <v>12.9465</v>
      </c>
      <c r="AA412" s="84">
        <v>25.893000000000001</v>
      </c>
      <c r="AB412" s="88">
        <v>2.1397818818181902</v>
      </c>
      <c r="AC412" t="s">
        <v>2114</v>
      </c>
    </row>
    <row r="413" spans="3:29">
      <c r="C413" t="s">
        <v>2115</v>
      </c>
      <c r="D413" t="s">
        <v>2105</v>
      </c>
      <c r="E413" s="84">
        <v>64.989999999999995</v>
      </c>
      <c r="F413" s="84">
        <v>32.494999999999997</v>
      </c>
      <c r="G413" t="s">
        <v>2065</v>
      </c>
      <c r="H413" t="s">
        <v>2116</v>
      </c>
      <c r="I413" t="s">
        <v>2117</v>
      </c>
      <c r="J413" t="s">
        <v>2118</v>
      </c>
      <c r="K413" t="s">
        <v>645</v>
      </c>
      <c r="L413" t="s">
        <v>646</v>
      </c>
      <c r="N413">
        <v>32</v>
      </c>
      <c r="O413">
        <v>6</v>
      </c>
      <c r="P413">
        <v>6.1440000000000002E-3</v>
      </c>
      <c r="Q413" s="84" t="e">
        <v>#REF!</v>
      </c>
      <c r="R413" s="85">
        <v>11965.221114268999</v>
      </c>
      <c r="S413" s="85">
        <v>121000</v>
      </c>
      <c r="T413" s="86">
        <v>132965.22111426899</v>
      </c>
      <c r="U413" s="84">
        <v>8.8643480742845995</v>
      </c>
      <c r="V413" s="84">
        <v>45.493000000000002</v>
      </c>
      <c r="W413" s="84">
        <v>22.746500000000001</v>
      </c>
      <c r="X413" s="82">
        <v>0.35</v>
      </c>
      <c r="Y413" s="82"/>
      <c r="Z413" s="84">
        <v>22.746500000000001</v>
      </c>
      <c r="AA413" s="84">
        <v>45.493000000000002</v>
      </c>
      <c r="AB413" s="88">
        <v>2.5660657511845</v>
      </c>
      <c r="AC413" t="s">
        <v>2119</v>
      </c>
    </row>
    <row r="414" spans="3:29">
      <c r="C414" t="s">
        <v>2120</v>
      </c>
      <c r="D414" t="s">
        <v>2121</v>
      </c>
      <c r="E414" s="84">
        <v>18.989999999999998</v>
      </c>
      <c r="F414" s="84">
        <v>9.4949999999999992</v>
      </c>
      <c r="G414" t="s">
        <v>2065</v>
      </c>
      <c r="H414" t="s">
        <v>2122</v>
      </c>
      <c r="I414" t="s">
        <v>2123</v>
      </c>
      <c r="J414" t="s">
        <v>2124</v>
      </c>
      <c r="K414" t="s">
        <v>2125</v>
      </c>
      <c r="L414" t="s">
        <v>646</v>
      </c>
      <c r="N414">
        <v>15</v>
      </c>
      <c r="O414">
        <v>15</v>
      </c>
      <c r="P414">
        <v>3.375E-3</v>
      </c>
      <c r="Q414" s="84" t="e">
        <v>#REF!</v>
      </c>
      <c r="R414" s="85">
        <v>20880</v>
      </c>
      <c r="S414" s="85">
        <v>69600</v>
      </c>
      <c r="T414" s="86">
        <v>90480</v>
      </c>
      <c r="U414" s="84">
        <v>6.032</v>
      </c>
      <c r="V414" s="84">
        <v>13.292999999999999</v>
      </c>
      <c r="W414" s="84">
        <v>6.6464999999999996</v>
      </c>
      <c r="X414" s="82">
        <v>0.35</v>
      </c>
      <c r="Y414" s="87">
        <v>9.048</v>
      </c>
      <c r="Z414" s="84">
        <v>9.048</v>
      </c>
      <c r="AA414" s="84">
        <v>18.096</v>
      </c>
      <c r="AB414" s="88">
        <v>2</v>
      </c>
      <c r="AC414" t="s">
        <v>2126</v>
      </c>
    </row>
    <row r="415" spans="3:29">
      <c r="C415" t="s">
        <v>2127</v>
      </c>
      <c r="D415" t="s">
        <v>2128</v>
      </c>
      <c r="E415" s="84">
        <v>25.99</v>
      </c>
      <c r="F415" s="84">
        <v>12.994999999999999</v>
      </c>
      <c r="G415" t="s">
        <v>2065</v>
      </c>
      <c r="H415" t="s">
        <v>2129</v>
      </c>
      <c r="I415" t="s">
        <v>2130</v>
      </c>
      <c r="J415" t="s">
        <v>2131</v>
      </c>
      <c r="K415" t="s">
        <v>2125</v>
      </c>
      <c r="L415" t="s">
        <v>646</v>
      </c>
      <c r="N415">
        <v>15</v>
      </c>
      <c r="O415">
        <v>35</v>
      </c>
      <c r="P415">
        <v>7.8750000000000001E-3</v>
      </c>
      <c r="Q415" s="84" t="e">
        <v>#REF!</v>
      </c>
      <c r="R415" s="85"/>
      <c r="S415" s="85"/>
      <c r="T415" s="86">
        <v>0</v>
      </c>
      <c r="U415" s="84">
        <v>0</v>
      </c>
      <c r="V415" s="84">
        <v>18.193000000000001</v>
      </c>
      <c r="W415" s="84">
        <v>9.0965000000000007</v>
      </c>
      <c r="X415" s="82">
        <v>0.35</v>
      </c>
      <c r="Y415" s="82"/>
      <c r="Z415" s="84">
        <v>9.0965000000000007</v>
      </c>
      <c r="AA415" s="84">
        <v>18.193000000000001</v>
      </c>
      <c r="AB415" s="88" t="e">
        <v>#DIV/0!</v>
      </c>
      <c r="AC415" t="s">
        <v>2132</v>
      </c>
    </row>
    <row r="416" spans="3:29">
      <c r="C416" t="s">
        <v>2133</v>
      </c>
      <c r="D416" t="s">
        <v>2134</v>
      </c>
      <c r="E416" s="84">
        <v>64.989999999999995</v>
      </c>
      <c r="F416" s="84">
        <v>32.494999999999997</v>
      </c>
      <c r="G416" t="s">
        <v>2065</v>
      </c>
      <c r="H416" t="s">
        <v>2135</v>
      </c>
      <c r="I416" t="s">
        <v>2136</v>
      </c>
      <c r="J416" t="s">
        <v>2137</v>
      </c>
      <c r="K416" t="s">
        <v>2125</v>
      </c>
      <c r="L416" t="s">
        <v>646</v>
      </c>
      <c r="N416">
        <v>15</v>
      </c>
      <c r="O416">
        <v>60</v>
      </c>
      <c r="P416">
        <v>1.35E-2</v>
      </c>
      <c r="Q416" s="84" t="e">
        <v>#REF!</v>
      </c>
      <c r="R416" s="85">
        <v>32626.218268657001</v>
      </c>
      <c r="S416" s="85">
        <v>138000</v>
      </c>
      <c r="T416" s="86">
        <v>170626.21826865699</v>
      </c>
      <c r="U416" s="84">
        <v>11.3750812179105</v>
      </c>
      <c r="V416" s="84">
        <v>45.493000000000002</v>
      </c>
      <c r="W416" s="84">
        <v>22.746500000000001</v>
      </c>
      <c r="X416" s="82">
        <v>0.35</v>
      </c>
      <c r="Y416" s="87">
        <v>22.750162435820901</v>
      </c>
      <c r="Z416" s="84">
        <v>22.750162435820901</v>
      </c>
      <c r="AA416" s="84">
        <v>45.500324871641901</v>
      </c>
      <c r="AB416" s="88">
        <v>1.99967802991902</v>
      </c>
      <c r="AC416" t="s">
        <v>2138</v>
      </c>
    </row>
    <row r="417" spans="3:29">
      <c r="C417" t="s">
        <v>2139</v>
      </c>
      <c r="D417" t="s">
        <v>2140</v>
      </c>
      <c r="E417" s="84">
        <v>24.99</v>
      </c>
      <c r="F417" s="84">
        <v>12.494999999999999</v>
      </c>
      <c r="G417" t="s">
        <v>2065</v>
      </c>
      <c r="H417" t="s">
        <v>2141</v>
      </c>
      <c r="I417" t="s">
        <v>2142</v>
      </c>
      <c r="J417" t="s">
        <v>2143</v>
      </c>
      <c r="K417" t="s">
        <v>2125</v>
      </c>
      <c r="L417" t="s">
        <v>646</v>
      </c>
      <c r="N417">
        <v>20</v>
      </c>
      <c r="O417">
        <v>15</v>
      </c>
      <c r="P417">
        <v>6.0000000000000001E-3</v>
      </c>
      <c r="Q417" s="84" t="e">
        <v>#REF!</v>
      </c>
      <c r="R417" s="85"/>
      <c r="S417" s="85"/>
      <c r="T417" s="86">
        <v>0</v>
      </c>
      <c r="U417" s="84">
        <v>0</v>
      </c>
      <c r="V417" s="84">
        <v>17.492999999999999</v>
      </c>
      <c r="W417" s="84">
        <v>8.7464999999999993</v>
      </c>
      <c r="X417" s="82">
        <v>0.35</v>
      </c>
      <c r="Y417" s="82"/>
      <c r="Z417" s="84">
        <v>8.7464999999999993</v>
      </c>
      <c r="AA417" s="84">
        <v>17.492999999999999</v>
      </c>
      <c r="AB417" s="88" t="e">
        <v>#DIV/0!</v>
      </c>
      <c r="AC417" t="s">
        <v>2144</v>
      </c>
    </row>
    <row r="418" spans="3:29">
      <c r="C418" t="s">
        <v>2145</v>
      </c>
      <c r="D418" t="s">
        <v>2146</v>
      </c>
      <c r="E418" s="84">
        <v>49.99</v>
      </c>
      <c r="F418" s="84">
        <v>24.995000000000001</v>
      </c>
      <c r="G418" t="s">
        <v>2065</v>
      </c>
      <c r="H418" t="s">
        <v>2147</v>
      </c>
      <c r="I418" t="s">
        <v>2148</v>
      </c>
      <c r="J418" t="s">
        <v>2149</v>
      </c>
      <c r="K418" t="s">
        <v>2125</v>
      </c>
      <c r="L418" t="s">
        <v>646</v>
      </c>
      <c r="N418">
        <v>20</v>
      </c>
      <c r="O418">
        <v>35</v>
      </c>
      <c r="P418">
        <v>1.4E-2</v>
      </c>
      <c r="Q418" s="84" t="e">
        <v>#REF!</v>
      </c>
      <c r="R418" s="85">
        <v>23488.048111939999</v>
      </c>
      <c r="S418" s="85">
        <v>114852</v>
      </c>
      <c r="T418" s="86">
        <v>138340.04811194001</v>
      </c>
      <c r="U418" s="84">
        <v>9.2226698741293305</v>
      </c>
      <c r="V418" s="84">
        <v>34.993000000000002</v>
      </c>
      <c r="W418" s="84">
        <v>17.496500000000001</v>
      </c>
      <c r="X418" s="82">
        <v>0.35</v>
      </c>
      <c r="Y418" s="87">
        <v>18.4453397482587</v>
      </c>
      <c r="Z418" s="84">
        <v>18.4453397482587</v>
      </c>
      <c r="AA418" s="84">
        <v>36.890679496517301</v>
      </c>
      <c r="AB418" s="88">
        <v>2</v>
      </c>
      <c r="AC418" t="s">
        <v>2150</v>
      </c>
    </row>
    <row r="419" spans="3:29">
      <c r="C419" t="s">
        <v>2151</v>
      </c>
      <c r="D419" t="s">
        <v>2152</v>
      </c>
      <c r="E419" s="84">
        <v>45.99</v>
      </c>
      <c r="F419" s="84">
        <v>22.995000000000001</v>
      </c>
      <c r="G419" t="s">
        <v>2065</v>
      </c>
      <c r="H419" t="s">
        <v>2153</v>
      </c>
      <c r="I419" t="s">
        <v>2154</v>
      </c>
      <c r="J419" t="s">
        <v>2155</v>
      </c>
      <c r="K419" t="s">
        <v>2125</v>
      </c>
      <c r="L419" t="s">
        <v>646</v>
      </c>
      <c r="N419">
        <v>20</v>
      </c>
      <c r="O419">
        <v>60</v>
      </c>
      <c r="P419">
        <v>2.4E-2</v>
      </c>
      <c r="Q419" s="84" t="e">
        <v>#REF!</v>
      </c>
      <c r="R419" s="85"/>
      <c r="S419" s="85"/>
      <c r="T419" s="86">
        <v>0</v>
      </c>
      <c r="U419" s="84">
        <v>0</v>
      </c>
      <c r="V419" s="84">
        <v>32.192999999999998</v>
      </c>
      <c r="W419" s="84">
        <v>16.096499999999999</v>
      </c>
      <c r="X419" s="82">
        <v>0.35</v>
      </c>
      <c r="Y419" s="82"/>
      <c r="Z419" s="84">
        <v>16.096499999999999</v>
      </c>
      <c r="AA419" s="84">
        <v>32.192999999999998</v>
      </c>
      <c r="AB419" s="88" t="e">
        <v>#DIV/0!</v>
      </c>
      <c r="AC419" t="s">
        <v>2156</v>
      </c>
    </row>
    <row r="420" spans="3:29">
      <c r="C420" t="s">
        <v>2157</v>
      </c>
      <c r="D420" t="s">
        <v>2158</v>
      </c>
      <c r="E420" s="84">
        <v>30.99</v>
      </c>
      <c r="F420" s="84">
        <v>15.494999999999999</v>
      </c>
      <c r="G420" t="s">
        <v>2065</v>
      </c>
      <c r="H420" t="s">
        <v>2141</v>
      </c>
      <c r="I420" t="s">
        <v>2159</v>
      </c>
      <c r="J420" t="s">
        <v>2143</v>
      </c>
      <c r="K420" t="s">
        <v>2125</v>
      </c>
      <c r="L420" t="s">
        <v>646</v>
      </c>
      <c r="N420">
        <v>20</v>
      </c>
      <c r="O420">
        <v>15</v>
      </c>
      <c r="P420">
        <v>6.0000000000000001E-3</v>
      </c>
      <c r="Q420" s="84" t="e">
        <v>#REF!</v>
      </c>
      <c r="R420" s="85"/>
      <c r="S420" s="85"/>
      <c r="T420" s="86">
        <v>0</v>
      </c>
      <c r="U420" s="84">
        <v>0</v>
      </c>
      <c r="V420" s="84">
        <v>21.693000000000001</v>
      </c>
      <c r="W420" s="84">
        <v>10.846500000000001</v>
      </c>
      <c r="X420" s="82">
        <v>0.35</v>
      </c>
      <c r="Y420" s="82"/>
      <c r="Z420" s="84">
        <v>10.846500000000001</v>
      </c>
      <c r="AA420" s="84">
        <v>21.693000000000001</v>
      </c>
      <c r="AB420" s="88" t="e">
        <v>#DIV/0!</v>
      </c>
      <c r="AC420" t="s">
        <v>2160</v>
      </c>
    </row>
    <row r="421" spans="3:29">
      <c r="C421" t="s">
        <v>2161</v>
      </c>
      <c r="D421" t="s">
        <v>2162</v>
      </c>
      <c r="E421" s="84">
        <v>38.99</v>
      </c>
      <c r="F421" s="84">
        <v>19.495000000000001</v>
      </c>
      <c r="G421" t="s">
        <v>2065</v>
      </c>
      <c r="H421" t="s">
        <v>2147</v>
      </c>
      <c r="I421" t="s">
        <v>2163</v>
      </c>
      <c r="J421" t="s">
        <v>2149</v>
      </c>
      <c r="K421" t="s">
        <v>2125</v>
      </c>
      <c r="L421" t="s">
        <v>646</v>
      </c>
      <c r="N421">
        <v>20</v>
      </c>
      <c r="O421">
        <v>35</v>
      </c>
      <c r="P421">
        <v>1.4E-2</v>
      </c>
      <c r="Q421" s="84" t="e">
        <v>#REF!</v>
      </c>
      <c r="R421" s="85"/>
      <c r="S421" s="85"/>
      <c r="T421" s="86">
        <v>0</v>
      </c>
      <c r="U421" s="84">
        <v>0</v>
      </c>
      <c r="V421" s="84">
        <v>27.292999999999999</v>
      </c>
      <c r="W421" s="84">
        <v>13.6465</v>
      </c>
      <c r="X421" s="82">
        <v>0.35</v>
      </c>
      <c r="Y421" s="82"/>
      <c r="Z421" s="84">
        <v>13.6465</v>
      </c>
      <c r="AA421" s="84">
        <v>27.292999999999999</v>
      </c>
      <c r="AB421" s="88" t="e">
        <v>#DIV/0!</v>
      </c>
      <c r="AC421" t="s">
        <v>2164</v>
      </c>
    </row>
    <row r="422" spans="3:29">
      <c r="C422" t="s">
        <v>2165</v>
      </c>
      <c r="D422" t="s">
        <v>2166</v>
      </c>
      <c r="E422" s="84">
        <v>51.99</v>
      </c>
      <c r="F422" s="84">
        <v>25.995000000000001</v>
      </c>
      <c r="G422" t="s">
        <v>2065</v>
      </c>
      <c r="H422" t="s">
        <v>2153</v>
      </c>
      <c r="I422" t="s">
        <v>2167</v>
      </c>
      <c r="J422" t="s">
        <v>2168</v>
      </c>
      <c r="K422" t="s">
        <v>2125</v>
      </c>
      <c r="L422" t="s">
        <v>646</v>
      </c>
      <c r="N422">
        <v>20</v>
      </c>
      <c r="O422">
        <v>60</v>
      </c>
      <c r="P422">
        <v>2.4E-2</v>
      </c>
      <c r="Q422" s="84" t="e">
        <v>#REF!</v>
      </c>
      <c r="R422" s="85"/>
      <c r="S422" s="85"/>
      <c r="T422" s="86">
        <v>0</v>
      </c>
      <c r="U422" s="84">
        <v>0</v>
      </c>
      <c r="V422" s="84">
        <v>36.393000000000001</v>
      </c>
      <c r="W422" s="84">
        <v>18.1965</v>
      </c>
      <c r="X422" s="82">
        <v>0.35</v>
      </c>
      <c r="Y422" s="82"/>
      <c r="Z422" s="84">
        <v>18.1965</v>
      </c>
      <c r="AA422" s="84">
        <v>36.393000000000001</v>
      </c>
      <c r="AB422" s="88" t="e">
        <v>#DIV/0!</v>
      </c>
      <c r="AC422" t="s">
        <v>2169</v>
      </c>
    </row>
    <row r="423" spans="3:29">
      <c r="C423" t="s">
        <v>2170</v>
      </c>
      <c r="D423" t="s">
        <v>2171</v>
      </c>
      <c r="E423" s="84">
        <v>12.99</v>
      </c>
      <c r="F423" s="84">
        <v>6.4950000000000001</v>
      </c>
      <c r="G423" t="s">
        <v>2065</v>
      </c>
      <c r="H423" t="s">
        <v>2172</v>
      </c>
      <c r="I423" t="s">
        <v>2173</v>
      </c>
      <c r="J423" t="s">
        <v>2174</v>
      </c>
      <c r="K423" t="s">
        <v>2175</v>
      </c>
      <c r="L423" t="s">
        <v>670</v>
      </c>
      <c r="M423">
        <v>11</v>
      </c>
      <c r="N423">
        <v>11</v>
      </c>
      <c r="O423">
        <v>5</v>
      </c>
      <c r="P423">
        <v>6.0499999999999996E-4</v>
      </c>
      <c r="Q423" s="84" t="e">
        <v>#REF!</v>
      </c>
      <c r="R423" s="85">
        <v>146.0528603731</v>
      </c>
      <c r="S423" s="85">
        <v>25300</v>
      </c>
      <c r="T423" s="86">
        <v>25446.0528603731</v>
      </c>
      <c r="U423" s="84">
        <v>1.69640352402487</v>
      </c>
      <c r="V423" s="84">
        <v>9.093</v>
      </c>
      <c r="W423" s="84">
        <v>4.5465</v>
      </c>
      <c r="X423" s="82">
        <v>0.35</v>
      </c>
      <c r="Y423" s="82"/>
      <c r="Z423" s="84">
        <v>4.5465</v>
      </c>
      <c r="AA423" s="84">
        <v>9.093</v>
      </c>
      <c r="AB423" s="88">
        <v>2.6800816760937902</v>
      </c>
      <c r="AC423" t="s">
        <v>2176</v>
      </c>
    </row>
    <row r="424" spans="3:29">
      <c r="C424" t="s">
        <v>2177</v>
      </c>
      <c r="D424" t="s">
        <v>2171</v>
      </c>
      <c r="E424" s="84">
        <v>20.99</v>
      </c>
      <c r="F424" s="84">
        <v>10.494999999999999</v>
      </c>
      <c r="G424" t="s">
        <v>2065</v>
      </c>
      <c r="H424" t="s">
        <v>2178</v>
      </c>
      <c r="I424" t="s">
        <v>2179</v>
      </c>
      <c r="J424" t="s">
        <v>2180</v>
      </c>
      <c r="K424" t="s">
        <v>2175</v>
      </c>
      <c r="L424" t="s">
        <v>670</v>
      </c>
      <c r="M424">
        <v>14</v>
      </c>
      <c r="N424">
        <v>14</v>
      </c>
      <c r="O424">
        <v>5</v>
      </c>
      <c r="P424">
        <v>9.7999999999999997E-4</v>
      </c>
      <c r="Q424" s="84" t="e">
        <v>#REF!</v>
      </c>
      <c r="R424" s="85">
        <v>236.58149283580099</v>
      </c>
      <c r="S424" s="85">
        <v>38500</v>
      </c>
      <c r="T424" s="86">
        <v>38736.581492835801</v>
      </c>
      <c r="U424" s="84">
        <v>2.5824387661890502</v>
      </c>
      <c r="V424" s="84">
        <v>14.693</v>
      </c>
      <c r="W424" s="84">
        <v>7.3464999999999998</v>
      </c>
      <c r="X424" s="82">
        <v>0.35</v>
      </c>
      <c r="Y424" s="82"/>
      <c r="Z424" s="84">
        <v>7.3464999999999998</v>
      </c>
      <c r="AA424" s="84">
        <v>14.693</v>
      </c>
      <c r="AB424" s="88">
        <v>2.8447915575715101</v>
      </c>
      <c r="AC424" t="s">
        <v>2181</v>
      </c>
    </row>
    <row r="425" spans="3:29">
      <c r="C425" t="s">
        <v>2182</v>
      </c>
      <c r="D425" t="s">
        <v>2171</v>
      </c>
      <c r="E425" s="84">
        <v>31.99</v>
      </c>
      <c r="F425" s="84">
        <v>15.994999999999999</v>
      </c>
      <c r="G425" t="s">
        <v>2065</v>
      </c>
      <c r="H425" t="s">
        <v>2183</v>
      </c>
      <c r="I425" t="s">
        <v>2184</v>
      </c>
      <c r="J425" t="s">
        <v>2185</v>
      </c>
      <c r="K425" t="s">
        <v>2175</v>
      </c>
      <c r="L425" t="s">
        <v>670</v>
      </c>
      <c r="M425">
        <v>20</v>
      </c>
      <c r="N425">
        <v>20</v>
      </c>
      <c r="O425">
        <v>5</v>
      </c>
      <c r="P425">
        <v>2E-3</v>
      </c>
      <c r="Q425" s="84" t="e">
        <v>#REF!</v>
      </c>
      <c r="R425" s="85">
        <v>482.81937313429802</v>
      </c>
      <c r="S425" s="85">
        <v>60500</v>
      </c>
      <c r="T425" s="86">
        <v>60982.819373134298</v>
      </c>
      <c r="U425" s="84">
        <v>4.0655212915422902</v>
      </c>
      <c r="V425" s="84">
        <v>22.393000000000001</v>
      </c>
      <c r="W425" s="84">
        <v>11.1965</v>
      </c>
      <c r="X425" s="82">
        <v>0.35</v>
      </c>
      <c r="Y425" s="82"/>
      <c r="Z425" s="84">
        <v>11.1965</v>
      </c>
      <c r="AA425" s="84">
        <v>22.393000000000001</v>
      </c>
      <c r="AB425" s="88">
        <v>2.7540133717397199</v>
      </c>
      <c r="AC425" t="s">
        <v>2186</v>
      </c>
    </row>
    <row r="426" spans="3:29">
      <c r="C426" t="s">
        <v>2187</v>
      </c>
      <c r="D426" t="s">
        <v>2188</v>
      </c>
      <c r="E426" s="84">
        <v>173.99</v>
      </c>
      <c r="F426" s="84">
        <v>86.995000000000005</v>
      </c>
      <c r="G426" t="s">
        <v>2065</v>
      </c>
      <c r="H426" t="s">
        <v>2189</v>
      </c>
      <c r="I426" t="s">
        <v>2190</v>
      </c>
      <c r="J426" t="s">
        <v>2191</v>
      </c>
      <c r="K426" t="s">
        <v>2192</v>
      </c>
      <c r="L426" t="s">
        <v>2193</v>
      </c>
      <c r="N426">
        <v>13</v>
      </c>
      <c r="O426">
        <v>20</v>
      </c>
      <c r="P426">
        <v>3.3800000000000002E-3</v>
      </c>
      <c r="Q426" s="84" t="e">
        <v>#REF!</v>
      </c>
      <c r="R426" s="85">
        <v>181252.62655334099</v>
      </c>
      <c r="S426" s="85">
        <v>0</v>
      </c>
      <c r="T426" s="86">
        <v>181252.62655334099</v>
      </c>
      <c r="U426" s="84">
        <v>12.083508436889399</v>
      </c>
      <c r="V426" s="84">
        <v>121.79300000000001</v>
      </c>
      <c r="W426" s="84">
        <v>60.896500000000003</v>
      </c>
      <c r="X426" s="82">
        <v>0.35</v>
      </c>
      <c r="Y426" s="82"/>
      <c r="Z426" s="84">
        <v>60.896500000000003</v>
      </c>
      <c r="AA426" s="84">
        <v>121.79300000000001</v>
      </c>
      <c r="AB426" s="88">
        <v>5.0396373137863399</v>
      </c>
      <c r="AC426" t="s">
        <v>2194</v>
      </c>
    </row>
    <row r="427" spans="3:29">
      <c r="C427" t="s">
        <v>2195</v>
      </c>
      <c r="D427" t="s">
        <v>2188</v>
      </c>
      <c r="E427" s="84">
        <v>183.99</v>
      </c>
      <c r="F427" s="84">
        <v>91.995000000000005</v>
      </c>
      <c r="G427" t="s">
        <v>2065</v>
      </c>
      <c r="H427" t="s">
        <v>2196</v>
      </c>
      <c r="I427" t="s">
        <v>2197</v>
      </c>
      <c r="J427" t="s">
        <v>2198</v>
      </c>
      <c r="K427" t="s">
        <v>2192</v>
      </c>
      <c r="L427" t="s">
        <v>2193</v>
      </c>
      <c r="N427">
        <v>13</v>
      </c>
      <c r="O427">
        <v>25</v>
      </c>
      <c r="P427">
        <v>4.2249999999999996E-3</v>
      </c>
      <c r="Q427" s="84" t="e">
        <v>#REF!</v>
      </c>
      <c r="R427" s="85"/>
      <c r="S427" s="85"/>
      <c r="T427" s="86">
        <v>0</v>
      </c>
      <c r="U427" s="84">
        <v>0</v>
      </c>
      <c r="V427" s="84">
        <v>128.79300000000001</v>
      </c>
      <c r="W427" s="84">
        <v>64.396500000000003</v>
      </c>
      <c r="X427" s="82">
        <v>0.35</v>
      </c>
      <c r="Y427" s="82"/>
      <c r="Z427" s="84">
        <v>64.396500000000003</v>
      </c>
      <c r="AA427" s="84">
        <v>128.79300000000001</v>
      </c>
      <c r="AB427" s="88" t="e">
        <v>#DIV/0!</v>
      </c>
      <c r="AC427" t="s">
        <v>2199</v>
      </c>
    </row>
    <row r="428" spans="3:29">
      <c r="C428" t="s">
        <v>2200</v>
      </c>
      <c r="D428" t="s">
        <v>2188</v>
      </c>
      <c r="E428" s="84">
        <v>192.99</v>
      </c>
      <c r="F428" s="84">
        <v>96.495000000000005</v>
      </c>
      <c r="G428" t="s">
        <v>2065</v>
      </c>
      <c r="H428" t="s">
        <v>2201</v>
      </c>
      <c r="I428" t="s">
        <v>2202</v>
      </c>
      <c r="J428" t="s">
        <v>2203</v>
      </c>
      <c r="K428" t="s">
        <v>2192</v>
      </c>
      <c r="L428" t="s">
        <v>2193</v>
      </c>
      <c r="N428">
        <v>13</v>
      </c>
      <c r="O428">
        <v>30</v>
      </c>
      <c r="P428">
        <v>5.0699999999999999E-3</v>
      </c>
      <c r="Q428" s="84" t="e">
        <v>#REF!</v>
      </c>
      <c r="R428" s="85"/>
      <c r="S428" s="85"/>
      <c r="T428" s="86">
        <v>0</v>
      </c>
      <c r="U428" s="84">
        <v>0</v>
      </c>
      <c r="V428" s="84">
        <v>135.09299999999999</v>
      </c>
      <c r="W428" s="84">
        <v>67.546499999999995</v>
      </c>
      <c r="X428" s="82">
        <v>0.35</v>
      </c>
      <c r="Y428" s="82"/>
      <c r="Z428" s="84">
        <v>67.546499999999995</v>
      </c>
      <c r="AA428" s="84">
        <v>135.09299999999999</v>
      </c>
      <c r="AB428" s="88" t="e">
        <v>#DIV/0!</v>
      </c>
      <c r="AC428" t="s">
        <v>2204</v>
      </c>
    </row>
    <row r="429" spans="3:29">
      <c r="C429" t="s">
        <v>2205</v>
      </c>
      <c r="D429" t="s">
        <v>2206</v>
      </c>
      <c r="E429" s="84">
        <v>289.99</v>
      </c>
      <c r="F429" s="84">
        <v>144.995</v>
      </c>
      <c r="G429" t="s">
        <v>2065</v>
      </c>
      <c r="H429" t="s">
        <v>2207</v>
      </c>
      <c r="I429" t="s">
        <v>2208</v>
      </c>
      <c r="J429" t="s">
        <v>2209</v>
      </c>
      <c r="K429" t="s">
        <v>2192</v>
      </c>
      <c r="L429" t="s">
        <v>2193</v>
      </c>
      <c r="M429">
        <v>16</v>
      </c>
      <c r="N429">
        <v>16</v>
      </c>
      <c r="O429">
        <v>35</v>
      </c>
      <c r="P429">
        <v>8.9599999999999992E-3</v>
      </c>
      <c r="Q429" s="84" t="e">
        <v>#REF!</v>
      </c>
      <c r="R429" s="85"/>
      <c r="S429" s="85"/>
      <c r="T429" s="86">
        <v>0</v>
      </c>
      <c r="U429" s="84">
        <v>0</v>
      </c>
      <c r="V429" s="84">
        <v>202.99299999999999</v>
      </c>
      <c r="W429" s="84">
        <v>101.4965</v>
      </c>
      <c r="X429" s="82">
        <v>0.35</v>
      </c>
      <c r="Y429" s="82"/>
      <c r="Z429" s="84">
        <v>101.4965</v>
      </c>
      <c r="AA429" s="84">
        <v>202.99299999999999</v>
      </c>
      <c r="AB429" s="88" t="e">
        <v>#DIV/0!</v>
      </c>
      <c r="AC429" t="s">
        <v>2210</v>
      </c>
    </row>
    <row r="430" spans="3:29">
      <c r="C430" t="s">
        <v>2211</v>
      </c>
      <c r="D430" t="s">
        <v>2212</v>
      </c>
      <c r="E430" s="84">
        <v>29.99</v>
      </c>
      <c r="F430" s="84">
        <v>14.994999999999999</v>
      </c>
      <c r="G430" t="s">
        <v>2065</v>
      </c>
      <c r="H430" t="s">
        <v>2213</v>
      </c>
      <c r="I430" t="s">
        <v>2214</v>
      </c>
      <c r="J430" t="s">
        <v>2215</v>
      </c>
      <c r="K430" t="s">
        <v>2175</v>
      </c>
      <c r="L430" t="s">
        <v>670</v>
      </c>
      <c r="M430">
        <v>6</v>
      </c>
      <c r="N430">
        <v>6</v>
      </c>
      <c r="O430">
        <v>10</v>
      </c>
      <c r="P430">
        <v>3.6000000000000002E-4</v>
      </c>
      <c r="Q430" s="84" t="e">
        <v>#REF!</v>
      </c>
      <c r="R430" s="85">
        <v>86.907487164200603</v>
      </c>
      <c r="S430" s="85">
        <v>27500</v>
      </c>
      <c r="T430" s="86">
        <v>27586.907487164201</v>
      </c>
      <c r="U430" s="84">
        <v>1.83912716581095</v>
      </c>
      <c r="V430" s="84">
        <v>20.992999999999999</v>
      </c>
      <c r="W430" s="84">
        <v>10.496499999999999</v>
      </c>
      <c r="X430" s="82">
        <v>0.35</v>
      </c>
      <c r="Y430" s="82"/>
      <c r="Z430" s="84">
        <v>10.496499999999999</v>
      </c>
      <c r="AA430" s="84">
        <v>20.992999999999999</v>
      </c>
      <c r="AB430" s="88">
        <v>5.7073269293870004</v>
      </c>
    </row>
    <row r="431" spans="3:29">
      <c r="C431" t="s">
        <v>2216</v>
      </c>
      <c r="D431" t="s">
        <v>2212</v>
      </c>
      <c r="E431" s="84">
        <v>29.99</v>
      </c>
      <c r="F431" s="84">
        <v>14.994999999999999</v>
      </c>
      <c r="G431" t="s">
        <v>2065</v>
      </c>
      <c r="H431" t="s">
        <v>2217</v>
      </c>
      <c r="I431" t="s">
        <v>2218</v>
      </c>
      <c r="J431" t="s">
        <v>2219</v>
      </c>
      <c r="K431" t="s">
        <v>2175</v>
      </c>
      <c r="L431" t="s">
        <v>670</v>
      </c>
      <c r="M431">
        <v>6</v>
      </c>
      <c r="N431">
        <v>6</v>
      </c>
      <c r="O431">
        <v>15</v>
      </c>
      <c r="P431">
        <v>5.4000000000000001E-4</v>
      </c>
      <c r="Q431" s="84" t="e">
        <v>#REF!</v>
      </c>
      <c r="R431" s="85">
        <v>130.361230746297</v>
      </c>
      <c r="S431" s="85">
        <v>44000</v>
      </c>
      <c r="T431" s="86">
        <v>44130.361230746297</v>
      </c>
      <c r="U431" s="84">
        <v>2.9420240820497501</v>
      </c>
      <c r="V431" s="84">
        <v>20.992999999999999</v>
      </c>
      <c r="W431" s="84">
        <v>10.496499999999999</v>
      </c>
      <c r="X431" s="82">
        <v>0.35</v>
      </c>
      <c r="Y431" s="82"/>
      <c r="Z431" s="84">
        <v>10.496499999999999</v>
      </c>
      <c r="AA431" s="84">
        <v>20.992999999999999</v>
      </c>
      <c r="AB431" s="88">
        <v>3.5677818084639599</v>
      </c>
    </row>
    <row r="432" spans="3:29">
      <c r="C432" t="s">
        <v>2220</v>
      </c>
      <c r="D432" t="s">
        <v>2212</v>
      </c>
      <c r="E432" s="84">
        <v>29.99</v>
      </c>
      <c r="F432" s="84">
        <v>14.994999999999999</v>
      </c>
      <c r="G432" t="s">
        <v>2065</v>
      </c>
      <c r="H432" t="s">
        <v>2221</v>
      </c>
      <c r="I432" t="s">
        <v>2222</v>
      </c>
      <c r="J432" t="s">
        <v>2223</v>
      </c>
      <c r="K432" t="s">
        <v>2175</v>
      </c>
      <c r="L432" t="s">
        <v>670</v>
      </c>
      <c r="M432">
        <v>6</v>
      </c>
      <c r="N432">
        <v>6</v>
      </c>
      <c r="O432">
        <v>20</v>
      </c>
      <c r="P432">
        <v>7.2000000000000005E-4</v>
      </c>
      <c r="Q432" s="84" t="e">
        <v>#REF!</v>
      </c>
      <c r="R432" s="85">
        <v>173.81497432840101</v>
      </c>
      <c r="S432" s="85">
        <v>49500</v>
      </c>
      <c r="T432" s="86">
        <v>49673.814974328401</v>
      </c>
      <c r="U432" s="84">
        <v>3.3115876649552298</v>
      </c>
      <c r="V432" s="84">
        <v>20.992999999999999</v>
      </c>
      <c r="W432" s="84">
        <v>10.496499999999999</v>
      </c>
      <c r="X432" s="82">
        <v>0.35</v>
      </c>
      <c r="Y432" s="82"/>
      <c r="Z432" s="84">
        <v>10.496499999999999</v>
      </c>
      <c r="AA432" s="84">
        <v>20.992999999999999</v>
      </c>
      <c r="AB432" s="88">
        <v>3.1696277018660499</v>
      </c>
    </row>
    <row r="433" spans="3:29">
      <c r="C433" t="s">
        <v>2224</v>
      </c>
      <c r="D433" t="s">
        <v>2212</v>
      </c>
      <c r="E433" s="84">
        <v>29.99</v>
      </c>
      <c r="F433" s="84">
        <v>14.994999999999999</v>
      </c>
      <c r="G433" t="s">
        <v>2065</v>
      </c>
      <c r="H433" t="s">
        <v>2225</v>
      </c>
      <c r="I433" t="s">
        <v>2226</v>
      </c>
      <c r="J433" t="s">
        <v>2227</v>
      </c>
      <c r="K433" t="s">
        <v>2175</v>
      </c>
      <c r="L433" t="s">
        <v>670</v>
      </c>
      <c r="M433">
        <v>6</v>
      </c>
      <c r="N433">
        <v>6</v>
      </c>
      <c r="O433">
        <v>25</v>
      </c>
      <c r="P433">
        <v>8.9999999999999998E-4</v>
      </c>
      <c r="Q433" s="84" t="e">
        <v>#REF!</v>
      </c>
      <c r="R433" s="85">
        <v>217.26871791040301</v>
      </c>
      <c r="S433" s="85">
        <v>60500</v>
      </c>
      <c r="T433" s="86">
        <v>60717.268717910403</v>
      </c>
      <c r="U433" s="84">
        <v>4.0478179145273598</v>
      </c>
      <c r="V433" s="84">
        <v>20.992999999999999</v>
      </c>
      <c r="W433" s="84">
        <v>10.496499999999999</v>
      </c>
      <c r="X433" s="82">
        <v>0.35</v>
      </c>
      <c r="Y433" s="82"/>
      <c r="Z433" s="84">
        <v>10.496499999999999</v>
      </c>
      <c r="AA433" s="84">
        <v>20.992999999999999</v>
      </c>
      <c r="AB433" s="88">
        <v>2.5931255361879599</v>
      </c>
    </row>
    <row r="434" spans="3:29">
      <c r="C434" t="s">
        <v>2228</v>
      </c>
      <c r="D434" t="s">
        <v>2212</v>
      </c>
      <c r="E434" s="84">
        <v>29.99</v>
      </c>
      <c r="F434" s="84">
        <v>14.994999999999999</v>
      </c>
      <c r="G434" t="s">
        <v>2065</v>
      </c>
      <c r="H434" t="s">
        <v>2229</v>
      </c>
      <c r="I434" t="s">
        <v>2230</v>
      </c>
      <c r="J434" t="s">
        <v>2231</v>
      </c>
      <c r="K434" t="s">
        <v>2175</v>
      </c>
      <c r="L434" t="s">
        <v>670</v>
      </c>
      <c r="M434">
        <v>8</v>
      </c>
      <c r="N434">
        <v>8</v>
      </c>
      <c r="O434">
        <v>10</v>
      </c>
      <c r="P434">
        <v>6.4000000000000005E-4</v>
      </c>
      <c r="Q434" s="84" t="e">
        <v>#REF!</v>
      </c>
      <c r="R434" s="85"/>
      <c r="S434" s="85"/>
      <c r="T434" s="86">
        <v>0</v>
      </c>
      <c r="U434" s="84">
        <v>0</v>
      </c>
      <c r="V434" s="84">
        <v>20.992999999999999</v>
      </c>
      <c r="W434" s="84">
        <v>10.496499999999999</v>
      </c>
      <c r="X434" s="82">
        <v>0.35</v>
      </c>
      <c r="Y434" s="82"/>
      <c r="Z434" s="84">
        <v>10.496499999999999</v>
      </c>
      <c r="AA434" s="84">
        <v>20.992999999999999</v>
      </c>
      <c r="AB434" s="88" t="e">
        <v>#DIV/0!</v>
      </c>
    </row>
    <row r="435" spans="3:29">
      <c r="C435" t="s">
        <v>2232</v>
      </c>
      <c r="D435" t="s">
        <v>2212</v>
      </c>
      <c r="E435" s="84">
        <v>29.99</v>
      </c>
      <c r="F435" s="84">
        <v>14.994999999999999</v>
      </c>
      <c r="G435" t="s">
        <v>2065</v>
      </c>
      <c r="H435" t="s">
        <v>2233</v>
      </c>
      <c r="I435" t="s">
        <v>2234</v>
      </c>
      <c r="J435" t="s">
        <v>2235</v>
      </c>
      <c r="K435" t="s">
        <v>2175</v>
      </c>
      <c r="L435" t="s">
        <v>670</v>
      </c>
      <c r="M435">
        <v>8</v>
      </c>
      <c r="N435">
        <v>8</v>
      </c>
      <c r="O435">
        <v>15</v>
      </c>
      <c r="P435">
        <v>9.6000000000000002E-4</v>
      </c>
      <c r="Q435" s="84" t="e">
        <v>#REF!</v>
      </c>
      <c r="R435" s="85"/>
      <c r="S435" s="85"/>
      <c r="T435" s="86">
        <v>0</v>
      </c>
      <c r="U435" s="84">
        <v>0</v>
      </c>
      <c r="V435" s="84">
        <v>20.992999999999999</v>
      </c>
      <c r="W435" s="84">
        <v>10.496499999999999</v>
      </c>
      <c r="X435" s="82">
        <v>0.35</v>
      </c>
      <c r="Y435" s="82"/>
      <c r="Z435" s="84">
        <v>10.496499999999999</v>
      </c>
      <c r="AA435" s="84">
        <v>20.992999999999999</v>
      </c>
      <c r="AB435" s="88" t="e">
        <v>#DIV/0!</v>
      </c>
    </row>
    <row r="436" spans="3:29">
      <c r="C436" t="s">
        <v>2236</v>
      </c>
      <c r="D436" t="s">
        <v>2212</v>
      </c>
      <c r="E436" s="84">
        <v>29.99</v>
      </c>
      <c r="F436" s="84">
        <v>14.994999999999999</v>
      </c>
      <c r="G436" t="s">
        <v>2065</v>
      </c>
      <c r="H436" t="s">
        <v>2237</v>
      </c>
      <c r="I436" t="s">
        <v>2238</v>
      </c>
      <c r="J436" t="s">
        <v>2239</v>
      </c>
      <c r="K436" t="s">
        <v>2175</v>
      </c>
      <c r="L436" t="s">
        <v>670</v>
      </c>
      <c r="M436">
        <v>8</v>
      </c>
      <c r="N436">
        <v>8</v>
      </c>
      <c r="O436">
        <v>20</v>
      </c>
      <c r="P436">
        <v>1.2800000000000001E-3</v>
      </c>
      <c r="Q436" s="84" t="e">
        <v>#REF!</v>
      </c>
      <c r="R436" s="85"/>
      <c r="S436" s="85"/>
      <c r="T436" s="86">
        <v>0</v>
      </c>
      <c r="U436" s="84">
        <v>0</v>
      </c>
      <c r="V436" s="84">
        <v>20.992999999999999</v>
      </c>
      <c r="W436" s="84">
        <v>10.496499999999999</v>
      </c>
      <c r="X436" s="82">
        <v>0.35</v>
      </c>
      <c r="Y436" s="82"/>
      <c r="Z436" s="84">
        <v>10.496499999999999</v>
      </c>
      <c r="AA436" s="84">
        <v>20.992999999999999</v>
      </c>
      <c r="AB436" s="88" t="e">
        <v>#DIV/0!</v>
      </c>
    </row>
    <row r="437" spans="3:29">
      <c r="C437" t="s">
        <v>2240</v>
      </c>
      <c r="D437" t="s">
        <v>2212</v>
      </c>
      <c r="E437" s="84">
        <v>39.99</v>
      </c>
      <c r="F437" s="84">
        <v>19.995000000000001</v>
      </c>
      <c r="G437" t="s">
        <v>2065</v>
      </c>
      <c r="H437" t="s">
        <v>2241</v>
      </c>
      <c r="I437" t="s">
        <v>2242</v>
      </c>
      <c r="J437" t="s">
        <v>2243</v>
      </c>
      <c r="K437" t="s">
        <v>2175</v>
      </c>
      <c r="L437" t="s">
        <v>670</v>
      </c>
      <c r="M437">
        <v>8</v>
      </c>
      <c r="N437">
        <v>8</v>
      </c>
      <c r="O437">
        <v>25</v>
      </c>
      <c r="P437">
        <v>1.6000000000000001E-3</v>
      </c>
      <c r="Q437" s="84" t="e">
        <v>#REF!</v>
      </c>
      <c r="R437" s="85"/>
      <c r="S437" s="85"/>
      <c r="T437" s="86">
        <v>0</v>
      </c>
      <c r="U437" s="84">
        <v>0</v>
      </c>
      <c r="V437" s="84">
        <v>27.992999999999999</v>
      </c>
      <c r="W437" s="84">
        <v>13.996499999999999</v>
      </c>
      <c r="X437" s="82">
        <v>0.35</v>
      </c>
      <c r="Y437" s="82"/>
      <c r="Z437" s="84">
        <v>13.996499999999999</v>
      </c>
      <c r="AA437" s="84">
        <v>27.992999999999999</v>
      </c>
      <c r="AB437" s="88" t="e">
        <v>#DIV/0!</v>
      </c>
    </row>
    <row r="438" spans="3:29">
      <c r="C438" t="s">
        <v>2244</v>
      </c>
      <c r="D438" t="s">
        <v>2245</v>
      </c>
      <c r="E438" s="84">
        <v>20.99</v>
      </c>
      <c r="F438" s="84">
        <v>10.494999999999999</v>
      </c>
      <c r="G438" t="s">
        <v>2065</v>
      </c>
      <c r="H438" t="s">
        <v>2246</v>
      </c>
      <c r="I438" t="s">
        <v>2247</v>
      </c>
      <c r="J438" t="s">
        <v>2248</v>
      </c>
      <c r="K438" t="s">
        <v>2175</v>
      </c>
      <c r="L438" t="s">
        <v>670</v>
      </c>
      <c r="M438">
        <v>20</v>
      </c>
      <c r="N438">
        <v>30</v>
      </c>
      <c r="O438">
        <v>30</v>
      </c>
      <c r="P438">
        <v>1.7999999999999999E-2</v>
      </c>
      <c r="Q438" s="84" t="e">
        <v>#REF!</v>
      </c>
      <c r="R438" s="85"/>
      <c r="S438" s="85"/>
      <c r="T438" s="86">
        <v>0</v>
      </c>
      <c r="U438" s="84">
        <v>0</v>
      </c>
      <c r="V438" s="84">
        <v>14.693</v>
      </c>
      <c r="W438" s="84">
        <v>7.3464999999999998</v>
      </c>
      <c r="X438" s="82">
        <v>0.35</v>
      </c>
      <c r="Y438" s="82"/>
      <c r="Z438" s="84">
        <v>7.3464999999999998</v>
      </c>
      <c r="AA438" s="84">
        <v>14.693</v>
      </c>
      <c r="AB438" s="88" t="e">
        <v>#DIV/0!</v>
      </c>
    </row>
    <row r="439" spans="3:29">
      <c r="C439">
        <v>22013</v>
      </c>
      <c r="D439" t="s">
        <v>2249</v>
      </c>
      <c r="E439" s="84">
        <v>64.989999999999995</v>
      </c>
      <c r="F439" s="84">
        <v>32.494999999999997</v>
      </c>
      <c r="G439" t="s">
        <v>2065</v>
      </c>
      <c r="H439" t="s">
        <v>2250</v>
      </c>
      <c r="I439" t="s">
        <v>2251</v>
      </c>
      <c r="J439" t="s">
        <v>2252</v>
      </c>
      <c r="K439" t="s">
        <v>2253</v>
      </c>
      <c r="L439" t="s">
        <v>646</v>
      </c>
      <c r="N439">
        <v>20</v>
      </c>
      <c r="O439">
        <v>17</v>
      </c>
      <c r="P439">
        <v>6.7999999999999996E-3</v>
      </c>
      <c r="Q439" s="84" t="e">
        <v>#REF!</v>
      </c>
      <c r="R439" s="85"/>
      <c r="S439" s="85"/>
      <c r="T439" s="86">
        <v>0</v>
      </c>
      <c r="U439" s="84">
        <v>0</v>
      </c>
      <c r="V439" s="84">
        <v>45.493000000000002</v>
      </c>
      <c r="W439" s="84">
        <v>22.746500000000001</v>
      </c>
      <c r="X439" s="82">
        <v>0.35</v>
      </c>
      <c r="Y439" s="82"/>
      <c r="Z439" s="84">
        <v>22.746500000000001</v>
      </c>
      <c r="AA439" s="84">
        <v>45.493000000000002</v>
      </c>
      <c r="AB439" s="88" t="e">
        <v>#DIV/0!</v>
      </c>
    </row>
    <row r="440" spans="3:29">
      <c r="C440" t="s">
        <v>2254</v>
      </c>
      <c r="E440" s="84"/>
      <c r="F440" s="82"/>
      <c r="R440" s="85"/>
      <c r="S440" s="85"/>
      <c r="T440" s="86"/>
      <c r="V440" s="84"/>
      <c r="W440" s="84"/>
      <c r="X440" s="82"/>
      <c r="Y440" s="82"/>
      <c r="Z440" s="82"/>
      <c r="AA440" s="82"/>
      <c r="AB440" s="88"/>
    </row>
    <row r="441" spans="3:29">
      <c r="C441" t="s">
        <v>2255</v>
      </c>
      <c r="D441" t="s">
        <v>2256</v>
      </c>
      <c r="E441" s="84">
        <v>84.99</v>
      </c>
      <c r="F441" s="84">
        <v>42.494999999999997</v>
      </c>
      <c r="G441" t="s">
        <v>2257</v>
      </c>
      <c r="H441" t="s">
        <v>2258</v>
      </c>
      <c r="I441" t="s">
        <v>2259</v>
      </c>
      <c r="J441" t="s">
        <v>2260</v>
      </c>
      <c r="K441" t="s">
        <v>2261</v>
      </c>
      <c r="L441" t="s">
        <v>646</v>
      </c>
      <c r="N441">
        <v>30</v>
      </c>
      <c r="O441">
        <v>30</v>
      </c>
      <c r="P441">
        <v>2.7E-2</v>
      </c>
      <c r="Q441" s="84" t="e">
        <v>#REF!</v>
      </c>
      <c r="R441" s="85">
        <v>29396.799999999999</v>
      </c>
      <c r="S441" s="86">
        <v>293968</v>
      </c>
      <c r="T441" s="86">
        <v>323364.8</v>
      </c>
      <c r="U441" s="84">
        <v>21.557653333333299</v>
      </c>
      <c r="V441" s="84">
        <v>59.493000000000002</v>
      </c>
      <c r="W441" s="84">
        <v>29.746500000000001</v>
      </c>
      <c r="X441" s="82">
        <v>0.35</v>
      </c>
      <c r="Y441" s="87">
        <v>36.74</v>
      </c>
      <c r="Z441" s="84">
        <v>36.74</v>
      </c>
      <c r="AA441" s="84">
        <v>73.48</v>
      </c>
      <c r="AB441" s="88">
        <v>1.70426713111631</v>
      </c>
      <c r="AC441" t="s">
        <v>2262</v>
      </c>
    </row>
    <row r="442" spans="3:29">
      <c r="C442" t="s">
        <v>2264</v>
      </c>
      <c r="D442" t="s">
        <v>2256</v>
      </c>
      <c r="E442" s="84">
        <v>128.99</v>
      </c>
      <c r="F442" s="84">
        <v>64.495000000000005</v>
      </c>
      <c r="G442" t="s">
        <v>2257</v>
      </c>
      <c r="H442" t="s">
        <v>2265</v>
      </c>
      <c r="I442" t="s">
        <v>2266</v>
      </c>
      <c r="J442" t="s">
        <v>2267</v>
      </c>
      <c r="K442" t="s">
        <v>2261</v>
      </c>
      <c r="L442" t="s">
        <v>646</v>
      </c>
      <c r="N442">
        <v>40</v>
      </c>
      <c r="O442">
        <v>40</v>
      </c>
      <c r="P442">
        <v>6.4000000000000001E-2</v>
      </c>
      <c r="Q442" s="84" t="e">
        <v>#REF!</v>
      </c>
      <c r="R442" s="85">
        <v>42611.199999999997</v>
      </c>
      <c r="S442" s="86">
        <v>426112</v>
      </c>
      <c r="T442" s="86">
        <v>468723.20000000001</v>
      </c>
      <c r="U442" s="84">
        <v>31.2482133333333</v>
      </c>
      <c r="V442" s="84">
        <v>90.293000000000006</v>
      </c>
      <c r="W442" s="84">
        <v>45.146500000000003</v>
      </c>
      <c r="X442" s="82">
        <v>0.35</v>
      </c>
      <c r="Y442" s="87">
        <v>53.26</v>
      </c>
      <c r="Z442" s="84">
        <v>53.26</v>
      </c>
      <c r="AA442" s="84">
        <v>106.52</v>
      </c>
      <c r="AB442" s="88">
        <v>1.7044174472268501</v>
      </c>
      <c r="AC442" t="s">
        <v>2268</v>
      </c>
    </row>
    <row r="443" spans="3:29">
      <c r="C443" t="s">
        <v>2269</v>
      </c>
      <c r="D443" t="s">
        <v>2256</v>
      </c>
      <c r="E443" s="84">
        <v>180.99</v>
      </c>
      <c r="F443" s="84">
        <v>90.495000000000005</v>
      </c>
      <c r="G443" t="s">
        <v>2257</v>
      </c>
      <c r="H443" t="s">
        <v>2270</v>
      </c>
      <c r="I443" t="s">
        <v>2271</v>
      </c>
      <c r="J443" t="s">
        <v>2272</v>
      </c>
      <c r="K443" t="s">
        <v>2261</v>
      </c>
      <c r="L443" t="s">
        <v>646</v>
      </c>
      <c r="N443">
        <v>50</v>
      </c>
      <c r="O443">
        <v>50</v>
      </c>
      <c r="P443">
        <v>0.125</v>
      </c>
      <c r="Q443" s="84" t="e">
        <v>#REF!</v>
      </c>
      <c r="R443" s="85">
        <v>59342.400000000001</v>
      </c>
      <c r="S443" s="86">
        <v>593424</v>
      </c>
      <c r="T443" s="86">
        <v>652766.4</v>
      </c>
      <c r="U443" s="84">
        <v>43.517760000000003</v>
      </c>
      <c r="V443" s="84">
        <v>126.693</v>
      </c>
      <c r="W443" s="84">
        <v>63.346499999999999</v>
      </c>
      <c r="X443" s="82">
        <v>0.35</v>
      </c>
      <c r="Y443" s="87">
        <v>74.180000000000007</v>
      </c>
      <c r="Z443" s="84">
        <v>74.180000000000007</v>
      </c>
      <c r="AA443" s="84">
        <v>148.36000000000001</v>
      </c>
      <c r="AB443" s="88">
        <v>1.7045914127933099</v>
      </c>
      <c r="AC443" t="s">
        <v>2273</v>
      </c>
    </row>
    <row r="444" spans="3:29">
      <c r="C444" t="s">
        <v>2274</v>
      </c>
      <c r="D444" t="s">
        <v>2275</v>
      </c>
      <c r="E444" s="84">
        <v>128.99</v>
      </c>
      <c r="F444" s="84">
        <v>64.495000000000005</v>
      </c>
      <c r="G444" t="s">
        <v>2257</v>
      </c>
      <c r="H444" t="s">
        <v>2276</v>
      </c>
      <c r="I444" t="s">
        <v>2277</v>
      </c>
      <c r="J444" t="s">
        <v>2278</v>
      </c>
      <c r="K444" t="s">
        <v>2261</v>
      </c>
      <c r="L444" t="s">
        <v>646</v>
      </c>
      <c r="N444">
        <v>48</v>
      </c>
      <c r="O444">
        <v>25</v>
      </c>
      <c r="P444">
        <v>5.7599999999999998E-2</v>
      </c>
      <c r="Q444" s="84" t="e">
        <v>#REF!</v>
      </c>
      <c r="R444" s="85">
        <v>41417.599999999999</v>
      </c>
      <c r="S444" s="86">
        <v>414176</v>
      </c>
      <c r="T444" s="86">
        <v>455593.6</v>
      </c>
      <c r="U444" s="84">
        <v>30.372906666666701</v>
      </c>
      <c r="V444" s="84">
        <v>90.293000000000006</v>
      </c>
      <c r="W444" s="84">
        <v>45.146500000000003</v>
      </c>
      <c r="X444" s="82">
        <v>0.35</v>
      </c>
      <c r="Y444" s="87">
        <v>51.78</v>
      </c>
      <c r="Z444" s="84">
        <v>51.78</v>
      </c>
      <c r="AA444" s="84">
        <v>103.56</v>
      </c>
      <c r="AB444" s="88">
        <v>1.7048088471831</v>
      </c>
      <c r="AC444" t="s">
        <v>2279</v>
      </c>
    </row>
    <row r="445" spans="3:29">
      <c r="C445" t="s">
        <v>2280</v>
      </c>
      <c r="D445" t="s">
        <v>2275</v>
      </c>
      <c r="E445" s="84">
        <v>213.99</v>
      </c>
      <c r="F445" s="84">
        <v>106.995</v>
      </c>
      <c r="G445" t="s">
        <v>2257</v>
      </c>
      <c r="H445" t="s">
        <v>2281</v>
      </c>
      <c r="I445" t="s">
        <v>2282</v>
      </c>
      <c r="J445" t="s">
        <v>2283</v>
      </c>
      <c r="K445" t="s">
        <v>2261</v>
      </c>
      <c r="L445" t="s">
        <v>646</v>
      </c>
      <c r="N445">
        <v>64</v>
      </c>
      <c r="O445">
        <v>35</v>
      </c>
      <c r="P445">
        <v>0.14335999999999999</v>
      </c>
      <c r="Q445" s="84" t="e">
        <v>#REF!</v>
      </c>
      <c r="R445" s="85">
        <v>65120</v>
      </c>
      <c r="S445" s="86">
        <v>651200</v>
      </c>
      <c r="T445" s="86">
        <v>716320</v>
      </c>
      <c r="U445" s="84">
        <v>47.754666666666701</v>
      </c>
      <c r="V445" s="84">
        <v>149.79300000000001</v>
      </c>
      <c r="W445" s="84">
        <v>74.896500000000003</v>
      </c>
      <c r="X445" s="82">
        <v>0.35</v>
      </c>
      <c r="Y445" s="87">
        <v>81.400000000000006</v>
      </c>
      <c r="Z445" s="84">
        <v>81.400000000000006</v>
      </c>
      <c r="AA445" s="84">
        <v>162.80000000000001</v>
      </c>
      <c r="AB445" s="88">
        <v>1.7045454545454599</v>
      </c>
      <c r="AC445" t="s">
        <v>2284</v>
      </c>
    </row>
    <row r="446" spans="3:29">
      <c r="C446" t="s">
        <v>2285</v>
      </c>
      <c r="D446" t="s">
        <v>2275</v>
      </c>
      <c r="E446" s="84">
        <v>340.99</v>
      </c>
      <c r="F446" s="84">
        <v>170.495</v>
      </c>
      <c r="G446" t="s">
        <v>2257</v>
      </c>
      <c r="H446" t="s">
        <v>2286</v>
      </c>
      <c r="I446" t="s">
        <v>2287</v>
      </c>
      <c r="J446" t="s">
        <v>2288</v>
      </c>
      <c r="K446" t="s">
        <v>2261</v>
      </c>
      <c r="L446" t="s">
        <v>646</v>
      </c>
      <c r="N446">
        <v>80</v>
      </c>
      <c r="O446">
        <v>45</v>
      </c>
      <c r="P446">
        <v>0.28799999999999998</v>
      </c>
      <c r="Q446" s="84" t="e">
        <v>#REF!</v>
      </c>
      <c r="R446" s="85">
        <v>93996.800000000003</v>
      </c>
      <c r="S446" s="86">
        <v>939968</v>
      </c>
      <c r="T446" s="86">
        <v>1033964.8</v>
      </c>
      <c r="U446" s="84">
        <v>68.930986666666698</v>
      </c>
      <c r="V446" s="84">
        <v>238.69300000000001</v>
      </c>
      <c r="W446" s="84">
        <v>119.34650000000001</v>
      </c>
      <c r="X446" s="82">
        <v>0.35</v>
      </c>
      <c r="Y446" s="87">
        <v>117.5</v>
      </c>
      <c r="Z446" s="84">
        <v>117.5</v>
      </c>
      <c r="AA446" s="84">
        <v>235</v>
      </c>
      <c r="AB446" s="88">
        <v>1.70460348360022</v>
      </c>
      <c r="AC446" t="s">
        <v>2289</v>
      </c>
    </row>
    <row r="447" spans="3:29">
      <c r="C447" t="s">
        <v>2290</v>
      </c>
      <c r="D447" t="s">
        <v>2291</v>
      </c>
      <c r="E447" s="84">
        <v>95.99</v>
      </c>
      <c r="F447" s="84">
        <v>47.994999999999997</v>
      </c>
      <c r="G447" t="s">
        <v>2257</v>
      </c>
      <c r="H447" t="s">
        <v>2292</v>
      </c>
      <c r="I447" t="s">
        <v>2293</v>
      </c>
      <c r="J447" t="s">
        <v>2294</v>
      </c>
      <c r="K447" t="s">
        <v>2261</v>
      </c>
      <c r="L447" t="s">
        <v>646</v>
      </c>
      <c r="N447">
        <v>27</v>
      </c>
      <c r="O447">
        <v>38</v>
      </c>
      <c r="P447">
        <v>2.7702000000000001E-2</v>
      </c>
      <c r="Q447" s="84" t="e">
        <v>#REF!</v>
      </c>
      <c r="R447" s="85">
        <v>32512</v>
      </c>
      <c r="S447" s="86">
        <v>325120</v>
      </c>
      <c r="T447" s="86">
        <v>357632</v>
      </c>
      <c r="U447" s="84">
        <v>23.842133333333301</v>
      </c>
      <c r="V447" s="84">
        <v>67.192999999999998</v>
      </c>
      <c r="W447" s="84">
        <v>33.596499999999999</v>
      </c>
      <c r="X447" s="82">
        <v>0.35</v>
      </c>
      <c r="Y447" s="87">
        <v>40.64</v>
      </c>
      <c r="Z447" s="84">
        <v>40.64</v>
      </c>
      <c r="AA447" s="84">
        <v>81.28</v>
      </c>
      <c r="AB447" s="88">
        <v>1.7045454545454499</v>
      </c>
      <c r="AC447" t="s">
        <v>2295</v>
      </c>
    </row>
    <row r="448" spans="3:29">
      <c r="C448" t="s">
        <v>2296</v>
      </c>
      <c r="D448" t="s">
        <v>2291</v>
      </c>
      <c r="E448" s="84">
        <v>146.99</v>
      </c>
      <c r="F448" s="84">
        <v>73.495000000000005</v>
      </c>
      <c r="G448" t="s">
        <v>2257</v>
      </c>
      <c r="H448" t="s">
        <v>2297</v>
      </c>
      <c r="I448" t="s">
        <v>2298</v>
      </c>
      <c r="J448" t="s">
        <v>2299</v>
      </c>
      <c r="K448" t="s">
        <v>2261</v>
      </c>
      <c r="L448" t="s">
        <v>646</v>
      </c>
      <c r="N448">
        <v>40</v>
      </c>
      <c r="O448">
        <v>50</v>
      </c>
      <c r="P448">
        <v>0.08</v>
      </c>
      <c r="Q448" s="84" t="e">
        <v>#REF!</v>
      </c>
      <c r="R448" s="85">
        <v>47344</v>
      </c>
      <c r="S448" s="86">
        <v>473440</v>
      </c>
      <c r="T448" s="86">
        <v>520784</v>
      </c>
      <c r="U448" s="84">
        <v>34.718933333333297</v>
      </c>
      <c r="V448" s="84">
        <v>102.893</v>
      </c>
      <c r="W448" s="84">
        <v>51.4465</v>
      </c>
      <c r="X448" s="82">
        <v>0.35</v>
      </c>
      <c r="Y448" s="87">
        <v>59.18</v>
      </c>
      <c r="Z448" s="84">
        <v>59.18</v>
      </c>
      <c r="AA448" s="84">
        <v>118.36</v>
      </c>
      <c r="AB448" s="88">
        <v>1.7045454545454499</v>
      </c>
      <c r="AC448" t="s">
        <v>2300</v>
      </c>
    </row>
    <row r="449" spans="3:29">
      <c r="C449" t="s">
        <v>2301</v>
      </c>
      <c r="D449" t="s">
        <v>2291</v>
      </c>
      <c r="E449" s="84">
        <v>213.99</v>
      </c>
      <c r="F449" s="84">
        <v>106.995</v>
      </c>
      <c r="G449" t="s">
        <v>2257</v>
      </c>
      <c r="H449" t="s">
        <v>2302</v>
      </c>
      <c r="I449" t="s">
        <v>2303</v>
      </c>
      <c r="J449" t="s">
        <v>845</v>
      </c>
      <c r="K449" t="s">
        <v>2261</v>
      </c>
      <c r="L449" t="s">
        <v>646</v>
      </c>
      <c r="N449">
        <v>50</v>
      </c>
      <c r="O449">
        <v>60</v>
      </c>
      <c r="P449">
        <v>0.15</v>
      </c>
      <c r="Q449" s="84" t="e">
        <v>#REF!</v>
      </c>
      <c r="R449" s="85">
        <v>68547.199999999997</v>
      </c>
      <c r="S449" s="86">
        <v>685472</v>
      </c>
      <c r="T449" s="86">
        <v>754019.2</v>
      </c>
      <c r="U449" s="84">
        <v>50.267946666666703</v>
      </c>
      <c r="V449" s="84">
        <v>149.79300000000001</v>
      </c>
      <c r="W449" s="84">
        <v>74.896500000000003</v>
      </c>
      <c r="X449" s="82">
        <v>0.35</v>
      </c>
      <c r="Y449" s="87">
        <v>85.68</v>
      </c>
      <c r="Z449" s="84">
        <v>85.68</v>
      </c>
      <c r="AA449" s="84">
        <v>171.36</v>
      </c>
      <c r="AB449" s="88">
        <v>1.70446588097491</v>
      </c>
      <c r="AC449" t="s">
        <v>2304</v>
      </c>
    </row>
    <row r="450" spans="3:29">
      <c r="C450" t="s">
        <v>2305</v>
      </c>
      <c r="D450" t="s">
        <v>2306</v>
      </c>
      <c r="E450" s="84">
        <v>116.99</v>
      </c>
      <c r="F450" s="84">
        <v>58.494999999999997</v>
      </c>
      <c r="G450" t="s">
        <v>2257</v>
      </c>
      <c r="H450" t="s">
        <v>2307</v>
      </c>
      <c r="I450" t="s">
        <v>2308</v>
      </c>
      <c r="J450" t="s">
        <v>2309</v>
      </c>
      <c r="K450" t="s">
        <v>2310</v>
      </c>
      <c r="L450" t="s">
        <v>646</v>
      </c>
      <c r="N450">
        <v>35</v>
      </c>
      <c r="O450">
        <v>35</v>
      </c>
      <c r="P450">
        <v>4.2875000000000003E-2</v>
      </c>
      <c r="Q450" s="84" t="e">
        <v>#REF!</v>
      </c>
      <c r="R450" s="85"/>
      <c r="S450" s="85"/>
      <c r="T450" s="86">
        <v>0</v>
      </c>
      <c r="U450" s="84">
        <v>0</v>
      </c>
      <c r="V450" s="84">
        <v>81.893000000000001</v>
      </c>
      <c r="W450" s="84">
        <v>40.9465</v>
      </c>
      <c r="X450" s="82">
        <v>0.35</v>
      </c>
      <c r="Y450" s="82"/>
      <c r="Z450" s="84">
        <v>40.9465</v>
      </c>
      <c r="AA450" s="84">
        <v>81.893000000000001</v>
      </c>
      <c r="AB450" s="88" t="e">
        <v>#DIV/0!</v>
      </c>
      <c r="AC450" t="s">
        <v>2311</v>
      </c>
    </row>
    <row r="451" spans="3:29">
      <c r="C451" t="s">
        <v>2312</v>
      </c>
      <c r="D451" t="s">
        <v>2306</v>
      </c>
      <c r="E451" s="84">
        <v>151.99</v>
      </c>
      <c r="F451" s="84">
        <v>75.995000000000005</v>
      </c>
      <c r="G451" t="s">
        <v>2257</v>
      </c>
      <c r="H451" t="s">
        <v>2313</v>
      </c>
      <c r="I451" t="s">
        <v>2314</v>
      </c>
      <c r="J451" t="s">
        <v>2315</v>
      </c>
      <c r="K451" t="s">
        <v>2310</v>
      </c>
      <c r="L451" t="s">
        <v>646</v>
      </c>
      <c r="N451">
        <v>45</v>
      </c>
      <c r="O451">
        <v>45</v>
      </c>
      <c r="P451">
        <v>9.1124999999999998E-2</v>
      </c>
      <c r="Q451" s="84" t="e">
        <v>#REF!</v>
      </c>
      <c r="R451" s="85"/>
      <c r="S451" s="85"/>
      <c r="T451" s="86">
        <v>0</v>
      </c>
      <c r="U451" s="84">
        <v>0</v>
      </c>
      <c r="V451" s="84">
        <v>106.393</v>
      </c>
      <c r="W451" s="84">
        <v>53.1965</v>
      </c>
      <c r="X451" s="82">
        <v>0.35</v>
      </c>
      <c r="Y451" s="82"/>
      <c r="Z451" s="84">
        <v>53.1965</v>
      </c>
      <c r="AA451" s="84">
        <v>106.393</v>
      </c>
      <c r="AB451" s="88" t="e">
        <v>#DIV/0!</v>
      </c>
      <c r="AC451" t="s">
        <v>2316</v>
      </c>
    </row>
    <row r="452" spans="3:29">
      <c r="C452" t="s">
        <v>2317</v>
      </c>
      <c r="D452" t="s">
        <v>2306</v>
      </c>
      <c r="E452" s="84">
        <v>199.99</v>
      </c>
      <c r="F452" s="84">
        <v>99.995000000000005</v>
      </c>
      <c r="G452" t="s">
        <v>2257</v>
      </c>
      <c r="H452" t="s">
        <v>2318</v>
      </c>
      <c r="I452" t="s">
        <v>2319</v>
      </c>
      <c r="J452" t="s">
        <v>2320</v>
      </c>
      <c r="K452" t="s">
        <v>2310</v>
      </c>
      <c r="L452" t="s">
        <v>646</v>
      </c>
      <c r="N452">
        <v>55</v>
      </c>
      <c r="O452">
        <v>55</v>
      </c>
      <c r="P452">
        <v>0.166375</v>
      </c>
      <c r="Q452" s="84" t="e">
        <v>#REF!</v>
      </c>
      <c r="R452" s="85"/>
      <c r="S452" s="85"/>
      <c r="T452" s="86">
        <v>0</v>
      </c>
      <c r="U452" s="84">
        <v>0</v>
      </c>
      <c r="V452" s="84">
        <v>139.99299999999999</v>
      </c>
      <c r="W452" s="84">
        <v>69.996499999999997</v>
      </c>
      <c r="X452" s="82">
        <v>0.35</v>
      </c>
      <c r="Y452" s="82"/>
      <c r="Z452" s="84">
        <v>69.996499999999997</v>
      </c>
      <c r="AA452" s="84">
        <v>139.99299999999999</v>
      </c>
      <c r="AB452" s="88" t="e">
        <v>#DIV/0!</v>
      </c>
      <c r="AC452" t="s">
        <v>2321</v>
      </c>
    </row>
    <row r="453" spans="3:29">
      <c r="C453">
        <v>2851215</v>
      </c>
      <c r="D453" t="s">
        <v>2322</v>
      </c>
      <c r="E453" s="84">
        <v>217.99</v>
      </c>
      <c r="F453" s="84">
        <v>108.995</v>
      </c>
      <c r="G453" t="s">
        <v>2257</v>
      </c>
      <c r="H453" t="s">
        <v>2323</v>
      </c>
      <c r="I453" t="s">
        <v>2324</v>
      </c>
      <c r="J453" t="s">
        <v>2325</v>
      </c>
      <c r="K453" t="s">
        <v>2310</v>
      </c>
      <c r="L453" t="s">
        <v>646</v>
      </c>
      <c r="N453">
        <v>55</v>
      </c>
      <c r="O453">
        <v>65</v>
      </c>
      <c r="P453">
        <v>0.19662499999999999</v>
      </c>
      <c r="Q453" s="84" t="e">
        <v>#REF!</v>
      </c>
      <c r="R453" s="85"/>
      <c r="S453" s="85"/>
      <c r="T453" s="86">
        <v>0</v>
      </c>
      <c r="U453" s="84">
        <v>0</v>
      </c>
      <c r="V453" s="84">
        <v>152.59299999999999</v>
      </c>
      <c r="W453" s="84">
        <v>76.296499999999995</v>
      </c>
      <c r="X453" s="82">
        <v>0.35</v>
      </c>
      <c r="Y453" s="82"/>
      <c r="Z453" s="84">
        <v>76.296499999999995</v>
      </c>
      <c r="AA453" s="84">
        <v>152.59299999999999</v>
      </c>
      <c r="AB453" s="88" t="e">
        <v>#DIV/0!</v>
      </c>
      <c r="AC453" t="s">
        <v>2326</v>
      </c>
    </row>
    <row r="454" spans="3:29">
      <c r="C454" t="s">
        <v>2327</v>
      </c>
      <c r="D454" t="s">
        <v>2328</v>
      </c>
      <c r="E454" s="84">
        <v>143.99</v>
      </c>
      <c r="F454" s="84">
        <v>71.995000000000005</v>
      </c>
      <c r="G454" t="s">
        <v>2257</v>
      </c>
      <c r="H454" t="s">
        <v>2329</v>
      </c>
      <c r="I454" t="s">
        <v>2330</v>
      </c>
      <c r="J454" t="s">
        <v>2267</v>
      </c>
      <c r="K454" t="s">
        <v>2331</v>
      </c>
      <c r="L454" t="s">
        <v>646</v>
      </c>
      <c r="N454">
        <v>40</v>
      </c>
      <c r="O454">
        <v>40</v>
      </c>
      <c r="P454">
        <v>6.4000000000000001E-2</v>
      </c>
      <c r="Q454" s="84" t="e">
        <v>#REF!</v>
      </c>
      <c r="R454" s="85"/>
      <c r="S454" s="85"/>
      <c r="T454" s="86">
        <v>0</v>
      </c>
      <c r="U454" s="84">
        <v>0</v>
      </c>
      <c r="V454" s="84">
        <v>100.79300000000001</v>
      </c>
      <c r="W454" s="84">
        <v>50.396500000000003</v>
      </c>
      <c r="X454" s="82">
        <v>0.35</v>
      </c>
      <c r="Y454" s="82"/>
      <c r="Z454" s="84">
        <v>50.396500000000003</v>
      </c>
      <c r="AA454" s="84">
        <v>100.79300000000001</v>
      </c>
      <c r="AB454" s="88" t="e">
        <v>#DIV/0!</v>
      </c>
      <c r="AC454" t="s">
        <v>2332</v>
      </c>
    </row>
    <row r="455" spans="3:29">
      <c r="C455">
        <v>21960</v>
      </c>
      <c r="D455" t="s">
        <v>2333</v>
      </c>
      <c r="E455" s="84">
        <v>69.989999999999995</v>
      </c>
      <c r="F455" s="84">
        <v>34.994999999999997</v>
      </c>
      <c r="G455" t="s">
        <v>2257</v>
      </c>
      <c r="H455" t="s">
        <v>2334</v>
      </c>
      <c r="I455" t="s">
        <v>2335</v>
      </c>
      <c r="J455" t="s">
        <v>2336</v>
      </c>
      <c r="K455" t="s">
        <v>2337</v>
      </c>
      <c r="L455" t="s">
        <v>646</v>
      </c>
      <c r="N455">
        <v>35</v>
      </c>
      <c r="O455">
        <v>38</v>
      </c>
      <c r="P455">
        <v>4.6550000000000001E-2</v>
      </c>
      <c r="Q455" s="84" t="e">
        <v>#REF!</v>
      </c>
      <c r="R455" s="85"/>
      <c r="S455" s="85"/>
      <c r="T455" s="86">
        <v>0</v>
      </c>
      <c r="U455" s="84">
        <v>0</v>
      </c>
      <c r="V455" s="84">
        <v>48.993000000000002</v>
      </c>
      <c r="W455" s="84">
        <v>24.496500000000001</v>
      </c>
      <c r="X455" s="82">
        <v>0.35</v>
      </c>
      <c r="Y455" s="82"/>
      <c r="Z455" s="84">
        <v>24.496500000000001</v>
      </c>
      <c r="AA455" s="84">
        <v>48.993000000000002</v>
      </c>
      <c r="AB455" s="88" t="e">
        <v>#DIV/0!</v>
      </c>
      <c r="AC455" t="s">
        <v>2338</v>
      </c>
    </row>
    <row r="456" spans="3:29">
      <c r="C456">
        <v>21961</v>
      </c>
      <c r="D456" t="s">
        <v>2333</v>
      </c>
      <c r="E456" s="84">
        <v>118.99</v>
      </c>
      <c r="F456" s="84">
        <v>59.494999999999997</v>
      </c>
      <c r="G456" t="s">
        <v>2257</v>
      </c>
      <c r="H456" t="s">
        <v>2339</v>
      </c>
      <c r="I456" t="s">
        <v>2340</v>
      </c>
      <c r="J456" t="s">
        <v>2341</v>
      </c>
      <c r="K456" t="s">
        <v>2337</v>
      </c>
      <c r="L456" t="s">
        <v>646</v>
      </c>
      <c r="N456">
        <v>50</v>
      </c>
      <c r="O456">
        <v>55</v>
      </c>
      <c r="P456">
        <v>0.13750000000000001</v>
      </c>
      <c r="Q456" s="84" t="e">
        <v>#REF!</v>
      </c>
      <c r="R456" s="85"/>
      <c r="S456" s="85"/>
      <c r="T456" s="86">
        <v>0</v>
      </c>
      <c r="U456" s="84">
        <v>0</v>
      </c>
      <c r="V456" s="84">
        <v>83.293000000000006</v>
      </c>
      <c r="W456" s="84">
        <v>41.646500000000003</v>
      </c>
      <c r="X456" s="82">
        <v>0.35</v>
      </c>
      <c r="Y456" s="82"/>
      <c r="Z456" s="84">
        <v>41.646500000000003</v>
      </c>
      <c r="AA456" s="84">
        <v>83.293000000000006</v>
      </c>
      <c r="AB456" s="88" t="e">
        <v>#DIV/0!</v>
      </c>
      <c r="AC456" t="s">
        <v>2342</v>
      </c>
    </row>
    <row r="457" spans="3:29">
      <c r="C457">
        <v>21962</v>
      </c>
      <c r="D457" t="s">
        <v>2333</v>
      </c>
      <c r="E457" s="84">
        <v>233.99</v>
      </c>
      <c r="F457" s="84">
        <v>116.995</v>
      </c>
      <c r="G457" t="s">
        <v>2257</v>
      </c>
      <c r="H457" t="s">
        <v>2343</v>
      </c>
      <c r="I457" t="s">
        <v>2344</v>
      </c>
      <c r="J457" t="s">
        <v>2345</v>
      </c>
      <c r="K457" t="s">
        <v>2337</v>
      </c>
      <c r="L457" t="s">
        <v>646</v>
      </c>
      <c r="N457">
        <v>70</v>
      </c>
      <c r="O457">
        <v>77</v>
      </c>
      <c r="P457">
        <v>0.37730000000000002</v>
      </c>
      <c r="Q457" s="84" t="e">
        <v>#REF!</v>
      </c>
      <c r="R457" s="85"/>
      <c r="S457" s="85"/>
      <c r="T457" s="86">
        <v>0</v>
      </c>
      <c r="U457" s="84">
        <v>0</v>
      </c>
      <c r="V457" s="84">
        <v>163.79300000000001</v>
      </c>
      <c r="W457" s="84">
        <v>81.896500000000003</v>
      </c>
      <c r="X457" s="82">
        <v>0.35</v>
      </c>
      <c r="Y457" s="82"/>
      <c r="Z457" s="84">
        <v>81.896500000000003</v>
      </c>
      <c r="AA457" s="84">
        <v>163.79300000000001</v>
      </c>
      <c r="AB457" s="88" t="e">
        <v>#DIV/0!</v>
      </c>
      <c r="AC457" t="s">
        <v>2346</v>
      </c>
    </row>
    <row r="458" spans="3:29">
      <c r="C458">
        <v>21963</v>
      </c>
      <c r="D458" t="s">
        <v>2333</v>
      </c>
      <c r="E458" s="84">
        <v>970.99</v>
      </c>
      <c r="F458" s="84">
        <v>485.495</v>
      </c>
      <c r="G458" t="s">
        <v>2257</v>
      </c>
      <c r="H458" t="s">
        <v>2347</v>
      </c>
      <c r="I458" t="s">
        <v>2348</v>
      </c>
      <c r="J458" t="s">
        <v>2349</v>
      </c>
      <c r="K458" t="s">
        <v>2337</v>
      </c>
      <c r="L458" t="s">
        <v>646</v>
      </c>
      <c r="N458">
        <v>130</v>
      </c>
      <c r="O458">
        <v>143</v>
      </c>
      <c r="P458">
        <v>2.4167000000000001</v>
      </c>
      <c r="Q458" s="84" t="e">
        <v>#REF!</v>
      </c>
      <c r="R458" s="85"/>
      <c r="S458" s="85"/>
      <c r="T458" s="86">
        <v>0</v>
      </c>
      <c r="U458" s="84">
        <v>0</v>
      </c>
      <c r="V458" s="84">
        <v>679.69299999999998</v>
      </c>
      <c r="W458" s="84">
        <v>339.84649999999999</v>
      </c>
      <c r="X458" s="82">
        <v>0.35</v>
      </c>
      <c r="Y458" s="82"/>
      <c r="Z458" s="84">
        <v>339.84649999999999</v>
      </c>
      <c r="AA458" s="84">
        <v>679.69299999999998</v>
      </c>
      <c r="AB458" s="88" t="e">
        <v>#DIV/0!</v>
      </c>
      <c r="AC458" t="s">
        <v>2350</v>
      </c>
    </row>
    <row r="459" spans="3:29">
      <c r="C459">
        <v>21964</v>
      </c>
      <c r="D459" t="s">
        <v>2333</v>
      </c>
      <c r="E459" s="84">
        <v>2353.9899999999998</v>
      </c>
      <c r="F459" s="84">
        <v>1176.9949999999999</v>
      </c>
      <c r="G459" t="s">
        <v>2257</v>
      </c>
      <c r="H459" t="s">
        <v>2351</v>
      </c>
      <c r="I459" t="s">
        <v>2352</v>
      </c>
      <c r="J459" t="s">
        <v>2353</v>
      </c>
      <c r="K459" t="s">
        <v>2331</v>
      </c>
      <c r="L459" t="s">
        <v>646</v>
      </c>
      <c r="N459">
        <v>220</v>
      </c>
      <c r="O459">
        <v>240</v>
      </c>
      <c r="P459">
        <v>11.616</v>
      </c>
      <c r="Q459" s="84" t="e">
        <v>#REF!</v>
      </c>
      <c r="R459" s="85"/>
      <c r="S459" s="85"/>
      <c r="T459" s="86">
        <v>0</v>
      </c>
      <c r="U459" s="84">
        <v>0</v>
      </c>
      <c r="V459" s="84">
        <v>1647.7929999999999</v>
      </c>
      <c r="W459" s="84">
        <v>823.89649999999995</v>
      </c>
      <c r="X459" s="82">
        <v>0.35</v>
      </c>
      <c r="Y459" s="82"/>
      <c r="Z459" s="84">
        <v>823.89649999999995</v>
      </c>
      <c r="AA459" s="84">
        <v>1647.7929999999999</v>
      </c>
      <c r="AB459" s="88" t="e">
        <v>#DIV/0!</v>
      </c>
      <c r="AC459" t="s">
        <v>2354</v>
      </c>
    </row>
    <row r="460" spans="3:29">
      <c r="C460" t="s">
        <v>2355</v>
      </c>
      <c r="D460" t="s">
        <v>2356</v>
      </c>
      <c r="E460" s="84">
        <v>63.99</v>
      </c>
      <c r="F460" s="84">
        <v>31.995000000000001</v>
      </c>
      <c r="G460" t="s">
        <v>2257</v>
      </c>
      <c r="H460" t="s">
        <v>2357</v>
      </c>
      <c r="I460" t="s">
        <v>2358</v>
      </c>
      <c r="J460" t="s">
        <v>2336</v>
      </c>
      <c r="K460" t="s">
        <v>2310</v>
      </c>
      <c r="L460" t="s">
        <v>646</v>
      </c>
      <c r="N460">
        <v>35</v>
      </c>
      <c r="O460">
        <v>38</v>
      </c>
      <c r="P460">
        <v>4.6550000000000001E-2</v>
      </c>
      <c r="Q460" s="84" t="e">
        <v>#REF!</v>
      </c>
      <c r="R460" s="85"/>
      <c r="S460" s="85"/>
      <c r="T460" s="86">
        <v>0</v>
      </c>
      <c r="U460" s="84">
        <v>0</v>
      </c>
      <c r="V460" s="84">
        <v>44.792999999999999</v>
      </c>
      <c r="W460" s="84">
        <v>22.3965</v>
      </c>
      <c r="X460" s="82">
        <v>0.35</v>
      </c>
      <c r="Y460" s="82"/>
      <c r="Z460" s="84">
        <v>22.3965</v>
      </c>
      <c r="AA460" s="84">
        <v>44.792999999999999</v>
      </c>
      <c r="AB460" s="88" t="e">
        <v>#DIV/0!</v>
      </c>
      <c r="AC460" t="s">
        <v>2359</v>
      </c>
    </row>
    <row r="461" spans="3:29">
      <c r="C461" t="s">
        <v>2360</v>
      </c>
      <c r="D461" t="s">
        <v>2356</v>
      </c>
      <c r="E461" s="84">
        <v>108.99</v>
      </c>
      <c r="F461" s="84">
        <v>54.494999999999997</v>
      </c>
      <c r="G461" t="s">
        <v>2257</v>
      </c>
      <c r="H461" t="s">
        <v>2361</v>
      </c>
      <c r="I461" t="s">
        <v>2362</v>
      </c>
      <c r="J461" t="s">
        <v>2341</v>
      </c>
      <c r="K461" t="s">
        <v>2310</v>
      </c>
      <c r="L461" t="s">
        <v>646</v>
      </c>
      <c r="N461">
        <v>50</v>
      </c>
      <c r="O461">
        <v>55</v>
      </c>
      <c r="P461">
        <v>0.13750000000000001</v>
      </c>
      <c r="Q461" s="84" t="e">
        <v>#REF!</v>
      </c>
      <c r="R461" s="85"/>
      <c r="S461" s="85"/>
      <c r="T461" s="86">
        <v>0</v>
      </c>
      <c r="U461" s="84">
        <v>0</v>
      </c>
      <c r="V461" s="84">
        <v>76.293000000000006</v>
      </c>
      <c r="W461" s="84">
        <v>38.146500000000003</v>
      </c>
      <c r="X461" s="82">
        <v>0.35</v>
      </c>
      <c r="Y461" s="82"/>
      <c r="Z461" s="84">
        <v>38.146500000000003</v>
      </c>
      <c r="AA461" s="84">
        <v>76.293000000000006</v>
      </c>
      <c r="AB461" s="88" t="e">
        <v>#DIV/0!</v>
      </c>
      <c r="AC461" t="s">
        <v>2363</v>
      </c>
    </row>
    <row r="462" spans="3:29">
      <c r="C462" t="s">
        <v>2364</v>
      </c>
      <c r="D462" t="s">
        <v>2356</v>
      </c>
      <c r="E462" s="84">
        <v>216.99</v>
      </c>
      <c r="F462" s="84">
        <v>108.495</v>
      </c>
      <c r="G462" t="s">
        <v>2257</v>
      </c>
      <c r="H462" t="s">
        <v>2365</v>
      </c>
      <c r="I462" t="s">
        <v>2366</v>
      </c>
      <c r="J462" t="s">
        <v>2345</v>
      </c>
      <c r="K462" t="s">
        <v>2310</v>
      </c>
      <c r="L462" t="s">
        <v>646</v>
      </c>
      <c r="N462">
        <v>70</v>
      </c>
      <c r="O462">
        <v>77</v>
      </c>
      <c r="P462">
        <v>0.37730000000000002</v>
      </c>
      <c r="Q462" s="84" t="e">
        <v>#REF!</v>
      </c>
      <c r="R462" s="85"/>
      <c r="S462" s="85"/>
      <c r="T462" s="86">
        <v>0</v>
      </c>
      <c r="U462" s="84">
        <v>0</v>
      </c>
      <c r="V462" s="84">
        <v>151.893</v>
      </c>
      <c r="W462" s="84">
        <v>75.9465</v>
      </c>
      <c r="X462" s="82">
        <v>0.35</v>
      </c>
      <c r="Y462" s="82"/>
      <c r="Z462" s="84">
        <v>75.9465</v>
      </c>
      <c r="AA462" s="84">
        <v>151.893</v>
      </c>
      <c r="AB462" s="88" t="e">
        <v>#DIV/0!</v>
      </c>
      <c r="AC462" t="s">
        <v>2367</v>
      </c>
    </row>
    <row r="463" spans="3:29">
      <c r="C463" t="s">
        <v>2368</v>
      </c>
      <c r="D463" t="s">
        <v>2356</v>
      </c>
      <c r="E463" s="84">
        <v>931.99</v>
      </c>
      <c r="F463" s="84">
        <v>465.995</v>
      </c>
      <c r="G463" t="s">
        <v>2257</v>
      </c>
      <c r="H463" t="s">
        <v>2369</v>
      </c>
      <c r="I463" t="s">
        <v>2370</v>
      </c>
      <c r="J463" t="s">
        <v>2371</v>
      </c>
      <c r="K463" t="s">
        <v>2310</v>
      </c>
      <c r="L463" t="s">
        <v>646</v>
      </c>
      <c r="N463">
        <v>130</v>
      </c>
      <c r="O463">
        <v>143</v>
      </c>
      <c r="P463">
        <v>2.4167000000000001</v>
      </c>
      <c r="Q463" s="84" t="e">
        <v>#REF!</v>
      </c>
      <c r="R463" s="85"/>
      <c r="S463" s="85"/>
      <c r="T463" s="86">
        <v>0</v>
      </c>
      <c r="U463" s="84">
        <v>0</v>
      </c>
      <c r="V463" s="84">
        <v>652.39300000000003</v>
      </c>
      <c r="W463" s="84">
        <v>326.19650000000001</v>
      </c>
      <c r="X463" s="82">
        <v>0.35</v>
      </c>
      <c r="Y463" s="82"/>
      <c r="Z463" s="84">
        <v>326.19650000000001</v>
      </c>
      <c r="AA463" s="84">
        <v>652.39300000000003</v>
      </c>
      <c r="AB463" s="88" t="e">
        <v>#DIV/0!</v>
      </c>
      <c r="AC463" t="s">
        <v>2372</v>
      </c>
    </row>
    <row r="464" spans="3:29">
      <c r="C464" t="s">
        <v>2373</v>
      </c>
      <c r="D464" t="s">
        <v>2356</v>
      </c>
      <c r="E464" s="84">
        <v>2222.9899999999998</v>
      </c>
      <c r="F464" s="84">
        <v>1111.4949999999999</v>
      </c>
      <c r="G464" t="s">
        <v>2257</v>
      </c>
      <c r="H464" t="s">
        <v>2374</v>
      </c>
      <c r="I464" t="s">
        <v>2375</v>
      </c>
      <c r="J464" t="s">
        <v>2353</v>
      </c>
      <c r="K464" t="s">
        <v>2310</v>
      </c>
      <c r="L464" t="s">
        <v>646</v>
      </c>
      <c r="N464">
        <v>220</v>
      </c>
      <c r="O464">
        <v>240</v>
      </c>
      <c r="P464">
        <v>11.616</v>
      </c>
      <c r="Q464" s="84" t="e">
        <v>#REF!</v>
      </c>
      <c r="R464" s="85"/>
      <c r="S464" s="85"/>
      <c r="T464" s="86">
        <v>0</v>
      </c>
      <c r="U464" s="84">
        <v>0</v>
      </c>
      <c r="V464" s="84">
        <v>1556.0930000000001</v>
      </c>
      <c r="W464" s="84">
        <v>778.04650000000004</v>
      </c>
      <c r="X464" s="82">
        <v>0.35</v>
      </c>
      <c r="Y464" s="82"/>
      <c r="Z464" s="84">
        <v>778.04650000000004</v>
      </c>
      <c r="AA464" s="84">
        <v>1556.0930000000001</v>
      </c>
      <c r="AB464" s="88" t="e">
        <v>#DIV/0!</v>
      </c>
      <c r="AC464" t="s">
        <v>2376</v>
      </c>
    </row>
    <row r="465" spans="3:29">
      <c r="C465" t="s">
        <v>2377</v>
      </c>
      <c r="D465" t="s">
        <v>2378</v>
      </c>
      <c r="E465" s="84">
        <v>109.99</v>
      </c>
      <c r="F465" s="84">
        <v>54.994999999999997</v>
      </c>
      <c r="G465" t="s">
        <v>2257</v>
      </c>
      <c r="H465" t="s">
        <v>2379</v>
      </c>
      <c r="I465" t="s">
        <v>2380</v>
      </c>
      <c r="J465" t="s">
        <v>2381</v>
      </c>
      <c r="K465" t="s">
        <v>2382</v>
      </c>
      <c r="L465" t="s">
        <v>646</v>
      </c>
      <c r="N465">
        <v>50</v>
      </c>
      <c r="O465">
        <v>45</v>
      </c>
      <c r="P465">
        <v>0.1125</v>
      </c>
      <c r="Q465" s="84" t="e">
        <v>#REF!</v>
      </c>
      <c r="R465" s="85"/>
      <c r="S465" s="85"/>
      <c r="T465" s="86">
        <v>0</v>
      </c>
      <c r="U465" s="84">
        <v>0</v>
      </c>
      <c r="V465" s="84">
        <v>76.992999999999995</v>
      </c>
      <c r="W465" s="84">
        <v>38.496499999999997</v>
      </c>
      <c r="X465" s="82">
        <v>0.35</v>
      </c>
      <c r="Y465" s="82"/>
      <c r="Z465" s="84">
        <v>38.496499999999997</v>
      </c>
      <c r="AA465" s="84">
        <v>76.992999999999995</v>
      </c>
      <c r="AB465" s="88" t="e">
        <v>#DIV/0!</v>
      </c>
      <c r="AC465" t="s">
        <v>2383</v>
      </c>
    </row>
    <row r="466" spans="3:29">
      <c r="C466" t="s">
        <v>2385</v>
      </c>
      <c r="D466" t="s">
        <v>2378</v>
      </c>
      <c r="E466" s="84">
        <v>129.99</v>
      </c>
      <c r="F466" s="84">
        <v>64.995000000000005</v>
      </c>
      <c r="G466" t="s">
        <v>2257</v>
      </c>
      <c r="H466" t="s">
        <v>2386</v>
      </c>
      <c r="I466" t="s">
        <v>2387</v>
      </c>
      <c r="J466" t="s">
        <v>2388</v>
      </c>
      <c r="K466" t="s">
        <v>2382</v>
      </c>
      <c r="L466" t="s">
        <v>646</v>
      </c>
      <c r="N466">
        <v>50</v>
      </c>
      <c r="O466">
        <v>85</v>
      </c>
      <c r="P466">
        <v>0.21249999999999999</v>
      </c>
      <c r="Q466" s="84" t="e">
        <v>#REF!</v>
      </c>
      <c r="R466" s="85"/>
      <c r="S466" s="85"/>
      <c r="T466" s="86">
        <v>0</v>
      </c>
      <c r="U466" s="84">
        <v>0</v>
      </c>
      <c r="V466" s="84">
        <v>90.992999999999995</v>
      </c>
      <c r="W466" s="84">
        <v>45.496499999999997</v>
      </c>
      <c r="X466" s="82">
        <v>0.35</v>
      </c>
      <c r="Y466" s="82"/>
      <c r="Z466" s="84">
        <v>45.496499999999997</v>
      </c>
      <c r="AA466" s="84">
        <v>90.992999999999995</v>
      </c>
      <c r="AB466" s="88" t="e">
        <v>#DIV/0!</v>
      </c>
      <c r="AC466" t="s">
        <v>2389</v>
      </c>
    </row>
    <row r="467" spans="3:29">
      <c r="C467" t="s">
        <v>2390</v>
      </c>
      <c r="D467" t="s">
        <v>2391</v>
      </c>
      <c r="E467" s="84">
        <v>134.99</v>
      </c>
      <c r="F467" s="84">
        <v>67.495000000000005</v>
      </c>
      <c r="G467" t="s">
        <v>2257</v>
      </c>
      <c r="H467" t="s">
        <v>2392</v>
      </c>
      <c r="I467" t="s">
        <v>2393</v>
      </c>
      <c r="J467" t="s">
        <v>2394</v>
      </c>
      <c r="K467" t="s">
        <v>2395</v>
      </c>
      <c r="L467" t="s">
        <v>646</v>
      </c>
      <c r="N467">
        <v>10</v>
      </c>
      <c r="O467">
        <v>86</v>
      </c>
      <c r="P467">
        <v>8.6E-3</v>
      </c>
      <c r="Q467" s="84" t="e">
        <v>#REF!</v>
      </c>
      <c r="R467" s="85"/>
      <c r="S467" s="85"/>
      <c r="T467" s="86">
        <v>0</v>
      </c>
      <c r="U467" s="84">
        <v>0</v>
      </c>
      <c r="V467" s="84">
        <v>94.492999999999995</v>
      </c>
      <c r="W467" s="84">
        <v>47.246499999999997</v>
      </c>
      <c r="X467" s="82">
        <v>0.35</v>
      </c>
      <c r="Y467" s="82"/>
      <c r="Z467" s="84">
        <v>47.246499999999997</v>
      </c>
      <c r="AA467" s="84">
        <v>94.492999999999995</v>
      </c>
      <c r="AB467" s="88" t="e">
        <v>#DIV/0!</v>
      </c>
      <c r="AC467" t="s">
        <v>2396</v>
      </c>
    </row>
    <row r="468" spans="3:29">
      <c r="C468" t="s">
        <v>2397</v>
      </c>
      <c r="D468" t="s">
        <v>2391</v>
      </c>
      <c r="E468" s="84">
        <v>119.99</v>
      </c>
      <c r="F468" s="84">
        <v>59.994999999999997</v>
      </c>
      <c r="G468" t="s">
        <v>2257</v>
      </c>
      <c r="H468" t="s">
        <v>2398</v>
      </c>
      <c r="I468" t="s">
        <v>2399</v>
      </c>
      <c r="J468" t="s">
        <v>2400</v>
      </c>
      <c r="K468" t="s">
        <v>2395</v>
      </c>
      <c r="L468" t="s">
        <v>646</v>
      </c>
      <c r="N468">
        <v>10</v>
      </c>
      <c r="O468">
        <v>42</v>
      </c>
      <c r="P468">
        <v>4.1999999999999997E-3</v>
      </c>
      <c r="Q468" s="84" t="e">
        <v>#REF!</v>
      </c>
      <c r="R468" s="85"/>
      <c r="S468" s="85"/>
      <c r="T468" s="86">
        <v>0</v>
      </c>
      <c r="U468" s="84">
        <v>0</v>
      </c>
      <c r="V468" s="84">
        <v>83.992999999999995</v>
      </c>
      <c r="W468" s="84">
        <v>41.996499999999997</v>
      </c>
      <c r="X468" s="82">
        <v>0.35</v>
      </c>
      <c r="Y468" s="82"/>
      <c r="Z468" s="84">
        <v>41.996499999999997</v>
      </c>
      <c r="AA468" s="84">
        <v>83.992999999999995</v>
      </c>
      <c r="AB468" s="88" t="e">
        <v>#DIV/0!</v>
      </c>
      <c r="AC468" t="s">
        <v>2401</v>
      </c>
    </row>
    <row r="469" spans="3:29">
      <c r="C469" t="s">
        <v>2402</v>
      </c>
      <c r="D469" t="s">
        <v>2403</v>
      </c>
      <c r="E469" s="84">
        <v>234.99</v>
      </c>
      <c r="F469" s="84">
        <v>117.495</v>
      </c>
      <c r="G469" t="s">
        <v>2257</v>
      </c>
      <c r="H469" t="s">
        <v>2404</v>
      </c>
      <c r="I469" t="s">
        <v>2405</v>
      </c>
      <c r="J469" t="s">
        <v>2406</v>
      </c>
      <c r="K469" t="s">
        <v>2407</v>
      </c>
      <c r="L469" t="s">
        <v>50</v>
      </c>
      <c r="N469">
        <v>12</v>
      </c>
      <c r="O469">
        <v>38</v>
      </c>
      <c r="P469">
        <v>5.4720000000000003E-3</v>
      </c>
      <c r="Q469" s="84" t="e">
        <v>#REF!</v>
      </c>
      <c r="R469" s="85">
        <v>757416.11919624195</v>
      </c>
      <c r="S469" s="85">
        <v>0</v>
      </c>
      <c r="T469" s="86">
        <v>757416.11919624195</v>
      </c>
      <c r="U469" s="84">
        <v>50.494407946416104</v>
      </c>
      <c r="V469" s="84">
        <v>164.49299999999999</v>
      </c>
      <c r="W469" s="84">
        <v>82.246499999999997</v>
      </c>
      <c r="X469" s="82">
        <v>0.35</v>
      </c>
      <c r="Y469" s="87">
        <v>100.98881589283199</v>
      </c>
      <c r="Z469" s="84">
        <v>100.98881589283199</v>
      </c>
      <c r="AA469" s="84">
        <v>201.97763178566399</v>
      </c>
      <c r="AB469" s="88">
        <v>2</v>
      </c>
      <c r="AC469" t="s">
        <v>2408</v>
      </c>
    </row>
    <row r="470" spans="3:29">
      <c r="C470" t="s">
        <v>2409</v>
      </c>
      <c r="D470" t="s">
        <v>2403</v>
      </c>
      <c r="E470" s="84">
        <v>289.99</v>
      </c>
      <c r="F470" s="84">
        <v>144.995</v>
      </c>
      <c r="G470" t="s">
        <v>2257</v>
      </c>
      <c r="H470" t="s">
        <v>2410</v>
      </c>
      <c r="I470" t="s">
        <v>2411</v>
      </c>
      <c r="J470" t="s">
        <v>2412</v>
      </c>
      <c r="K470" t="s">
        <v>2407</v>
      </c>
      <c r="L470" t="s">
        <v>646</v>
      </c>
      <c r="N470">
        <v>15</v>
      </c>
      <c r="O470">
        <v>64</v>
      </c>
      <c r="P470">
        <v>1.44E-2</v>
      </c>
      <c r="Q470" s="84" t="e">
        <v>#REF!</v>
      </c>
      <c r="R470" s="85"/>
      <c r="S470" s="85"/>
      <c r="T470" s="86">
        <v>0</v>
      </c>
      <c r="U470" s="84">
        <v>0</v>
      </c>
      <c r="V470" s="84">
        <v>202.99299999999999</v>
      </c>
      <c r="W470" s="84">
        <v>101.4965</v>
      </c>
      <c r="X470" s="82">
        <v>0.35</v>
      </c>
      <c r="Y470" s="82"/>
      <c r="Z470" s="84">
        <v>101.4965</v>
      </c>
      <c r="AA470" s="84">
        <v>202.99299999999999</v>
      </c>
      <c r="AB470" s="88" t="e">
        <v>#DIV/0!</v>
      </c>
      <c r="AC470" t="s">
        <v>2413</v>
      </c>
    </row>
    <row r="471" spans="3:29">
      <c r="C471" t="s">
        <v>2414</v>
      </c>
      <c r="D471" t="s">
        <v>2415</v>
      </c>
      <c r="E471" s="84">
        <v>282.99</v>
      </c>
      <c r="F471" s="84">
        <v>141.495</v>
      </c>
      <c r="G471" t="s">
        <v>2257</v>
      </c>
      <c r="H471" t="s">
        <v>2416</v>
      </c>
      <c r="I471" t="s">
        <v>2417</v>
      </c>
      <c r="J471" t="s">
        <v>2418</v>
      </c>
      <c r="K471" t="s">
        <v>2419</v>
      </c>
      <c r="L471" t="s">
        <v>646</v>
      </c>
      <c r="M471">
        <v>26</v>
      </c>
      <c r="N471">
        <v>26</v>
      </c>
      <c r="O471">
        <v>54</v>
      </c>
      <c r="P471">
        <v>3.6504000000000002E-2</v>
      </c>
      <c r="Q471" s="84" t="e">
        <v>#REF!</v>
      </c>
      <c r="R471" s="85">
        <v>159528.33884129999</v>
      </c>
      <c r="S471" s="85">
        <v>1100000</v>
      </c>
      <c r="T471" s="86">
        <v>1259528.3388413</v>
      </c>
      <c r="U471" s="84">
        <v>83.968555922753296</v>
      </c>
      <c r="V471" s="84">
        <v>198.09299999999999</v>
      </c>
      <c r="W471" s="84">
        <v>99.046499999999995</v>
      </c>
      <c r="X471" s="82">
        <v>0.35</v>
      </c>
      <c r="Y471" s="87">
        <v>138.54811727254301</v>
      </c>
      <c r="Z471" s="84">
        <v>138.54811727254301</v>
      </c>
      <c r="AA471" s="84">
        <v>277.09623454508602</v>
      </c>
      <c r="AB471" s="88">
        <v>2</v>
      </c>
      <c r="AC471" t="s">
        <v>2420</v>
      </c>
    </row>
    <row r="472" spans="3:29">
      <c r="C472" t="s">
        <v>2421</v>
      </c>
      <c r="D472" t="s">
        <v>2422</v>
      </c>
      <c r="E472" s="84">
        <v>115.99</v>
      </c>
      <c r="F472" s="84">
        <v>57.994999999999997</v>
      </c>
      <c r="G472" t="s">
        <v>2257</v>
      </c>
      <c r="H472" t="s">
        <v>2423</v>
      </c>
      <c r="I472" t="s">
        <v>2424</v>
      </c>
      <c r="J472" t="s">
        <v>2425</v>
      </c>
      <c r="K472" t="s">
        <v>2407</v>
      </c>
      <c r="L472" t="s">
        <v>646</v>
      </c>
      <c r="N472">
        <v>8</v>
      </c>
      <c r="O472">
        <v>40</v>
      </c>
      <c r="P472">
        <v>2.5600000000000002E-3</v>
      </c>
      <c r="Q472" s="84" t="e">
        <v>#REF!</v>
      </c>
      <c r="R472" s="85"/>
      <c r="S472" s="85"/>
      <c r="T472" s="86">
        <v>0</v>
      </c>
      <c r="U472" s="84">
        <v>0</v>
      </c>
      <c r="V472" s="84">
        <v>81.192999999999998</v>
      </c>
      <c r="W472" s="84">
        <v>40.596499999999999</v>
      </c>
      <c r="X472" s="82">
        <v>0.35</v>
      </c>
      <c r="Y472" s="82"/>
      <c r="Z472" s="84">
        <v>40.596499999999999</v>
      </c>
      <c r="AA472" s="84">
        <v>81.192999999999998</v>
      </c>
      <c r="AB472" s="88" t="e">
        <v>#DIV/0!</v>
      </c>
      <c r="AC472" t="s">
        <v>2426</v>
      </c>
    </row>
    <row r="473" spans="3:29">
      <c r="C473" t="s">
        <v>2427</v>
      </c>
      <c r="D473" t="s">
        <v>2422</v>
      </c>
      <c r="E473" s="84">
        <v>130.99</v>
      </c>
      <c r="F473" s="84">
        <v>65.495000000000005</v>
      </c>
      <c r="G473" t="s">
        <v>2257</v>
      </c>
      <c r="H473" t="s">
        <v>2428</v>
      </c>
      <c r="I473" t="s">
        <v>2429</v>
      </c>
      <c r="J473" t="s">
        <v>2430</v>
      </c>
      <c r="K473" t="s">
        <v>2407</v>
      </c>
      <c r="L473" t="s">
        <v>646</v>
      </c>
      <c r="N473">
        <v>8</v>
      </c>
      <c r="O473">
        <v>60</v>
      </c>
      <c r="P473">
        <v>3.8400000000000001E-3</v>
      </c>
      <c r="Q473" s="84" t="e">
        <v>#REF!</v>
      </c>
      <c r="R473" s="85"/>
      <c r="S473" s="85"/>
      <c r="T473" s="86">
        <v>0</v>
      </c>
      <c r="U473" s="84">
        <v>0</v>
      </c>
      <c r="V473" s="84">
        <v>91.692999999999998</v>
      </c>
      <c r="W473" s="84">
        <v>45.846499999999999</v>
      </c>
      <c r="X473" s="82">
        <v>0.35</v>
      </c>
      <c r="Y473" s="82"/>
      <c r="Z473" s="84">
        <v>45.846499999999999</v>
      </c>
      <c r="AA473" s="84">
        <v>91.692999999999998</v>
      </c>
      <c r="AB473" s="88" t="e">
        <v>#DIV/0!</v>
      </c>
      <c r="AC473" t="s">
        <v>2431</v>
      </c>
    </row>
    <row r="474" spans="3:29">
      <c r="C474" t="s">
        <v>2432</v>
      </c>
      <c r="D474" t="s">
        <v>2422</v>
      </c>
      <c r="E474" s="84">
        <v>146.99</v>
      </c>
      <c r="F474" s="84">
        <v>73.495000000000005</v>
      </c>
      <c r="G474" t="s">
        <v>2257</v>
      </c>
      <c r="H474" t="s">
        <v>2433</v>
      </c>
      <c r="I474" t="s">
        <v>2434</v>
      </c>
      <c r="J474" t="s">
        <v>2435</v>
      </c>
      <c r="K474" t="s">
        <v>2407</v>
      </c>
      <c r="L474" t="s">
        <v>646</v>
      </c>
      <c r="N474">
        <v>8</v>
      </c>
      <c r="O474">
        <v>80</v>
      </c>
      <c r="P474">
        <v>5.1200000000000004E-3</v>
      </c>
      <c r="Q474" s="84" t="e">
        <v>#REF!</v>
      </c>
      <c r="R474" s="85"/>
      <c r="S474" s="85"/>
      <c r="T474" s="86">
        <v>0</v>
      </c>
      <c r="U474" s="84">
        <v>0</v>
      </c>
      <c r="V474" s="84">
        <v>102.893</v>
      </c>
      <c r="W474" s="84">
        <v>51.4465</v>
      </c>
      <c r="X474" s="82">
        <v>0.35</v>
      </c>
      <c r="Y474" s="82"/>
      <c r="Z474" s="84">
        <v>51.4465</v>
      </c>
      <c r="AA474" s="84">
        <v>102.893</v>
      </c>
      <c r="AB474" s="88" t="e">
        <v>#DIV/0!</v>
      </c>
      <c r="AC474" t="s">
        <v>2436</v>
      </c>
    </row>
    <row r="475" spans="3:29">
      <c r="C475" t="s">
        <v>2437</v>
      </c>
      <c r="D475" t="s">
        <v>2422</v>
      </c>
      <c r="E475" s="84">
        <v>300.99</v>
      </c>
      <c r="F475" s="84">
        <v>150.495</v>
      </c>
      <c r="G475" t="s">
        <v>2257</v>
      </c>
      <c r="H475" t="s">
        <v>2438</v>
      </c>
      <c r="I475" t="s">
        <v>2439</v>
      </c>
      <c r="J475" t="s">
        <v>2440</v>
      </c>
      <c r="K475" t="s">
        <v>2407</v>
      </c>
      <c r="L475" t="s">
        <v>646</v>
      </c>
      <c r="N475">
        <v>8</v>
      </c>
      <c r="O475">
        <v>170</v>
      </c>
      <c r="P475">
        <v>1.0880000000000001E-2</v>
      </c>
      <c r="Q475" s="84" t="e">
        <v>#REF!</v>
      </c>
      <c r="R475" s="85"/>
      <c r="S475" s="85"/>
      <c r="T475" s="86">
        <v>0</v>
      </c>
      <c r="U475" s="84">
        <v>0</v>
      </c>
      <c r="V475" s="84">
        <v>210.69300000000001</v>
      </c>
      <c r="W475" s="84">
        <v>105.34650000000001</v>
      </c>
      <c r="X475" s="82">
        <v>0.35</v>
      </c>
      <c r="Y475" s="82"/>
      <c r="Z475" s="84">
        <v>105.34650000000001</v>
      </c>
      <c r="AA475" s="84">
        <v>210.69300000000001</v>
      </c>
      <c r="AB475" s="88" t="e">
        <v>#DIV/0!</v>
      </c>
      <c r="AC475" t="s">
        <v>2441</v>
      </c>
    </row>
    <row r="476" spans="3:29">
      <c r="C476" t="s">
        <v>2442</v>
      </c>
      <c r="D476" t="s">
        <v>2443</v>
      </c>
      <c r="E476" s="84">
        <v>197.99</v>
      </c>
      <c r="F476" s="84">
        <v>98.995000000000005</v>
      </c>
      <c r="G476" t="s">
        <v>2257</v>
      </c>
      <c r="H476" t="s">
        <v>2444</v>
      </c>
      <c r="I476" t="s">
        <v>2445</v>
      </c>
      <c r="J476" t="s">
        <v>2191</v>
      </c>
      <c r="K476" t="s">
        <v>2192</v>
      </c>
      <c r="L476" t="s">
        <v>50</v>
      </c>
      <c r="N476">
        <v>13</v>
      </c>
      <c r="O476">
        <v>20</v>
      </c>
      <c r="P476">
        <v>3.3800000000000002E-3</v>
      </c>
      <c r="Q476" s="84" t="e">
        <v>#REF!</v>
      </c>
      <c r="R476" s="85">
        <v>181252.62655334099</v>
      </c>
      <c r="S476" s="85">
        <v>0</v>
      </c>
      <c r="T476" s="86">
        <v>181252.62655334099</v>
      </c>
      <c r="U476" s="84">
        <v>12.083508436889399</v>
      </c>
      <c r="V476" s="84">
        <v>138.59299999999999</v>
      </c>
      <c r="W476" s="84">
        <v>69.296499999999995</v>
      </c>
      <c r="X476" s="82">
        <v>0.35</v>
      </c>
      <c r="Y476" s="82"/>
      <c r="Z476" s="84">
        <v>69.296499999999995</v>
      </c>
      <c r="AA476" s="84">
        <v>138.59299999999999</v>
      </c>
      <c r="AB476" s="88">
        <v>5.73479965375342</v>
      </c>
      <c r="AC476" t="s">
        <v>2446</v>
      </c>
    </row>
    <row r="477" spans="3:29">
      <c r="C477" t="s">
        <v>2447</v>
      </c>
      <c r="D477" t="s">
        <v>2443</v>
      </c>
      <c r="E477" s="84">
        <v>211.99</v>
      </c>
      <c r="F477" s="84">
        <v>105.995</v>
      </c>
      <c r="G477" t="s">
        <v>2257</v>
      </c>
      <c r="H477" t="s">
        <v>2448</v>
      </c>
      <c r="I477" t="s">
        <v>2449</v>
      </c>
      <c r="J477" t="s">
        <v>2198</v>
      </c>
      <c r="K477" t="s">
        <v>2192</v>
      </c>
      <c r="L477" t="s">
        <v>50</v>
      </c>
      <c r="N477">
        <v>13</v>
      </c>
      <c r="O477">
        <v>25</v>
      </c>
      <c r="P477">
        <v>4.2249999999999996E-3</v>
      </c>
      <c r="Q477" s="84" t="e">
        <v>#REF!</v>
      </c>
      <c r="R477" s="85"/>
      <c r="S477" s="85"/>
      <c r="T477" s="86">
        <v>0</v>
      </c>
      <c r="U477" s="84">
        <v>0</v>
      </c>
      <c r="V477" s="84">
        <v>148.393</v>
      </c>
      <c r="W477" s="84">
        <v>74.1965</v>
      </c>
      <c r="X477" s="82">
        <v>0.35</v>
      </c>
      <c r="Y477" s="82"/>
      <c r="Z477" s="84">
        <v>74.1965</v>
      </c>
      <c r="AA477" s="84">
        <v>148.393</v>
      </c>
      <c r="AB477" s="88" t="e">
        <v>#DIV/0!</v>
      </c>
      <c r="AC477" t="s">
        <v>2450</v>
      </c>
    </row>
    <row r="478" spans="3:29">
      <c r="C478" t="s">
        <v>2451</v>
      </c>
      <c r="D478" t="s">
        <v>2443</v>
      </c>
      <c r="E478" s="84">
        <v>221.99</v>
      </c>
      <c r="F478" s="84">
        <v>110.995</v>
      </c>
      <c r="G478" t="s">
        <v>2257</v>
      </c>
      <c r="H478" t="s">
        <v>2452</v>
      </c>
      <c r="I478" t="s">
        <v>2453</v>
      </c>
      <c r="J478" t="s">
        <v>2203</v>
      </c>
      <c r="K478" t="s">
        <v>2192</v>
      </c>
      <c r="L478" t="s">
        <v>50</v>
      </c>
      <c r="N478">
        <v>13</v>
      </c>
      <c r="O478">
        <v>30</v>
      </c>
      <c r="P478">
        <v>5.0699999999999999E-3</v>
      </c>
      <c r="Q478" s="84" t="e">
        <v>#REF!</v>
      </c>
      <c r="R478" s="85"/>
      <c r="S478" s="85"/>
      <c r="T478" s="86">
        <v>0</v>
      </c>
      <c r="U478" s="84">
        <v>0</v>
      </c>
      <c r="V478" s="84">
        <v>155.393</v>
      </c>
      <c r="W478" s="84">
        <v>77.6965</v>
      </c>
      <c r="X478" s="82">
        <v>0.35</v>
      </c>
      <c r="Y478" s="82"/>
      <c r="Z478" s="84">
        <v>77.6965</v>
      </c>
      <c r="AA478" s="84">
        <v>155.393</v>
      </c>
      <c r="AB478" s="88" t="e">
        <v>#DIV/0!</v>
      </c>
      <c r="AC478" t="s">
        <v>2454</v>
      </c>
    </row>
    <row r="479" spans="3:29">
      <c r="C479" t="s">
        <v>2455</v>
      </c>
      <c r="D479" t="s">
        <v>2456</v>
      </c>
      <c r="E479" s="84">
        <v>347.99</v>
      </c>
      <c r="F479" s="84">
        <v>173.995</v>
      </c>
      <c r="G479" t="s">
        <v>2257</v>
      </c>
      <c r="H479" t="s">
        <v>2457</v>
      </c>
      <c r="I479" t="s">
        <v>2458</v>
      </c>
      <c r="J479" t="s">
        <v>2209</v>
      </c>
      <c r="K479" t="s">
        <v>2192</v>
      </c>
      <c r="L479" t="s">
        <v>50</v>
      </c>
      <c r="M479">
        <v>16</v>
      </c>
      <c r="N479">
        <v>16</v>
      </c>
      <c r="O479">
        <v>35</v>
      </c>
      <c r="P479">
        <v>8.9599999999999992E-3</v>
      </c>
      <c r="Q479" s="84" t="e">
        <v>#REF!</v>
      </c>
      <c r="R479" s="85"/>
      <c r="S479" s="85"/>
      <c r="T479" s="86">
        <v>0</v>
      </c>
      <c r="U479" s="84">
        <v>0</v>
      </c>
      <c r="V479" s="84">
        <v>243.59299999999999</v>
      </c>
      <c r="W479" s="84">
        <v>121.79649999999999</v>
      </c>
      <c r="X479" s="82">
        <v>0.35</v>
      </c>
      <c r="Y479" s="82"/>
      <c r="Z479" s="84">
        <v>121.79649999999999</v>
      </c>
      <c r="AA479" s="84">
        <v>243.59299999999999</v>
      </c>
      <c r="AB479" s="88" t="e">
        <v>#DIV/0!</v>
      </c>
      <c r="AC479" t="s">
        <v>2459</v>
      </c>
    </row>
    <row r="480" spans="3:29">
      <c r="C480" t="s">
        <v>2460</v>
      </c>
      <c r="D480" t="s">
        <v>2456</v>
      </c>
      <c r="E480" s="84">
        <v>475.99</v>
      </c>
      <c r="F480" s="84">
        <v>237.995</v>
      </c>
      <c r="G480" t="s">
        <v>2257</v>
      </c>
      <c r="H480" t="s">
        <v>2461</v>
      </c>
      <c r="I480" t="s">
        <v>2462</v>
      </c>
      <c r="J480" t="s">
        <v>2463</v>
      </c>
      <c r="K480" t="s">
        <v>2192</v>
      </c>
      <c r="L480" t="s">
        <v>50</v>
      </c>
      <c r="M480">
        <v>16</v>
      </c>
      <c r="N480">
        <v>16</v>
      </c>
      <c r="O480">
        <v>110</v>
      </c>
      <c r="P480">
        <v>2.8160000000000001E-2</v>
      </c>
      <c r="Q480" s="84" t="e">
        <v>#REF!</v>
      </c>
      <c r="R480" s="85">
        <v>537194.89229017997</v>
      </c>
      <c r="S480" s="85">
        <v>0</v>
      </c>
      <c r="T480" s="86">
        <v>537194.89229017997</v>
      </c>
      <c r="U480" s="84">
        <v>35.812992819345297</v>
      </c>
      <c r="V480" s="84">
        <v>333.19299999999998</v>
      </c>
      <c r="W480" s="84">
        <v>166.59649999999999</v>
      </c>
      <c r="X480" s="82">
        <v>0.35</v>
      </c>
      <c r="Y480" s="82"/>
      <c r="Z480" s="84">
        <v>166.59649999999999</v>
      </c>
      <c r="AA480" s="84">
        <v>333.19299999999998</v>
      </c>
      <c r="AB480" s="88">
        <v>4.6518452350625301</v>
      </c>
      <c r="AC480" t="s">
        <v>2464</v>
      </c>
    </row>
    <row r="481" spans="3:29">
      <c r="C481" t="s">
        <v>2465</v>
      </c>
      <c r="D481" t="s">
        <v>2456</v>
      </c>
      <c r="E481" s="84">
        <v>670.99</v>
      </c>
      <c r="F481" s="84">
        <v>335.495</v>
      </c>
      <c r="G481" t="s">
        <v>2257</v>
      </c>
      <c r="H481" t="s">
        <v>2466</v>
      </c>
      <c r="I481" t="s">
        <v>2467</v>
      </c>
      <c r="J481" t="s">
        <v>2468</v>
      </c>
      <c r="K481" t="s">
        <v>2192</v>
      </c>
      <c r="L481" t="s">
        <v>50</v>
      </c>
      <c r="M481">
        <v>16</v>
      </c>
      <c r="N481">
        <v>16</v>
      </c>
      <c r="O481">
        <v>170</v>
      </c>
      <c r="P481">
        <v>4.3520000000000003E-2</v>
      </c>
      <c r="Q481" s="84" t="e">
        <v>#REF!</v>
      </c>
      <c r="R481" s="85"/>
      <c r="S481" s="85"/>
      <c r="T481" s="86">
        <v>0</v>
      </c>
      <c r="U481" s="84">
        <v>0</v>
      </c>
      <c r="V481" s="84">
        <v>469.69299999999998</v>
      </c>
      <c r="W481" s="84">
        <v>234.84649999999999</v>
      </c>
      <c r="X481" s="82">
        <v>0.35</v>
      </c>
      <c r="Y481" s="82"/>
      <c r="Z481" s="84">
        <v>234.84649999999999</v>
      </c>
      <c r="AA481" s="84">
        <v>469.69299999999998</v>
      </c>
      <c r="AB481" s="88" t="e">
        <v>#DIV/0!</v>
      </c>
      <c r="AC481" t="s">
        <v>2469</v>
      </c>
    </row>
    <row r="482" spans="3:29" ht="45.75">
      <c r="C482" t="s">
        <v>2470</v>
      </c>
      <c r="D482" t="s">
        <v>2471</v>
      </c>
      <c r="E482" s="84"/>
      <c r="F482" s="84">
        <v>0</v>
      </c>
      <c r="G482" t="s">
        <v>2257</v>
      </c>
      <c r="H482" t="s">
        <v>2472</v>
      </c>
      <c r="I482" t="s">
        <v>2473</v>
      </c>
      <c r="J482" t="s">
        <v>2474</v>
      </c>
      <c r="K482" s="83" t="s">
        <v>2475</v>
      </c>
      <c r="L482" t="s">
        <v>50</v>
      </c>
      <c r="M482">
        <v>90</v>
      </c>
      <c r="N482">
        <v>90</v>
      </c>
      <c r="O482">
        <v>30</v>
      </c>
      <c r="P482">
        <v>0.24299999999999999</v>
      </c>
      <c r="Q482" s="84" t="e">
        <v>#REF!</v>
      </c>
      <c r="R482" s="85"/>
      <c r="S482" s="85"/>
      <c r="T482" s="86">
        <v>0</v>
      </c>
      <c r="U482" s="84">
        <v>0</v>
      </c>
      <c r="V482" s="84">
        <v>0</v>
      </c>
      <c r="W482" s="84">
        <v>0</v>
      </c>
      <c r="X482" s="82" t="e">
        <v>#DIV/0!</v>
      </c>
      <c r="Y482" s="82"/>
      <c r="Z482" s="84">
        <v>0</v>
      </c>
      <c r="AA482" s="84">
        <v>0</v>
      </c>
      <c r="AB482" s="88" t="e">
        <v>#DIV/0!</v>
      </c>
      <c r="AC482" t="s">
        <v>2476</v>
      </c>
    </row>
    <row r="483" spans="3:29" ht="45.75">
      <c r="C483" t="s">
        <v>2478</v>
      </c>
      <c r="D483" t="s">
        <v>2471</v>
      </c>
      <c r="E483" s="84"/>
      <c r="F483" s="84">
        <v>0</v>
      </c>
      <c r="G483" t="s">
        <v>2257</v>
      </c>
      <c r="H483" t="s">
        <v>2479</v>
      </c>
      <c r="I483" t="s">
        <v>2480</v>
      </c>
      <c r="J483" t="s">
        <v>2481</v>
      </c>
      <c r="K483" s="83" t="s">
        <v>2475</v>
      </c>
      <c r="L483" t="s">
        <v>50</v>
      </c>
      <c r="M483">
        <v>125</v>
      </c>
      <c r="N483">
        <v>125</v>
      </c>
      <c r="O483">
        <v>4</v>
      </c>
      <c r="P483">
        <v>6.25E-2</v>
      </c>
      <c r="Q483" s="84" t="e">
        <v>#REF!</v>
      </c>
      <c r="R483" s="85"/>
      <c r="S483" s="85"/>
      <c r="T483" s="86">
        <v>0</v>
      </c>
      <c r="U483" s="84">
        <v>0</v>
      </c>
      <c r="V483" s="84">
        <v>0</v>
      </c>
      <c r="W483" s="84">
        <v>0</v>
      </c>
      <c r="X483" s="82" t="e">
        <v>#DIV/0!</v>
      </c>
      <c r="Y483" s="82"/>
      <c r="Z483" s="84">
        <v>0</v>
      </c>
      <c r="AA483" s="84">
        <v>0</v>
      </c>
      <c r="AB483" s="88" t="e">
        <v>#DIV/0!</v>
      </c>
      <c r="AC483" t="s">
        <v>2482</v>
      </c>
    </row>
    <row r="484" spans="3:29">
      <c r="C484" t="s">
        <v>2483</v>
      </c>
      <c r="D484" t="s">
        <v>2471</v>
      </c>
      <c r="E484" s="84">
        <v>384.99</v>
      </c>
      <c r="F484" s="84">
        <v>192.495</v>
      </c>
      <c r="G484" t="s">
        <v>2257</v>
      </c>
      <c r="H484" t="s">
        <v>2484</v>
      </c>
      <c r="I484" t="s">
        <v>2485</v>
      </c>
      <c r="J484" t="s">
        <v>2486</v>
      </c>
      <c r="K484" t="s">
        <v>2487</v>
      </c>
      <c r="L484" t="s">
        <v>646</v>
      </c>
      <c r="M484">
        <v>90</v>
      </c>
      <c r="N484">
        <v>90</v>
      </c>
      <c r="O484">
        <v>25</v>
      </c>
      <c r="P484">
        <v>0.20250000000000001</v>
      </c>
      <c r="Q484" s="84" t="e">
        <v>#REF!</v>
      </c>
      <c r="R484" s="85"/>
      <c r="S484" s="85"/>
      <c r="T484" s="86">
        <v>0</v>
      </c>
      <c r="U484" s="84">
        <v>0</v>
      </c>
      <c r="V484" s="84">
        <v>269.49299999999999</v>
      </c>
      <c r="W484" s="84">
        <v>134.7465</v>
      </c>
      <c r="X484" s="82">
        <v>0.35</v>
      </c>
      <c r="Y484" s="82"/>
      <c r="Z484" s="84">
        <v>134.7465</v>
      </c>
      <c r="AA484" s="84">
        <v>269.49299999999999</v>
      </c>
      <c r="AB484" s="88" t="e">
        <v>#DIV/0!</v>
      </c>
      <c r="AC484" t="s">
        <v>2488</v>
      </c>
    </row>
    <row r="485" spans="3:29" ht="60.75">
      <c r="C485" t="s">
        <v>2470</v>
      </c>
      <c r="D485" t="s">
        <v>2490</v>
      </c>
      <c r="E485" s="84"/>
      <c r="F485" s="84">
        <v>0</v>
      </c>
      <c r="G485" t="s">
        <v>2257</v>
      </c>
      <c r="H485" t="s">
        <v>2491</v>
      </c>
      <c r="I485" t="s">
        <v>2492</v>
      </c>
      <c r="J485" t="s">
        <v>2481</v>
      </c>
      <c r="K485" s="83" t="s">
        <v>2493</v>
      </c>
      <c r="L485" t="s">
        <v>646</v>
      </c>
      <c r="M485">
        <v>125</v>
      </c>
      <c r="N485">
        <v>125</v>
      </c>
      <c r="O485">
        <v>4</v>
      </c>
      <c r="P485">
        <v>6.25E-2</v>
      </c>
      <c r="Q485" s="84" t="e">
        <v>#REF!</v>
      </c>
      <c r="R485" s="85"/>
      <c r="S485" s="85"/>
      <c r="T485" s="86">
        <v>0</v>
      </c>
      <c r="U485" s="84">
        <v>0</v>
      </c>
      <c r="V485" s="84">
        <v>0</v>
      </c>
      <c r="W485" s="84">
        <v>0</v>
      </c>
      <c r="X485" s="82" t="e">
        <v>#DIV/0!</v>
      </c>
      <c r="Y485" s="82"/>
      <c r="Z485" s="84">
        <v>0</v>
      </c>
      <c r="AA485" s="84">
        <v>0</v>
      </c>
      <c r="AB485" s="88" t="e">
        <v>#DIV/0!</v>
      </c>
      <c r="AC485" t="s">
        <v>2494</v>
      </c>
    </row>
    <row r="486" spans="3:29">
      <c r="C486" t="s">
        <v>2495</v>
      </c>
      <c r="D486" t="s">
        <v>2496</v>
      </c>
      <c r="E486" s="84">
        <v>309.99</v>
      </c>
      <c r="F486" s="84">
        <v>154.995</v>
      </c>
      <c r="G486" t="s">
        <v>2257</v>
      </c>
      <c r="H486" t="s">
        <v>2497</v>
      </c>
      <c r="I486" t="s">
        <v>2498</v>
      </c>
      <c r="J486" t="s">
        <v>2499</v>
      </c>
      <c r="K486" t="s">
        <v>2125</v>
      </c>
      <c r="L486" t="s">
        <v>646</v>
      </c>
      <c r="N486">
        <v>40</v>
      </c>
      <c r="O486">
        <v>200</v>
      </c>
      <c r="P486">
        <v>0.32</v>
      </c>
      <c r="Q486" s="84" t="e">
        <v>#REF!</v>
      </c>
      <c r="R486" s="85"/>
      <c r="S486" s="85"/>
      <c r="T486" s="86">
        <v>0</v>
      </c>
      <c r="U486" s="84">
        <v>0</v>
      </c>
      <c r="V486" s="84">
        <v>216.99299999999999</v>
      </c>
      <c r="W486" s="84">
        <v>108.4965</v>
      </c>
      <c r="X486" s="82">
        <v>0.35</v>
      </c>
      <c r="Y486" s="82"/>
      <c r="Z486" s="84">
        <v>108.4965</v>
      </c>
      <c r="AA486" s="84">
        <v>216.99299999999999</v>
      </c>
      <c r="AB486" s="88" t="e">
        <v>#DIV/0!</v>
      </c>
      <c r="AC486" t="s">
        <v>2500</v>
      </c>
    </row>
    <row r="487" spans="3:29">
      <c r="C487" t="s">
        <v>2501</v>
      </c>
      <c r="D487" t="s">
        <v>2502</v>
      </c>
      <c r="E487" s="84">
        <v>71.989999999999995</v>
      </c>
      <c r="F487" s="84">
        <v>35.994999999999997</v>
      </c>
      <c r="G487" t="s">
        <v>2257</v>
      </c>
      <c r="H487" t="s">
        <v>2503</v>
      </c>
      <c r="I487" t="s">
        <v>2504</v>
      </c>
      <c r="J487" t="s">
        <v>1946</v>
      </c>
      <c r="K487" t="s">
        <v>2505</v>
      </c>
      <c r="L487" t="s">
        <v>670</v>
      </c>
      <c r="P487">
        <v>0</v>
      </c>
      <c r="Q487" s="84" t="e">
        <v>#REF!</v>
      </c>
      <c r="R487" s="85"/>
      <c r="S487" s="85"/>
      <c r="T487" s="86">
        <v>0</v>
      </c>
      <c r="U487" s="84">
        <v>0</v>
      </c>
      <c r="V487" s="84">
        <v>50.393000000000001</v>
      </c>
      <c r="W487" s="84">
        <v>25.1965</v>
      </c>
      <c r="X487" s="82">
        <v>0.35</v>
      </c>
      <c r="Y487" s="82"/>
      <c r="Z487" s="84">
        <v>25.1965</v>
      </c>
      <c r="AA487" s="84">
        <v>50.393000000000001</v>
      </c>
      <c r="AB487" s="88" t="e">
        <v>#DIV/0!</v>
      </c>
      <c r="AC487" t="s">
        <v>2506</v>
      </c>
    </row>
    <row r="488" spans="3:29">
      <c r="C488" t="s">
        <v>2508</v>
      </c>
      <c r="D488" t="s">
        <v>2509</v>
      </c>
      <c r="E488" s="84">
        <v>289.99</v>
      </c>
      <c r="F488" s="84">
        <v>144.995</v>
      </c>
      <c r="G488" t="s">
        <v>2257</v>
      </c>
      <c r="H488" t="s">
        <v>2510</v>
      </c>
      <c r="I488" t="s">
        <v>2511</v>
      </c>
      <c r="J488" t="s">
        <v>2512</v>
      </c>
      <c r="K488" t="s">
        <v>2513</v>
      </c>
      <c r="L488" t="s">
        <v>50</v>
      </c>
      <c r="N488">
        <v>46</v>
      </c>
      <c r="O488">
        <v>41</v>
      </c>
      <c r="P488">
        <v>8.6756E-2</v>
      </c>
      <c r="Q488" s="84" t="e">
        <v>#REF!</v>
      </c>
      <c r="R488" s="85"/>
      <c r="S488" s="85"/>
      <c r="T488" s="86">
        <v>0</v>
      </c>
      <c r="U488" s="84">
        <v>0</v>
      </c>
      <c r="V488" s="84">
        <v>202.99299999999999</v>
      </c>
      <c r="W488" s="84">
        <v>101.4965</v>
      </c>
      <c r="X488" s="82">
        <v>0.35</v>
      </c>
      <c r="Y488" s="82"/>
      <c r="Z488" s="84">
        <v>101.4965</v>
      </c>
      <c r="AA488" s="84">
        <v>202.99299999999999</v>
      </c>
      <c r="AB488" s="88" t="e">
        <v>#DIV/0!</v>
      </c>
      <c r="AC488" t="s">
        <v>2514</v>
      </c>
    </row>
    <row r="489" spans="3:29">
      <c r="C489" t="s">
        <v>2516</v>
      </c>
      <c r="D489" t="s">
        <v>2517</v>
      </c>
      <c r="E489" s="84">
        <v>755.99</v>
      </c>
      <c r="F489" s="84">
        <v>377.995</v>
      </c>
      <c r="G489" t="s">
        <v>2257</v>
      </c>
      <c r="H489" t="s">
        <v>2518</v>
      </c>
      <c r="I489" t="s">
        <v>2519</v>
      </c>
      <c r="J489" t="s">
        <v>2520</v>
      </c>
      <c r="K489" t="s">
        <v>2513</v>
      </c>
      <c r="L489" t="s">
        <v>50</v>
      </c>
      <c r="N489">
        <v>50</v>
      </c>
      <c r="O489">
        <v>170</v>
      </c>
      <c r="P489">
        <v>0.42499999999999999</v>
      </c>
      <c r="Q489" s="84" t="e">
        <v>#REF!</v>
      </c>
      <c r="R489" s="85"/>
      <c r="S489" s="85"/>
      <c r="T489" s="86">
        <v>0</v>
      </c>
      <c r="U489" s="84">
        <v>0</v>
      </c>
      <c r="V489" s="84">
        <v>529.19299999999998</v>
      </c>
      <c r="W489" s="84">
        <v>264.59649999999999</v>
      </c>
      <c r="X489" s="82">
        <v>0.35</v>
      </c>
      <c r="Y489" s="82"/>
      <c r="Z489" s="84">
        <v>264.59649999999999</v>
      </c>
      <c r="AA489" s="84">
        <v>529.19299999999998</v>
      </c>
      <c r="AB489" s="88" t="e">
        <v>#DIV/0!</v>
      </c>
      <c r="AC489" t="s">
        <v>2521</v>
      </c>
    </row>
    <row r="490" spans="3:29">
      <c r="C490" t="s">
        <v>2522</v>
      </c>
      <c r="D490" t="s">
        <v>2523</v>
      </c>
      <c r="E490" s="84">
        <v>271.99</v>
      </c>
      <c r="F490" s="84">
        <v>135.995</v>
      </c>
      <c r="G490" t="s">
        <v>2257</v>
      </c>
      <c r="H490" t="s">
        <v>2524</v>
      </c>
      <c r="I490" t="s">
        <v>2525</v>
      </c>
      <c r="J490" t="s">
        <v>2526</v>
      </c>
      <c r="K490" t="s">
        <v>2513</v>
      </c>
      <c r="L490" t="s">
        <v>50</v>
      </c>
      <c r="N490">
        <v>32</v>
      </c>
      <c r="O490">
        <v>38</v>
      </c>
      <c r="P490">
        <v>3.8912000000000002E-2</v>
      </c>
      <c r="Q490" s="84" t="e">
        <v>#REF!</v>
      </c>
      <c r="R490" s="85"/>
      <c r="S490" s="85"/>
      <c r="T490" s="86">
        <v>0</v>
      </c>
      <c r="U490" s="84">
        <v>0</v>
      </c>
      <c r="V490" s="84">
        <v>190.393</v>
      </c>
      <c r="W490" s="84">
        <v>95.1965</v>
      </c>
      <c r="X490" s="82">
        <v>0.35</v>
      </c>
      <c r="Y490" s="82"/>
      <c r="Z490" s="84">
        <v>95.1965</v>
      </c>
      <c r="AA490" s="84">
        <v>190.393</v>
      </c>
      <c r="AB490" s="88" t="e">
        <v>#DIV/0!</v>
      </c>
      <c r="AC490" t="s">
        <v>2527</v>
      </c>
    </row>
    <row r="491" spans="3:29">
      <c r="C491">
        <v>22017</v>
      </c>
      <c r="D491" t="s">
        <v>2528</v>
      </c>
      <c r="E491" s="84">
        <v>79.989999999999995</v>
      </c>
      <c r="F491" s="84">
        <v>39.994999999999997</v>
      </c>
      <c r="G491" t="s">
        <v>2257</v>
      </c>
      <c r="H491" t="s">
        <v>2529</v>
      </c>
      <c r="I491" t="s">
        <v>2530</v>
      </c>
      <c r="J491" t="s">
        <v>2252</v>
      </c>
      <c r="K491" t="s">
        <v>2253</v>
      </c>
      <c r="L491" t="s">
        <v>646</v>
      </c>
      <c r="N491">
        <v>20</v>
      </c>
      <c r="O491">
        <v>17</v>
      </c>
      <c r="P491">
        <v>6.7999999999999996E-3</v>
      </c>
      <c r="Q491" s="84" t="e">
        <v>#REF!</v>
      </c>
      <c r="R491" s="85"/>
      <c r="S491" s="85"/>
      <c r="T491" s="86">
        <v>0</v>
      </c>
      <c r="U491" s="84">
        <v>0</v>
      </c>
      <c r="V491" s="84">
        <v>55.993000000000002</v>
      </c>
      <c r="W491" s="84">
        <v>27.996500000000001</v>
      </c>
      <c r="X491" s="82">
        <v>0.35</v>
      </c>
      <c r="Y491" s="82"/>
      <c r="Z491" s="84">
        <v>27.996500000000001</v>
      </c>
      <c r="AA491" s="84">
        <v>55.993000000000002</v>
      </c>
      <c r="AB491" s="88" t="e">
        <v>#DIV/0!</v>
      </c>
      <c r="AC491" t="s">
        <v>2531</v>
      </c>
    </row>
    <row r="492" spans="3:29">
      <c r="C492">
        <v>33002</v>
      </c>
      <c r="D492" t="s">
        <v>2532</v>
      </c>
      <c r="E492" s="84">
        <v>140.99</v>
      </c>
      <c r="F492" s="84">
        <v>70.495000000000005</v>
      </c>
      <c r="G492" t="s">
        <v>2257</v>
      </c>
      <c r="H492" t="s">
        <v>2533</v>
      </c>
      <c r="I492" t="s">
        <v>2534</v>
      </c>
      <c r="J492" t="s">
        <v>2535</v>
      </c>
      <c r="K492" t="s">
        <v>2536</v>
      </c>
      <c r="L492" t="s">
        <v>646</v>
      </c>
      <c r="N492">
        <v>25</v>
      </c>
      <c r="O492">
        <v>140</v>
      </c>
      <c r="P492">
        <v>8.7499999999999994E-2</v>
      </c>
      <c r="Q492" s="84" t="e">
        <v>#REF!</v>
      </c>
      <c r="R492" s="85"/>
      <c r="S492" s="85"/>
      <c r="T492" s="86">
        <v>0</v>
      </c>
      <c r="U492" s="84">
        <v>0</v>
      </c>
      <c r="V492" s="84">
        <v>98.692999999999998</v>
      </c>
      <c r="W492" s="84">
        <v>49.346499999999999</v>
      </c>
      <c r="X492" s="82">
        <v>0.35</v>
      </c>
      <c r="Y492" s="82"/>
      <c r="Z492" s="84">
        <v>49.346499999999999</v>
      </c>
      <c r="AA492" s="84">
        <v>98.692999999999998</v>
      </c>
      <c r="AB492" s="88" t="e">
        <v>#DIV/0!</v>
      </c>
      <c r="AC492" t="s">
        <v>2537</v>
      </c>
    </row>
    <row r="493" spans="3:29">
      <c r="C493">
        <v>33003</v>
      </c>
      <c r="D493" t="s">
        <v>2538</v>
      </c>
      <c r="E493" s="84">
        <v>130.99</v>
      </c>
      <c r="F493" s="84">
        <v>65.495000000000005</v>
      </c>
      <c r="G493" t="s">
        <v>2257</v>
      </c>
      <c r="H493" t="s">
        <v>2539</v>
      </c>
      <c r="I493" t="s">
        <v>2540</v>
      </c>
      <c r="J493" t="s">
        <v>2541</v>
      </c>
      <c r="K493" t="s">
        <v>2536</v>
      </c>
      <c r="L493" t="s">
        <v>646</v>
      </c>
      <c r="N493">
        <v>35</v>
      </c>
      <c r="O493">
        <v>100</v>
      </c>
      <c r="P493">
        <v>0.1225</v>
      </c>
      <c r="Q493" s="84" t="e">
        <v>#REF!</v>
      </c>
      <c r="R493" s="85"/>
      <c r="S493" s="85"/>
      <c r="T493" s="86">
        <v>0</v>
      </c>
      <c r="U493" s="84">
        <v>0</v>
      </c>
      <c r="V493" s="84">
        <v>91.692999999999998</v>
      </c>
      <c r="W493" s="84">
        <v>45.846499999999999</v>
      </c>
      <c r="X493" s="82">
        <v>0.35</v>
      </c>
      <c r="Y493" s="82"/>
      <c r="Z493" s="84">
        <v>45.846499999999999</v>
      </c>
      <c r="AA493" s="84">
        <v>91.692999999999998</v>
      </c>
      <c r="AB493" s="88" t="e">
        <v>#DIV/0!</v>
      </c>
      <c r="AC493" t="s">
        <v>2542</v>
      </c>
    </row>
    <row r="494" spans="3:29">
      <c r="C494" t="s">
        <v>2543</v>
      </c>
      <c r="D494" t="s">
        <v>2544</v>
      </c>
      <c r="E494" s="84">
        <v>424.99</v>
      </c>
      <c r="F494" s="84">
        <v>212.495</v>
      </c>
      <c r="G494" t="s">
        <v>2257</v>
      </c>
      <c r="H494" t="s">
        <v>2545</v>
      </c>
      <c r="I494" t="s">
        <v>2546</v>
      </c>
      <c r="J494" t="s">
        <v>2547</v>
      </c>
      <c r="K494" t="s">
        <v>2548</v>
      </c>
      <c r="L494" t="s">
        <v>646</v>
      </c>
      <c r="M494">
        <v>40</v>
      </c>
      <c r="N494">
        <v>30</v>
      </c>
      <c r="O494">
        <v>200</v>
      </c>
      <c r="P494">
        <v>0.24</v>
      </c>
      <c r="Q494" s="84" t="e">
        <v>#REF!</v>
      </c>
      <c r="R494" s="85">
        <v>464656.18691897998</v>
      </c>
      <c r="S494" s="85">
        <v>750000</v>
      </c>
      <c r="T494" s="86">
        <v>1214656.18691898</v>
      </c>
      <c r="U494" s="84">
        <v>80.977079127932001</v>
      </c>
      <c r="V494" s="84">
        <v>297.49299999999999</v>
      </c>
      <c r="W494" s="84">
        <v>148.7465</v>
      </c>
      <c r="X494" s="82">
        <v>0.35</v>
      </c>
      <c r="Y494" s="87">
        <v>161.954158255864</v>
      </c>
      <c r="Z494" s="84">
        <v>161.954158255864</v>
      </c>
      <c r="AA494" s="84">
        <v>323.908316511728</v>
      </c>
      <c r="AB494" s="88">
        <v>2</v>
      </c>
      <c r="AC494" t="s">
        <v>2549</v>
      </c>
    </row>
    <row r="495" spans="3:29">
      <c r="C495" t="s">
        <v>2550</v>
      </c>
      <c r="D495" t="s">
        <v>2551</v>
      </c>
      <c r="E495" s="84">
        <v>109.99</v>
      </c>
      <c r="F495" s="84">
        <v>54.994999999999997</v>
      </c>
      <c r="G495" t="s">
        <v>2257</v>
      </c>
      <c r="H495" t="s">
        <v>2552</v>
      </c>
      <c r="I495" t="s">
        <v>2553</v>
      </c>
      <c r="J495" t="s">
        <v>2554</v>
      </c>
      <c r="K495" t="s">
        <v>2555</v>
      </c>
      <c r="L495" t="s">
        <v>646</v>
      </c>
      <c r="N495">
        <v>53</v>
      </c>
      <c r="O495">
        <v>50</v>
      </c>
      <c r="P495">
        <v>0.14044999999999999</v>
      </c>
      <c r="Q495" s="84" t="e">
        <v>#REF!</v>
      </c>
      <c r="R495" s="85"/>
      <c r="S495" s="85"/>
      <c r="T495" s="86">
        <v>0</v>
      </c>
      <c r="U495" s="84">
        <v>0</v>
      </c>
      <c r="V495" s="84">
        <v>76.992999999999995</v>
      </c>
      <c r="W495" s="84">
        <v>38.496499999999997</v>
      </c>
      <c r="X495" s="82">
        <v>0.35</v>
      </c>
      <c r="Y495" s="82"/>
      <c r="Z495" s="84">
        <v>38.496499999999997</v>
      </c>
      <c r="AA495" s="84">
        <v>76.992999999999995</v>
      </c>
      <c r="AB495" s="88" t="e">
        <v>#DIV/0!</v>
      </c>
      <c r="AC495" t="s">
        <v>2556</v>
      </c>
    </row>
    <row r="496" spans="3:29">
      <c r="C496" t="s">
        <v>2558</v>
      </c>
      <c r="E496" s="84"/>
      <c r="F496" s="82"/>
      <c r="R496" s="85"/>
      <c r="S496" s="85"/>
      <c r="T496" s="86"/>
      <c r="V496" s="84">
        <v>0</v>
      </c>
      <c r="W496" s="84">
        <v>0</v>
      </c>
      <c r="X496" s="82" t="e">
        <v>#DIV/0!</v>
      </c>
      <c r="Y496" s="82">
        <v>0</v>
      </c>
      <c r="Z496" s="82"/>
      <c r="AA496" s="82"/>
      <c r="AB496" s="88" t="e">
        <v>#DIV/0!</v>
      </c>
    </row>
    <row r="497" spans="3:29">
      <c r="C497" t="s">
        <v>2559</v>
      </c>
      <c r="D497" t="s">
        <v>2560</v>
      </c>
      <c r="E497" s="84">
        <v>49.99</v>
      </c>
      <c r="F497" s="84">
        <v>24.995000000000001</v>
      </c>
      <c r="G497" t="s">
        <v>2561</v>
      </c>
      <c r="H497" t="s">
        <v>2562</v>
      </c>
      <c r="I497" t="s">
        <v>135</v>
      </c>
      <c r="J497" t="s">
        <v>2563</v>
      </c>
      <c r="K497" t="s">
        <v>2564</v>
      </c>
      <c r="L497" t="s">
        <v>670</v>
      </c>
      <c r="N497">
        <v>15</v>
      </c>
      <c r="O497">
        <v>30</v>
      </c>
      <c r="P497">
        <v>6.7499999999999999E-3</v>
      </c>
      <c r="Q497" s="84" t="e">
        <v>#REF!</v>
      </c>
      <c r="R497" s="85"/>
      <c r="S497" s="85"/>
      <c r="T497" s="86">
        <v>0</v>
      </c>
      <c r="U497" s="84">
        <v>0</v>
      </c>
      <c r="V497" s="84">
        <v>34.993000000000002</v>
      </c>
      <c r="W497" s="84">
        <v>17.496500000000001</v>
      </c>
      <c r="X497" s="82">
        <v>0.35</v>
      </c>
      <c r="Y497" s="82"/>
      <c r="Z497" s="84">
        <v>17.496500000000001</v>
      </c>
      <c r="AA497" s="84">
        <v>34.993000000000002</v>
      </c>
      <c r="AB497" s="88" t="e">
        <v>#DIV/0!</v>
      </c>
      <c r="AC497" t="s">
        <v>2565</v>
      </c>
    </row>
    <row r="498" spans="3:29">
      <c r="C498" t="s">
        <v>2568</v>
      </c>
      <c r="D498" t="s">
        <v>2560</v>
      </c>
      <c r="E498" s="84">
        <v>41.99</v>
      </c>
      <c r="F498" s="84">
        <v>20.995000000000001</v>
      </c>
      <c r="G498" t="s">
        <v>2561</v>
      </c>
      <c r="H498" t="s">
        <v>2569</v>
      </c>
      <c r="I498" t="s">
        <v>135</v>
      </c>
      <c r="J498" t="s">
        <v>2570</v>
      </c>
      <c r="K498" t="s">
        <v>2564</v>
      </c>
      <c r="L498" t="s">
        <v>670</v>
      </c>
      <c r="N498">
        <v>15</v>
      </c>
      <c r="O498">
        <v>20</v>
      </c>
      <c r="P498">
        <v>4.4999999999999997E-3</v>
      </c>
      <c r="Q498" s="84" t="e">
        <v>#REF!</v>
      </c>
      <c r="R498" s="85"/>
      <c r="S498" s="85"/>
      <c r="T498" s="86">
        <v>0</v>
      </c>
      <c r="U498" s="84">
        <v>0</v>
      </c>
      <c r="V498" s="84">
        <v>29.393000000000001</v>
      </c>
      <c r="W498" s="84">
        <v>14.6965</v>
      </c>
      <c r="X498" s="82">
        <v>0.35</v>
      </c>
      <c r="Y498" s="82"/>
      <c r="Z498" s="84">
        <v>14.6965</v>
      </c>
      <c r="AA498" s="84">
        <v>29.393000000000001</v>
      </c>
      <c r="AB498" s="88" t="e">
        <v>#DIV/0!</v>
      </c>
      <c r="AC498" t="s">
        <v>2571</v>
      </c>
    </row>
    <row r="499" spans="3:29">
      <c r="C499" t="s">
        <v>2572</v>
      </c>
      <c r="D499" t="s">
        <v>2573</v>
      </c>
      <c r="E499" s="84">
        <v>25.99</v>
      </c>
      <c r="F499" s="84">
        <v>12.994999999999999</v>
      </c>
      <c r="G499" t="s">
        <v>2561</v>
      </c>
      <c r="H499" t="s">
        <v>2574</v>
      </c>
      <c r="I499" t="s">
        <v>2575</v>
      </c>
      <c r="J499" t="s">
        <v>2576</v>
      </c>
      <c r="K499" t="s">
        <v>2564</v>
      </c>
      <c r="L499" t="s">
        <v>670</v>
      </c>
      <c r="N499">
        <v>12</v>
      </c>
      <c r="O499">
        <v>13</v>
      </c>
      <c r="P499">
        <v>1.872E-3</v>
      </c>
      <c r="Q499" s="84" t="e">
        <v>#REF!</v>
      </c>
      <c r="R499" s="85"/>
      <c r="S499" s="85"/>
      <c r="T499" s="86">
        <v>0</v>
      </c>
      <c r="U499" s="84">
        <v>0</v>
      </c>
      <c r="V499" s="84">
        <v>18.193000000000001</v>
      </c>
      <c r="W499" s="84">
        <v>9.0965000000000007</v>
      </c>
      <c r="X499" s="82">
        <v>0.35</v>
      </c>
      <c r="Y499" s="82"/>
      <c r="Z499" s="84">
        <v>9.0965000000000007</v>
      </c>
      <c r="AA499" s="84">
        <v>18.193000000000001</v>
      </c>
      <c r="AB499" s="88" t="e">
        <v>#DIV/0!</v>
      </c>
      <c r="AC499" t="s">
        <v>2577</v>
      </c>
    </row>
    <row r="500" spans="3:29">
      <c r="C500" t="s">
        <v>2578</v>
      </c>
      <c r="D500" t="s">
        <v>2579</v>
      </c>
      <c r="E500" s="84">
        <v>116.99</v>
      </c>
      <c r="F500" s="84">
        <v>58.494999999999997</v>
      </c>
      <c r="G500" t="s">
        <v>2561</v>
      </c>
      <c r="H500" t="s">
        <v>2580</v>
      </c>
      <c r="I500" t="s">
        <v>140</v>
      </c>
      <c r="J500" t="s">
        <v>2581</v>
      </c>
      <c r="K500" t="s">
        <v>2564</v>
      </c>
      <c r="L500" t="s">
        <v>670</v>
      </c>
      <c r="N500">
        <v>25</v>
      </c>
      <c r="O500">
        <v>16</v>
      </c>
      <c r="P500">
        <v>0.01</v>
      </c>
      <c r="Q500" s="84" t="e">
        <v>#REF!</v>
      </c>
      <c r="R500" s="85"/>
      <c r="S500" s="85"/>
      <c r="T500" s="86">
        <v>0</v>
      </c>
      <c r="U500" s="84">
        <v>0</v>
      </c>
      <c r="V500" s="84">
        <v>81.893000000000001</v>
      </c>
      <c r="W500" s="84">
        <v>40.9465</v>
      </c>
      <c r="X500" s="82">
        <v>0.35</v>
      </c>
      <c r="Y500" s="82"/>
      <c r="Z500" s="84">
        <v>40.9465</v>
      </c>
      <c r="AA500" s="84">
        <v>81.893000000000001</v>
      </c>
      <c r="AB500" s="88" t="e">
        <v>#DIV/0!</v>
      </c>
      <c r="AC500" t="s">
        <v>2582</v>
      </c>
    </row>
    <row r="501" spans="3:29">
      <c r="C501" t="s">
        <v>2583</v>
      </c>
      <c r="D501" t="s">
        <v>2579</v>
      </c>
      <c r="E501" s="84">
        <v>126.99</v>
      </c>
      <c r="F501" s="84">
        <v>63.494999999999997</v>
      </c>
      <c r="G501" t="s">
        <v>2561</v>
      </c>
      <c r="H501" t="s">
        <v>2584</v>
      </c>
      <c r="I501" t="s">
        <v>140</v>
      </c>
      <c r="J501" t="s">
        <v>2585</v>
      </c>
      <c r="K501" t="s">
        <v>2564</v>
      </c>
      <c r="L501" t="s">
        <v>670</v>
      </c>
      <c r="N501">
        <v>25</v>
      </c>
      <c r="O501">
        <v>25</v>
      </c>
      <c r="P501">
        <v>1.5625E-2</v>
      </c>
      <c r="Q501" s="84" t="e">
        <v>#REF!</v>
      </c>
      <c r="R501" s="85"/>
      <c r="S501" s="85"/>
      <c r="T501" s="86">
        <v>0</v>
      </c>
      <c r="U501" s="84">
        <v>0</v>
      </c>
      <c r="V501" s="84">
        <v>88.893000000000001</v>
      </c>
      <c r="W501" s="84">
        <v>44.4465</v>
      </c>
      <c r="X501" s="82">
        <v>0.35</v>
      </c>
      <c r="Y501" s="82"/>
      <c r="Z501" s="84">
        <v>44.4465</v>
      </c>
      <c r="AA501" s="84">
        <v>88.893000000000001</v>
      </c>
      <c r="AB501" s="88" t="e">
        <v>#DIV/0!</v>
      </c>
      <c r="AC501" t="s">
        <v>2586</v>
      </c>
    </row>
    <row r="502" spans="3:29">
      <c r="C502" t="s">
        <v>2587</v>
      </c>
      <c r="D502" t="s">
        <v>2579</v>
      </c>
      <c r="E502" s="84">
        <v>184.99</v>
      </c>
      <c r="F502" s="84">
        <v>92.495000000000005</v>
      </c>
      <c r="G502" t="s">
        <v>2561</v>
      </c>
      <c r="H502" t="s">
        <v>2588</v>
      </c>
      <c r="I502" t="s">
        <v>140</v>
      </c>
      <c r="J502" t="s">
        <v>2589</v>
      </c>
      <c r="K502" t="s">
        <v>2564</v>
      </c>
      <c r="L502" t="s">
        <v>670</v>
      </c>
      <c r="N502">
        <v>25</v>
      </c>
      <c r="O502">
        <v>40</v>
      </c>
      <c r="P502">
        <v>2.5000000000000001E-2</v>
      </c>
      <c r="Q502" s="84" t="e">
        <v>#REF!</v>
      </c>
      <c r="R502" s="85"/>
      <c r="S502" s="85"/>
      <c r="T502" s="86">
        <v>0</v>
      </c>
      <c r="U502" s="84">
        <v>0</v>
      </c>
      <c r="V502" s="84">
        <v>129.49299999999999</v>
      </c>
      <c r="W502" s="84">
        <v>64.746499999999997</v>
      </c>
      <c r="X502" s="82">
        <v>0.35</v>
      </c>
      <c r="Y502" s="82"/>
      <c r="Z502" s="84">
        <v>64.746499999999997</v>
      </c>
      <c r="AA502" s="84">
        <v>129.49299999999999</v>
      </c>
      <c r="AB502" s="88" t="e">
        <v>#DIV/0!</v>
      </c>
      <c r="AC502" t="s">
        <v>2586</v>
      </c>
    </row>
    <row r="503" spans="3:29">
      <c r="C503" t="s">
        <v>2590</v>
      </c>
      <c r="D503" t="s">
        <v>2591</v>
      </c>
      <c r="E503" s="84">
        <v>118.99</v>
      </c>
      <c r="F503" s="84">
        <v>59.494999999999997</v>
      </c>
      <c r="G503" t="s">
        <v>2561</v>
      </c>
      <c r="H503" t="s">
        <v>2592</v>
      </c>
      <c r="I503" t="s">
        <v>144</v>
      </c>
      <c r="J503" t="s">
        <v>2593</v>
      </c>
      <c r="K503" t="s">
        <v>2564</v>
      </c>
      <c r="L503" t="s">
        <v>670</v>
      </c>
      <c r="N503">
        <v>30</v>
      </c>
      <c r="O503">
        <v>19</v>
      </c>
      <c r="P503">
        <v>1.7100000000000001E-2</v>
      </c>
      <c r="Q503" s="84" t="e">
        <v>#REF!</v>
      </c>
      <c r="R503" s="85"/>
      <c r="S503" s="85"/>
      <c r="T503" s="86">
        <v>0</v>
      </c>
      <c r="U503" s="84">
        <v>0</v>
      </c>
      <c r="V503" s="84">
        <v>83.293000000000006</v>
      </c>
      <c r="W503" s="84">
        <v>41.646500000000003</v>
      </c>
      <c r="X503" s="82">
        <v>0.35</v>
      </c>
      <c r="Y503" s="82"/>
      <c r="Z503" s="84">
        <v>41.646500000000003</v>
      </c>
      <c r="AA503" s="84">
        <v>83.293000000000006</v>
      </c>
      <c r="AB503" s="88" t="e">
        <v>#DIV/0!</v>
      </c>
      <c r="AC503" t="s">
        <v>2594</v>
      </c>
    </row>
    <row r="504" spans="3:29">
      <c r="C504" t="s">
        <v>2595</v>
      </c>
      <c r="D504" t="s">
        <v>2591</v>
      </c>
      <c r="E504" s="84">
        <v>174.99</v>
      </c>
      <c r="F504" s="84">
        <v>87.495000000000005</v>
      </c>
      <c r="G504" t="s">
        <v>2561</v>
      </c>
      <c r="H504" t="s">
        <v>2596</v>
      </c>
      <c r="I504" t="s">
        <v>144</v>
      </c>
      <c r="J504" t="s">
        <v>2597</v>
      </c>
      <c r="K504" t="s">
        <v>2564</v>
      </c>
      <c r="L504" t="s">
        <v>670</v>
      </c>
      <c r="N504">
        <v>30</v>
      </c>
      <c r="O504">
        <v>32</v>
      </c>
      <c r="P504">
        <v>2.8799999999999999E-2</v>
      </c>
      <c r="Q504" s="84" t="e">
        <v>#REF!</v>
      </c>
      <c r="R504" s="85"/>
      <c r="S504" s="85"/>
      <c r="T504" s="86">
        <v>0</v>
      </c>
      <c r="U504" s="84">
        <v>0</v>
      </c>
      <c r="V504" s="84">
        <v>122.49299999999999</v>
      </c>
      <c r="W504" s="84">
        <v>61.246499999999997</v>
      </c>
      <c r="X504" s="82">
        <v>0.35</v>
      </c>
      <c r="Y504" s="82"/>
      <c r="Z504" s="84">
        <v>61.246499999999997</v>
      </c>
      <c r="AA504" s="84">
        <v>122.49299999999999</v>
      </c>
      <c r="AB504" s="88" t="e">
        <v>#DIV/0!</v>
      </c>
      <c r="AC504" t="s">
        <v>2598</v>
      </c>
    </row>
    <row r="505" spans="3:29">
      <c r="C505" t="s">
        <v>2599</v>
      </c>
      <c r="D505" t="s">
        <v>2591</v>
      </c>
      <c r="E505" s="84">
        <v>235.99</v>
      </c>
      <c r="F505" s="84">
        <v>117.995</v>
      </c>
      <c r="G505" t="s">
        <v>2561</v>
      </c>
      <c r="H505" t="s">
        <v>2600</v>
      </c>
      <c r="I505" t="s">
        <v>144</v>
      </c>
      <c r="J505" t="s">
        <v>2601</v>
      </c>
      <c r="K505" t="s">
        <v>2564</v>
      </c>
      <c r="L505" t="s">
        <v>670</v>
      </c>
      <c r="N505">
        <v>30</v>
      </c>
      <c r="O505">
        <v>40</v>
      </c>
      <c r="P505">
        <v>3.5999999999999997E-2</v>
      </c>
      <c r="Q505" s="84" t="e">
        <v>#REF!</v>
      </c>
      <c r="R505" s="85"/>
      <c r="S505" s="85"/>
      <c r="T505" s="86">
        <v>0</v>
      </c>
      <c r="U505" s="84">
        <v>0</v>
      </c>
      <c r="V505" s="84">
        <v>165.19300000000001</v>
      </c>
      <c r="W505" s="84">
        <v>82.596500000000006</v>
      </c>
      <c r="X505" s="82">
        <v>0.35</v>
      </c>
      <c r="Y505" s="82"/>
      <c r="Z505" s="84">
        <v>82.596500000000006</v>
      </c>
      <c r="AA505" s="84">
        <v>165.19300000000001</v>
      </c>
      <c r="AB505" s="88" t="e">
        <v>#DIV/0!</v>
      </c>
      <c r="AC505" t="s">
        <v>2594</v>
      </c>
    </row>
    <row r="506" spans="3:29">
      <c r="C506" t="s">
        <v>2602</v>
      </c>
      <c r="D506" t="s">
        <v>2603</v>
      </c>
      <c r="E506" s="84">
        <v>147.99</v>
      </c>
      <c r="F506" s="84">
        <v>73.995000000000005</v>
      </c>
      <c r="G506" t="s">
        <v>2561</v>
      </c>
      <c r="H506" t="s">
        <v>2604</v>
      </c>
      <c r="I506" t="s">
        <v>2605</v>
      </c>
      <c r="J506" t="s">
        <v>2606</v>
      </c>
      <c r="K506" t="s">
        <v>2564</v>
      </c>
      <c r="L506" t="s">
        <v>670</v>
      </c>
      <c r="N506">
        <v>20</v>
      </c>
      <c r="O506">
        <v>60</v>
      </c>
      <c r="P506">
        <v>2.4E-2</v>
      </c>
      <c r="Q506" s="84" t="e">
        <v>#REF!</v>
      </c>
      <c r="R506" s="85"/>
      <c r="S506" s="85"/>
      <c r="T506" s="86">
        <v>0</v>
      </c>
      <c r="U506" s="84">
        <v>0</v>
      </c>
      <c r="V506" s="84">
        <v>103.593</v>
      </c>
      <c r="W506" s="84">
        <v>51.796500000000002</v>
      </c>
      <c r="X506" s="82">
        <v>0.35</v>
      </c>
      <c r="Y506" s="82"/>
      <c r="Z506" s="84">
        <v>51.796500000000002</v>
      </c>
      <c r="AA506" s="84">
        <v>103.593</v>
      </c>
      <c r="AB506" s="88" t="e">
        <v>#DIV/0!</v>
      </c>
      <c r="AC506" t="s">
        <v>2607</v>
      </c>
    </row>
    <row r="507" spans="3:29">
      <c r="C507" t="s">
        <v>2608</v>
      </c>
      <c r="D507" t="s">
        <v>2609</v>
      </c>
      <c r="E507" s="84">
        <v>217.99</v>
      </c>
      <c r="F507" s="84">
        <v>108.995</v>
      </c>
      <c r="G507" t="s">
        <v>2561</v>
      </c>
      <c r="H507" t="s">
        <v>2610</v>
      </c>
      <c r="I507" t="s">
        <v>2611</v>
      </c>
      <c r="J507" t="s">
        <v>2606</v>
      </c>
      <c r="K507" t="s">
        <v>2564</v>
      </c>
      <c r="L507" t="s">
        <v>670</v>
      </c>
      <c r="N507">
        <v>20</v>
      </c>
      <c r="O507">
        <v>60</v>
      </c>
      <c r="P507">
        <v>2.4E-2</v>
      </c>
      <c r="Q507" s="84" t="e">
        <v>#REF!</v>
      </c>
      <c r="R507" s="85"/>
      <c r="S507" s="85"/>
      <c r="T507" s="86">
        <v>0</v>
      </c>
      <c r="U507" s="84">
        <v>0</v>
      </c>
      <c r="V507" s="84">
        <v>152.59299999999999</v>
      </c>
      <c r="W507" s="84">
        <v>76.296499999999995</v>
      </c>
      <c r="X507" s="82">
        <v>0.35</v>
      </c>
      <c r="Y507" s="82"/>
      <c r="Z507" s="84">
        <v>76.296499999999995</v>
      </c>
      <c r="AA507" s="84">
        <v>152.59299999999999</v>
      </c>
      <c r="AB507" s="88" t="e">
        <v>#DIV/0!</v>
      </c>
      <c r="AC507" t="s">
        <v>2612</v>
      </c>
    </row>
    <row r="508" spans="3:29">
      <c r="C508" t="s">
        <v>2613</v>
      </c>
      <c r="D508" t="s">
        <v>2614</v>
      </c>
      <c r="E508" s="84">
        <v>57.99</v>
      </c>
      <c r="F508" s="84">
        <v>28.995000000000001</v>
      </c>
      <c r="G508" t="s">
        <v>2561</v>
      </c>
      <c r="H508" t="s">
        <v>2615</v>
      </c>
      <c r="I508" t="s">
        <v>172</v>
      </c>
      <c r="J508" t="s">
        <v>2616</v>
      </c>
      <c r="K508" t="s">
        <v>2564</v>
      </c>
      <c r="L508" t="s">
        <v>670</v>
      </c>
      <c r="N508">
        <v>8</v>
      </c>
      <c r="O508">
        <v>50</v>
      </c>
      <c r="P508">
        <v>3.2000000000000002E-3</v>
      </c>
      <c r="Q508" s="84" t="e">
        <v>#REF!</v>
      </c>
      <c r="R508" s="85"/>
      <c r="S508" s="85"/>
      <c r="T508" s="86">
        <v>0</v>
      </c>
      <c r="U508" s="84">
        <v>0</v>
      </c>
      <c r="V508" s="84">
        <v>40.593000000000004</v>
      </c>
      <c r="W508" s="84">
        <v>20.296500000000002</v>
      </c>
      <c r="X508" s="82">
        <v>0.35</v>
      </c>
      <c r="Y508" s="82"/>
      <c r="Z508" s="84">
        <v>20.296500000000002</v>
      </c>
      <c r="AA508" s="84">
        <v>40.593000000000004</v>
      </c>
      <c r="AB508" s="88" t="e">
        <v>#DIV/0!</v>
      </c>
      <c r="AC508" t="s">
        <v>2617</v>
      </c>
    </row>
    <row r="509" spans="3:29">
      <c r="C509" t="s">
        <v>2618</v>
      </c>
      <c r="D509" t="s">
        <v>2614</v>
      </c>
      <c r="E509" s="84">
        <v>78.989999999999995</v>
      </c>
      <c r="F509" s="84">
        <v>39.494999999999997</v>
      </c>
      <c r="G509" t="s">
        <v>2561</v>
      </c>
      <c r="H509" t="s">
        <v>2619</v>
      </c>
      <c r="I509" t="s">
        <v>172</v>
      </c>
      <c r="J509" t="s">
        <v>2620</v>
      </c>
      <c r="K509" t="s">
        <v>2564</v>
      </c>
      <c r="L509" t="s">
        <v>670</v>
      </c>
      <c r="N509">
        <v>8</v>
      </c>
      <c r="O509">
        <v>72</v>
      </c>
      <c r="P509">
        <v>4.6080000000000001E-3</v>
      </c>
      <c r="Q509" s="84" t="e">
        <v>#REF!</v>
      </c>
      <c r="R509" s="85"/>
      <c r="S509" s="85"/>
      <c r="T509" s="86">
        <v>0</v>
      </c>
      <c r="U509" s="84">
        <v>0</v>
      </c>
      <c r="V509" s="84">
        <v>55.292999999999999</v>
      </c>
      <c r="W509" s="84">
        <v>27.6465</v>
      </c>
      <c r="X509" s="82">
        <v>0.35</v>
      </c>
      <c r="Y509" s="82"/>
      <c r="Z509" s="84">
        <v>27.6465</v>
      </c>
      <c r="AA509" s="84">
        <v>55.292999999999999</v>
      </c>
      <c r="AB509" s="88" t="e">
        <v>#DIV/0!</v>
      </c>
      <c r="AC509" t="s">
        <v>2621</v>
      </c>
    </row>
    <row r="510" spans="3:29">
      <c r="C510" t="s">
        <v>2622</v>
      </c>
      <c r="D510" t="s">
        <v>2623</v>
      </c>
      <c r="E510" s="84">
        <v>204.99</v>
      </c>
      <c r="F510" s="84">
        <v>102.495</v>
      </c>
      <c r="G510" t="s">
        <v>2561</v>
      </c>
      <c r="H510" t="s">
        <v>2624</v>
      </c>
      <c r="I510" t="s">
        <v>2625</v>
      </c>
      <c r="J510" t="s">
        <v>2626</v>
      </c>
      <c r="K510" t="s">
        <v>2627</v>
      </c>
      <c r="L510" t="s">
        <v>670</v>
      </c>
      <c r="M510">
        <v>35</v>
      </c>
      <c r="N510">
        <v>20</v>
      </c>
      <c r="O510">
        <v>20</v>
      </c>
      <c r="P510">
        <v>1.4E-2</v>
      </c>
      <c r="Q510" s="84" t="e">
        <v>#REF!</v>
      </c>
      <c r="R510" s="85"/>
      <c r="S510" s="85"/>
      <c r="T510" s="86">
        <v>0</v>
      </c>
      <c r="U510" s="84">
        <v>0</v>
      </c>
      <c r="V510" s="84">
        <v>143.49299999999999</v>
      </c>
      <c r="W510" s="84">
        <v>71.746499999999997</v>
      </c>
      <c r="X510" s="82">
        <v>0.35</v>
      </c>
      <c r="Y510" s="82"/>
      <c r="Z510" s="84">
        <v>71.746499999999997</v>
      </c>
      <c r="AA510" s="84">
        <v>143.49299999999999</v>
      </c>
      <c r="AB510" s="88" t="e">
        <v>#DIV/0!</v>
      </c>
      <c r="AC510" t="s">
        <v>2628</v>
      </c>
    </row>
    <row r="511" spans="3:29">
      <c r="C511" t="s">
        <v>2629</v>
      </c>
      <c r="D511" t="s">
        <v>2630</v>
      </c>
      <c r="E511" s="84">
        <v>59.99</v>
      </c>
      <c r="F511" s="84">
        <v>29.995000000000001</v>
      </c>
      <c r="G511" t="s">
        <v>2561</v>
      </c>
      <c r="H511" t="s">
        <v>2624</v>
      </c>
      <c r="I511" t="s">
        <v>2631</v>
      </c>
      <c r="J511" t="s">
        <v>2626</v>
      </c>
      <c r="K511" t="s">
        <v>822</v>
      </c>
      <c r="L511" t="s">
        <v>670</v>
      </c>
      <c r="M511">
        <v>35</v>
      </c>
      <c r="N511">
        <v>20</v>
      </c>
      <c r="O511">
        <v>20</v>
      </c>
      <c r="P511">
        <v>1.4E-2</v>
      </c>
      <c r="Q511" s="84" t="e">
        <v>#REF!</v>
      </c>
      <c r="R511" s="85"/>
      <c r="S511" s="85"/>
      <c r="T511" s="86">
        <v>0</v>
      </c>
      <c r="U511" s="84">
        <v>0</v>
      </c>
      <c r="V511" s="84">
        <v>41.993000000000002</v>
      </c>
      <c r="W511" s="84">
        <v>20.996500000000001</v>
      </c>
      <c r="X511" s="82">
        <v>0.35</v>
      </c>
      <c r="Y511" s="82"/>
      <c r="Z511" s="84">
        <v>20.996500000000001</v>
      </c>
      <c r="AA511" s="84">
        <v>41.993000000000002</v>
      </c>
      <c r="AB511" s="88" t="e">
        <v>#DIV/0!</v>
      </c>
      <c r="AC511" t="s">
        <v>2632</v>
      </c>
    </row>
    <row r="512" spans="3:29">
      <c r="C512" t="s">
        <v>2633</v>
      </c>
      <c r="D512" t="s">
        <v>2634</v>
      </c>
      <c r="E512" s="84">
        <v>147.99</v>
      </c>
      <c r="F512" s="84">
        <v>73.995000000000005</v>
      </c>
      <c r="G512" t="s">
        <v>2561</v>
      </c>
      <c r="H512" t="s">
        <v>2635</v>
      </c>
      <c r="I512" t="s">
        <v>886</v>
      </c>
      <c r="J512" t="s">
        <v>2636</v>
      </c>
      <c r="K512" t="s">
        <v>2637</v>
      </c>
      <c r="L512" t="s">
        <v>670</v>
      </c>
      <c r="M512">
        <v>20</v>
      </c>
      <c r="N512">
        <v>20</v>
      </c>
      <c r="O512">
        <v>25</v>
      </c>
      <c r="P512">
        <v>0.01</v>
      </c>
      <c r="Q512" s="84" t="e">
        <v>#REF!</v>
      </c>
      <c r="R512" s="85"/>
      <c r="S512" s="85"/>
      <c r="T512" s="86">
        <v>0</v>
      </c>
      <c r="U512" s="84">
        <v>0</v>
      </c>
      <c r="V512" s="84">
        <v>103.593</v>
      </c>
      <c r="W512" s="84">
        <v>51.796500000000002</v>
      </c>
      <c r="X512" s="82">
        <v>0.35</v>
      </c>
      <c r="Y512" s="82"/>
      <c r="Z512" s="84">
        <v>51.796500000000002</v>
      </c>
      <c r="AA512" s="84">
        <v>103.593</v>
      </c>
      <c r="AB512" s="88" t="e">
        <v>#DIV/0!</v>
      </c>
      <c r="AC512" t="s">
        <v>2638</v>
      </c>
    </row>
    <row r="513" spans="3:29">
      <c r="C513" t="s">
        <v>2640</v>
      </c>
      <c r="D513" t="s">
        <v>2634</v>
      </c>
      <c r="E513" s="84">
        <v>236.99</v>
      </c>
      <c r="F513" s="84">
        <v>118.495</v>
      </c>
      <c r="G513" t="s">
        <v>2561</v>
      </c>
      <c r="H513" t="s">
        <v>2641</v>
      </c>
      <c r="I513" t="s">
        <v>886</v>
      </c>
      <c r="J513" t="s">
        <v>2642</v>
      </c>
      <c r="K513" t="s">
        <v>2637</v>
      </c>
      <c r="L513" t="s">
        <v>670</v>
      </c>
      <c r="M513">
        <v>20</v>
      </c>
      <c r="N513">
        <v>20</v>
      </c>
      <c r="O513">
        <v>35</v>
      </c>
      <c r="P513">
        <v>1.4E-2</v>
      </c>
      <c r="Q513" s="84" t="e">
        <v>#REF!</v>
      </c>
      <c r="R513" s="85"/>
      <c r="S513" s="85"/>
      <c r="T513" s="86">
        <v>0</v>
      </c>
      <c r="U513" s="84">
        <v>0</v>
      </c>
      <c r="V513" s="84">
        <v>165.893</v>
      </c>
      <c r="W513" s="84">
        <v>82.9465</v>
      </c>
      <c r="X513" s="82">
        <v>0.35</v>
      </c>
      <c r="Y513" s="82"/>
      <c r="Z513" s="84">
        <v>82.9465</v>
      </c>
      <c r="AA513" s="84">
        <v>165.893</v>
      </c>
      <c r="AB513" s="88" t="e">
        <v>#DIV/0!</v>
      </c>
      <c r="AC513" t="s">
        <v>2643</v>
      </c>
    </row>
    <row r="514" spans="3:29">
      <c r="C514" t="s">
        <v>2644</v>
      </c>
      <c r="D514" t="s">
        <v>2645</v>
      </c>
      <c r="E514" s="84">
        <v>72.989999999999995</v>
      </c>
      <c r="F514" s="84">
        <v>36.494999999999997</v>
      </c>
      <c r="G514" t="s">
        <v>2561</v>
      </c>
      <c r="H514" t="s">
        <v>2646</v>
      </c>
      <c r="I514" t="s">
        <v>222</v>
      </c>
      <c r="J514" t="s">
        <v>2647</v>
      </c>
      <c r="K514" t="s">
        <v>2648</v>
      </c>
      <c r="L514" t="s">
        <v>670</v>
      </c>
      <c r="M514">
        <v>12</v>
      </c>
      <c r="N514">
        <v>12</v>
      </c>
      <c r="O514">
        <v>12</v>
      </c>
      <c r="P514">
        <v>1.7279999999999999E-3</v>
      </c>
      <c r="Q514" s="84" t="e">
        <v>#REF!</v>
      </c>
      <c r="R514" s="85"/>
      <c r="S514" s="85"/>
      <c r="T514" s="86">
        <v>0</v>
      </c>
      <c r="U514" s="84">
        <v>0</v>
      </c>
      <c r="V514" s="84">
        <v>51.093000000000004</v>
      </c>
      <c r="W514" s="84">
        <v>25.546500000000002</v>
      </c>
      <c r="X514" s="82">
        <v>0.35</v>
      </c>
      <c r="Y514" s="82"/>
      <c r="Z514" s="84">
        <v>25.546500000000002</v>
      </c>
      <c r="AA514" s="84">
        <v>51.093000000000004</v>
      </c>
      <c r="AB514" s="88" t="e">
        <v>#DIV/0!</v>
      </c>
      <c r="AC514" t="s">
        <v>2649</v>
      </c>
    </row>
    <row r="515" spans="3:29">
      <c r="C515" t="s">
        <v>2650</v>
      </c>
      <c r="D515" t="s">
        <v>2645</v>
      </c>
      <c r="E515" s="84">
        <v>36.99</v>
      </c>
      <c r="F515" s="84">
        <v>18.495000000000001</v>
      </c>
      <c r="G515" t="s">
        <v>2561</v>
      </c>
      <c r="H515" t="s">
        <v>2646</v>
      </c>
      <c r="I515" t="s">
        <v>222</v>
      </c>
      <c r="J515" t="s">
        <v>2647</v>
      </c>
      <c r="K515" t="s">
        <v>2564</v>
      </c>
      <c r="L515" t="s">
        <v>670</v>
      </c>
      <c r="M515">
        <v>12</v>
      </c>
      <c r="N515">
        <v>12</v>
      </c>
      <c r="O515">
        <v>12</v>
      </c>
      <c r="P515">
        <v>1.7279999999999999E-3</v>
      </c>
      <c r="Q515" s="84" t="e">
        <v>#REF!</v>
      </c>
      <c r="R515" s="85"/>
      <c r="S515" s="85"/>
      <c r="T515" s="86">
        <v>0</v>
      </c>
      <c r="U515" s="84">
        <v>0</v>
      </c>
      <c r="V515" s="84">
        <v>25.893000000000001</v>
      </c>
      <c r="W515" s="84">
        <v>12.9465</v>
      </c>
      <c r="X515" s="82">
        <v>0.35</v>
      </c>
      <c r="Y515" s="82"/>
      <c r="Z515" s="84">
        <v>12.9465</v>
      </c>
      <c r="AA515" s="84">
        <v>25.893000000000001</v>
      </c>
      <c r="AB515" s="88" t="e">
        <v>#DIV/0!</v>
      </c>
      <c r="AC515" t="s">
        <v>2651</v>
      </c>
    </row>
    <row r="516" spans="3:29">
      <c r="C516" t="s">
        <v>2652</v>
      </c>
      <c r="D516" t="s">
        <v>2653</v>
      </c>
      <c r="E516" s="84">
        <v>44.99</v>
      </c>
      <c r="F516" s="84">
        <v>22.495000000000001</v>
      </c>
      <c r="G516" t="s">
        <v>2561</v>
      </c>
      <c r="H516" t="s">
        <v>2654</v>
      </c>
      <c r="I516" t="s">
        <v>465</v>
      </c>
      <c r="J516" t="s">
        <v>2655</v>
      </c>
      <c r="K516" t="s">
        <v>2564</v>
      </c>
      <c r="L516" t="s">
        <v>670</v>
      </c>
      <c r="N516">
        <v>16</v>
      </c>
      <c r="O516">
        <v>26</v>
      </c>
      <c r="P516">
        <v>6.6559999999999996E-3</v>
      </c>
      <c r="Q516" s="84" t="e">
        <v>#REF!</v>
      </c>
      <c r="R516" s="85"/>
      <c r="S516" s="85"/>
      <c r="T516" s="86">
        <v>0</v>
      </c>
      <c r="U516" s="84">
        <v>0</v>
      </c>
      <c r="V516" s="84">
        <v>31.492999999999999</v>
      </c>
      <c r="W516" s="84">
        <v>15.746499999999999</v>
      </c>
      <c r="X516" s="82">
        <v>0.35</v>
      </c>
      <c r="Y516" s="82"/>
      <c r="Z516" s="84">
        <v>15.746499999999999</v>
      </c>
      <c r="AA516" s="84">
        <v>31.492999999999999</v>
      </c>
      <c r="AB516" s="88" t="e">
        <v>#DIV/0!</v>
      </c>
      <c r="AC516" t="s">
        <v>2656</v>
      </c>
    </row>
    <row r="517" spans="3:29">
      <c r="C517" t="s">
        <v>2657</v>
      </c>
      <c r="D517" t="s">
        <v>2653</v>
      </c>
      <c r="E517" s="84">
        <v>76.989999999999995</v>
      </c>
      <c r="F517" s="84">
        <v>38.494999999999997</v>
      </c>
      <c r="G517" t="s">
        <v>2561</v>
      </c>
      <c r="H517" t="s">
        <v>2658</v>
      </c>
      <c r="I517" t="s">
        <v>465</v>
      </c>
      <c r="J517" t="s">
        <v>2659</v>
      </c>
      <c r="K517" t="s">
        <v>2564</v>
      </c>
      <c r="L517" t="s">
        <v>670</v>
      </c>
      <c r="N517">
        <v>18</v>
      </c>
      <c r="O517">
        <v>46</v>
      </c>
      <c r="P517">
        <v>1.4904000000000001E-2</v>
      </c>
      <c r="Q517" s="84" t="e">
        <v>#REF!</v>
      </c>
      <c r="R517" s="85"/>
      <c r="S517" s="85"/>
      <c r="T517" s="86">
        <v>0</v>
      </c>
      <c r="U517" s="84">
        <v>0</v>
      </c>
      <c r="V517" s="84">
        <v>53.893000000000001</v>
      </c>
      <c r="W517" s="84">
        <v>26.9465</v>
      </c>
      <c r="X517" s="82">
        <v>0.35</v>
      </c>
      <c r="Y517" s="82"/>
      <c r="Z517" s="84">
        <v>26.9465</v>
      </c>
      <c r="AA517" s="84">
        <v>53.893000000000001</v>
      </c>
      <c r="AB517" s="88" t="e">
        <v>#DIV/0!</v>
      </c>
      <c r="AC517" t="s">
        <v>2660</v>
      </c>
    </row>
    <row r="518" spans="3:29">
      <c r="C518" t="s">
        <v>2661</v>
      </c>
      <c r="D518" t="s">
        <v>2653</v>
      </c>
      <c r="E518" s="84">
        <v>112.99</v>
      </c>
      <c r="F518" s="84">
        <v>56.494999999999997</v>
      </c>
      <c r="G518" t="s">
        <v>2561</v>
      </c>
      <c r="H518" t="s">
        <v>2662</v>
      </c>
      <c r="I518" t="s">
        <v>465</v>
      </c>
      <c r="J518" t="s">
        <v>2663</v>
      </c>
      <c r="K518" t="s">
        <v>2564</v>
      </c>
      <c r="L518" t="s">
        <v>670</v>
      </c>
      <c r="N518">
        <v>24</v>
      </c>
      <c r="O518">
        <v>76</v>
      </c>
      <c r="P518">
        <v>4.3776000000000002E-2</v>
      </c>
      <c r="Q518" s="84" t="e">
        <v>#REF!</v>
      </c>
      <c r="R518" s="85"/>
      <c r="S518" s="85"/>
      <c r="T518" s="86">
        <v>0</v>
      </c>
      <c r="U518" s="84">
        <v>0</v>
      </c>
      <c r="V518" s="84">
        <v>79.093000000000004</v>
      </c>
      <c r="W518" s="84">
        <v>39.546500000000002</v>
      </c>
      <c r="X518" s="82">
        <v>0.35</v>
      </c>
      <c r="Y518" s="82"/>
      <c r="Z518" s="84">
        <v>39.546500000000002</v>
      </c>
      <c r="AA518" s="84">
        <v>79.093000000000004</v>
      </c>
      <c r="AB518" s="88" t="e">
        <v>#DIV/0!</v>
      </c>
      <c r="AC518" t="s">
        <v>2664</v>
      </c>
    </row>
    <row r="519" spans="3:29">
      <c r="C519" t="s">
        <v>2665</v>
      </c>
      <c r="D519" t="s">
        <v>2666</v>
      </c>
      <c r="E519" s="84">
        <v>221.99</v>
      </c>
      <c r="F519" s="84">
        <v>110.995</v>
      </c>
      <c r="G519" t="s">
        <v>2561</v>
      </c>
      <c r="H519" t="s">
        <v>2667</v>
      </c>
      <c r="I519" t="s">
        <v>2668</v>
      </c>
      <c r="J519" t="s">
        <v>2669</v>
      </c>
      <c r="K519" t="s">
        <v>2564</v>
      </c>
      <c r="L519" t="s">
        <v>670</v>
      </c>
      <c r="M519">
        <v>25</v>
      </c>
      <c r="N519">
        <v>7</v>
      </c>
      <c r="O519">
        <v>28</v>
      </c>
      <c r="P519">
        <v>4.8999999999999998E-3</v>
      </c>
      <c r="Q519" s="84" t="e">
        <v>#REF!</v>
      </c>
      <c r="R519" s="85"/>
      <c r="S519" s="85"/>
      <c r="T519" s="86">
        <v>0</v>
      </c>
      <c r="U519" s="84">
        <v>0</v>
      </c>
      <c r="V519" s="84">
        <v>155.393</v>
      </c>
      <c r="W519" s="84">
        <v>77.6965</v>
      </c>
      <c r="X519" s="82">
        <v>0.35</v>
      </c>
      <c r="Y519" s="82"/>
      <c r="Z519" s="84">
        <v>77.6965</v>
      </c>
      <c r="AA519" s="84">
        <v>155.393</v>
      </c>
      <c r="AB519" s="88" t="e">
        <v>#DIV/0!</v>
      </c>
      <c r="AC519" t="s">
        <v>2670</v>
      </c>
    </row>
    <row r="520" spans="3:29">
      <c r="C520" t="s">
        <v>2671</v>
      </c>
      <c r="D520" t="s">
        <v>2666</v>
      </c>
      <c r="E520" s="84">
        <v>295.99</v>
      </c>
      <c r="F520" s="84">
        <v>147.995</v>
      </c>
      <c r="G520" t="s">
        <v>2561</v>
      </c>
      <c r="H520" t="s">
        <v>2672</v>
      </c>
      <c r="I520" t="s">
        <v>2673</v>
      </c>
      <c r="J520" t="s">
        <v>2674</v>
      </c>
      <c r="K520" t="s">
        <v>2637</v>
      </c>
      <c r="L520" t="s">
        <v>670</v>
      </c>
      <c r="M520">
        <v>25</v>
      </c>
      <c r="N520">
        <v>7</v>
      </c>
      <c r="O520">
        <v>28</v>
      </c>
      <c r="P520">
        <v>4.8999999999999998E-3</v>
      </c>
      <c r="Q520" s="84" t="e">
        <v>#REF!</v>
      </c>
      <c r="R520" s="85"/>
      <c r="S520" s="85"/>
      <c r="T520" s="86">
        <v>0</v>
      </c>
      <c r="U520" s="84">
        <v>0</v>
      </c>
      <c r="V520" s="84">
        <v>207.19300000000001</v>
      </c>
      <c r="W520" s="84">
        <v>103.59650000000001</v>
      </c>
      <c r="X520" s="82">
        <v>0.35</v>
      </c>
      <c r="Y520" s="82"/>
      <c r="Z520" s="84">
        <v>103.59650000000001</v>
      </c>
      <c r="AA520" s="84">
        <v>207.19300000000001</v>
      </c>
      <c r="AB520" s="88" t="e">
        <v>#DIV/0!</v>
      </c>
      <c r="AC520" t="s">
        <v>2675</v>
      </c>
    </row>
    <row r="521" spans="3:29">
      <c r="C521" t="s">
        <v>2676</v>
      </c>
      <c r="D521" t="s">
        <v>2677</v>
      </c>
      <c r="E521" s="84">
        <v>461.99</v>
      </c>
      <c r="F521" s="84">
        <v>230.995</v>
      </c>
      <c r="G521" t="s">
        <v>2561</v>
      </c>
      <c r="H521" t="s">
        <v>2678</v>
      </c>
      <c r="I521" t="s">
        <v>2679</v>
      </c>
      <c r="J521" t="s">
        <v>2680</v>
      </c>
      <c r="K521" t="s">
        <v>2564</v>
      </c>
      <c r="L521" t="s">
        <v>670</v>
      </c>
      <c r="M521">
        <v>40</v>
      </c>
      <c r="N521">
        <v>20</v>
      </c>
      <c r="O521">
        <v>50</v>
      </c>
      <c r="P521">
        <v>0.04</v>
      </c>
      <c r="Q521" s="84" t="e">
        <v>#REF!</v>
      </c>
      <c r="R521" s="85"/>
      <c r="S521" s="85"/>
      <c r="T521" s="86">
        <v>0</v>
      </c>
      <c r="U521" s="84">
        <v>0</v>
      </c>
      <c r="V521" s="84">
        <v>323.39299999999997</v>
      </c>
      <c r="W521" s="84">
        <v>161.69649999999999</v>
      </c>
      <c r="X521" s="82">
        <v>0.35</v>
      </c>
      <c r="Y521" s="82"/>
      <c r="Z521" s="84">
        <v>161.69649999999999</v>
      </c>
      <c r="AA521" s="84">
        <v>323.39299999999997</v>
      </c>
      <c r="AB521" s="88" t="e">
        <v>#DIV/0!</v>
      </c>
      <c r="AC521" t="s">
        <v>2681</v>
      </c>
    </row>
    <row r="522" spans="3:29">
      <c r="C522" t="s">
        <v>2682</v>
      </c>
      <c r="D522" t="s">
        <v>2683</v>
      </c>
      <c r="E522" s="84">
        <v>422.99</v>
      </c>
      <c r="F522" s="84">
        <v>211.495</v>
      </c>
      <c r="G522" t="s">
        <v>2561</v>
      </c>
      <c r="H522" t="s">
        <v>2684</v>
      </c>
      <c r="I522" t="s">
        <v>2685</v>
      </c>
      <c r="J522" t="s">
        <v>2686</v>
      </c>
      <c r="K522" t="s">
        <v>2564</v>
      </c>
      <c r="L522" t="s">
        <v>670</v>
      </c>
      <c r="M522">
        <v>40</v>
      </c>
      <c r="N522">
        <v>10</v>
      </c>
      <c r="O522">
        <v>40</v>
      </c>
      <c r="P522">
        <v>1.6E-2</v>
      </c>
      <c r="Q522" s="84" t="e">
        <v>#REF!</v>
      </c>
      <c r="R522" s="85"/>
      <c r="S522" s="85"/>
      <c r="T522" s="86">
        <v>0</v>
      </c>
      <c r="U522" s="84">
        <v>0</v>
      </c>
      <c r="V522" s="84">
        <v>296.09300000000002</v>
      </c>
      <c r="W522" s="84">
        <v>148.04650000000001</v>
      </c>
      <c r="X522" s="82">
        <v>0.35</v>
      </c>
      <c r="Y522" s="82"/>
      <c r="Z522" s="84">
        <v>148.04650000000001</v>
      </c>
      <c r="AA522" s="84">
        <v>296.09300000000002</v>
      </c>
      <c r="AB522" s="88" t="e">
        <v>#DIV/0!</v>
      </c>
      <c r="AC522" t="s">
        <v>2687</v>
      </c>
    </row>
    <row r="523" spans="3:29">
      <c r="C523" t="s">
        <v>2688</v>
      </c>
      <c r="D523" t="s">
        <v>2689</v>
      </c>
      <c r="E523" s="84">
        <v>88.99</v>
      </c>
      <c r="F523" s="84">
        <v>44.494999999999997</v>
      </c>
      <c r="G523" t="s">
        <v>2561</v>
      </c>
      <c r="H523" t="s">
        <v>2690</v>
      </c>
      <c r="I523" t="s">
        <v>2691</v>
      </c>
      <c r="J523" t="s">
        <v>2692</v>
      </c>
      <c r="K523" t="s">
        <v>2564</v>
      </c>
      <c r="L523" t="s">
        <v>670</v>
      </c>
      <c r="N523">
        <v>12</v>
      </c>
      <c r="O523">
        <v>45</v>
      </c>
      <c r="P523">
        <v>6.4799999999999996E-3</v>
      </c>
      <c r="Q523" s="84" t="e">
        <v>#REF!</v>
      </c>
      <c r="R523" s="85"/>
      <c r="S523" s="85"/>
      <c r="T523" s="86">
        <v>0</v>
      </c>
      <c r="U523" s="84">
        <v>0</v>
      </c>
      <c r="V523" s="84">
        <v>62.292999999999999</v>
      </c>
      <c r="W523" s="84">
        <v>31.1465</v>
      </c>
      <c r="X523" s="82">
        <v>0.35</v>
      </c>
      <c r="Y523" s="82"/>
      <c r="Z523" s="84">
        <v>31.1465</v>
      </c>
      <c r="AA523" s="84">
        <v>62.292999999999999</v>
      </c>
      <c r="AB523" s="88" t="e">
        <v>#DIV/0!</v>
      </c>
      <c r="AC523" t="s">
        <v>2693</v>
      </c>
    </row>
    <row r="524" spans="3:29">
      <c r="C524" t="s">
        <v>2694</v>
      </c>
      <c r="D524" t="s">
        <v>162</v>
      </c>
      <c r="E524" s="84">
        <v>29.99</v>
      </c>
      <c r="F524" s="84">
        <v>14.994999999999999</v>
      </c>
      <c r="G524" t="s">
        <v>2561</v>
      </c>
      <c r="H524" t="s">
        <v>2695</v>
      </c>
      <c r="I524" t="s">
        <v>162</v>
      </c>
      <c r="K524" t="s">
        <v>2696</v>
      </c>
      <c r="L524" t="s">
        <v>50</v>
      </c>
      <c r="P524">
        <v>0</v>
      </c>
      <c r="Q524" s="84" t="e">
        <v>#REF!</v>
      </c>
      <c r="R524" s="85"/>
      <c r="S524" s="85"/>
      <c r="T524" s="86">
        <v>0</v>
      </c>
      <c r="U524" s="84">
        <v>0</v>
      </c>
      <c r="V524" s="84">
        <v>20.992999999999999</v>
      </c>
      <c r="W524" s="84">
        <v>10.496499999999999</v>
      </c>
      <c r="X524" s="82">
        <v>0.35</v>
      </c>
      <c r="Y524" s="82"/>
      <c r="Z524" s="84">
        <v>10.496499999999999</v>
      </c>
      <c r="AA524" s="84">
        <v>20.992999999999999</v>
      </c>
      <c r="AB524" s="88" t="e">
        <v>#DIV/0!</v>
      </c>
      <c r="AC524" t="s">
        <v>2697</v>
      </c>
    </row>
    <row r="525" spans="3:29">
      <c r="C525" t="s">
        <v>2699</v>
      </c>
      <c r="D525" t="s">
        <v>2700</v>
      </c>
      <c r="E525" s="84">
        <v>269.99</v>
      </c>
      <c r="F525" s="84">
        <v>134.995</v>
      </c>
      <c r="G525" t="s">
        <v>2561</v>
      </c>
      <c r="H525" t="s">
        <v>2701</v>
      </c>
      <c r="I525" t="s">
        <v>186</v>
      </c>
      <c r="J525" t="s">
        <v>2702</v>
      </c>
      <c r="K525" t="s">
        <v>2564</v>
      </c>
      <c r="L525" t="s">
        <v>670</v>
      </c>
      <c r="N525">
        <v>25</v>
      </c>
      <c r="O525">
        <v>30</v>
      </c>
      <c r="P525">
        <v>1.8749999999999999E-2</v>
      </c>
      <c r="Q525" s="84" t="e">
        <v>#REF!</v>
      </c>
      <c r="R525" s="85"/>
      <c r="S525" s="85"/>
      <c r="T525" s="86">
        <v>0</v>
      </c>
      <c r="U525" s="84">
        <v>0</v>
      </c>
      <c r="V525" s="84">
        <v>188.99299999999999</v>
      </c>
      <c r="W525" s="84">
        <v>94.496499999999997</v>
      </c>
      <c r="X525" s="82">
        <v>0.35</v>
      </c>
      <c r="Y525" s="82"/>
      <c r="Z525" s="84">
        <v>94.496499999999997</v>
      </c>
      <c r="AA525" s="84">
        <v>188.99299999999999</v>
      </c>
      <c r="AB525" s="88" t="e">
        <v>#DIV/0!</v>
      </c>
      <c r="AC525" t="s">
        <v>2703</v>
      </c>
    </row>
    <row r="526" spans="3:29" ht="45.75">
      <c r="C526" t="s">
        <v>2704</v>
      </c>
      <c r="D526" t="s">
        <v>2700</v>
      </c>
      <c r="E526" s="84"/>
      <c r="F526" s="84">
        <v>0</v>
      </c>
      <c r="G526" t="s">
        <v>2561</v>
      </c>
      <c r="H526" t="s">
        <v>2705</v>
      </c>
      <c r="I526" t="s">
        <v>186</v>
      </c>
      <c r="J526" t="s">
        <v>2706</v>
      </c>
      <c r="K526" s="83" t="s">
        <v>2707</v>
      </c>
      <c r="L526" t="s">
        <v>670</v>
      </c>
      <c r="N526">
        <v>30</v>
      </c>
      <c r="O526">
        <v>35</v>
      </c>
      <c r="P526">
        <v>3.15E-2</v>
      </c>
      <c r="Q526" s="84" t="e">
        <v>#REF!</v>
      </c>
      <c r="R526" s="85"/>
      <c r="S526" s="85"/>
      <c r="T526" s="86">
        <v>0</v>
      </c>
      <c r="U526" s="84">
        <v>0</v>
      </c>
      <c r="V526" s="84">
        <v>0</v>
      </c>
      <c r="W526" s="84">
        <v>0</v>
      </c>
      <c r="X526" s="82" t="e">
        <v>#DIV/0!</v>
      </c>
      <c r="Y526" s="82"/>
      <c r="Z526" s="84">
        <v>0</v>
      </c>
      <c r="AA526" s="84">
        <v>0</v>
      </c>
      <c r="AB526" s="88" t="e">
        <v>#DIV/0!</v>
      </c>
      <c r="AC526" t="s">
        <v>2708</v>
      </c>
    </row>
    <row r="527" spans="3:29">
      <c r="C527" t="s">
        <v>2709</v>
      </c>
      <c r="D527" t="s">
        <v>2710</v>
      </c>
      <c r="E527" s="84">
        <v>42.99</v>
      </c>
      <c r="F527" s="84">
        <v>21.495000000000001</v>
      </c>
      <c r="G527" t="s">
        <v>2561</v>
      </c>
      <c r="H527" t="s">
        <v>2711</v>
      </c>
      <c r="I527" t="s">
        <v>628</v>
      </c>
      <c r="J527" t="s">
        <v>2712</v>
      </c>
      <c r="K527" t="s">
        <v>2637</v>
      </c>
      <c r="L527" t="s">
        <v>670</v>
      </c>
      <c r="N527">
        <v>9</v>
      </c>
      <c r="O527">
        <v>7</v>
      </c>
      <c r="P527">
        <v>5.6700000000000001E-4</v>
      </c>
      <c r="Q527" s="84" t="e">
        <v>#REF!</v>
      </c>
      <c r="R527" s="85"/>
      <c r="S527" s="85"/>
      <c r="T527" s="86">
        <v>0</v>
      </c>
      <c r="U527" s="84">
        <v>0</v>
      </c>
      <c r="V527" s="84">
        <v>30.093</v>
      </c>
      <c r="W527" s="84">
        <v>15.0465</v>
      </c>
      <c r="X527" s="82">
        <v>0.35</v>
      </c>
      <c r="Y527" s="82"/>
      <c r="Z527" s="84">
        <v>15.0465</v>
      </c>
      <c r="AA527" s="84">
        <v>30.093</v>
      </c>
      <c r="AB527" s="88" t="e">
        <v>#DIV/0!</v>
      </c>
      <c r="AC527" t="s">
        <v>2713</v>
      </c>
    </row>
    <row r="528" spans="3:29">
      <c r="C528" t="s">
        <v>2714</v>
      </c>
      <c r="D528" t="s">
        <v>2710</v>
      </c>
      <c r="E528" s="84">
        <v>99.99</v>
      </c>
      <c r="F528" s="84">
        <v>49.994999999999997</v>
      </c>
      <c r="G528" t="s">
        <v>2561</v>
      </c>
      <c r="H528" t="s">
        <v>2715</v>
      </c>
      <c r="I528" t="s">
        <v>628</v>
      </c>
      <c r="J528" t="s">
        <v>2716</v>
      </c>
      <c r="K528" t="s">
        <v>2637</v>
      </c>
      <c r="L528" t="s">
        <v>670</v>
      </c>
      <c r="N528">
        <v>16</v>
      </c>
      <c r="O528">
        <v>12</v>
      </c>
      <c r="P528">
        <v>3.0720000000000001E-3</v>
      </c>
      <c r="Q528" s="84" t="e">
        <v>#REF!</v>
      </c>
      <c r="R528" s="85"/>
      <c r="S528" s="85"/>
      <c r="T528" s="86">
        <v>0</v>
      </c>
      <c r="U528" s="84">
        <v>0</v>
      </c>
      <c r="V528" s="84">
        <v>69.992999999999995</v>
      </c>
      <c r="W528" s="84">
        <v>34.996499999999997</v>
      </c>
      <c r="X528" s="82">
        <v>0.35</v>
      </c>
      <c r="Y528" s="82"/>
      <c r="Z528" s="84">
        <v>34.996499999999997</v>
      </c>
      <c r="AA528" s="84">
        <v>69.992999999999995</v>
      </c>
      <c r="AB528" s="88" t="e">
        <v>#DIV/0!</v>
      </c>
      <c r="AC528" t="s">
        <v>2717</v>
      </c>
    </row>
    <row r="529" spans="3:29">
      <c r="C529" t="s">
        <v>2718</v>
      </c>
      <c r="D529" t="s">
        <v>2710</v>
      </c>
      <c r="E529" s="84">
        <v>271.99</v>
      </c>
      <c r="F529" s="84">
        <v>135.995</v>
      </c>
      <c r="G529" t="s">
        <v>2561</v>
      </c>
      <c r="H529" t="s">
        <v>2719</v>
      </c>
      <c r="I529" t="s">
        <v>628</v>
      </c>
      <c r="J529" t="s">
        <v>2720</v>
      </c>
      <c r="K529" t="s">
        <v>2637</v>
      </c>
      <c r="L529" t="s">
        <v>670</v>
      </c>
      <c r="N529">
        <v>28</v>
      </c>
      <c r="O529">
        <v>22</v>
      </c>
      <c r="P529">
        <v>1.7247999999999999E-2</v>
      </c>
      <c r="Q529" s="84" t="e">
        <v>#REF!</v>
      </c>
      <c r="R529" s="85"/>
      <c r="S529" s="85"/>
      <c r="T529" s="86">
        <v>0</v>
      </c>
      <c r="U529" s="84">
        <v>0</v>
      </c>
      <c r="V529" s="84">
        <v>190.393</v>
      </c>
      <c r="W529" s="84">
        <v>95.1965</v>
      </c>
      <c r="X529" s="82">
        <v>0.35</v>
      </c>
      <c r="Y529" s="82"/>
      <c r="Z529" s="84">
        <v>95.1965</v>
      </c>
      <c r="AA529" s="84">
        <v>190.393</v>
      </c>
      <c r="AB529" s="88" t="e">
        <v>#DIV/0!</v>
      </c>
      <c r="AC529" t="s">
        <v>2717</v>
      </c>
    </row>
    <row r="530" spans="3:29">
      <c r="C530" t="s">
        <v>2721</v>
      </c>
      <c r="D530" t="s">
        <v>2722</v>
      </c>
      <c r="E530" s="84">
        <v>36.99</v>
      </c>
      <c r="F530" s="84">
        <v>18.495000000000001</v>
      </c>
      <c r="G530" t="s">
        <v>2561</v>
      </c>
      <c r="H530" t="s">
        <v>2723</v>
      </c>
      <c r="I530" t="s">
        <v>875</v>
      </c>
      <c r="J530" t="s">
        <v>2724</v>
      </c>
      <c r="K530" t="s">
        <v>2564</v>
      </c>
      <c r="L530" t="s">
        <v>670</v>
      </c>
      <c r="N530">
        <v>9</v>
      </c>
      <c r="O530">
        <v>22</v>
      </c>
      <c r="P530">
        <v>1.7819999999999999E-3</v>
      </c>
      <c r="Q530" s="84" t="e">
        <v>#REF!</v>
      </c>
      <c r="R530" s="85"/>
      <c r="S530" s="85"/>
      <c r="T530" s="86">
        <v>0</v>
      </c>
      <c r="U530" s="84">
        <v>0</v>
      </c>
      <c r="V530" s="84">
        <v>25.893000000000001</v>
      </c>
      <c r="W530" s="84">
        <v>12.9465</v>
      </c>
      <c r="X530" s="82">
        <v>0.35</v>
      </c>
      <c r="Y530" s="82"/>
      <c r="Z530" s="84">
        <v>12.9465</v>
      </c>
      <c r="AA530" s="84">
        <v>25.893000000000001</v>
      </c>
      <c r="AB530" s="88" t="e">
        <v>#DIV/0!</v>
      </c>
      <c r="AC530" t="s">
        <v>2725</v>
      </c>
    </row>
    <row r="531" spans="3:29">
      <c r="C531" t="s">
        <v>2726</v>
      </c>
      <c r="D531" t="s">
        <v>2722</v>
      </c>
      <c r="E531" s="84">
        <v>43.99</v>
      </c>
      <c r="F531" s="84">
        <v>21.995000000000001</v>
      </c>
      <c r="G531" t="s">
        <v>2561</v>
      </c>
      <c r="H531" t="s">
        <v>2727</v>
      </c>
      <c r="I531" t="s">
        <v>875</v>
      </c>
      <c r="J531" t="s">
        <v>2728</v>
      </c>
      <c r="K531" t="s">
        <v>2564</v>
      </c>
      <c r="L531" t="s">
        <v>670</v>
      </c>
      <c r="N531">
        <v>9</v>
      </c>
      <c r="O531">
        <v>25</v>
      </c>
      <c r="P531">
        <v>2.0249999999999999E-3</v>
      </c>
      <c r="Q531" s="84" t="e">
        <v>#REF!</v>
      </c>
      <c r="R531" s="85"/>
      <c r="S531" s="85"/>
      <c r="T531" s="86">
        <v>0</v>
      </c>
      <c r="U531" s="84">
        <v>0</v>
      </c>
      <c r="V531" s="84">
        <v>30.792999999999999</v>
      </c>
      <c r="W531" s="84">
        <v>15.3965</v>
      </c>
      <c r="X531" s="82">
        <v>0.35</v>
      </c>
      <c r="Y531" s="82"/>
      <c r="Z531" s="84">
        <v>15.3965</v>
      </c>
      <c r="AA531" s="84">
        <v>30.792999999999999</v>
      </c>
      <c r="AB531" s="88" t="e">
        <v>#DIV/0!</v>
      </c>
      <c r="AC531" t="s">
        <v>2729</v>
      </c>
    </row>
    <row r="532" spans="3:29">
      <c r="C532" t="s">
        <v>2730</v>
      </c>
      <c r="D532" t="s">
        <v>2722</v>
      </c>
      <c r="E532" s="84">
        <v>50.99</v>
      </c>
      <c r="F532" s="84">
        <v>25.495000000000001</v>
      </c>
      <c r="G532" t="s">
        <v>2561</v>
      </c>
      <c r="H532" t="s">
        <v>2731</v>
      </c>
      <c r="I532" t="s">
        <v>875</v>
      </c>
      <c r="J532" t="s">
        <v>2732</v>
      </c>
      <c r="K532" t="s">
        <v>2564</v>
      </c>
      <c r="L532" t="s">
        <v>670</v>
      </c>
      <c r="N532">
        <v>9</v>
      </c>
      <c r="O532">
        <v>30</v>
      </c>
      <c r="P532">
        <v>2.4299999999999999E-3</v>
      </c>
      <c r="Q532" s="84" t="e">
        <v>#REF!</v>
      </c>
      <c r="R532" s="85"/>
      <c r="S532" s="85"/>
      <c r="T532" s="86">
        <v>0</v>
      </c>
      <c r="U532" s="84">
        <v>0</v>
      </c>
      <c r="V532" s="84">
        <v>35.692999999999998</v>
      </c>
      <c r="W532" s="84">
        <v>17.846499999999999</v>
      </c>
      <c r="X532" s="82">
        <v>0.35</v>
      </c>
      <c r="Y532" s="82"/>
      <c r="Z532" s="84">
        <v>17.846499999999999</v>
      </c>
      <c r="AA532" s="84">
        <v>35.692999999999998</v>
      </c>
      <c r="AB532" s="88" t="e">
        <v>#DIV/0!</v>
      </c>
      <c r="AC532" t="s">
        <v>2733</v>
      </c>
    </row>
    <row r="533" spans="3:29">
      <c r="C533" t="s">
        <v>2734</v>
      </c>
      <c r="D533" t="s">
        <v>2735</v>
      </c>
      <c r="E533" s="84">
        <v>66.989999999999995</v>
      </c>
      <c r="F533" s="84">
        <v>33.494999999999997</v>
      </c>
      <c r="G533" t="s">
        <v>2561</v>
      </c>
      <c r="H533" t="s">
        <v>2736</v>
      </c>
      <c r="I533" t="s">
        <v>472</v>
      </c>
      <c r="J533" t="s">
        <v>2737</v>
      </c>
      <c r="K533" t="s">
        <v>2564</v>
      </c>
      <c r="L533" t="s">
        <v>670</v>
      </c>
      <c r="M533">
        <v>10</v>
      </c>
      <c r="N533">
        <v>10</v>
      </c>
      <c r="O533">
        <v>25</v>
      </c>
      <c r="P533">
        <v>2.5000000000000001E-3</v>
      </c>
      <c r="Q533" s="84" t="e">
        <v>#REF!</v>
      </c>
      <c r="R533" s="85"/>
      <c r="S533" s="85"/>
      <c r="T533" s="86">
        <v>0</v>
      </c>
      <c r="U533" s="84">
        <v>0</v>
      </c>
      <c r="V533" s="84">
        <v>46.893000000000001</v>
      </c>
      <c r="W533" s="84">
        <v>23.4465</v>
      </c>
      <c r="X533" s="82">
        <v>0.35</v>
      </c>
      <c r="Y533" s="82"/>
      <c r="Z533" s="84">
        <v>23.4465</v>
      </c>
      <c r="AA533" s="84">
        <v>46.893000000000001</v>
      </c>
      <c r="AB533" s="88" t="e">
        <v>#DIV/0!</v>
      </c>
      <c r="AC533" t="s">
        <v>2738</v>
      </c>
    </row>
    <row r="534" spans="3:29">
      <c r="C534" t="s">
        <v>2739</v>
      </c>
      <c r="D534" t="s">
        <v>2735</v>
      </c>
      <c r="E534" s="84">
        <v>92.99</v>
      </c>
      <c r="F534" s="84">
        <v>46.494999999999997</v>
      </c>
      <c r="G534" t="s">
        <v>2561</v>
      </c>
      <c r="H534" t="s">
        <v>2740</v>
      </c>
      <c r="I534" t="s">
        <v>472</v>
      </c>
      <c r="J534" t="s">
        <v>2741</v>
      </c>
      <c r="K534" t="s">
        <v>2637</v>
      </c>
      <c r="L534" t="s">
        <v>670</v>
      </c>
      <c r="M534">
        <v>10</v>
      </c>
      <c r="N534">
        <v>10</v>
      </c>
      <c r="O534">
        <v>26</v>
      </c>
      <c r="P534">
        <v>2.5999999999999999E-3</v>
      </c>
      <c r="Q534" s="84" t="e">
        <v>#REF!</v>
      </c>
      <c r="R534" s="85"/>
      <c r="S534" s="85"/>
      <c r="T534" s="86">
        <v>0</v>
      </c>
      <c r="U534" s="84">
        <v>0</v>
      </c>
      <c r="V534" s="84">
        <v>65.093000000000004</v>
      </c>
      <c r="W534" s="84">
        <v>32.546500000000002</v>
      </c>
      <c r="X534" s="82">
        <v>0.35</v>
      </c>
      <c r="Y534" s="82"/>
      <c r="Z534" s="84">
        <v>32.546500000000002</v>
      </c>
      <c r="AA534" s="84">
        <v>65.093000000000004</v>
      </c>
      <c r="AB534" s="88" t="e">
        <v>#DIV/0!</v>
      </c>
      <c r="AC534" t="s">
        <v>2738</v>
      </c>
    </row>
    <row r="535" spans="3:29">
      <c r="C535" t="s">
        <v>2742</v>
      </c>
      <c r="D535" t="s">
        <v>2743</v>
      </c>
      <c r="E535" s="84">
        <v>121.99</v>
      </c>
      <c r="F535" s="84">
        <v>60.994999999999997</v>
      </c>
      <c r="G535" t="s">
        <v>2561</v>
      </c>
      <c r="H535" t="s">
        <v>2744</v>
      </c>
      <c r="I535" t="s">
        <v>323</v>
      </c>
      <c r="J535" t="s">
        <v>2745</v>
      </c>
      <c r="K535" t="s">
        <v>2637</v>
      </c>
      <c r="L535" t="s">
        <v>670</v>
      </c>
      <c r="N535">
        <v>21</v>
      </c>
      <c r="O535">
        <v>20</v>
      </c>
      <c r="P535">
        <v>8.8199999999999997E-3</v>
      </c>
      <c r="Q535" s="84" t="e">
        <v>#REF!</v>
      </c>
      <c r="R535" s="85"/>
      <c r="S535" s="85"/>
      <c r="T535" s="86">
        <v>0</v>
      </c>
      <c r="U535" s="84">
        <v>0</v>
      </c>
      <c r="V535" s="84">
        <v>85.393000000000001</v>
      </c>
      <c r="W535" s="84">
        <v>42.6965</v>
      </c>
      <c r="X535" s="82">
        <v>0.35</v>
      </c>
      <c r="Y535" s="82"/>
      <c r="Z535" s="84">
        <v>42.6965</v>
      </c>
      <c r="AA535" s="84">
        <v>85.393000000000001</v>
      </c>
      <c r="AB535" s="88" t="e">
        <v>#DIV/0!</v>
      </c>
      <c r="AC535" t="s">
        <v>2746</v>
      </c>
    </row>
    <row r="536" spans="3:29">
      <c r="C536" t="s">
        <v>2747</v>
      </c>
      <c r="D536" t="s">
        <v>2743</v>
      </c>
      <c r="E536" s="84">
        <v>151.99</v>
      </c>
      <c r="F536" s="84">
        <v>75.995000000000005</v>
      </c>
      <c r="G536" t="s">
        <v>2561</v>
      </c>
      <c r="H536" t="s">
        <v>2748</v>
      </c>
      <c r="I536" t="s">
        <v>323</v>
      </c>
      <c r="J536" t="s">
        <v>2749</v>
      </c>
      <c r="K536" t="s">
        <v>2637</v>
      </c>
      <c r="L536" t="s">
        <v>670</v>
      </c>
      <c r="N536">
        <v>21</v>
      </c>
      <c r="O536">
        <v>35</v>
      </c>
      <c r="P536">
        <v>1.5435000000000001E-2</v>
      </c>
      <c r="Q536" s="84" t="e">
        <v>#REF!</v>
      </c>
      <c r="R536" s="85"/>
      <c r="S536" s="85"/>
      <c r="T536" s="86">
        <v>0</v>
      </c>
      <c r="U536" s="84">
        <v>0</v>
      </c>
      <c r="V536" s="84">
        <v>106.393</v>
      </c>
      <c r="W536" s="84">
        <v>53.1965</v>
      </c>
      <c r="X536" s="82">
        <v>0.35</v>
      </c>
      <c r="Y536" s="82"/>
      <c r="Z536" s="84">
        <v>53.1965</v>
      </c>
      <c r="AA536" s="84">
        <v>106.393</v>
      </c>
      <c r="AB536" s="88" t="e">
        <v>#DIV/0!</v>
      </c>
      <c r="AC536" t="s">
        <v>2750</v>
      </c>
    </row>
    <row r="537" spans="3:29">
      <c r="C537" t="s">
        <v>2751</v>
      </c>
      <c r="D537" t="s">
        <v>2743</v>
      </c>
      <c r="E537" s="84">
        <v>237.99</v>
      </c>
      <c r="F537" s="84">
        <v>118.995</v>
      </c>
      <c r="G537" t="s">
        <v>2561</v>
      </c>
      <c r="H537" t="s">
        <v>2752</v>
      </c>
      <c r="I537" t="s">
        <v>323</v>
      </c>
      <c r="J537" t="s">
        <v>2753</v>
      </c>
      <c r="K537" t="s">
        <v>2637</v>
      </c>
      <c r="L537" t="s">
        <v>670</v>
      </c>
      <c r="N537">
        <v>27</v>
      </c>
      <c r="O537">
        <v>45</v>
      </c>
      <c r="P537">
        <v>3.2805000000000001E-2</v>
      </c>
      <c r="Q537" s="84" t="e">
        <v>#REF!</v>
      </c>
      <c r="R537" s="85"/>
      <c r="S537" s="85"/>
      <c r="T537" s="86">
        <v>0</v>
      </c>
      <c r="U537" s="84">
        <v>0</v>
      </c>
      <c r="V537" s="84">
        <v>166.59299999999999</v>
      </c>
      <c r="W537" s="84">
        <v>83.296499999999995</v>
      </c>
      <c r="X537" s="82">
        <v>0.35</v>
      </c>
      <c r="Y537" s="82"/>
      <c r="Z537" s="84">
        <v>83.296499999999995</v>
      </c>
      <c r="AA537" s="84">
        <v>166.59299999999999</v>
      </c>
      <c r="AB537" s="88" t="e">
        <v>#DIV/0!</v>
      </c>
      <c r="AC537" t="s">
        <v>2754</v>
      </c>
    </row>
    <row r="538" spans="3:29">
      <c r="C538" t="s">
        <v>2755</v>
      </c>
      <c r="D538" t="s">
        <v>2743</v>
      </c>
      <c r="E538" s="84">
        <v>135.99</v>
      </c>
      <c r="F538" s="84">
        <v>67.995000000000005</v>
      </c>
      <c r="G538" t="s">
        <v>2561</v>
      </c>
      <c r="H538" t="s">
        <v>2744</v>
      </c>
      <c r="I538" t="s">
        <v>323</v>
      </c>
      <c r="J538" t="s">
        <v>2745</v>
      </c>
      <c r="K538" t="s">
        <v>2756</v>
      </c>
      <c r="L538" t="s">
        <v>670</v>
      </c>
      <c r="N538">
        <v>21</v>
      </c>
      <c r="O538">
        <v>20</v>
      </c>
      <c r="P538">
        <v>8.8199999999999997E-3</v>
      </c>
      <c r="Q538" s="84" t="e">
        <v>#REF!</v>
      </c>
      <c r="R538" s="85"/>
      <c r="S538" s="85"/>
      <c r="T538" s="86">
        <v>0</v>
      </c>
      <c r="U538" s="84">
        <v>0</v>
      </c>
      <c r="V538" s="84">
        <v>95.192999999999998</v>
      </c>
      <c r="W538" s="84">
        <v>47.596499999999999</v>
      </c>
      <c r="X538" s="82">
        <v>0.35</v>
      </c>
      <c r="Y538" s="82"/>
      <c r="Z538" s="84">
        <v>47.596499999999999</v>
      </c>
      <c r="AA538" s="84">
        <v>95.192999999999998</v>
      </c>
      <c r="AB538" s="88" t="e">
        <v>#DIV/0!</v>
      </c>
      <c r="AC538" t="s">
        <v>2750</v>
      </c>
    </row>
    <row r="539" spans="3:29">
      <c r="C539" t="s">
        <v>2757</v>
      </c>
      <c r="D539" t="s">
        <v>2743</v>
      </c>
      <c r="E539" s="84">
        <v>167.99</v>
      </c>
      <c r="F539" s="84">
        <v>83.995000000000005</v>
      </c>
      <c r="G539" t="s">
        <v>2561</v>
      </c>
      <c r="H539" t="s">
        <v>2748</v>
      </c>
      <c r="I539" t="s">
        <v>323</v>
      </c>
      <c r="J539" t="s">
        <v>2758</v>
      </c>
      <c r="K539" t="s">
        <v>2756</v>
      </c>
      <c r="L539" t="s">
        <v>670</v>
      </c>
      <c r="N539">
        <v>21</v>
      </c>
      <c r="O539">
        <v>35</v>
      </c>
      <c r="P539">
        <v>1.5435000000000001E-2</v>
      </c>
      <c r="Q539" s="84" t="e">
        <v>#REF!</v>
      </c>
      <c r="R539" s="85"/>
      <c r="S539" s="85"/>
      <c r="T539" s="86">
        <v>0</v>
      </c>
      <c r="U539" s="84">
        <v>0</v>
      </c>
      <c r="V539" s="84">
        <v>117.593</v>
      </c>
      <c r="W539" s="84">
        <v>58.796500000000002</v>
      </c>
      <c r="X539" s="82">
        <v>0.35</v>
      </c>
      <c r="Y539" s="82"/>
      <c r="Z539" s="84">
        <v>58.796500000000002</v>
      </c>
      <c r="AA539" s="84">
        <v>117.593</v>
      </c>
      <c r="AB539" s="88" t="e">
        <v>#DIV/0!</v>
      </c>
      <c r="AC539" t="s">
        <v>2759</v>
      </c>
    </row>
    <row r="540" spans="3:29">
      <c r="C540" t="s">
        <v>2760</v>
      </c>
      <c r="D540" t="s">
        <v>2743</v>
      </c>
      <c r="E540" s="84">
        <v>271.99</v>
      </c>
      <c r="F540" s="84">
        <v>135.995</v>
      </c>
      <c r="G540" t="s">
        <v>2561</v>
      </c>
      <c r="H540" t="s">
        <v>2752</v>
      </c>
      <c r="I540" t="s">
        <v>323</v>
      </c>
      <c r="J540" t="s">
        <v>2753</v>
      </c>
      <c r="K540" t="s">
        <v>2756</v>
      </c>
      <c r="L540" t="s">
        <v>670</v>
      </c>
      <c r="N540">
        <v>27</v>
      </c>
      <c r="O540">
        <v>45</v>
      </c>
      <c r="P540">
        <v>3.2805000000000001E-2</v>
      </c>
      <c r="Q540" s="84" t="e">
        <v>#REF!</v>
      </c>
      <c r="R540" s="85"/>
      <c r="S540" s="85"/>
      <c r="T540" s="86">
        <v>0</v>
      </c>
      <c r="U540" s="84">
        <v>0</v>
      </c>
      <c r="V540" s="84">
        <v>190.393</v>
      </c>
      <c r="W540" s="84">
        <v>95.1965</v>
      </c>
      <c r="X540" s="82">
        <v>0.35</v>
      </c>
      <c r="Y540" s="82"/>
      <c r="Z540" s="84">
        <v>95.1965</v>
      </c>
      <c r="AA540" s="84">
        <v>190.393</v>
      </c>
      <c r="AB540" s="88" t="e">
        <v>#DIV/0!</v>
      </c>
      <c r="AC540" t="s">
        <v>2746</v>
      </c>
    </row>
    <row r="541" spans="3:29">
      <c r="C541" t="s">
        <v>2761</v>
      </c>
      <c r="D541" t="s">
        <v>2762</v>
      </c>
      <c r="E541" s="84">
        <v>188.99</v>
      </c>
      <c r="F541" s="84">
        <v>94.495000000000005</v>
      </c>
      <c r="G541" t="s">
        <v>2561</v>
      </c>
      <c r="H541" t="s">
        <v>2763</v>
      </c>
      <c r="I541" t="s">
        <v>328</v>
      </c>
      <c r="J541" t="s">
        <v>2764</v>
      </c>
      <c r="K541" t="s">
        <v>2765</v>
      </c>
      <c r="L541" t="s">
        <v>670</v>
      </c>
      <c r="N541">
        <v>30</v>
      </c>
      <c r="O541">
        <v>30</v>
      </c>
      <c r="P541">
        <v>2.7E-2</v>
      </c>
      <c r="Q541" s="84" t="e">
        <v>#REF!</v>
      </c>
      <c r="R541" s="85"/>
      <c r="S541" s="85"/>
      <c r="T541" s="86">
        <v>0</v>
      </c>
      <c r="U541" s="84">
        <v>0</v>
      </c>
      <c r="V541" s="84">
        <v>132.29300000000001</v>
      </c>
      <c r="W541" s="84">
        <v>66.146500000000003</v>
      </c>
      <c r="X541" s="82">
        <v>0.35</v>
      </c>
      <c r="Y541" s="82"/>
      <c r="Z541" s="84">
        <v>66.146500000000003</v>
      </c>
      <c r="AA541" s="84">
        <v>132.29300000000001</v>
      </c>
      <c r="AB541" s="88" t="e">
        <v>#DIV/0!</v>
      </c>
      <c r="AC541" t="s">
        <v>2766</v>
      </c>
    </row>
    <row r="542" spans="3:29">
      <c r="C542" t="s">
        <v>2767</v>
      </c>
      <c r="D542" t="s">
        <v>2762</v>
      </c>
      <c r="E542" s="84">
        <v>1352.99</v>
      </c>
      <c r="F542" s="84">
        <v>676.495</v>
      </c>
      <c r="G542" t="s">
        <v>2561</v>
      </c>
      <c r="H542" t="s">
        <v>2768</v>
      </c>
      <c r="I542" t="s">
        <v>328</v>
      </c>
      <c r="J542" t="s">
        <v>2769</v>
      </c>
      <c r="K542" t="s">
        <v>2765</v>
      </c>
      <c r="L542" t="s">
        <v>670</v>
      </c>
      <c r="N542">
        <v>35</v>
      </c>
      <c r="O542">
        <v>60</v>
      </c>
      <c r="P542">
        <v>7.3499999999999996E-2</v>
      </c>
      <c r="Q542" s="84" t="e">
        <v>#REF!</v>
      </c>
      <c r="R542" s="85"/>
      <c r="S542" s="85"/>
      <c r="T542" s="86">
        <v>0</v>
      </c>
      <c r="U542" s="84">
        <v>0</v>
      </c>
      <c r="V542" s="84">
        <v>947.09299999999996</v>
      </c>
      <c r="W542" s="84">
        <v>473.54649999999998</v>
      </c>
      <c r="X542" s="82">
        <v>0.35</v>
      </c>
      <c r="Y542" s="82"/>
      <c r="Z542" s="84">
        <v>473.54649999999998</v>
      </c>
      <c r="AA542" s="84">
        <v>947.09299999999996</v>
      </c>
      <c r="AB542" s="88" t="e">
        <v>#DIV/0!</v>
      </c>
      <c r="AC542" t="s">
        <v>2770</v>
      </c>
    </row>
    <row r="543" spans="3:29">
      <c r="C543" t="s">
        <v>2771</v>
      </c>
      <c r="D543" t="s">
        <v>2772</v>
      </c>
      <c r="E543" s="84">
        <v>113.99</v>
      </c>
      <c r="F543" s="84">
        <v>56.994999999999997</v>
      </c>
      <c r="G543" t="s">
        <v>2561</v>
      </c>
      <c r="H543" t="s">
        <v>2773</v>
      </c>
      <c r="I543" t="s">
        <v>763</v>
      </c>
      <c r="J543" t="s">
        <v>2774</v>
      </c>
      <c r="K543" t="s">
        <v>2564</v>
      </c>
      <c r="L543" t="s">
        <v>670</v>
      </c>
      <c r="N543">
        <v>32</v>
      </c>
      <c r="O543">
        <v>20</v>
      </c>
      <c r="P543">
        <v>2.0480000000000002E-2</v>
      </c>
      <c r="Q543" s="84" t="e">
        <v>#REF!</v>
      </c>
      <c r="R543" s="85"/>
      <c r="S543" s="85"/>
      <c r="T543" s="86">
        <v>0</v>
      </c>
      <c r="U543" s="84">
        <v>0</v>
      </c>
      <c r="V543" s="84">
        <v>79.793000000000006</v>
      </c>
      <c r="W543" s="84">
        <v>39.896500000000003</v>
      </c>
      <c r="X543" s="82">
        <v>0.35</v>
      </c>
      <c r="Y543" s="82"/>
      <c r="Z543" s="84">
        <v>39.896500000000003</v>
      </c>
      <c r="AA543" s="84">
        <v>79.793000000000006</v>
      </c>
      <c r="AB543" s="88" t="e">
        <v>#DIV/0!</v>
      </c>
      <c r="AC543" t="s">
        <v>2775</v>
      </c>
    </row>
    <row r="544" spans="3:29">
      <c r="C544" t="s">
        <v>2776</v>
      </c>
      <c r="D544" t="s">
        <v>2772</v>
      </c>
      <c r="E544" s="84">
        <v>195.99</v>
      </c>
      <c r="F544" s="84">
        <v>97.995000000000005</v>
      </c>
      <c r="G544" t="s">
        <v>2561</v>
      </c>
      <c r="H544" t="s">
        <v>2777</v>
      </c>
      <c r="I544" t="s">
        <v>763</v>
      </c>
      <c r="J544" t="s">
        <v>2778</v>
      </c>
      <c r="K544" t="s">
        <v>2564</v>
      </c>
      <c r="L544" t="s">
        <v>670</v>
      </c>
      <c r="N544">
        <v>37</v>
      </c>
      <c r="O544">
        <v>40</v>
      </c>
      <c r="P544">
        <v>5.4760000000000003E-2</v>
      </c>
      <c r="Q544" s="84" t="e">
        <v>#REF!</v>
      </c>
      <c r="R544" s="85"/>
      <c r="S544" s="85"/>
      <c r="T544" s="86">
        <v>0</v>
      </c>
      <c r="U544" s="84">
        <v>0</v>
      </c>
      <c r="V544" s="84">
        <v>137.19300000000001</v>
      </c>
      <c r="W544" s="84">
        <v>68.596500000000006</v>
      </c>
      <c r="X544" s="82">
        <v>0.35</v>
      </c>
      <c r="Y544" s="82"/>
      <c r="Z544" s="84">
        <v>68.596500000000006</v>
      </c>
      <c r="AA544" s="84">
        <v>137.19300000000001</v>
      </c>
      <c r="AB544" s="88" t="e">
        <v>#DIV/0!</v>
      </c>
      <c r="AC544" t="s">
        <v>2779</v>
      </c>
    </row>
    <row r="545" spans="3:29">
      <c r="C545" t="s">
        <v>2780</v>
      </c>
      <c r="D545" t="s">
        <v>2772</v>
      </c>
      <c r="E545" s="84">
        <v>279.99</v>
      </c>
      <c r="F545" s="84">
        <v>139.995</v>
      </c>
      <c r="G545" t="s">
        <v>2561</v>
      </c>
      <c r="H545" t="s">
        <v>2781</v>
      </c>
      <c r="I545" t="s">
        <v>763</v>
      </c>
      <c r="J545" t="s">
        <v>2782</v>
      </c>
      <c r="K545" t="s">
        <v>2564</v>
      </c>
      <c r="L545" t="s">
        <v>670</v>
      </c>
      <c r="N545">
        <v>40</v>
      </c>
      <c r="O545">
        <v>60</v>
      </c>
      <c r="P545">
        <v>9.6000000000000002E-2</v>
      </c>
      <c r="Q545" s="84" t="e">
        <v>#REF!</v>
      </c>
      <c r="R545" s="85"/>
      <c r="S545" s="85"/>
      <c r="T545" s="86">
        <v>0</v>
      </c>
      <c r="U545" s="84">
        <v>0</v>
      </c>
      <c r="V545" s="84">
        <v>195.99299999999999</v>
      </c>
      <c r="W545" s="84">
        <v>97.996499999999997</v>
      </c>
      <c r="X545" s="82">
        <v>0.35</v>
      </c>
      <c r="Y545" s="82"/>
      <c r="Z545" s="84">
        <v>97.996499999999997</v>
      </c>
      <c r="AA545" s="84">
        <v>195.99299999999999</v>
      </c>
      <c r="AB545" s="88" t="e">
        <v>#DIV/0!</v>
      </c>
      <c r="AC545" t="s">
        <v>2783</v>
      </c>
    </row>
    <row r="546" spans="3:29">
      <c r="C546" t="s">
        <v>2784</v>
      </c>
      <c r="D546" t="s">
        <v>2772</v>
      </c>
      <c r="E546" s="84">
        <v>380.99</v>
      </c>
      <c r="F546" s="84">
        <v>190.495</v>
      </c>
      <c r="G546" t="s">
        <v>2561</v>
      </c>
      <c r="H546" t="s">
        <v>2785</v>
      </c>
      <c r="I546" t="s">
        <v>763</v>
      </c>
      <c r="J546" t="s">
        <v>2786</v>
      </c>
      <c r="K546" t="s">
        <v>2637</v>
      </c>
      <c r="L546" t="s">
        <v>670</v>
      </c>
      <c r="N546">
        <v>40</v>
      </c>
      <c r="O546">
        <v>60</v>
      </c>
      <c r="P546">
        <v>9.6000000000000002E-2</v>
      </c>
      <c r="Q546" s="84" t="e">
        <v>#REF!</v>
      </c>
      <c r="R546" s="85"/>
      <c r="S546" s="85"/>
      <c r="T546" s="86">
        <v>0</v>
      </c>
      <c r="U546" s="84">
        <v>0</v>
      </c>
      <c r="V546" s="84">
        <v>266.69299999999998</v>
      </c>
      <c r="W546" s="84">
        <v>133.34649999999999</v>
      </c>
      <c r="X546" s="82">
        <v>0.35</v>
      </c>
      <c r="Y546" s="82"/>
      <c r="Z546" s="84">
        <v>133.34649999999999</v>
      </c>
      <c r="AA546" s="84">
        <v>266.69299999999998</v>
      </c>
      <c r="AB546" s="88" t="e">
        <v>#DIV/0!</v>
      </c>
      <c r="AC546" t="s">
        <v>2779</v>
      </c>
    </row>
    <row r="547" spans="3:29">
      <c r="C547" t="s">
        <v>2787</v>
      </c>
      <c r="D547" t="s">
        <v>2788</v>
      </c>
      <c r="E547" s="84">
        <v>31.99</v>
      </c>
      <c r="F547" s="84">
        <v>15.994999999999999</v>
      </c>
      <c r="G547" t="s">
        <v>2561</v>
      </c>
      <c r="H547" t="s">
        <v>2789</v>
      </c>
      <c r="I547" t="s">
        <v>801</v>
      </c>
      <c r="J547" t="s">
        <v>2790</v>
      </c>
      <c r="K547" t="s">
        <v>2564</v>
      </c>
      <c r="L547" t="s">
        <v>670</v>
      </c>
      <c r="N547">
        <v>4</v>
      </c>
      <c r="O547">
        <v>20</v>
      </c>
      <c r="P547">
        <v>3.2000000000000003E-4</v>
      </c>
      <c r="Q547" s="84" t="e">
        <v>#REF!</v>
      </c>
      <c r="R547" s="85"/>
      <c r="S547" s="85"/>
      <c r="T547" s="86">
        <v>0</v>
      </c>
      <c r="U547" s="84">
        <v>0</v>
      </c>
      <c r="V547" s="84">
        <v>22.393000000000001</v>
      </c>
      <c r="W547" s="84">
        <v>11.1965</v>
      </c>
      <c r="X547" s="82">
        <v>0.35</v>
      </c>
      <c r="Y547" s="82"/>
      <c r="Z547" s="84">
        <v>11.1965</v>
      </c>
      <c r="AA547" s="84">
        <v>22.393000000000001</v>
      </c>
      <c r="AB547" s="88" t="e">
        <v>#DIV/0!</v>
      </c>
      <c r="AC547" t="s">
        <v>2791</v>
      </c>
    </row>
    <row r="548" spans="3:29">
      <c r="C548" t="s">
        <v>2792</v>
      </c>
      <c r="D548" t="s">
        <v>2788</v>
      </c>
      <c r="E548" s="84">
        <v>57.99</v>
      </c>
      <c r="F548" s="84">
        <v>28.995000000000001</v>
      </c>
      <c r="G548" t="s">
        <v>2561</v>
      </c>
      <c r="H548" t="s">
        <v>2793</v>
      </c>
      <c r="I548" t="s">
        <v>801</v>
      </c>
      <c r="J548" t="s">
        <v>2794</v>
      </c>
      <c r="K548" t="s">
        <v>2564</v>
      </c>
      <c r="L548" t="s">
        <v>670</v>
      </c>
      <c r="N548">
        <v>6</v>
      </c>
      <c r="O548">
        <v>60</v>
      </c>
      <c r="P548">
        <v>2.16E-3</v>
      </c>
      <c r="Q548" s="84" t="e">
        <v>#REF!</v>
      </c>
      <c r="R548" s="85"/>
      <c r="S548" s="85"/>
      <c r="T548" s="86">
        <v>0</v>
      </c>
      <c r="U548" s="84">
        <v>0</v>
      </c>
      <c r="V548" s="84">
        <v>40.593000000000004</v>
      </c>
      <c r="W548" s="84">
        <v>20.296500000000002</v>
      </c>
      <c r="X548" s="82">
        <v>0.35</v>
      </c>
      <c r="Y548" s="82"/>
      <c r="Z548" s="84">
        <v>20.296500000000002</v>
      </c>
      <c r="AA548" s="84">
        <v>40.593000000000004</v>
      </c>
      <c r="AB548" s="88" t="e">
        <v>#DIV/0!</v>
      </c>
      <c r="AC548" t="s">
        <v>2795</v>
      </c>
    </row>
    <row r="549" spans="3:29">
      <c r="C549" t="s">
        <v>2796</v>
      </c>
      <c r="D549" t="s">
        <v>2788</v>
      </c>
      <c r="E549" s="84">
        <v>65.989999999999995</v>
      </c>
      <c r="F549" s="84">
        <v>32.994999999999997</v>
      </c>
      <c r="G549" t="s">
        <v>2561</v>
      </c>
      <c r="H549" t="s">
        <v>2797</v>
      </c>
      <c r="I549" t="s">
        <v>801</v>
      </c>
      <c r="J549" t="s">
        <v>2798</v>
      </c>
      <c r="K549" t="s">
        <v>2564</v>
      </c>
      <c r="L549" t="s">
        <v>670</v>
      </c>
      <c r="N549">
        <v>6</v>
      </c>
      <c r="O549">
        <v>70</v>
      </c>
      <c r="P549">
        <v>2.5200000000000001E-3</v>
      </c>
      <c r="Q549" s="84" t="e">
        <v>#REF!</v>
      </c>
      <c r="R549" s="85"/>
      <c r="S549" s="85"/>
      <c r="T549" s="86">
        <v>0</v>
      </c>
      <c r="U549" s="84">
        <v>0</v>
      </c>
      <c r="V549" s="84">
        <v>46.192999999999998</v>
      </c>
      <c r="W549" s="84">
        <v>23.096499999999999</v>
      </c>
      <c r="X549" s="82">
        <v>0.35</v>
      </c>
      <c r="Y549" s="82"/>
      <c r="Z549" s="84">
        <v>23.096499999999999</v>
      </c>
      <c r="AA549" s="84">
        <v>46.192999999999998</v>
      </c>
      <c r="AB549" s="88" t="e">
        <v>#DIV/0!</v>
      </c>
      <c r="AC549" t="s">
        <v>2799</v>
      </c>
    </row>
    <row r="550" spans="3:29">
      <c r="C550" t="s">
        <v>2800</v>
      </c>
      <c r="D550" t="s">
        <v>2788</v>
      </c>
      <c r="E550" s="84">
        <v>73.989999999999995</v>
      </c>
      <c r="F550" s="84">
        <v>36.994999999999997</v>
      </c>
      <c r="G550" t="s">
        <v>2561</v>
      </c>
      <c r="H550" t="s">
        <v>2801</v>
      </c>
      <c r="I550" t="s">
        <v>801</v>
      </c>
      <c r="J550" t="s">
        <v>2802</v>
      </c>
      <c r="K550" t="s">
        <v>2564</v>
      </c>
      <c r="L550" t="s">
        <v>670</v>
      </c>
      <c r="N550">
        <v>6</v>
      </c>
      <c r="O550">
        <v>80</v>
      </c>
      <c r="P550">
        <v>2.8800000000000002E-3</v>
      </c>
      <c r="Q550" s="84" t="e">
        <v>#REF!</v>
      </c>
      <c r="R550" s="85"/>
      <c r="S550" s="85"/>
      <c r="T550" s="86">
        <v>0</v>
      </c>
      <c r="U550" s="84">
        <v>0</v>
      </c>
      <c r="V550" s="84">
        <v>51.792999999999999</v>
      </c>
      <c r="W550" s="84">
        <v>25.8965</v>
      </c>
      <c r="X550" s="82">
        <v>0.35</v>
      </c>
      <c r="Y550" s="82"/>
      <c r="Z550" s="84">
        <v>25.8965</v>
      </c>
      <c r="AA550" s="84">
        <v>51.792999999999999</v>
      </c>
      <c r="AB550" s="88" t="e">
        <v>#DIV/0!</v>
      </c>
      <c r="AC550" t="s">
        <v>2799</v>
      </c>
    </row>
    <row r="551" spans="3:29">
      <c r="C551" t="s">
        <v>2803</v>
      </c>
      <c r="D551" t="s">
        <v>2788</v>
      </c>
      <c r="E551" s="84">
        <v>76.989999999999995</v>
      </c>
      <c r="F551" s="84">
        <v>38.494999999999997</v>
      </c>
      <c r="G551" t="s">
        <v>2561</v>
      </c>
      <c r="H551" t="s">
        <v>2804</v>
      </c>
      <c r="I551" t="s">
        <v>801</v>
      </c>
      <c r="J551" t="s">
        <v>2805</v>
      </c>
      <c r="K551" t="s">
        <v>2637</v>
      </c>
      <c r="L551" t="s">
        <v>670</v>
      </c>
      <c r="N551">
        <v>6</v>
      </c>
      <c r="O551">
        <v>60</v>
      </c>
      <c r="P551">
        <v>2.16E-3</v>
      </c>
      <c r="Q551" s="84" t="e">
        <v>#REF!</v>
      </c>
      <c r="R551" s="85"/>
      <c r="S551" s="85"/>
      <c r="T551" s="86">
        <v>0</v>
      </c>
      <c r="U551" s="84">
        <v>0</v>
      </c>
      <c r="V551" s="84">
        <v>53.893000000000001</v>
      </c>
      <c r="W551" s="84">
        <v>26.9465</v>
      </c>
      <c r="X551" s="82">
        <v>0.35</v>
      </c>
      <c r="Y551" s="82"/>
      <c r="Z551" s="84">
        <v>26.9465</v>
      </c>
      <c r="AA551" s="84">
        <v>53.893000000000001</v>
      </c>
      <c r="AB551" s="88" t="e">
        <v>#DIV/0!</v>
      </c>
      <c r="AC551" t="s">
        <v>2806</v>
      </c>
    </row>
    <row r="552" spans="3:29">
      <c r="C552" t="s">
        <v>2807</v>
      </c>
      <c r="D552" t="s">
        <v>2788</v>
      </c>
      <c r="E552" s="84">
        <v>88.99</v>
      </c>
      <c r="F552" s="84">
        <v>44.494999999999997</v>
      </c>
      <c r="G552" t="s">
        <v>2561</v>
      </c>
      <c r="H552" t="s">
        <v>2808</v>
      </c>
      <c r="I552" t="s">
        <v>801</v>
      </c>
      <c r="J552" t="s">
        <v>2798</v>
      </c>
      <c r="K552" t="s">
        <v>2637</v>
      </c>
      <c r="L552" t="s">
        <v>670</v>
      </c>
      <c r="N552">
        <v>6</v>
      </c>
      <c r="O552">
        <v>70</v>
      </c>
      <c r="P552">
        <v>2.5200000000000001E-3</v>
      </c>
      <c r="Q552" s="84" t="e">
        <v>#REF!</v>
      </c>
      <c r="R552" s="85"/>
      <c r="S552" s="85"/>
      <c r="T552" s="86">
        <v>0</v>
      </c>
      <c r="U552" s="84">
        <v>0</v>
      </c>
      <c r="V552" s="84">
        <v>62.292999999999999</v>
      </c>
      <c r="W552" s="84">
        <v>31.1465</v>
      </c>
      <c r="X552" s="82">
        <v>0.35</v>
      </c>
      <c r="Y552" s="82"/>
      <c r="Z552" s="84">
        <v>31.1465</v>
      </c>
      <c r="AA552" s="84">
        <v>62.292999999999999</v>
      </c>
      <c r="AB552" s="88" t="e">
        <v>#DIV/0!</v>
      </c>
      <c r="AC552" t="s">
        <v>2799</v>
      </c>
    </row>
    <row r="553" spans="3:29" ht="45.75">
      <c r="C553" t="s">
        <v>2809</v>
      </c>
      <c r="D553" t="s">
        <v>2788</v>
      </c>
      <c r="E553" s="84">
        <v>97.99</v>
      </c>
      <c r="F553" s="84">
        <v>48.994999999999997</v>
      </c>
      <c r="G553" t="s">
        <v>2561</v>
      </c>
      <c r="H553" t="s">
        <v>2810</v>
      </c>
      <c r="I553" t="s">
        <v>801</v>
      </c>
      <c r="J553" s="83" t="s">
        <v>2811</v>
      </c>
      <c r="K553" s="83" t="s">
        <v>2812</v>
      </c>
      <c r="L553" t="s">
        <v>670</v>
      </c>
      <c r="P553">
        <v>0</v>
      </c>
      <c r="Q553" s="84" t="e">
        <v>#REF!</v>
      </c>
      <c r="R553" s="85"/>
      <c r="S553" s="85"/>
      <c r="T553" s="86">
        <v>0</v>
      </c>
      <c r="U553" s="84">
        <v>0</v>
      </c>
      <c r="V553" s="84">
        <v>68.593000000000004</v>
      </c>
      <c r="W553" s="84">
        <v>34.296500000000002</v>
      </c>
      <c r="X553" s="82">
        <v>0.35</v>
      </c>
      <c r="Y553" s="82"/>
      <c r="Z553" s="84">
        <v>34.296500000000002</v>
      </c>
      <c r="AA553" s="84">
        <v>68.593000000000004</v>
      </c>
      <c r="AB553" s="88" t="e">
        <v>#DIV/0!</v>
      </c>
      <c r="AC553" t="s">
        <v>2791</v>
      </c>
    </row>
    <row r="554" spans="3:29">
      <c r="C554" t="s">
        <v>2813</v>
      </c>
      <c r="E554" s="84"/>
      <c r="F554" s="82"/>
      <c r="R554" s="85"/>
      <c r="S554" s="85"/>
      <c r="T554" s="86"/>
      <c r="V554" s="84">
        <v>0</v>
      </c>
      <c r="W554" s="84">
        <v>0</v>
      </c>
      <c r="X554" s="82" t="e">
        <v>#DIV/0!</v>
      </c>
      <c r="Y554" s="82">
        <v>0</v>
      </c>
      <c r="Z554" s="82"/>
      <c r="AA554" s="82"/>
      <c r="AB554" s="88" t="e">
        <v>#DIV/0!</v>
      </c>
    </row>
    <row r="555" spans="3:29">
      <c r="C555" t="s">
        <v>2814</v>
      </c>
      <c r="D555" t="s">
        <v>2815</v>
      </c>
      <c r="E555" s="84">
        <v>399.99</v>
      </c>
      <c r="F555" s="84">
        <v>199.995</v>
      </c>
      <c r="G555" t="s">
        <v>2816</v>
      </c>
      <c r="H555" t="s">
        <v>2817</v>
      </c>
      <c r="I555" t="s">
        <v>2818</v>
      </c>
      <c r="J555" t="s">
        <v>2819</v>
      </c>
      <c r="K555" t="s">
        <v>1125</v>
      </c>
      <c r="L555" t="s">
        <v>670</v>
      </c>
      <c r="M555">
        <v>30</v>
      </c>
      <c r="N555">
        <v>30</v>
      </c>
      <c r="O555">
        <v>60</v>
      </c>
      <c r="P555">
        <v>5.3999999999999999E-2</v>
      </c>
      <c r="Q555" s="84" t="e">
        <v>#REF!</v>
      </c>
      <c r="R555" s="85"/>
      <c r="S555" s="85"/>
      <c r="T555" s="86">
        <v>0</v>
      </c>
      <c r="U555" s="84">
        <v>0</v>
      </c>
      <c r="V555" s="84">
        <v>279.99299999999999</v>
      </c>
      <c r="W555" s="84">
        <v>139.9965</v>
      </c>
      <c r="X555" s="82">
        <v>0.35</v>
      </c>
      <c r="Y555" s="82"/>
      <c r="Z555" s="84">
        <v>139.9965</v>
      </c>
      <c r="AA555" s="84">
        <v>279.99299999999999</v>
      </c>
      <c r="AB555" s="88" t="e">
        <v>#DIV/0!</v>
      </c>
      <c r="AC555" t="s">
        <v>2820</v>
      </c>
    </row>
    <row r="556" spans="3:29">
      <c r="C556" t="s">
        <v>2822</v>
      </c>
      <c r="D556" t="s">
        <v>2823</v>
      </c>
      <c r="E556" s="84">
        <v>299.99</v>
      </c>
      <c r="F556" s="84">
        <v>149.995</v>
      </c>
      <c r="G556" t="s">
        <v>2816</v>
      </c>
      <c r="H556" t="s">
        <v>2824</v>
      </c>
      <c r="I556" t="s">
        <v>2825</v>
      </c>
      <c r="J556" t="s">
        <v>2826</v>
      </c>
      <c r="K556" t="s">
        <v>2827</v>
      </c>
      <c r="L556" t="s">
        <v>670</v>
      </c>
      <c r="M556">
        <v>30</v>
      </c>
      <c r="N556">
        <v>30</v>
      </c>
      <c r="O556">
        <v>30</v>
      </c>
      <c r="P556">
        <v>2.7E-2</v>
      </c>
      <c r="Q556" s="84" t="e">
        <v>#REF!</v>
      </c>
      <c r="R556" s="85">
        <v>223656.122492047</v>
      </c>
      <c r="S556" s="85">
        <v>0</v>
      </c>
      <c r="T556" s="86">
        <v>223656.122492047</v>
      </c>
      <c r="U556" s="84">
        <v>14.9104081661365</v>
      </c>
      <c r="V556" s="84">
        <v>209.99299999999999</v>
      </c>
      <c r="W556" s="84">
        <v>104.9965</v>
      </c>
      <c r="X556" s="82">
        <v>0.35</v>
      </c>
      <c r="Y556" s="82"/>
      <c r="Z556" s="84">
        <v>104.9965</v>
      </c>
      <c r="AA556" s="84">
        <v>209.99299999999999</v>
      </c>
      <c r="AB556" s="88">
        <v>7.0418260070479501</v>
      </c>
      <c r="AC556" t="s">
        <v>2828</v>
      </c>
    </row>
    <row r="557" spans="3:29">
      <c r="C557" t="s">
        <v>2829</v>
      </c>
      <c r="D557" t="s">
        <v>2830</v>
      </c>
      <c r="E557" s="84">
        <v>129.99</v>
      </c>
      <c r="F557" s="84">
        <v>64.995000000000005</v>
      </c>
      <c r="G557" t="s">
        <v>2816</v>
      </c>
      <c r="H557" t="s">
        <v>2831</v>
      </c>
      <c r="I557" t="s">
        <v>234</v>
      </c>
      <c r="J557" t="s">
        <v>2832</v>
      </c>
      <c r="K557" t="s">
        <v>2833</v>
      </c>
      <c r="L557" t="s">
        <v>50</v>
      </c>
      <c r="M557">
        <v>45</v>
      </c>
      <c r="N557">
        <v>10</v>
      </c>
      <c r="O557">
        <v>10</v>
      </c>
      <c r="P557">
        <v>4.4999999999999997E-3</v>
      </c>
      <c r="Q557" s="84" t="e">
        <v>#REF!</v>
      </c>
      <c r="R557" s="85"/>
      <c r="S557" s="85"/>
      <c r="T557" s="86">
        <v>0</v>
      </c>
      <c r="U557" s="84">
        <v>0</v>
      </c>
      <c r="V557" s="84">
        <v>90.992999999999995</v>
      </c>
      <c r="W557" s="84">
        <v>45.496499999999997</v>
      </c>
      <c r="X557" s="82">
        <v>0.35</v>
      </c>
      <c r="Y557" s="82"/>
      <c r="Z557" s="84">
        <v>45.496499999999997</v>
      </c>
      <c r="AA557" s="84">
        <v>90.992999999999995</v>
      </c>
      <c r="AB557" s="88" t="e">
        <v>#DIV/0!</v>
      </c>
      <c r="AC557" t="s">
        <v>2834</v>
      </c>
    </row>
    <row r="558" spans="3:29">
      <c r="C558" t="s">
        <v>2836</v>
      </c>
      <c r="D558" t="s">
        <v>2837</v>
      </c>
      <c r="E558" s="84">
        <v>34.99</v>
      </c>
      <c r="F558" s="84">
        <v>17.495000000000001</v>
      </c>
      <c r="G558" t="s">
        <v>2816</v>
      </c>
      <c r="H558" t="s">
        <v>2838</v>
      </c>
      <c r="I558" t="s">
        <v>2839</v>
      </c>
      <c r="K558" t="s">
        <v>2840</v>
      </c>
      <c r="L558" t="s">
        <v>670</v>
      </c>
      <c r="P558">
        <v>0</v>
      </c>
      <c r="Q558" s="84" t="e">
        <v>#REF!</v>
      </c>
      <c r="R558" s="85"/>
      <c r="S558" s="85"/>
      <c r="T558" s="86">
        <v>0</v>
      </c>
      <c r="U558" s="84">
        <v>0</v>
      </c>
      <c r="V558" s="84">
        <v>24.492999999999999</v>
      </c>
      <c r="W558" s="84">
        <v>12.246499999999999</v>
      </c>
      <c r="X558" s="82">
        <v>0.35</v>
      </c>
      <c r="Y558" s="82"/>
      <c r="Z558" s="84">
        <v>12.246499999999999</v>
      </c>
      <c r="AA558" s="84">
        <v>24.492999999999999</v>
      </c>
      <c r="AB558" s="88" t="e">
        <v>#DIV/0!</v>
      </c>
      <c r="AC558" t="s">
        <v>2841</v>
      </c>
    </row>
    <row r="559" spans="3:29">
      <c r="C559" t="s">
        <v>2842</v>
      </c>
      <c r="D559" t="s">
        <v>2830</v>
      </c>
      <c r="E559" s="84">
        <v>149.99</v>
      </c>
      <c r="F559" s="84">
        <v>74.995000000000005</v>
      </c>
      <c r="G559" t="s">
        <v>2816</v>
      </c>
      <c r="H559" t="s">
        <v>2831</v>
      </c>
      <c r="I559" t="s">
        <v>234</v>
      </c>
      <c r="J559" t="s">
        <v>2832</v>
      </c>
      <c r="K559" t="s">
        <v>2833</v>
      </c>
      <c r="L559" t="s">
        <v>50</v>
      </c>
      <c r="M559">
        <v>45</v>
      </c>
      <c r="N559">
        <v>10</v>
      </c>
      <c r="O559">
        <v>10</v>
      </c>
      <c r="P559">
        <v>4.4999999999999997E-3</v>
      </c>
      <c r="Q559" s="84" t="e">
        <v>#REF!</v>
      </c>
      <c r="R559" s="85"/>
      <c r="S559" s="85"/>
      <c r="T559" s="86">
        <v>0</v>
      </c>
      <c r="U559" s="84">
        <v>0</v>
      </c>
      <c r="V559" s="84">
        <v>104.99299999999999</v>
      </c>
      <c r="W559" s="84">
        <v>52.496499999999997</v>
      </c>
      <c r="X559" s="82">
        <v>0.35</v>
      </c>
      <c r="Y559" s="82"/>
      <c r="Z559" s="84">
        <v>52.496499999999997</v>
      </c>
      <c r="AA559" s="84">
        <v>104.99299999999999</v>
      </c>
      <c r="AB559" s="88" t="e">
        <v>#DIV/0!</v>
      </c>
      <c r="AC559" t="s">
        <v>2843</v>
      </c>
    </row>
    <row r="560" spans="3:29">
      <c r="C560" t="s">
        <v>2844</v>
      </c>
      <c r="D560" t="s">
        <v>2845</v>
      </c>
      <c r="E560" s="84">
        <v>279.99</v>
      </c>
      <c r="F560" s="84">
        <v>139.995</v>
      </c>
      <c r="G560" t="s">
        <v>2816</v>
      </c>
      <c r="H560" t="s">
        <v>2846</v>
      </c>
      <c r="I560" t="s">
        <v>2845</v>
      </c>
      <c r="J560" t="s">
        <v>2847</v>
      </c>
      <c r="K560" t="s">
        <v>2848</v>
      </c>
      <c r="L560" t="s">
        <v>50</v>
      </c>
      <c r="M560">
        <v>30</v>
      </c>
      <c r="N560">
        <v>30</v>
      </c>
      <c r="O560">
        <v>180</v>
      </c>
      <c r="P560">
        <v>0.16200000000000001</v>
      </c>
      <c r="Q560" s="84" t="e">
        <v>#REF!</v>
      </c>
      <c r="R560" s="85"/>
      <c r="S560" s="85"/>
      <c r="T560" s="86">
        <v>0</v>
      </c>
      <c r="U560" s="84">
        <v>0</v>
      </c>
      <c r="V560" s="84">
        <v>195.99299999999999</v>
      </c>
      <c r="W560" s="84">
        <v>97.996499999999997</v>
      </c>
      <c r="X560" s="82">
        <v>0.35</v>
      </c>
      <c r="Y560" s="82"/>
      <c r="Z560" s="84">
        <v>97.996499999999997</v>
      </c>
      <c r="AA560" s="84">
        <v>195.99299999999999</v>
      </c>
      <c r="AB560" s="88" t="e">
        <v>#DIV/0!</v>
      </c>
      <c r="AC560" t="s">
        <v>2849</v>
      </c>
    </row>
    <row r="561" spans="3:29">
      <c r="C561" t="s">
        <v>2850</v>
      </c>
      <c r="D561" t="s">
        <v>2851</v>
      </c>
      <c r="E561" s="84">
        <v>339.99</v>
      </c>
      <c r="F561" s="84">
        <v>169.995</v>
      </c>
      <c r="G561" t="s">
        <v>2816</v>
      </c>
      <c r="H561" t="s">
        <v>2852</v>
      </c>
      <c r="I561" t="s">
        <v>2853</v>
      </c>
      <c r="J561" t="s">
        <v>2854</v>
      </c>
      <c r="K561" t="s">
        <v>2855</v>
      </c>
      <c r="L561" t="s">
        <v>646</v>
      </c>
      <c r="M561">
        <v>60</v>
      </c>
      <c r="N561">
        <v>60</v>
      </c>
      <c r="O561">
        <v>100</v>
      </c>
      <c r="P561">
        <v>0.36</v>
      </c>
      <c r="Q561" s="84" t="e">
        <v>#REF!</v>
      </c>
      <c r="R561" s="85"/>
      <c r="S561" s="85"/>
      <c r="T561" s="86">
        <v>0</v>
      </c>
      <c r="U561" s="84">
        <v>0</v>
      </c>
      <c r="V561" s="84">
        <v>237.99299999999999</v>
      </c>
      <c r="W561" s="84">
        <v>118.9965</v>
      </c>
      <c r="X561" s="82">
        <v>0.35</v>
      </c>
      <c r="Y561" s="82"/>
      <c r="Z561" s="84">
        <v>118.9965</v>
      </c>
      <c r="AA561" s="84">
        <v>237.99299999999999</v>
      </c>
      <c r="AB561" s="88" t="e">
        <v>#DIV/0!</v>
      </c>
      <c r="AC561" t="s">
        <v>2856</v>
      </c>
    </row>
    <row r="562" spans="3:29">
      <c r="C562" t="s">
        <v>2858</v>
      </c>
      <c r="D562" t="s">
        <v>2859</v>
      </c>
      <c r="E562" s="84">
        <v>319.99</v>
      </c>
      <c r="F562" s="84">
        <v>159.995</v>
      </c>
      <c r="G562" t="s">
        <v>2816</v>
      </c>
      <c r="H562" t="s">
        <v>2852</v>
      </c>
      <c r="I562" t="s">
        <v>2860</v>
      </c>
      <c r="J562" t="s">
        <v>2854</v>
      </c>
      <c r="K562" t="s">
        <v>2855</v>
      </c>
      <c r="L562" t="s">
        <v>646</v>
      </c>
      <c r="M562">
        <v>60</v>
      </c>
      <c r="N562">
        <v>60</v>
      </c>
      <c r="O562">
        <v>100</v>
      </c>
      <c r="P562">
        <v>0.36</v>
      </c>
      <c r="Q562" s="84" t="e">
        <v>#REF!</v>
      </c>
      <c r="R562" s="85"/>
      <c r="S562" s="85"/>
      <c r="T562" s="86">
        <v>0</v>
      </c>
      <c r="U562" s="84">
        <v>0</v>
      </c>
      <c r="V562" s="84">
        <v>223.99299999999999</v>
      </c>
      <c r="W562" s="84">
        <v>111.9965</v>
      </c>
      <c r="X562" s="82">
        <v>0.35</v>
      </c>
      <c r="Y562" s="82"/>
      <c r="Z562" s="84">
        <v>111.9965</v>
      </c>
      <c r="AA562" s="84">
        <v>223.99299999999999</v>
      </c>
      <c r="AB562" s="88" t="e">
        <v>#DIV/0!</v>
      </c>
      <c r="AC562" t="s">
        <v>2861</v>
      </c>
    </row>
    <row r="563" spans="3:29">
      <c r="C563" t="s">
        <v>2862</v>
      </c>
      <c r="D563" t="s">
        <v>2863</v>
      </c>
      <c r="E563" s="84">
        <v>29.99</v>
      </c>
      <c r="F563" s="84">
        <v>14.994999999999999</v>
      </c>
      <c r="G563" t="s">
        <v>2816</v>
      </c>
      <c r="H563" t="s">
        <v>2864</v>
      </c>
      <c r="I563" t="s">
        <v>799</v>
      </c>
      <c r="J563" t="s">
        <v>2865</v>
      </c>
      <c r="K563" t="s">
        <v>2866</v>
      </c>
      <c r="L563" t="s">
        <v>670</v>
      </c>
      <c r="M563">
        <v>9</v>
      </c>
      <c r="N563">
        <v>9</v>
      </c>
      <c r="O563">
        <v>20</v>
      </c>
      <c r="P563">
        <v>1.6199999999999999E-3</v>
      </c>
      <c r="Q563" s="84" t="e">
        <v>#REF!</v>
      </c>
      <c r="R563" s="85"/>
      <c r="S563" s="85">
        <v>275000</v>
      </c>
      <c r="T563" s="86">
        <v>275000</v>
      </c>
      <c r="U563" s="84">
        <v>18.3333333333333</v>
      </c>
      <c r="V563" s="84">
        <v>20.992999999999999</v>
      </c>
      <c r="W563" s="84">
        <v>10.496499999999999</v>
      </c>
      <c r="X563" s="82">
        <v>0.35</v>
      </c>
      <c r="Y563" s="87">
        <v>27.5</v>
      </c>
      <c r="Z563" s="84">
        <v>27.5</v>
      </c>
      <c r="AA563" s="84">
        <v>55</v>
      </c>
      <c r="AB563" s="88">
        <v>2</v>
      </c>
      <c r="AC563" t="s">
        <v>2867</v>
      </c>
    </row>
    <row r="564" spans="3:29">
      <c r="C564" t="s">
        <v>2868</v>
      </c>
      <c r="D564" t="s">
        <v>2863</v>
      </c>
      <c r="E564" s="84">
        <v>149.99</v>
      </c>
      <c r="F564" s="84">
        <v>74.995000000000005</v>
      </c>
      <c r="G564" t="s">
        <v>2816</v>
      </c>
      <c r="H564" t="s">
        <v>2869</v>
      </c>
      <c r="I564" t="s">
        <v>799</v>
      </c>
      <c r="J564" t="s">
        <v>2870</v>
      </c>
      <c r="K564" t="s">
        <v>2866</v>
      </c>
      <c r="L564" t="s">
        <v>670</v>
      </c>
      <c r="M564">
        <v>25</v>
      </c>
      <c r="N564">
        <v>25</v>
      </c>
      <c r="O564">
        <v>45</v>
      </c>
      <c r="P564">
        <v>2.8125000000000001E-2</v>
      </c>
      <c r="Q564" s="84" t="e">
        <v>#REF!</v>
      </c>
      <c r="R564" s="85"/>
      <c r="S564" s="85">
        <v>850000</v>
      </c>
      <c r="T564" s="86">
        <v>850000</v>
      </c>
      <c r="U564" s="84">
        <v>56.6666666666667</v>
      </c>
      <c r="V564" s="84">
        <v>104.99299999999999</v>
      </c>
      <c r="W564" s="84">
        <v>52.496499999999997</v>
      </c>
      <c r="X564" s="82">
        <v>0.35</v>
      </c>
      <c r="Y564" s="87">
        <v>85</v>
      </c>
      <c r="Z564" s="84">
        <v>85</v>
      </c>
      <c r="AA564" s="84">
        <v>170</v>
      </c>
      <c r="AB564" s="88">
        <v>2</v>
      </c>
      <c r="AC564" t="s">
        <v>2871</v>
      </c>
    </row>
    <row r="565" spans="3:29">
      <c r="C565" t="s">
        <v>2872</v>
      </c>
      <c r="D565" t="s">
        <v>2863</v>
      </c>
      <c r="E565" s="84">
        <v>441.99</v>
      </c>
      <c r="F565" s="84">
        <v>220.995</v>
      </c>
      <c r="G565" t="s">
        <v>2816</v>
      </c>
      <c r="H565" t="s">
        <v>2873</v>
      </c>
      <c r="I565" t="s">
        <v>799</v>
      </c>
      <c r="J565" t="s">
        <v>2819</v>
      </c>
      <c r="K565" t="s">
        <v>2866</v>
      </c>
      <c r="L565" t="s">
        <v>670</v>
      </c>
      <c r="M565">
        <v>30</v>
      </c>
      <c r="N565">
        <v>30</v>
      </c>
      <c r="O565">
        <v>60</v>
      </c>
      <c r="P565">
        <v>5.3999999999999999E-2</v>
      </c>
      <c r="Q565" s="84" t="e">
        <v>#REF!</v>
      </c>
      <c r="R565" s="85"/>
      <c r="S565" s="85">
        <v>3300000</v>
      </c>
      <c r="T565" s="86">
        <v>3300000</v>
      </c>
      <c r="U565" s="84">
        <v>220</v>
      </c>
      <c r="V565" s="84">
        <v>309.39299999999997</v>
      </c>
      <c r="W565" s="84">
        <v>154.69649999999999</v>
      </c>
      <c r="X565" s="82">
        <v>0.35</v>
      </c>
      <c r="Y565" s="87">
        <v>330</v>
      </c>
      <c r="Z565" s="84">
        <v>330</v>
      </c>
      <c r="AA565" s="84">
        <v>660</v>
      </c>
      <c r="AB565" s="88">
        <v>2</v>
      </c>
      <c r="AC565" t="s">
        <v>2874</v>
      </c>
    </row>
    <row r="566" spans="3:29">
      <c r="C566" t="s">
        <v>2875</v>
      </c>
      <c r="D566" t="s">
        <v>2863</v>
      </c>
      <c r="E566" s="84">
        <v>873.99</v>
      </c>
      <c r="F566" s="84">
        <v>436.995</v>
      </c>
      <c r="G566" t="s">
        <v>2816</v>
      </c>
      <c r="H566" t="s">
        <v>2876</v>
      </c>
      <c r="I566" t="s">
        <v>799</v>
      </c>
      <c r="J566" t="s">
        <v>2877</v>
      </c>
      <c r="K566" t="s">
        <v>2866</v>
      </c>
      <c r="L566" t="s">
        <v>670</v>
      </c>
      <c r="M566">
        <v>45</v>
      </c>
      <c r="N566">
        <v>45</v>
      </c>
      <c r="O566">
        <v>80</v>
      </c>
      <c r="P566">
        <v>0.16200000000000001</v>
      </c>
      <c r="Q566" s="84" t="e">
        <v>#REF!</v>
      </c>
      <c r="R566" s="85"/>
      <c r="S566" s="85"/>
      <c r="T566" s="86">
        <v>0</v>
      </c>
      <c r="U566" s="84">
        <v>0</v>
      </c>
      <c r="V566" s="84">
        <v>611.79300000000001</v>
      </c>
      <c r="W566" s="84">
        <v>305.8965</v>
      </c>
      <c r="X566" s="82">
        <v>0.35</v>
      </c>
      <c r="Y566" s="82"/>
      <c r="Z566" s="84">
        <v>305.8965</v>
      </c>
      <c r="AA566" s="84">
        <v>611.79300000000001</v>
      </c>
      <c r="AB566" s="88" t="e">
        <v>#DIV/0!</v>
      </c>
      <c r="AC566" t="s">
        <v>2867</v>
      </c>
    </row>
    <row r="567" spans="3:29">
      <c r="C567" t="s">
        <v>2878</v>
      </c>
      <c r="D567" t="s">
        <v>2879</v>
      </c>
      <c r="E567" s="84">
        <v>10.99</v>
      </c>
      <c r="F567" s="84">
        <v>5.4950000000000001</v>
      </c>
      <c r="G567" t="s">
        <v>2816</v>
      </c>
      <c r="H567" t="s">
        <v>2880</v>
      </c>
      <c r="I567" t="s">
        <v>2881</v>
      </c>
      <c r="J567" t="s">
        <v>2882</v>
      </c>
      <c r="K567" t="s">
        <v>2866</v>
      </c>
      <c r="L567" t="s">
        <v>670</v>
      </c>
      <c r="M567">
        <v>23</v>
      </c>
      <c r="N567">
        <v>19</v>
      </c>
      <c r="O567">
        <v>7</v>
      </c>
      <c r="P567">
        <v>3.0590000000000001E-3</v>
      </c>
      <c r="Q567" s="84" t="e">
        <v>#REF!</v>
      </c>
      <c r="R567" s="85"/>
      <c r="S567" s="85">
        <v>220000</v>
      </c>
      <c r="T567" s="86">
        <v>220000</v>
      </c>
      <c r="U567" s="84">
        <v>14.6666666666667</v>
      </c>
      <c r="V567" s="84">
        <v>7.6929999999999996</v>
      </c>
      <c r="W567" s="84">
        <v>3.8464999999999998</v>
      </c>
      <c r="X567" s="82">
        <v>0.35</v>
      </c>
      <c r="Y567" s="87">
        <v>22</v>
      </c>
      <c r="Z567" s="84">
        <v>22</v>
      </c>
      <c r="AA567" s="84">
        <v>44</v>
      </c>
      <c r="AB567" s="88">
        <v>2</v>
      </c>
      <c r="AC567" t="s">
        <v>2883</v>
      </c>
    </row>
    <row r="568" spans="3:29">
      <c r="C568" t="s">
        <v>2622</v>
      </c>
      <c r="D568" t="s">
        <v>2884</v>
      </c>
      <c r="E568" s="84">
        <v>204.99</v>
      </c>
      <c r="F568" s="84">
        <v>102.495</v>
      </c>
      <c r="G568" t="s">
        <v>2816</v>
      </c>
      <c r="H568" t="s">
        <v>2885</v>
      </c>
      <c r="I568" t="s">
        <v>178</v>
      </c>
      <c r="J568" t="s">
        <v>2626</v>
      </c>
      <c r="K568" t="s">
        <v>2886</v>
      </c>
      <c r="L568" t="s">
        <v>670</v>
      </c>
      <c r="M568">
        <v>35</v>
      </c>
      <c r="N568">
        <v>20</v>
      </c>
      <c r="O568">
        <v>20</v>
      </c>
      <c r="P568">
        <v>1.4E-2</v>
      </c>
      <c r="Q568" s="84" t="e">
        <v>#REF!</v>
      </c>
      <c r="R568" s="85"/>
      <c r="S568" s="85"/>
      <c r="T568" s="86">
        <v>0</v>
      </c>
      <c r="U568" s="84">
        <v>0</v>
      </c>
      <c r="V568" s="84">
        <v>143.49299999999999</v>
      </c>
      <c r="W568" s="84">
        <v>71.746499999999997</v>
      </c>
      <c r="X568" s="82">
        <v>0.35</v>
      </c>
      <c r="Y568" s="82"/>
      <c r="Z568" s="84">
        <v>71.746499999999997</v>
      </c>
      <c r="AA568" s="84">
        <v>143.49299999999999</v>
      </c>
      <c r="AB568" s="88" t="e">
        <v>#DIV/0!</v>
      </c>
      <c r="AC568" t="s">
        <v>2887</v>
      </c>
    </row>
    <row r="569" spans="3:29">
      <c r="C569" t="s">
        <v>2629</v>
      </c>
      <c r="D569" t="s">
        <v>2884</v>
      </c>
      <c r="E569" s="84">
        <v>59.99</v>
      </c>
      <c r="F569" s="84">
        <v>29.995000000000001</v>
      </c>
      <c r="G569" t="s">
        <v>2816</v>
      </c>
      <c r="H569" t="s">
        <v>2885</v>
      </c>
      <c r="I569" t="s">
        <v>178</v>
      </c>
      <c r="J569" t="s">
        <v>2626</v>
      </c>
      <c r="K569" t="s">
        <v>822</v>
      </c>
      <c r="L569" t="s">
        <v>670</v>
      </c>
      <c r="M569">
        <v>35</v>
      </c>
      <c r="N569">
        <v>20</v>
      </c>
      <c r="O569">
        <v>20</v>
      </c>
      <c r="P569">
        <v>1.4E-2</v>
      </c>
      <c r="Q569" s="84" t="e">
        <v>#REF!</v>
      </c>
      <c r="R569" s="85"/>
      <c r="S569" s="85"/>
      <c r="T569" s="86">
        <v>0</v>
      </c>
      <c r="U569" s="84">
        <v>0</v>
      </c>
      <c r="V569" s="84">
        <v>41.993000000000002</v>
      </c>
      <c r="W569" s="84">
        <v>20.996500000000001</v>
      </c>
      <c r="X569" s="82">
        <v>0.35</v>
      </c>
      <c r="Y569" s="82"/>
      <c r="Z569" s="84">
        <v>20.996500000000001</v>
      </c>
      <c r="AA569" s="84">
        <v>41.993000000000002</v>
      </c>
      <c r="AB569" s="88" t="e">
        <v>#DIV/0!</v>
      </c>
      <c r="AC569" t="s">
        <v>2888</v>
      </c>
    </row>
    <row r="570" spans="3:29">
      <c r="C570" t="s">
        <v>2613</v>
      </c>
      <c r="D570" t="s">
        <v>2889</v>
      </c>
      <c r="E570" s="84">
        <v>57.99</v>
      </c>
      <c r="F570" s="84">
        <v>28.995000000000001</v>
      </c>
      <c r="G570" t="s">
        <v>2816</v>
      </c>
      <c r="H570" t="s">
        <v>2890</v>
      </c>
      <c r="I570" t="s">
        <v>2891</v>
      </c>
      <c r="K570" t="s">
        <v>2840</v>
      </c>
      <c r="L570" t="s">
        <v>670</v>
      </c>
      <c r="P570">
        <v>0</v>
      </c>
      <c r="Q570" s="84" t="e">
        <v>#REF!</v>
      </c>
      <c r="R570" s="85"/>
      <c r="S570" s="85"/>
      <c r="T570" s="86">
        <v>0</v>
      </c>
      <c r="U570" s="84">
        <v>0</v>
      </c>
      <c r="V570" s="84">
        <v>40.593000000000004</v>
      </c>
      <c r="W570" s="84">
        <v>20.296500000000002</v>
      </c>
      <c r="X570" s="82">
        <v>0.35</v>
      </c>
      <c r="Y570" s="82"/>
      <c r="Z570" s="84">
        <v>20.296500000000002</v>
      </c>
      <c r="AA570" s="84">
        <v>40.593000000000004</v>
      </c>
      <c r="AB570" s="88" t="e">
        <v>#DIV/0!</v>
      </c>
      <c r="AC570" t="s">
        <v>2892</v>
      </c>
    </row>
    <row r="571" spans="3:29">
      <c r="C571" t="s">
        <v>2618</v>
      </c>
      <c r="D571" t="s">
        <v>2893</v>
      </c>
      <c r="E571" s="84">
        <v>78.989999999999995</v>
      </c>
      <c r="F571" s="84">
        <v>39.494999999999997</v>
      </c>
      <c r="G571" t="s">
        <v>2816</v>
      </c>
      <c r="H571" t="s">
        <v>2894</v>
      </c>
      <c r="I571" t="s">
        <v>2895</v>
      </c>
      <c r="K571" t="s">
        <v>2840</v>
      </c>
      <c r="L571" t="s">
        <v>670</v>
      </c>
      <c r="P571">
        <v>0</v>
      </c>
      <c r="Q571" s="84" t="e">
        <v>#REF!</v>
      </c>
      <c r="R571" s="85"/>
      <c r="S571" s="85"/>
      <c r="T571" s="86">
        <v>0</v>
      </c>
      <c r="U571" s="84">
        <v>0</v>
      </c>
      <c r="V571" s="84">
        <v>55.292999999999999</v>
      </c>
      <c r="W571" s="84">
        <v>27.6465</v>
      </c>
      <c r="X571" s="82">
        <v>0.35</v>
      </c>
      <c r="Y571" s="82"/>
      <c r="Z571" s="84">
        <v>27.6465</v>
      </c>
      <c r="AA571" s="84">
        <v>55.292999999999999</v>
      </c>
      <c r="AB571" s="88" t="e">
        <v>#DIV/0!</v>
      </c>
      <c r="AC571" t="s">
        <v>2896</v>
      </c>
    </row>
    <row r="572" spans="3:29">
      <c r="C572" t="s">
        <v>2897</v>
      </c>
      <c r="D572" t="s">
        <v>2898</v>
      </c>
      <c r="E572" s="84">
        <v>149.99</v>
      </c>
      <c r="F572" s="84">
        <v>74.995000000000005</v>
      </c>
      <c r="G572" t="s">
        <v>2816</v>
      </c>
      <c r="H572" t="s">
        <v>2899</v>
      </c>
      <c r="I572" t="s">
        <v>488</v>
      </c>
      <c r="J572" t="s">
        <v>2900</v>
      </c>
      <c r="K572" t="s">
        <v>2866</v>
      </c>
      <c r="L572" t="s">
        <v>670</v>
      </c>
      <c r="M572">
        <v>50</v>
      </c>
      <c r="N572">
        <v>50</v>
      </c>
      <c r="O572">
        <v>8</v>
      </c>
      <c r="P572">
        <v>0.02</v>
      </c>
      <c r="Q572" s="84" t="e">
        <v>#REF!</v>
      </c>
      <c r="R572" s="85"/>
      <c r="S572" s="85"/>
      <c r="T572" s="86">
        <v>0</v>
      </c>
      <c r="U572" s="84">
        <v>0</v>
      </c>
      <c r="V572" s="84">
        <v>104.99299999999999</v>
      </c>
      <c r="W572" s="84">
        <v>52.496499999999997</v>
      </c>
      <c r="X572" s="82">
        <v>0.35</v>
      </c>
      <c r="Y572" s="82"/>
      <c r="Z572" s="84">
        <v>52.496499999999997</v>
      </c>
      <c r="AA572" s="84">
        <v>104.99299999999999</v>
      </c>
      <c r="AB572" s="88" t="e">
        <v>#DIV/0!</v>
      </c>
      <c r="AC572" t="s">
        <v>2901</v>
      </c>
    </row>
    <row r="573" spans="3:29">
      <c r="C573" t="s">
        <v>2902</v>
      </c>
      <c r="D573" t="s">
        <v>2898</v>
      </c>
      <c r="E573" s="84">
        <v>189.99</v>
      </c>
      <c r="F573" s="84">
        <v>94.995000000000005</v>
      </c>
      <c r="G573" t="s">
        <v>2816</v>
      </c>
      <c r="H573" t="s">
        <v>2903</v>
      </c>
      <c r="I573" t="s">
        <v>488</v>
      </c>
      <c r="J573" t="s">
        <v>2904</v>
      </c>
      <c r="K573" t="s">
        <v>2866</v>
      </c>
      <c r="L573" t="s">
        <v>670</v>
      </c>
      <c r="M573">
        <v>62</v>
      </c>
      <c r="N573">
        <v>62</v>
      </c>
      <c r="O573">
        <v>8</v>
      </c>
      <c r="P573">
        <v>3.0752000000000002E-2</v>
      </c>
      <c r="Q573" s="84" t="e">
        <v>#REF!</v>
      </c>
      <c r="R573" s="85"/>
      <c r="S573" s="85"/>
      <c r="T573" s="86">
        <v>0</v>
      </c>
      <c r="U573" s="84">
        <v>0</v>
      </c>
      <c r="V573" s="84">
        <v>132.99299999999999</v>
      </c>
      <c r="W573" s="84">
        <v>66.496499999999997</v>
      </c>
      <c r="X573" s="82">
        <v>0.35</v>
      </c>
      <c r="Y573" s="82"/>
      <c r="Z573" s="84">
        <v>66.496499999999997</v>
      </c>
      <c r="AA573" s="84">
        <v>132.99299999999999</v>
      </c>
      <c r="AB573" s="88" t="e">
        <v>#DIV/0!</v>
      </c>
      <c r="AC573" t="s">
        <v>2905</v>
      </c>
    </row>
    <row r="574" spans="3:29" ht="60.75">
      <c r="C574" t="s">
        <v>2906</v>
      </c>
      <c r="D574" t="s">
        <v>2907</v>
      </c>
      <c r="E574" s="84"/>
      <c r="F574" s="84">
        <v>0</v>
      </c>
      <c r="G574" t="s">
        <v>2816</v>
      </c>
      <c r="H574" t="s">
        <v>2908</v>
      </c>
      <c r="I574" t="s">
        <v>2909</v>
      </c>
      <c r="J574" t="s">
        <v>2910</v>
      </c>
      <c r="K574" s="83" t="s">
        <v>2911</v>
      </c>
      <c r="L574" t="s">
        <v>646</v>
      </c>
      <c r="M574">
        <v>15</v>
      </c>
      <c r="N574">
        <v>15</v>
      </c>
      <c r="O574">
        <v>40</v>
      </c>
      <c r="P574">
        <v>8.9999999999999993E-3</v>
      </c>
      <c r="Q574" s="84" t="e">
        <v>#REF!</v>
      </c>
      <c r="R574" s="85"/>
      <c r="S574" s="85"/>
      <c r="T574" s="86">
        <v>0</v>
      </c>
      <c r="U574" s="84">
        <v>0</v>
      </c>
      <c r="V574" s="84">
        <v>0</v>
      </c>
      <c r="W574" s="84">
        <v>0</v>
      </c>
      <c r="X574" s="82" t="e">
        <v>#DIV/0!</v>
      </c>
      <c r="Y574" s="82"/>
      <c r="Z574" s="84">
        <v>0</v>
      </c>
      <c r="AA574" s="84">
        <v>0</v>
      </c>
      <c r="AB574" s="88" t="e">
        <v>#DIV/0!</v>
      </c>
      <c r="AC574" t="s">
        <v>2912</v>
      </c>
    </row>
    <row r="575" spans="3:29">
      <c r="C575" t="s">
        <v>2913</v>
      </c>
      <c r="D575" t="s">
        <v>2914</v>
      </c>
      <c r="E575" s="84">
        <v>30.99</v>
      </c>
      <c r="F575" s="84">
        <v>15.494999999999999</v>
      </c>
      <c r="G575" t="s">
        <v>2816</v>
      </c>
      <c r="H575" t="s">
        <v>2915</v>
      </c>
      <c r="I575" t="s">
        <v>241</v>
      </c>
      <c r="J575" t="s">
        <v>2916</v>
      </c>
      <c r="K575" t="s">
        <v>2866</v>
      </c>
      <c r="L575" t="s">
        <v>670</v>
      </c>
      <c r="N575">
        <v>32</v>
      </c>
      <c r="O575">
        <v>5</v>
      </c>
      <c r="P575">
        <v>5.1200000000000004E-3</v>
      </c>
      <c r="Q575" s="84" t="e">
        <v>#REF!</v>
      </c>
      <c r="R575" s="85"/>
      <c r="S575" s="85"/>
      <c r="T575" s="86">
        <v>0</v>
      </c>
      <c r="U575" s="84">
        <v>0</v>
      </c>
      <c r="V575" s="84">
        <v>21.693000000000001</v>
      </c>
      <c r="W575" s="84">
        <v>10.846500000000001</v>
      </c>
      <c r="X575" s="82">
        <v>0.35</v>
      </c>
      <c r="Y575" s="82"/>
      <c r="Z575" s="84">
        <v>10.846500000000001</v>
      </c>
      <c r="AA575" s="84">
        <v>21.693000000000001</v>
      </c>
      <c r="AB575" s="88" t="e">
        <v>#DIV/0!</v>
      </c>
      <c r="AC575" t="s">
        <v>2917</v>
      </c>
    </row>
    <row r="576" spans="3:29">
      <c r="C576" t="s">
        <v>2918</v>
      </c>
      <c r="D576" t="s">
        <v>2914</v>
      </c>
      <c r="E576" s="84">
        <v>91.99</v>
      </c>
      <c r="F576" s="84">
        <v>45.994999999999997</v>
      </c>
      <c r="G576" t="s">
        <v>2816</v>
      </c>
      <c r="H576" t="s">
        <v>2919</v>
      </c>
      <c r="I576" t="s">
        <v>241</v>
      </c>
      <c r="J576" t="s">
        <v>2920</v>
      </c>
      <c r="K576" t="s">
        <v>2866</v>
      </c>
      <c r="L576" t="s">
        <v>670</v>
      </c>
      <c r="N576">
        <v>42</v>
      </c>
      <c r="O576">
        <v>8</v>
      </c>
      <c r="P576">
        <v>1.4112E-2</v>
      </c>
      <c r="Q576" s="84" t="e">
        <v>#REF!</v>
      </c>
      <c r="R576" s="85"/>
      <c r="S576" s="85"/>
      <c r="T576" s="86">
        <v>0</v>
      </c>
      <c r="U576" s="84">
        <v>0</v>
      </c>
      <c r="V576" s="84">
        <v>64.393000000000001</v>
      </c>
      <c r="W576" s="84">
        <v>32.1965</v>
      </c>
      <c r="X576" s="82">
        <v>0.35</v>
      </c>
      <c r="Y576" s="82"/>
      <c r="Z576" s="84">
        <v>32.1965</v>
      </c>
      <c r="AA576" s="84">
        <v>64.393000000000001</v>
      </c>
      <c r="AB576" s="88" t="e">
        <v>#DIV/0!</v>
      </c>
      <c r="AC576" t="s">
        <v>2917</v>
      </c>
    </row>
    <row r="577" spans="3:29">
      <c r="C577" t="s">
        <v>2921</v>
      </c>
      <c r="D577" t="s">
        <v>2914</v>
      </c>
      <c r="E577" s="84">
        <v>176.99</v>
      </c>
      <c r="F577" s="84">
        <v>88.495000000000005</v>
      </c>
      <c r="G577" t="s">
        <v>2816</v>
      </c>
      <c r="H577" t="s">
        <v>2922</v>
      </c>
      <c r="I577" t="s">
        <v>241</v>
      </c>
      <c r="J577" t="s">
        <v>2923</v>
      </c>
      <c r="K577" t="s">
        <v>2866</v>
      </c>
      <c r="L577" t="s">
        <v>670</v>
      </c>
      <c r="N577">
        <v>52</v>
      </c>
      <c r="O577">
        <v>8</v>
      </c>
      <c r="P577">
        <v>2.1631999999999998E-2</v>
      </c>
      <c r="Q577" s="84" t="e">
        <v>#REF!</v>
      </c>
      <c r="R577" s="85"/>
      <c r="S577" s="85"/>
      <c r="T577" s="86">
        <v>0</v>
      </c>
      <c r="U577" s="84">
        <v>0</v>
      </c>
      <c r="V577" s="84">
        <v>123.893</v>
      </c>
      <c r="W577" s="84">
        <v>61.9465</v>
      </c>
      <c r="X577" s="82">
        <v>0.35</v>
      </c>
      <c r="Y577" s="82"/>
      <c r="Z577" s="84">
        <v>61.9465</v>
      </c>
      <c r="AA577" s="84">
        <v>123.893</v>
      </c>
      <c r="AB577" s="88" t="e">
        <v>#DIV/0!</v>
      </c>
      <c r="AC577" t="s">
        <v>2917</v>
      </c>
    </row>
    <row r="578" spans="3:29">
      <c r="C578" t="s">
        <v>2924</v>
      </c>
      <c r="D578" t="s">
        <v>2914</v>
      </c>
      <c r="E578" s="84">
        <v>205.99</v>
      </c>
      <c r="F578" s="84">
        <v>102.995</v>
      </c>
      <c r="G578" t="s">
        <v>2816</v>
      </c>
      <c r="H578" t="s">
        <v>2925</v>
      </c>
      <c r="I578" t="s">
        <v>241</v>
      </c>
      <c r="J578" t="s">
        <v>2926</v>
      </c>
      <c r="K578" t="s">
        <v>2866</v>
      </c>
      <c r="L578" t="s">
        <v>670</v>
      </c>
      <c r="N578">
        <v>62</v>
      </c>
      <c r="O578">
        <v>8</v>
      </c>
      <c r="P578">
        <v>3.0752000000000002E-2</v>
      </c>
      <c r="Q578" s="84" t="e">
        <v>#REF!</v>
      </c>
      <c r="R578" s="85"/>
      <c r="S578" s="85"/>
      <c r="T578" s="86">
        <v>0</v>
      </c>
      <c r="U578" s="84">
        <v>0</v>
      </c>
      <c r="V578" s="84">
        <v>144.19300000000001</v>
      </c>
      <c r="W578" s="84">
        <v>72.096500000000006</v>
      </c>
      <c r="X578" s="82">
        <v>0.35</v>
      </c>
      <c r="Y578" s="82"/>
      <c r="Z578" s="84">
        <v>72.096500000000006</v>
      </c>
      <c r="AA578" s="84">
        <v>144.19300000000001</v>
      </c>
      <c r="AB578" s="88" t="e">
        <v>#DIV/0!</v>
      </c>
      <c r="AC578" t="s">
        <v>2927</v>
      </c>
    </row>
    <row r="579" spans="3:29">
      <c r="C579" t="s">
        <v>2928</v>
      </c>
      <c r="D579" t="s">
        <v>2914</v>
      </c>
      <c r="E579" s="84">
        <v>291.99</v>
      </c>
      <c r="F579" s="84">
        <v>145.995</v>
      </c>
      <c r="G579" t="s">
        <v>2816</v>
      </c>
      <c r="H579" t="s">
        <v>2929</v>
      </c>
      <c r="I579" t="s">
        <v>241</v>
      </c>
      <c r="J579" t="s">
        <v>2930</v>
      </c>
      <c r="K579" t="s">
        <v>2866</v>
      </c>
      <c r="L579" t="s">
        <v>670</v>
      </c>
      <c r="N579">
        <v>72</v>
      </c>
      <c r="O579">
        <v>8</v>
      </c>
      <c r="P579">
        <v>4.1472000000000002E-2</v>
      </c>
      <c r="Q579" s="84" t="e">
        <v>#REF!</v>
      </c>
      <c r="R579" s="85"/>
      <c r="S579" s="85"/>
      <c r="T579" s="86">
        <v>0</v>
      </c>
      <c r="U579" s="84">
        <v>0</v>
      </c>
      <c r="V579" s="84">
        <v>204.393</v>
      </c>
      <c r="W579" s="84">
        <v>102.1965</v>
      </c>
      <c r="X579" s="82">
        <v>0.35</v>
      </c>
      <c r="Y579" s="82"/>
      <c r="Z579" s="84">
        <v>102.1965</v>
      </c>
      <c r="AA579" s="84">
        <v>204.393</v>
      </c>
      <c r="AB579" s="88" t="e">
        <v>#DIV/0!</v>
      </c>
      <c r="AC579" t="s">
        <v>2931</v>
      </c>
    </row>
    <row r="580" spans="3:29">
      <c r="C580" t="s">
        <v>2932</v>
      </c>
      <c r="D580" t="s">
        <v>2933</v>
      </c>
      <c r="E580" s="84">
        <v>44.99</v>
      </c>
      <c r="F580" s="84">
        <v>22.495000000000001</v>
      </c>
      <c r="G580" t="s">
        <v>2816</v>
      </c>
      <c r="H580" t="s">
        <v>2934</v>
      </c>
      <c r="I580" t="s">
        <v>2935</v>
      </c>
      <c r="J580" t="s">
        <v>2936</v>
      </c>
      <c r="K580" t="s">
        <v>2866</v>
      </c>
      <c r="L580" t="s">
        <v>670</v>
      </c>
      <c r="M580">
        <v>15</v>
      </c>
      <c r="N580">
        <v>15</v>
      </c>
      <c r="O580">
        <v>20</v>
      </c>
      <c r="P580">
        <v>4.4999999999999997E-3</v>
      </c>
      <c r="Q580" s="84" t="e">
        <v>#REF!</v>
      </c>
      <c r="R580" s="85"/>
      <c r="S580" s="85">
        <v>350000</v>
      </c>
      <c r="T580" s="86">
        <v>350000</v>
      </c>
      <c r="U580" s="84">
        <v>23.3333333333333</v>
      </c>
      <c r="V580" s="84">
        <v>31.492999999999999</v>
      </c>
      <c r="W580" s="84">
        <v>15.746499999999999</v>
      </c>
      <c r="X580" s="82">
        <v>0.35</v>
      </c>
      <c r="Y580" s="87">
        <v>35</v>
      </c>
      <c r="Z580" s="84">
        <v>35</v>
      </c>
      <c r="AA580" s="84">
        <v>70</v>
      </c>
      <c r="AB580" s="88">
        <v>2</v>
      </c>
      <c r="AC580" t="s">
        <v>2937</v>
      </c>
    </row>
    <row r="581" spans="3:29">
      <c r="C581" t="s">
        <v>2938</v>
      </c>
      <c r="D581" t="s">
        <v>2939</v>
      </c>
      <c r="E581" s="84">
        <v>60.99</v>
      </c>
      <c r="F581" s="84">
        <v>30.495000000000001</v>
      </c>
      <c r="G581" t="s">
        <v>2816</v>
      </c>
      <c r="H581" t="s">
        <v>2940</v>
      </c>
      <c r="I581" t="s">
        <v>2941</v>
      </c>
      <c r="J581" t="s">
        <v>2942</v>
      </c>
      <c r="K581" t="s">
        <v>2943</v>
      </c>
      <c r="L581" t="s">
        <v>646</v>
      </c>
      <c r="M581">
        <v>15</v>
      </c>
      <c r="N581">
        <v>20</v>
      </c>
      <c r="O581">
        <v>50</v>
      </c>
      <c r="P581">
        <v>1.4999999999999999E-2</v>
      </c>
      <c r="Q581" s="84" t="e">
        <v>#REF!</v>
      </c>
      <c r="R581" s="85"/>
      <c r="S581" s="85"/>
      <c r="T581" s="86">
        <v>0</v>
      </c>
      <c r="U581" s="84">
        <v>0</v>
      </c>
      <c r="V581" s="84">
        <v>42.692999999999998</v>
      </c>
      <c r="W581" s="84">
        <v>21.346499999999999</v>
      </c>
      <c r="X581" s="82">
        <v>0.35</v>
      </c>
      <c r="Y581" s="82"/>
      <c r="Z581" s="84">
        <v>21.346499999999999</v>
      </c>
      <c r="AA581" s="84">
        <v>42.692999999999998</v>
      </c>
      <c r="AB581" s="88" t="e">
        <v>#DIV/0!</v>
      </c>
      <c r="AC581" t="s">
        <v>2944</v>
      </c>
    </row>
    <row r="582" spans="3:29">
      <c r="C582" t="s">
        <v>2945</v>
      </c>
      <c r="D582" t="s">
        <v>2946</v>
      </c>
      <c r="E582" s="84"/>
      <c r="F582" s="84">
        <v>0</v>
      </c>
      <c r="G582" t="s">
        <v>2816</v>
      </c>
      <c r="H582" t="s">
        <v>2947</v>
      </c>
      <c r="I582" t="s">
        <v>2948</v>
      </c>
      <c r="J582" t="s">
        <v>2949</v>
      </c>
      <c r="K582" t="s">
        <v>2950</v>
      </c>
      <c r="L582" t="s">
        <v>646</v>
      </c>
      <c r="M582">
        <v>65</v>
      </c>
      <c r="N582">
        <v>80</v>
      </c>
      <c r="O582">
        <v>157</v>
      </c>
      <c r="P582">
        <v>0.81640000000000001</v>
      </c>
      <c r="Q582" s="84" t="e">
        <v>#REF!</v>
      </c>
      <c r="R582" s="85">
        <v>73029.412748667004</v>
      </c>
      <c r="S582" s="85">
        <v>200000</v>
      </c>
      <c r="T582" s="86">
        <v>273029.412748667</v>
      </c>
      <c r="U582" s="84">
        <v>18.201960849911099</v>
      </c>
      <c r="V582" s="84">
        <v>0</v>
      </c>
      <c r="W582" s="84">
        <v>0</v>
      </c>
      <c r="X582" s="82" t="e">
        <v>#DIV/0!</v>
      </c>
      <c r="Y582" s="87">
        <v>36.403921699822298</v>
      </c>
      <c r="Z582" s="84">
        <v>36.403921699822298</v>
      </c>
      <c r="AA582" s="84">
        <v>72.807843399644497</v>
      </c>
      <c r="AB582" s="88">
        <v>2</v>
      </c>
      <c r="AC582" t="s">
        <v>2951</v>
      </c>
    </row>
    <row r="583" spans="3:29" ht="45.75">
      <c r="C583" t="s">
        <v>2952</v>
      </c>
      <c r="D583" t="s">
        <v>2953</v>
      </c>
      <c r="E583" s="84"/>
      <c r="F583" s="84">
        <v>0</v>
      </c>
      <c r="G583" t="s">
        <v>2816</v>
      </c>
      <c r="H583" t="s">
        <v>2947</v>
      </c>
      <c r="I583" t="s">
        <v>2954</v>
      </c>
      <c r="J583" t="s">
        <v>2949</v>
      </c>
      <c r="K583" s="83" t="s">
        <v>2955</v>
      </c>
      <c r="L583" t="s">
        <v>646</v>
      </c>
      <c r="M583">
        <v>65</v>
      </c>
      <c r="N583">
        <v>80</v>
      </c>
      <c r="O583">
        <v>157</v>
      </c>
      <c r="P583">
        <v>0.81640000000000001</v>
      </c>
      <c r="Q583" s="84" t="e">
        <v>#REF!</v>
      </c>
      <c r="R583" s="85"/>
      <c r="S583" s="85"/>
      <c r="T583" s="86">
        <v>0</v>
      </c>
      <c r="U583" s="84">
        <v>0</v>
      </c>
      <c r="V583" s="84">
        <v>0</v>
      </c>
      <c r="W583" s="84">
        <v>0</v>
      </c>
      <c r="X583" s="82" t="e">
        <v>#DIV/0!</v>
      </c>
      <c r="Y583" s="82"/>
      <c r="Z583" s="84">
        <v>0</v>
      </c>
      <c r="AA583" s="84">
        <v>0</v>
      </c>
      <c r="AB583" s="88" t="e">
        <v>#DIV/0!</v>
      </c>
      <c r="AC583" t="s">
        <v>2956</v>
      </c>
    </row>
    <row r="584" spans="3:29">
      <c r="C584" t="s">
        <v>2957</v>
      </c>
      <c r="D584" t="s">
        <v>2958</v>
      </c>
      <c r="E584" s="84">
        <v>179.99</v>
      </c>
      <c r="F584" s="84">
        <v>89.995000000000005</v>
      </c>
      <c r="G584" t="s">
        <v>2816</v>
      </c>
      <c r="H584" t="s">
        <v>2959</v>
      </c>
      <c r="I584" t="s">
        <v>2960</v>
      </c>
      <c r="J584" t="s">
        <v>2961</v>
      </c>
      <c r="K584" t="s">
        <v>2950</v>
      </c>
      <c r="L584" t="s">
        <v>646</v>
      </c>
      <c r="M584">
        <v>40</v>
      </c>
      <c r="N584">
        <v>40</v>
      </c>
      <c r="O584">
        <v>17</v>
      </c>
      <c r="P584">
        <v>2.7199999999999998E-2</v>
      </c>
      <c r="Q584" s="84" t="e">
        <v>#REF!</v>
      </c>
      <c r="R584" s="85"/>
      <c r="S584" s="85"/>
      <c r="T584" s="86">
        <v>0</v>
      </c>
      <c r="U584" s="84">
        <v>0</v>
      </c>
      <c r="V584" s="84">
        <v>125.99299999999999</v>
      </c>
      <c r="W584" s="84">
        <v>62.996499999999997</v>
      </c>
      <c r="X584" s="82">
        <v>0.35</v>
      </c>
      <c r="Y584" s="82"/>
      <c r="Z584" s="84">
        <v>62.996499999999997</v>
      </c>
      <c r="AA584" s="84">
        <v>125.99299999999999</v>
      </c>
      <c r="AB584" s="88" t="e">
        <v>#DIV/0!</v>
      </c>
      <c r="AC584" t="s">
        <v>2962</v>
      </c>
    </row>
    <row r="585" spans="3:29">
      <c r="C585" t="s">
        <v>2963</v>
      </c>
      <c r="D585" t="s">
        <v>2964</v>
      </c>
      <c r="E585" s="84">
        <v>206.99</v>
      </c>
      <c r="F585" s="84">
        <v>103.495</v>
      </c>
      <c r="G585" t="s">
        <v>2816</v>
      </c>
      <c r="H585" t="s">
        <v>2965</v>
      </c>
      <c r="I585" t="s">
        <v>2966</v>
      </c>
      <c r="J585" t="s">
        <v>2967</v>
      </c>
      <c r="K585" t="s">
        <v>2407</v>
      </c>
      <c r="L585" t="s">
        <v>646</v>
      </c>
      <c r="N585">
        <v>30</v>
      </c>
      <c r="O585">
        <v>200</v>
      </c>
      <c r="P585">
        <v>0.18</v>
      </c>
      <c r="Q585" s="84" t="e">
        <v>#REF!</v>
      </c>
      <c r="R585" s="85"/>
      <c r="S585" s="85"/>
      <c r="T585" s="86">
        <v>0</v>
      </c>
      <c r="U585" s="84">
        <v>0</v>
      </c>
      <c r="V585" s="84">
        <v>144.893</v>
      </c>
      <c r="W585" s="84">
        <v>72.4465</v>
      </c>
      <c r="X585" s="82">
        <v>0.35</v>
      </c>
      <c r="Y585" s="82"/>
      <c r="Z585" s="84">
        <v>72.4465</v>
      </c>
      <c r="AA585" s="84">
        <v>144.893</v>
      </c>
      <c r="AB585" s="88" t="e">
        <v>#DIV/0!</v>
      </c>
      <c r="AC585" t="s">
        <v>2968</v>
      </c>
    </row>
    <row r="586" spans="3:29">
      <c r="C586" t="s">
        <v>2969</v>
      </c>
      <c r="D586" t="s">
        <v>2970</v>
      </c>
      <c r="E586" s="84">
        <v>174.99</v>
      </c>
      <c r="F586" s="84">
        <v>87.495000000000005</v>
      </c>
      <c r="G586" t="s">
        <v>2816</v>
      </c>
      <c r="H586" t="s">
        <v>2971</v>
      </c>
      <c r="I586" t="s">
        <v>112</v>
      </c>
      <c r="J586" t="s">
        <v>2972</v>
      </c>
      <c r="K586" t="s">
        <v>2973</v>
      </c>
      <c r="L586" t="s">
        <v>646</v>
      </c>
      <c r="M586">
        <v>70</v>
      </c>
      <c r="N586">
        <v>70</v>
      </c>
      <c r="O586">
        <v>6</v>
      </c>
      <c r="P586">
        <v>2.9399999999999999E-2</v>
      </c>
      <c r="Q586" s="84" t="e">
        <v>#REF!</v>
      </c>
      <c r="R586" s="85"/>
      <c r="S586" s="85"/>
      <c r="T586" s="86">
        <v>0</v>
      </c>
      <c r="U586" s="84">
        <v>0</v>
      </c>
      <c r="V586" s="84">
        <v>122.49299999999999</v>
      </c>
      <c r="W586" s="84">
        <v>61.246499999999997</v>
      </c>
      <c r="X586" s="82">
        <v>0.35</v>
      </c>
      <c r="Y586" s="82"/>
      <c r="Z586" s="84">
        <v>61.246499999999997</v>
      </c>
      <c r="AA586" s="84">
        <v>122.49299999999999</v>
      </c>
      <c r="AB586" s="88" t="e">
        <v>#DIV/0!</v>
      </c>
      <c r="AC586" t="s">
        <v>2974</v>
      </c>
    </row>
    <row r="587" spans="3:29">
      <c r="C587" t="s">
        <v>2975</v>
      </c>
      <c r="D587" t="s">
        <v>2970</v>
      </c>
      <c r="E587" s="84">
        <v>178.99</v>
      </c>
      <c r="F587" s="84">
        <v>89.495000000000005</v>
      </c>
      <c r="G587" t="s">
        <v>2816</v>
      </c>
      <c r="H587" t="s">
        <v>2976</v>
      </c>
      <c r="I587" t="s">
        <v>112</v>
      </c>
      <c r="J587" t="s">
        <v>2977</v>
      </c>
      <c r="K587" t="s">
        <v>2973</v>
      </c>
      <c r="L587" t="s">
        <v>646</v>
      </c>
      <c r="M587">
        <v>50</v>
      </c>
      <c r="N587">
        <v>50</v>
      </c>
      <c r="O587">
        <v>6</v>
      </c>
      <c r="P587">
        <v>1.4999999999999999E-2</v>
      </c>
      <c r="Q587" s="84" t="e">
        <v>#REF!</v>
      </c>
      <c r="R587" s="85"/>
      <c r="S587" s="85"/>
      <c r="T587" s="86">
        <v>0</v>
      </c>
      <c r="U587" s="84">
        <v>0</v>
      </c>
      <c r="V587" s="84">
        <v>125.29300000000001</v>
      </c>
      <c r="W587" s="84">
        <v>62.646500000000003</v>
      </c>
      <c r="X587" s="82">
        <v>0.35</v>
      </c>
      <c r="Y587" s="82"/>
      <c r="Z587" s="84">
        <v>62.646500000000003</v>
      </c>
      <c r="AA587" s="84">
        <v>125.29300000000001</v>
      </c>
      <c r="AB587" s="88" t="e">
        <v>#DIV/0!</v>
      </c>
      <c r="AC587" t="s">
        <v>2978</v>
      </c>
    </row>
    <row r="588" spans="3:29">
      <c r="C588" t="s">
        <v>2979</v>
      </c>
      <c r="D588" t="s">
        <v>2980</v>
      </c>
      <c r="E588" s="84">
        <v>39.99</v>
      </c>
      <c r="F588" s="84">
        <v>19.995000000000001</v>
      </c>
      <c r="G588" t="s">
        <v>2816</v>
      </c>
      <c r="H588" t="s">
        <v>2981</v>
      </c>
      <c r="I588" t="s">
        <v>526</v>
      </c>
      <c r="J588" t="s">
        <v>2982</v>
      </c>
      <c r="K588" t="s">
        <v>2983</v>
      </c>
      <c r="L588" t="s">
        <v>670</v>
      </c>
      <c r="M588">
        <v>6</v>
      </c>
      <c r="N588">
        <v>3</v>
      </c>
      <c r="O588">
        <v>7</v>
      </c>
      <c r="P588">
        <v>1.26E-4</v>
      </c>
      <c r="Q588" s="84" t="e">
        <v>#REF!</v>
      </c>
      <c r="R588" s="85">
        <v>25000</v>
      </c>
      <c r="S588" s="85">
        <v>250000</v>
      </c>
      <c r="T588" s="86">
        <v>275000</v>
      </c>
      <c r="U588" s="84">
        <v>18.3333333333333</v>
      </c>
      <c r="V588" s="84">
        <v>27.992999999999999</v>
      </c>
      <c r="W588" s="84">
        <v>13.996499999999999</v>
      </c>
      <c r="X588" s="82">
        <v>0.35</v>
      </c>
      <c r="Y588" s="87">
        <v>27.5</v>
      </c>
      <c r="Z588" s="84">
        <v>27.5</v>
      </c>
      <c r="AA588" s="84">
        <v>55</v>
      </c>
      <c r="AB588" s="88">
        <v>2</v>
      </c>
      <c r="AC588" t="s">
        <v>2984</v>
      </c>
    </row>
    <row r="589" spans="3:29">
      <c r="C589" t="s">
        <v>2985</v>
      </c>
      <c r="D589" t="s">
        <v>2980</v>
      </c>
      <c r="E589" s="84">
        <v>39.99</v>
      </c>
      <c r="F589" s="84">
        <v>19.995000000000001</v>
      </c>
      <c r="G589" t="s">
        <v>2816</v>
      </c>
      <c r="H589" t="s">
        <v>2986</v>
      </c>
      <c r="I589" t="s">
        <v>526</v>
      </c>
      <c r="J589" t="s">
        <v>2987</v>
      </c>
      <c r="K589" t="s">
        <v>2395</v>
      </c>
      <c r="L589" t="s">
        <v>646</v>
      </c>
      <c r="M589">
        <v>52</v>
      </c>
      <c r="N589">
        <v>7</v>
      </c>
      <c r="O589">
        <v>7</v>
      </c>
      <c r="P589">
        <v>2.5479999999999999E-3</v>
      </c>
      <c r="Q589" s="84" t="e">
        <v>#REF!</v>
      </c>
      <c r="R589" s="85"/>
      <c r="S589" s="85"/>
      <c r="T589" s="86">
        <v>0</v>
      </c>
      <c r="U589" s="84">
        <v>0</v>
      </c>
      <c r="V589" s="84">
        <v>27.992999999999999</v>
      </c>
      <c r="W589" s="84">
        <v>13.996499999999999</v>
      </c>
      <c r="X589" s="82">
        <v>0.35</v>
      </c>
      <c r="Y589" s="82"/>
      <c r="Z589" s="84">
        <v>13.996499999999999</v>
      </c>
      <c r="AA589" s="84">
        <v>27.992999999999999</v>
      </c>
      <c r="AB589" s="88" t="e">
        <v>#DIV/0!</v>
      </c>
      <c r="AC589" t="s">
        <v>2988</v>
      </c>
    </row>
    <row r="590" spans="3:29">
      <c r="C590" t="s">
        <v>2989</v>
      </c>
      <c r="D590" t="s">
        <v>2990</v>
      </c>
      <c r="E590" s="84">
        <v>319.99</v>
      </c>
      <c r="F590" s="84">
        <v>159.995</v>
      </c>
      <c r="G590" t="s">
        <v>2816</v>
      </c>
      <c r="H590" t="s">
        <v>2991</v>
      </c>
      <c r="I590" t="s">
        <v>2992</v>
      </c>
      <c r="J590" t="s">
        <v>2993</v>
      </c>
      <c r="K590" t="s">
        <v>2994</v>
      </c>
      <c r="L590" t="s">
        <v>50</v>
      </c>
      <c r="M590">
        <v>40</v>
      </c>
      <c r="N590">
        <v>30</v>
      </c>
      <c r="O590">
        <v>195</v>
      </c>
      <c r="P590">
        <v>0.23400000000000001</v>
      </c>
      <c r="Q590" s="84" t="e">
        <v>#REF!</v>
      </c>
      <c r="R590" s="85"/>
      <c r="S590" s="85"/>
      <c r="T590" s="86">
        <v>0</v>
      </c>
      <c r="U590" s="84">
        <v>0</v>
      </c>
      <c r="V590" s="84">
        <v>223.99299999999999</v>
      </c>
      <c r="W590" s="84">
        <v>111.9965</v>
      </c>
      <c r="X590" s="82">
        <v>0.35</v>
      </c>
      <c r="Y590" s="82"/>
      <c r="Z590" s="84">
        <v>111.9965</v>
      </c>
      <c r="AA590" s="84">
        <v>223.99299999999999</v>
      </c>
      <c r="AB590" s="88" t="e">
        <v>#DIV/0!</v>
      </c>
      <c r="AC590" t="s">
        <v>2995</v>
      </c>
    </row>
    <row r="591" spans="3:29">
      <c r="C591" t="s">
        <v>2996</v>
      </c>
      <c r="D591" t="s">
        <v>2997</v>
      </c>
      <c r="E591" s="84">
        <v>3.99</v>
      </c>
      <c r="F591" s="84">
        <v>1.9950000000000001</v>
      </c>
      <c r="G591" t="s">
        <v>2816</v>
      </c>
      <c r="H591" t="s">
        <v>2998</v>
      </c>
      <c r="I591" t="s">
        <v>923</v>
      </c>
      <c r="J591" t="s">
        <v>2999</v>
      </c>
      <c r="K591" t="s">
        <v>2973</v>
      </c>
      <c r="L591" t="s">
        <v>646</v>
      </c>
      <c r="N591">
        <v>7</v>
      </c>
      <c r="O591">
        <v>10</v>
      </c>
      <c r="P591">
        <v>4.8999999999999998E-4</v>
      </c>
      <c r="Q591" s="84" t="e">
        <v>#REF!</v>
      </c>
      <c r="R591" s="85"/>
      <c r="S591" s="85"/>
      <c r="T591" s="86">
        <v>0</v>
      </c>
      <c r="U591" s="84">
        <v>0</v>
      </c>
      <c r="V591" s="84">
        <v>2.7930000000000001</v>
      </c>
      <c r="W591" s="84">
        <v>1.3965000000000001</v>
      </c>
      <c r="X591" s="82">
        <v>0.35</v>
      </c>
      <c r="Y591" s="82"/>
      <c r="Z591" s="84">
        <v>1.3965000000000001</v>
      </c>
      <c r="AA591" s="84">
        <v>2.7930000000000001</v>
      </c>
      <c r="AB591" s="88" t="e">
        <v>#DIV/0!</v>
      </c>
      <c r="AC591" t="s">
        <v>3000</v>
      </c>
    </row>
    <row r="592" spans="3:29">
      <c r="C592" t="s">
        <v>3001</v>
      </c>
      <c r="D592" t="s">
        <v>2997</v>
      </c>
      <c r="E592" s="84">
        <v>7.99</v>
      </c>
      <c r="F592" s="84">
        <v>3.9950000000000001</v>
      </c>
      <c r="G592" t="s">
        <v>2816</v>
      </c>
      <c r="H592" t="s">
        <v>3002</v>
      </c>
      <c r="I592" t="s">
        <v>923</v>
      </c>
      <c r="J592" t="s">
        <v>3003</v>
      </c>
      <c r="K592" t="s">
        <v>2973</v>
      </c>
      <c r="L592" t="s">
        <v>646</v>
      </c>
      <c r="N592">
        <v>12</v>
      </c>
      <c r="O592">
        <v>8</v>
      </c>
      <c r="P592">
        <v>1.152E-3</v>
      </c>
      <c r="Q592" s="84" t="e">
        <v>#REF!</v>
      </c>
      <c r="R592" s="85"/>
      <c r="S592" s="85"/>
      <c r="T592" s="86">
        <v>0</v>
      </c>
      <c r="U592" s="84">
        <v>0</v>
      </c>
      <c r="V592" s="84">
        <v>5.593</v>
      </c>
      <c r="W592" s="84">
        <v>2.7965</v>
      </c>
      <c r="X592" s="82">
        <v>0.35</v>
      </c>
      <c r="Y592" s="82"/>
      <c r="Z592" s="84">
        <v>2.7965</v>
      </c>
      <c r="AA592" s="84">
        <v>5.593</v>
      </c>
      <c r="AB592" s="88" t="e">
        <v>#DIV/0!</v>
      </c>
      <c r="AC592" t="s">
        <v>3004</v>
      </c>
    </row>
    <row r="593" spans="3:29">
      <c r="C593" t="s">
        <v>3005</v>
      </c>
      <c r="D593" t="s">
        <v>2997</v>
      </c>
      <c r="E593" s="84">
        <v>23.99</v>
      </c>
      <c r="F593" s="84">
        <v>11.994999999999999</v>
      </c>
      <c r="G593" t="s">
        <v>2816</v>
      </c>
      <c r="H593" t="s">
        <v>3006</v>
      </c>
      <c r="I593" t="s">
        <v>923</v>
      </c>
      <c r="J593" t="s">
        <v>3007</v>
      </c>
      <c r="K593" t="s">
        <v>2973</v>
      </c>
      <c r="L593" t="s">
        <v>646</v>
      </c>
      <c r="N593">
        <v>20</v>
      </c>
      <c r="O593">
        <v>18</v>
      </c>
      <c r="P593">
        <v>7.1999999999999998E-3</v>
      </c>
      <c r="Q593" s="84" t="e">
        <v>#REF!</v>
      </c>
      <c r="R593" s="85"/>
      <c r="S593" s="85"/>
      <c r="T593" s="86">
        <v>0</v>
      </c>
      <c r="U593" s="84">
        <v>0</v>
      </c>
      <c r="V593" s="84">
        <v>16.792999999999999</v>
      </c>
      <c r="W593" s="84">
        <v>8.3964999999999996</v>
      </c>
      <c r="X593" s="82">
        <v>0.35</v>
      </c>
      <c r="Y593" s="82"/>
      <c r="Z593" s="84">
        <v>8.3964999999999996</v>
      </c>
      <c r="AA593" s="84">
        <v>16.792999999999999</v>
      </c>
      <c r="AB593" s="88" t="e">
        <v>#DIV/0!</v>
      </c>
      <c r="AC593" t="s">
        <v>3000</v>
      </c>
    </row>
    <row r="594" spans="3:29">
      <c r="C594" t="s">
        <v>3008</v>
      </c>
      <c r="D594" t="s">
        <v>2997</v>
      </c>
      <c r="E594" s="84">
        <v>32.99</v>
      </c>
      <c r="F594" s="84">
        <v>16.495000000000001</v>
      </c>
      <c r="G594" t="s">
        <v>2816</v>
      </c>
      <c r="H594" t="s">
        <v>3009</v>
      </c>
      <c r="I594" t="s">
        <v>923</v>
      </c>
      <c r="J594" t="s">
        <v>3010</v>
      </c>
      <c r="K594" t="s">
        <v>2973</v>
      </c>
      <c r="L594" t="s">
        <v>646</v>
      </c>
      <c r="N594">
        <v>30</v>
      </c>
      <c r="O594">
        <v>18</v>
      </c>
      <c r="P594">
        <v>1.6199999999999999E-2</v>
      </c>
      <c r="Q594" s="84" t="e">
        <v>#REF!</v>
      </c>
      <c r="R594" s="85"/>
      <c r="S594" s="85"/>
      <c r="T594" s="86">
        <v>0</v>
      </c>
      <c r="U594" s="84">
        <v>0</v>
      </c>
      <c r="V594" s="84">
        <v>23.093</v>
      </c>
      <c r="W594" s="84">
        <v>11.5465</v>
      </c>
      <c r="X594" s="82">
        <v>0.35</v>
      </c>
      <c r="Y594" s="82"/>
      <c r="Z594" s="84">
        <v>11.5465</v>
      </c>
      <c r="AA594" s="84">
        <v>23.093</v>
      </c>
      <c r="AB594" s="88" t="e">
        <v>#DIV/0!</v>
      </c>
      <c r="AC594" t="s">
        <v>3011</v>
      </c>
    </row>
    <row r="595" spans="3:29" ht="45.75">
      <c r="C595" t="s">
        <v>3012</v>
      </c>
      <c r="D595" t="s">
        <v>3013</v>
      </c>
      <c r="E595" s="84">
        <v>24.99</v>
      </c>
      <c r="F595" s="84">
        <v>12.494999999999999</v>
      </c>
      <c r="G595" t="s">
        <v>2816</v>
      </c>
      <c r="H595" t="s">
        <v>3014</v>
      </c>
      <c r="I595" t="s">
        <v>3015</v>
      </c>
      <c r="J595" t="s">
        <v>3016</v>
      </c>
      <c r="K595" s="83" t="s">
        <v>2955</v>
      </c>
      <c r="L595" t="s">
        <v>646</v>
      </c>
      <c r="M595">
        <v>40</v>
      </c>
      <c r="N595">
        <v>2.4</v>
      </c>
      <c r="P595">
        <v>0</v>
      </c>
      <c r="Q595" s="84" t="e">
        <v>#REF!</v>
      </c>
      <c r="R595" s="85"/>
      <c r="S595" s="85"/>
      <c r="T595" s="86">
        <v>0</v>
      </c>
      <c r="U595" s="84">
        <v>0</v>
      </c>
      <c r="V595" s="84">
        <v>17.492999999999999</v>
      </c>
      <c r="W595" s="84">
        <v>8.7464999999999993</v>
      </c>
      <c r="X595" s="82">
        <v>0.35</v>
      </c>
      <c r="Y595" s="82"/>
      <c r="Z595" s="84">
        <v>8.7464999999999993</v>
      </c>
      <c r="AA595" s="84">
        <v>17.492999999999999</v>
      </c>
      <c r="AB595" s="88" t="e">
        <v>#DIV/0!</v>
      </c>
      <c r="AC595" t="s">
        <v>3017</v>
      </c>
    </row>
    <row r="596" spans="3:29">
      <c r="C596" t="s">
        <v>3018</v>
      </c>
      <c r="D596" t="s">
        <v>3019</v>
      </c>
      <c r="E596" s="84">
        <v>44.99</v>
      </c>
      <c r="F596" s="84">
        <v>22.495000000000001</v>
      </c>
      <c r="G596" t="s">
        <v>2816</v>
      </c>
      <c r="H596" t="s">
        <v>3020</v>
      </c>
      <c r="I596" t="s">
        <v>3021</v>
      </c>
      <c r="J596" t="s">
        <v>3022</v>
      </c>
      <c r="K596" t="s">
        <v>2950</v>
      </c>
      <c r="L596" t="s">
        <v>646</v>
      </c>
      <c r="M596">
        <v>47</v>
      </c>
      <c r="N596">
        <v>2.4</v>
      </c>
      <c r="O596">
        <v>23</v>
      </c>
      <c r="P596">
        <v>2.5944000000000002E-3</v>
      </c>
      <c r="Q596" s="84" t="e">
        <v>#REF!</v>
      </c>
      <c r="R596" s="85"/>
      <c r="S596" s="85"/>
      <c r="T596" s="86">
        <v>0</v>
      </c>
      <c r="U596" s="84">
        <v>0</v>
      </c>
      <c r="V596" s="84">
        <v>31.492999999999999</v>
      </c>
      <c r="W596" s="84">
        <v>15.746499999999999</v>
      </c>
      <c r="X596" s="82">
        <v>0.35</v>
      </c>
      <c r="Y596" s="82"/>
      <c r="Z596" s="84">
        <v>15.746499999999999</v>
      </c>
      <c r="AA596" s="84">
        <v>31.492999999999999</v>
      </c>
      <c r="AB596" s="88" t="e">
        <v>#DIV/0!</v>
      </c>
      <c r="AC596" t="s">
        <v>3023</v>
      </c>
    </row>
    <row r="597" spans="3:29">
      <c r="C597" t="s">
        <v>3024</v>
      </c>
      <c r="D597" t="s">
        <v>3025</v>
      </c>
      <c r="E597" s="84">
        <v>139.99</v>
      </c>
      <c r="F597" s="84">
        <v>69.995000000000005</v>
      </c>
      <c r="G597" t="s">
        <v>2816</v>
      </c>
      <c r="H597" t="s">
        <v>3026</v>
      </c>
      <c r="I597" t="s">
        <v>3027</v>
      </c>
      <c r="J597" t="s">
        <v>3028</v>
      </c>
      <c r="K597" t="s">
        <v>2950</v>
      </c>
      <c r="L597" t="s">
        <v>646</v>
      </c>
      <c r="M597">
        <v>150</v>
      </c>
      <c r="N597">
        <v>7</v>
      </c>
      <c r="O597">
        <v>7</v>
      </c>
      <c r="P597">
        <v>7.3499999999999998E-3</v>
      </c>
      <c r="Q597" s="84" t="e">
        <v>#REF!</v>
      </c>
      <c r="R597" s="85"/>
      <c r="S597" s="85"/>
      <c r="T597" s="86">
        <v>0</v>
      </c>
      <c r="U597" s="84">
        <v>0</v>
      </c>
      <c r="V597" s="84">
        <v>97.992999999999995</v>
      </c>
      <c r="W597" s="84">
        <v>48.996499999999997</v>
      </c>
      <c r="X597" s="82">
        <v>0.35</v>
      </c>
      <c r="Y597" s="82"/>
      <c r="Z597" s="84">
        <v>48.996499999999997</v>
      </c>
      <c r="AA597" s="84">
        <v>97.992999999999995</v>
      </c>
      <c r="AB597" s="88" t="e">
        <v>#DIV/0!</v>
      </c>
      <c r="AC597" t="s">
        <v>3029</v>
      </c>
    </row>
    <row r="598" spans="3:29">
      <c r="C598" t="s">
        <v>3030</v>
      </c>
      <c r="D598" t="s">
        <v>3031</v>
      </c>
      <c r="E598" s="84">
        <v>392.99</v>
      </c>
      <c r="F598" s="84">
        <v>196.495</v>
      </c>
      <c r="G598" t="s">
        <v>2816</v>
      </c>
      <c r="H598" t="s">
        <v>3032</v>
      </c>
      <c r="I598" t="s">
        <v>3033</v>
      </c>
      <c r="J598" t="s">
        <v>3034</v>
      </c>
      <c r="K598" t="s">
        <v>3035</v>
      </c>
      <c r="L598" t="s">
        <v>670</v>
      </c>
      <c r="M598">
        <v>80</v>
      </c>
      <c r="N598">
        <v>60</v>
      </c>
      <c r="O598">
        <v>35</v>
      </c>
      <c r="P598">
        <v>0.16800000000000001</v>
      </c>
      <c r="Q598" s="84" t="e">
        <v>#REF!</v>
      </c>
      <c r="R598" s="85"/>
      <c r="S598" s="85"/>
      <c r="T598" s="86">
        <v>0</v>
      </c>
      <c r="U598" s="84">
        <v>0</v>
      </c>
      <c r="V598" s="84">
        <v>275.09300000000002</v>
      </c>
      <c r="W598" s="84">
        <v>137.54650000000001</v>
      </c>
      <c r="X598" s="82">
        <v>0.35</v>
      </c>
      <c r="Y598" s="82"/>
      <c r="Z598" s="84">
        <v>137.54650000000001</v>
      </c>
      <c r="AA598" s="84">
        <v>275.09300000000002</v>
      </c>
      <c r="AB598" s="88" t="e">
        <v>#DIV/0!</v>
      </c>
      <c r="AC598" t="s">
        <v>3036</v>
      </c>
    </row>
    <row r="599" spans="3:29">
      <c r="C599" t="s">
        <v>3037</v>
      </c>
      <c r="D599" t="s">
        <v>3038</v>
      </c>
      <c r="E599" s="84">
        <v>269.99</v>
      </c>
      <c r="F599" s="84">
        <v>134.995</v>
      </c>
      <c r="G599" t="s">
        <v>2816</v>
      </c>
      <c r="H599" t="s">
        <v>3039</v>
      </c>
      <c r="I599" t="s">
        <v>3040</v>
      </c>
      <c r="J599" t="s">
        <v>3041</v>
      </c>
      <c r="K599" t="s">
        <v>3042</v>
      </c>
      <c r="L599" t="s">
        <v>50</v>
      </c>
      <c r="M599">
        <v>53</v>
      </c>
      <c r="N599">
        <v>23</v>
      </c>
      <c r="O599">
        <v>5</v>
      </c>
      <c r="P599">
        <v>6.0949999999999997E-3</v>
      </c>
      <c r="Q599" s="84" t="e">
        <v>#REF!</v>
      </c>
      <c r="R599" s="85">
        <v>385689.20961504499</v>
      </c>
      <c r="S599" s="85">
        <v>0</v>
      </c>
      <c r="T599" s="86">
        <v>385689.20961504499</v>
      </c>
      <c r="U599" s="84">
        <v>25.7126139743363</v>
      </c>
      <c r="V599" s="84">
        <v>188.99299999999999</v>
      </c>
      <c r="W599" s="84">
        <v>94.496499999999997</v>
      </c>
      <c r="X599" s="82">
        <v>0.35</v>
      </c>
      <c r="Y599" s="82"/>
      <c r="Z599" s="84">
        <v>94.496499999999997</v>
      </c>
      <c r="AA599" s="84">
        <v>188.99299999999999</v>
      </c>
      <c r="AB599" s="88">
        <v>3.67510281507422</v>
      </c>
      <c r="AC599" t="s">
        <v>3043</v>
      </c>
    </row>
    <row r="600" spans="3:29">
      <c r="C600" t="s">
        <v>3045</v>
      </c>
      <c r="D600" t="s">
        <v>3046</v>
      </c>
      <c r="E600" s="84">
        <v>14965.99</v>
      </c>
      <c r="F600" s="84">
        <v>7482.9949999999999</v>
      </c>
      <c r="G600" t="s">
        <v>2816</v>
      </c>
      <c r="H600" t="s">
        <v>3047</v>
      </c>
      <c r="I600" t="s">
        <v>3048</v>
      </c>
      <c r="J600" t="s">
        <v>3049</v>
      </c>
      <c r="K600" t="s">
        <v>3035</v>
      </c>
      <c r="L600" t="s">
        <v>670</v>
      </c>
      <c r="M600">
        <v>184</v>
      </c>
      <c r="N600">
        <v>126</v>
      </c>
      <c r="O600">
        <v>85</v>
      </c>
      <c r="P600">
        <v>1.9706399999999999</v>
      </c>
      <c r="Q600" s="84" t="e">
        <v>#REF!</v>
      </c>
      <c r="R600" s="85"/>
      <c r="S600" s="85"/>
      <c r="T600" s="86">
        <v>0</v>
      </c>
      <c r="U600" s="84">
        <v>0</v>
      </c>
      <c r="V600" s="84">
        <v>10476.192999999999</v>
      </c>
      <c r="W600" s="84">
        <v>5238.0964999999997</v>
      </c>
      <c r="X600" s="82">
        <v>0.35</v>
      </c>
      <c r="Y600" s="82"/>
      <c r="Z600" s="84">
        <v>5238.0964999999997</v>
      </c>
      <c r="AA600" s="84">
        <v>10476.192999999999</v>
      </c>
      <c r="AB600" s="88" t="e">
        <v>#DIV/0!</v>
      </c>
      <c r="AC600" t="s">
        <v>3050</v>
      </c>
    </row>
    <row r="601" spans="3:29">
      <c r="C601" t="s">
        <v>3051</v>
      </c>
      <c r="D601" t="s">
        <v>3052</v>
      </c>
      <c r="E601" s="84">
        <v>1565.99</v>
      </c>
      <c r="F601" s="84">
        <v>782.995</v>
      </c>
      <c r="G601" t="s">
        <v>2816</v>
      </c>
      <c r="H601" t="s">
        <v>3053</v>
      </c>
      <c r="I601" t="s">
        <v>3054</v>
      </c>
      <c r="J601" t="s">
        <v>3055</v>
      </c>
      <c r="K601" t="s">
        <v>3035</v>
      </c>
      <c r="L601" t="s">
        <v>670</v>
      </c>
      <c r="M601">
        <v>85</v>
      </c>
      <c r="N601">
        <v>75</v>
      </c>
      <c r="O601">
        <v>40</v>
      </c>
      <c r="P601">
        <v>0.255</v>
      </c>
      <c r="Q601" s="84" t="e">
        <v>#REF!</v>
      </c>
      <c r="R601" s="85">
        <v>61559.470074629899</v>
      </c>
      <c r="S601" s="85">
        <v>3850000</v>
      </c>
      <c r="T601" s="86">
        <v>3911559.4700746299</v>
      </c>
      <c r="U601" s="84">
        <v>260.77063133830899</v>
      </c>
      <c r="V601" s="84">
        <v>1096.193</v>
      </c>
      <c r="W601" s="84">
        <v>548.09649999999999</v>
      </c>
      <c r="X601" s="82">
        <v>0.35</v>
      </c>
      <c r="Y601" s="82"/>
      <c r="Z601" s="84">
        <v>548.09649999999999</v>
      </c>
      <c r="AA601" s="84">
        <v>1096.193</v>
      </c>
      <c r="AB601" s="88">
        <v>2.10183369648299</v>
      </c>
      <c r="AC601" t="s">
        <v>3056</v>
      </c>
    </row>
    <row r="602" spans="3:29">
      <c r="C602" t="s">
        <v>3057</v>
      </c>
      <c r="D602" t="s">
        <v>3058</v>
      </c>
      <c r="E602" s="84">
        <v>661.99</v>
      </c>
      <c r="F602" s="84">
        <v>330.995</v>
      </c>
      <c r="G602" t="s">
        <v>2816</v>
      </c>
      <c r="H602" t="s">
        <v>3059</v>
      </c>
      <c r="I602" t="s">
        <v>3060</v>
      </c>
      <c r="J602" t="s">
        <v>3061</v>
      </c>
      <c r="K602" t="s">
        <v>3035</v>
      </c>
      <c r="L602" t="s">
        <v>670</v>
      </c>
      <c r="N602">
        <v>80</v>
      </c>
      <c r="O602">
        <v>30</v>
      </c>
      <c r="P602">
        <v>0.192</v>
      </c>
      <c r="Q602" s="84" t="e">
        <v>#REF!</v>
      </c>
      <c r="R602" s="85">
        <v>46350.659820899797</v>
      </c>
      <c r="S602" s="85">
        <v>2200000</v>
      </c>
      <c r="T602" s="86">
        <v>2246350.6598208998</v>
      </c>
      <c r="U602" s="84">
        <v>149.75671065472699</v>
      </c>
      <c r="V602" s="84">
        <v>463.39299999999997</v>
      </c>
      <c r="W602" s="84">
        <v>231.69649999999999</v>
      </c>
      <c r="X602" s="82">
        <v>0.35</v>
      </c>
      <c r="Y602" s="87">
        <v>269.56207917850799</v>
      </c>
      <c r="Z602" s="84">
        <v>269.56207917850799</v>
      </c>
      <c r="AA602" s="84">
        <v>539.12415835701597</v>
      </c>
      <c r="AB602" s="88">
        <v>2</v>
      </c>
      <c r="AC602" t="s">
        <v>3062</v>
      </c>
    </row>
    <row r="603" spans="3:29">
      <c r="C603" t="s">
        <v>3063</v>
      </c>
      <c r="D603" t="s">
        <v>3064</v>
      </c>
      <c r="E603" s="84">
        <v>19.989999999999998</v>
      </c>
      <c r="F603" s="84">
        <v>9.9949999999999992</v>
      </c>
      <c r="G603" t="s">
        <v>2816</v>
      </c>
      <c r="H603" t="s">
        <v>3065</v>
      </c>
      <c r="I603" t="s">
        <v>3066</v>
      </c>
      <c r="J603" t="s">
        <v>3067</v>
      </c>
      <c r="K603" t="s">
        <v>3068</v>
      </c>
      <c r="L603" t="s">
        <v>50</v>
      </c>
      <c r="N603">
        <v>8</v>
      </c>
      <c r="O603">
        <v>1.5</v>
      </c>
      <c r="P603">
        <v>9.6000000000000002E-5</v>
      </c>
      <c r="Q603" s="84" t="e">
        <v>#REF!</v>
      </c>
      <c r="R603" s="85"/>
      <c r="S603" s="85"/>
      <c r="T603" s="86">
        <v>0</v>
      </c>
      <c r="U603" s="84">
        <v>0</v>
      </c>
      <c r="V603" s="84">
        <v>13.993</v>
      </c>
      <c r="W603" s="84">
        <v>6.9965000000000002</v>
      </c>
      <c r="X603" s="82">
        <v>0.35</v>
      </c>
      <c r="Y603" s="82"/>
      <c r="Z603" s="84">
        <v>6.9965000000000002</v>
      </c>
      <c r="AA603" s="84">
        <v>13.993</v>
      </c>
      <c r="AB603" s="88" t="e">
        <v>#DIV/0!</v>
      </c>
      <c r="AC603" t="s">
        <v>3069</v>
      </c>
    </row>
    <row r="604" spans="3:29">
      <c r="C604" t="s">
        <v>3070</v>
      </c>
      <c r="D604" t="s">
        <v>3071</v>
      </c>
      <c r="E604" s="84">
        <v>50.99</v>
      </c>
      <c r="F604" s="84">
        <v>25.495000000000001</v>
      </c>
      <c r="G604" t="s">
        <v>2816</v>
      </c>
      <c r="H604" t="s">
        <v>3072</v>
      </c>
      <c r="I604" t="s">
        <v>3073</v>
      </c>
      <c r="J604" t="s">
        <v>3074</v>
      </c>
      <c r="K604" t="s">
        <v>3075</v>
      </c>
      <c r="L604" t="s">
        <v>670</v>
      </c>
      <c r="N604">
        <v>20</v>
      </c>
      <c r="O604">
        <v>12</v>
      </c>
      <c r="P604">
        <v>4.7999999999999996E-3</v>
      </c>
      <c r="Q604" s="84" t="e">
        <v>#REF!</v>
      </c>
      <c r="R604" s="85">
        <v>3259.0307686569899</v>
      </c>
      <c r="S604" s="85">
        <v>220000</v>
      </c>
      <c r="T604" s="86">
        <v>223259.03076865699</v>
      </c>
      <c r="U604" s="84">
        <v>14.8839353845771</v>
      </c>
      <c r="V604" s="84">
        <v>35.692999999999998</v>
      </c>
      <c r="W604" s="84">
        <v>17.846499999999999</v>
      </c>
      <c r="X604" s="82">
        <v>0.35</v>
      </c>
      <c r="Y604" s="87">
        <v>23.8142966153234</v>
      </c>
      <c r="Z604" s="84">
        <v>23.8142966153234</v>
      </c>
      <c r="AA604" s="84">
        <v>47.6285932306468</v>
      </c>
      <c r="AB604" s="88">
        <v>2</v>
      </c>
      <c r="AC604" t="s">
        <v>3076</v>
      </c>
    </row>
    <row r="605" spans="3:29">
      <c r="C605" t="s">
        <v>3077</v>
      </c>
      <c r="D605" t="s">
        <v>3078</v>
      </c>
      <c r="E605" s="84">
        <v>159.99</v>
      </c>
      <c r="F605" s="84">
        <v>79.995000000000005</v>
      </c>
      <c r="G605" t="s">
        <v>2816</v>
      </c>
      <c r="H605" t="s">
        <v>3079</v>
      </c>
      <c r="I605" t="s">
        <v>3080</v>
      </c>
      <c r="J605" t="s">
        <v>3081</v>
      </c>
      <c r="K605" t="s">
        <v>3082</v>
      </c>
      <c r="L605" t="s">
        <v>670</v>
      </c>
      <c r="M605">
        <v>27</v>
      </c>
      <c r="N605">
        <v>8</v>
      </c>
      <c r="O605">
        <v>35</v>
      </c>
      <c r="P605">
        <v>7.5599999999999999E-3</v>
      </c>
      <c r="Q605" s="84" t="e">
        <v>#REF!</v>
      </c>
      <c r="R605" s="85"/>
      <c r="S605" s="85"/>
      <c r="T605" s="86">
        <v>0</v>
      </c>
      <c r="U605" s="84">
        <v>0</v>
      </c>
      <c r="V605" s="84">
        <v>111.99299999999999</v>
      </c>
      <c r="W605" s="84">
        <v>55.996499999999997</v>
      </c>
      <c r="X605" s="82">
        <v>0.35</v>
      </c>
      <c r="Y605" s="82"/>
      <c r="Z605" s="84">
        <v>55.996499999999997</v>
      </c>
      <c r="AA605" s="84">
        <v>111.99299999999999</v>
      </c>
      <c r="AB605" s="88" t="e">
        <v>#DIV/0!</v>
      </c>
      <c r="AC605" t="s">
        <v>3083</v>
      </c>
    </row>
    <row r="606" spans="3:29">
      <c r="C606" t="s">
        <v>3084</v>
      </c>
      <c r="E606" s="84"/>
      <c r="F606" s="82"/>
      <c r="R606" s="85"/>
      <c r="S606" s="85"/>
      <c r="T606" s="86"/>
      <c r="V606" s="84">
        <v>0</v>
      </c>
      <c r="W606" s="84">
        <v>0</v>
      </c>
      <c r="X606" s="82" t="e">
        <v>#DIV/0!</v>
      </c>
      <c r="Y606" s="82">
        <v>0</v>
      </c>
      <c r="Z606" s="82"/>
      <c r="AA606" s="82"/>
      <c r="AB606" s="88" t="e">
        <v>#DIV/0!</v>
      </c>
    </row>
    <row r="607" spans="3:29">
      <c r="C607" t="s">
        <v>3085</v>
      </c>
      <c r="D607" t="s">
        <v>3086</v>
      </c>
      <c r="E607" s="84"/>
      <c r="F607" s="84">
        <v>0</v>
      </c>
      <c r="G607" t="s">
        <v>3087</v>
      </c>
      <c r="H607" t="s">
        <v>3088</v>
      </c>
      <c r="I607" t="s">
        <v>338</v>
      </c>
      <c r="J607" t="s">
        <v>3089</v>
      </c>
      <c r="K607" t="s">
        <v>3090</v>
      </c>
      <c r="L607" t="s">
        <v>670</v>
      </c>
      <c r="M607">
        <v>18</v>
      </c>
      <c r="N607">
        <v>8</v>
      </c>
      <c r="O607">
        <v>100</v>
      </c>
      <c r="P607">
        <v>1.44E-2</v>
      </c>
      <c r="Q607" s="84" t="e">
        <v>#REF!</v>
      </c>
      <c r="R607" s="85">
        <v>217813.799486567</v>
      </c>
      <c r="S607" s="85">
        <v>0</v>
      </c>
      <c r="T607" s="86">
        <v>217813.799486567</v>
      </c>
      <c r="U607" s="84">
        <v>14.5209199657711</v>
      </c>
      <c r="V607" s="84">
        <v>0</v>
      </c>
      <c r="W607" s="84">
        <v>0</v>
      </c>
      <c r="X607" s="82" t="e">
        <v>#DIV/0!</v>
      </c>
      <c r="Y607" s="87">
        <v>43.562759897313398</v>
      </c>
      <c r="Z607" s="84">
        <v>43.562759897313398</v>
      </c>
      <c r="AA607" s="84">
        <v>87.125519794626896</v>
      </c>
      <c r="AB607" s="88">
        <v>2</v>
      </c>
      <c r="AC607" t="s">
        <v>3091</v>
      </c>
    </row>
    <row r="608" spans="3:29">
      <c r="C608" t="s">
        <v>3093</v>
      </c>
      <c r="D608" t="s">
        <v>3086</v>
      </c>
      <c r="E608" s="84">
        <v>199.99</v>
      </c>
      <c r="F608" s="84">
        <v>99.995000000000005</v>
      </c>
      <c r="G608" t="s">
        <v>3087</v>
      </c>
      <c r="H608" t="s">
        <v>3088</v>
      </c>
      <c r="I608" t="s">
        <v>338</v>
      </c>
      <c r="J608" t="s">
        <v>3094</v>
      </c>
      <c r="K608" t="s">
        <v>3090</v>
      </c>
      <c r="L608" t="s">
        <v>670</v>
      </c>
      <c r="M608">
        <v>18</v>
      </c>
      <c r="N608">
        <v>8</v>
      </c>
      <c r="O608">
        <v>100</v>
      </c>
      <c r="P608">
        <v>1.44E-2</v>
      </c>
      <c r="Q608" s="84" t="e">
        <v>#REF!</v>
      </c>
      <c r="R608" s="85">
        <v>217813.799486567</v>
      </c>
      <c r="S608" s="85">
        <v>0</v>
      </c>
      <c r="T608" s="86">
        <v>217813.799486567</v>
      </c>
      <c r="U608" s="84">
        <v>14.5209199657711</v>
      </c>
      <c r="V608" s="84">
        <v>139.99299999999999</v>
      </c>
      <c r="W608" s="84">
        <v>69.996499999999997</v>
      </c>
      <c r="X608" s="82">
        <v>0.35</v>
      </c>
      <c r="Y608" s="82"/>
      <c r="Z608" s="84">
        <v>69.996499999999997</v>
      </c>
      <c r="AA608" s="84">
        <v>139.99299999999999</v>
      </c>
      <c r="AB608" s="88">
        <v>4.82039017947874</v>
      </c>
      <c r="AC608" t="s">
        <v>3091</v>
      </c>
    </row>
    <row r="609" spans="3:29">
      <c r="C609" t="s">
        <v>3095</v>
      </c>
      <c r="D609" t="s">
        <v>3086</v>
      </c>
      <c r="E609" s="84">
        <v>199.99</v>
      </c>
      <c r="F609" s="84">
        <v>99.995000000000005</v>
      </c>
      <c r="G609" t="s">
        <v>3087</v>
      </c>
      <c r="H609" t="s">
        <v>3088</v>
      </c>
      <c r="I609" t="s">
        <v>338</v>
      </c>
      <c r="J609" t="s">
        <v>3096</v>
      </c>
      <c r="K609" t="s">
        <v>3090</v>
      </c>
      <c r="L609" t="s">
        <v>50</v>
      </c>
      <c r="M609">
        <v>18</v>
      </c>
      <c r="N609">
        <v>8</v>
      </c>
      <c r="O609">
        <v>100</v>
      </c>
      <c r="P609">
        <v>1.44E-2</v>
      </c>
      <c r="Q609" s="84" t="e">
        <v>#REF!</v>
      </c>
      <c r="R609" s="85">
        <v>217813.799486567</v>
      </c>
      <c r="S609" s="85">
        <v>0</v>
      </c>
      <c r="T609" s="86">
        <v>217813.799486567</v>
      </c>
      <c r="U609" s="84">
        <v>14.5209199657711</v>
      </c>
      <c r="V609" s="84">
        <v>139.99299999999999</v>
      </c>
      <c r="W609" s="84">
        <v>69.996499999999997</v>
      </c>
      <c r="X609" s="82">
        <v>0.35</v>
      </c>
      <c r="Y609" s="82"/>
      <c r="Z609" s="84">
        <v>69.996499999999997</v>
      </c>
      <c r="AA609" s="84">
        <v>139.99299999999999</v>
      </c>
      <c r="AB609" s="88">
        <v>4.82039017947874</v>
      </c>
      <c r="AC609" t="s">
        <v>3097</v>
      </c>
    </row>
    <row r="610" spans="3:29">
      <c r="C610" t="s">
        <v>3098</v>
      </c>
      <c r="D610" t="s">
        <v>3099</v>
      </c>
      <c r="E610" s="84">
        <v>129.99</v>
      </c>
      <c r="F610" s="84">
        <v>64.995000000000005</v>
      </c>
      <c r="G610" t="s">
        <v>3087</v>
      </c>
      <c r="H610" t="s">
        <v>3100</v>
      </c>
      <c r="I610" t="s">
        <v>445</v>
      </c>
      <c r="J610" t="s">
        <v>3101</v>
      </c>
      <c r="K610" t="s">
        <v>3090</v>
      </c>
      <c r="L610" t="s">
        <v>50</v>
      </c>
      <c r="M610">
        <v>40</v>
      </c>
      <c r="N610">
        <v>40</v>
      </c>
      <c r="O610">
        <v>3</v>
      </c>
      <c r="P610">
        <v>4.7999999999999996E-3</v>
      </c>
      <c r="Q610" s="84" t="e">
        <v>#REF!</v>
      </c>
      <c r="R610" s="85">
        <v>144160.266495522</v>
      </c>
      <c r="S610" s="85">
        <v>0</v>
      </c>
      <c r="T610" s="86">
        <v>144160.266495522</v>
      </c>
      <c r="U610" s="84">
        <v>9.6106844330348302</v>
      </c>
      <c r="V610" s="84">
        <v>90.992999999999995</v>
      </c>
      <c r="W610" s="84">
        <v>45.496499999999997</v>
      </c>
      <c r="X610" s="82">
        <v>0.35</v>
      </c>
      <c r="Y610" s="82"/>
      <c r="Z610" s="84">
        <v>45.496499999999997</v>
      </c>
      <c r="AA610" s="84">
        <v>90.992999999999995</v>
      </c>
      <c r="AB610" s="88">
        <v>4.7339500445581999</v>
      </c>
      <c r="AC610" t="s">
        <v>3102</v>
      </c>
    </row>
    <row r="611" spans="3:29">
      <c r="C611" t="s">
        <v>3103</v>
      </c>
      <c r="D611" t="s">
        <v>3099</v>
      </c>
      <c r="E611" s="84">
        <v>199.99</v>
      </c>
      <c r="F611" s="84">
        <v>99.995000000000005</v>
      </c>
      <c r="G611" t="s">
        <v>3087</v>
      </c>
      <c r="H611" t="s">
        <v>3104</v>
      </c>
      <c r="I611" t="s">
        <v>445</v>
      </c>
      <c r="J611" t="s">
        <v>3105</v>
      </c>
      <c r="K611" t="s">
        <v>3090</v>
      </c>
      <c r="L611" t="s">
        <v>50</v>
      </c>
      <c r="M611">
        <v>60</v>
      </c>
      <c r="N611">
        <v>60</v>
      </c>
      <c r="O611">
        <v>3</v>
      </c>
      <c r="P611">
        <v>1.0800000000000001E-2</v>
      </c>
      <c r="Q611" s="84" t="e">
        <v>#REF!</v>
      </c>
      <c r="R611" s="85">
        <v>254295.964614925</v>
      </c>
      <c r="S611" s="85">
        <v>0</v>
      </c>
      <c r="T611" s="86">
        <v>254295.964614925</v>
      </c>
      <c r="U611" s="84">
        <v>16.953064307661698</v>
      </c>
      <c r="V611" s="84">
        <v>139.99299999999999</v>
      </c>
      <c r="W611" s="84">
        <v>69.996499999999997</v>
      </c>
      <c r="X611" s="82">
        <v>0.35</v>
      </c>
      <c r="Y611" s="82"/>
      <c r="Z611" s="84">
        <v>69.996499999999997</v>
      </c>
      <c r="AA611" s="84">
        <v>139.99299999999999</v>
      </c>
      <c r="AB611" s="88">
        <v>4.1288405877376499</v>
      </c>
      <c r="AC611" t="s">
        <v>3106</v>
      </c>
    </row>
    <row r="612" spans="3:29">
      <c r="C612" t="s">
        <v>3107</v>
      </c>
      <c r="D612" t="s">
        <v>3099</v>
      </c>
      <c r="E612" s="84">
        <v>659.99</v>
      </c>
      <c r="F612" s="84">
        <v>329.995</v>
      </c>
      <c r="G612" t="s">
        <v>3087</v>
      </c>
      <c r="H612" t="s">
        <v>3108</v>
      </c>
      <c r="I612" t="s">
        <v>445</v>
      </c>
      <c r="J612" t="s">
        <v>3109</v>
      </c>
      <c r="K612" t="s">
        <v>3090</v>
      </c>
      <c r="L612" t="s">
        <v>50</v>
      </c>
      <c r="M612">
        <v>220</v>
      </c>
      <c r="N612">
        <v>80</v>
      </c>
      <c r="O612">
        <v>3</v>
      </c>
      <c r="P612">
        <v>5.28E-2</v>
      </c>
      <c r="Q612" s="84" t="e">
        <v>#REF!</v>
      </c>
      <c r="R612" s="85">
        <v>757830.93145074602</v>
      </c>
      <c r="S612" s="85">
        <v>0</v>
      </c>
      <c r="T612" s="86">
        <v>757830.93145074602</v>
      </c>
      <c r="U612" s="84">
        <v>50.522062096716397</v>
      </c>
      <c r="V612" s="84">
        <v>461.99299999999999</v>
      </c>
      <c r="W612" s="84">
        <v>230.9965</v>
      </c>
      <c r="X612" s="82">
        <v>0.35</v>
      </c>
      <c r="Y612" s="82"/>
      <c r="Z612" s="84">
        <v>230.9965</v>
      </c>
      <c r="AA612" s="84">
        <v>461.99299999999999</v>
      </c>
      <c r="AB612" s="88">
        <v>4.5721906512405202</v>
      </c>
      <c r="AC612" t="s">
        <v>3110</v>
      </c>
    </row>
    <row r="613" spans="3:29">
      <c r="C613" t="s">
        <v>3111</v>
      </c>
      <c r="D613" t="s">
        <v>3112</v>
      </c>
      <c r="E613" s="84">
        <v>339.99</v>
      </c>
      <c r="F613" s="84">
        <v>169.995</v>
      </c>
      <c r="G613" t="s">
        <v>3087</v>
      </c>
      <c r="H613" t="s">
        <v>3113</v>
      </c>
      <c r="I613" t="s">
        <v>792</v>
      </c>
      <c r="J613" t="s">
        <v>3114</v>
      </c>
      <c r="K613" t="s">
        <v>3090</v>
      </c>
      <c r="L613" t="s">
        <v>50</v>
      </c>
      <c r="M613">
        <v>18</v>
      </c>
      <c r="N613">
        <v>8</v>
      </c>
      <c r="O613">
        <v>180</v>
      </c>
      <c r="P613">
        <v>2.5919999999999999E-2</v>
      </c>
      <c r="Q613" s="84" t="e">
        <v>#REF!</v>
      </c>
      <c r="R613" s="85">
        <v>299420.83907582099</v>
      </c>
      <c r="S613" s="85">
        <v>0</v>
      </c>
      <c r="T613" s="86">
        <v>299420.83907582099</v>
      </c>
      <c r="U613" s="84">
        <v>19.961389271721401</v>
      </c>
      <c r="V613" s="84">
        <v>237.99299999999999</v>
      </c>
      <c r="W613" s="84">
        <v>118.9965</v>
      </c>
      <c r="X613" s="82">
        <v>0.35</v>
      </c>
      <c r="Y613" s="82"/>
      <c r="Z613" s="84">
        <v>118.9965</v>
      </c>
      <c r="AA613" s="84">
        <v>237.99299999999999</v>
      </c>
      <c r="AB613" s="88">
        <v>5.9613335715354303</v>
      </c>
      <c r="AC613" t="s">
        <v>3115</v>
      </c>
    </row>
    <row r="614" spans="3:29">
      <c r="C614" t="s">
        <v>3116</v>
      </c>
      <c r="D614" t="s">
        <v>3112</v>
      </c>
      <c r="E614" s="84">
        <v>339.99</v>
      </c>
      <c r="F614" s="84">
        <v>169.995</v>
      </c>
      <c r="G614" t="s">
        <v>3087</v>
      </c>
      <c r="H614" t="s">
        <v>3117</v>
      </c>
      <c r="I614" t="s">
        <v>792</v>
      </c>
      <c r="J614" t="s">
        <v>3118</v>
      </c>
      <c r="K614" t="s">
        <v>3090</v>
      </c>
      <c r="L614" t="s">
        <v>50</v>
      </c>
      <c r="M614">
        <v>18</v>
      </c>
      <c r="N614">
        <v>8</v>
      </c>
      <c r="O614">
        <v>170</v>
      </c>
      <c r="P614">
        <v>2.4479999999999998E-2</v>
      </c>
      <c r="Q614" s="84" t="e">
        <v>#REF!</v>
      </c>
      <c r="R614" s="85"/>
      <c r="S614" s="85"/>
      <c r="T614" s="86">
        <v>0</v>
      </c>
      <c r="U614" s="84">
        <v>0</v>
      </c>
      <c r="V614" s="84">
        <v>237.99299999999999</v>
      </c>
      <c r="W614" s="84">
        <v>118.9965</v>
      </c>
      <c r="X614" s="82">
        <v>0.35</v>
      </c>
      <c r="Y614" s="82"/>
      <c r="Z614" s="84">
        <v>118.9965</v>
      </c>
      <c r="AA614" s="84">
        <v>237.99299999999999</v>
      </c>
      <c r="AB614" s="88" t="e">
        <v>#DIV/0!</v>
      </c>
      <c r="AC614" t="s">
        <v>3115</v>
      </c>
    </row>
    <row r="615" spans="3:29">
      <c r="C615" t="s">
        <v>3119</v>
      </c>
      <c r="D615" t="s">
        <v>3112</v>
      </c>
      <c r="E615" s="84">
        <v>339.99</v>
      </c>
      <c r="F615" s="84">
        <v>169.995</v>
      </c>
      <c r="G615" t="s">
        <v>3087</v>
      </c>
      <c r="H615" t="s">
        <v>3117</v>
      </c>
      <c r="I615" t="s">
        <v>792</v>
      </c>
      <c r="J615" t="s">
        <v>3120</v>
      </c>
      <c r="K615" t="s">
        <v>3090</v>
      </c>
      <c r="L615" t="s">
        <v>50</v>
      </c>
      <c r="M615">
        <v>18</v>
      </c>
      <c r="N615">
        <v>8</v>
      </c>
      <c r="O615">
        <v>170</v>
      </c>
      <c r="P615">
        <v>2.4479999999999998E-2</v>
      </c>
      <c r="Q615" s="84" t="e">
        <v>#REF!</v>
      </c>
      <c r="R615" s="85"/>
      <c r="S615" s="85"/>
      <c r="T615" s="86">
        <v>0</v>
      </c>
      <c r="U615" s="84">
        <v>0</v>
      </c>
      <c r="V615" s="84">
        <v>237.99299999999999</v>
      </c>
      <c r="W615" s="84">
        <v>118.9965</v>
      </c>
      <c r="X615" s="82">
        <v>0.35</v>
      </c>
      <c r="Y615" s="82"/>
      <c r="Z615" s="84">
        <v>118.9965</v>
      </c>
      <c r="AA615" s="84">
        <v>237.99299999999999</v>
      </c>
      <c r="AB615" s="88" t="e">
        <v>#DIV/0!</v>
      </c>
      <c r="AC615" t="s">
        <v>3121</v>
      </c>
    </row>
    <row r="616" spans="3:29">
      <c r="C616" t="s">
        <v>3122</v>
      </c>
      <c r="E616" s="84"/>
      <c r="F616" s="82"/>
      <c r="R616" s="85"/>
      <c r="S616" s="85"/>
      <c r="T616" s="86"/>
      <c r="V616" s="84">
        <v>0</v>
      </c>
      <c r="W616" s="84">
        <v>0</v>
      </c>
      <c r="X616" s="82" t="e">
        <v>#DIV/0!</v>
      </c>
      <c r="Y616" s="82"/>
      <c r="Z616" s="82"/>
      <c r="AA616" s="82"/>
      <c r="AB616" s="88" t="e">
        <v>#DIV/0!</v>
      </c>
    </row>
    <row r="617" spans="3:29">
      <c r="C617" t="s">
        <v>3123</v>
      </c>
      <c r="D617" t="s">
        <v>3124</v>
      </c>
      <c r="E617" s="84">
        <v>1479.99</v>
      </c>
      <c r="F617" s="84">
        <v>739.995</v>
      </c>
      <c r="G617" t="s">
        <v>3125</v>
      </c>
      <c r="H617" t="s">
        <v>3126</v>
      </c>
      <c r="I617" t="s">
        <v>3127</v>
      </c>
      <c r="J617" t="s">
        <v>3128</v>
      </c>
      <c r="K617" t="s">
        <v>1046</v>
      </c>
      <c r="L617" t="s">
        <v>670</v>
      </c>
      <c r="M617">
        <v>150</v>
      </c>
      <c r="N617">
        <v>200</v>
      </c>
      <c r="O617">
        <v>8</v>
      </c>
      <c r="P617">
        <v>0.24</v>
      </c>
      <c r="Q617" s="84" t="e">
        <v>#REF!</v>
      </c>
      <c r="R617" s="85"/>
      <c r="S617" s="85"/>
      <c r="T617" s="86">
        <v>0</v>
      </c>
      <c r="U617" s="84">
        <v>0</v>
      </c>
      <c r="V617" s="84">
        <v>1035.9929999999999</v>
      </c>
      <c r="W617" s="84">
        <v>517.99649999999997</v>
      </c>
      <c r="X617" s="82">
        <v>0.35</v>
      </c>
      <c r="Y617" s="82"/>
      <c r="Z617" s="84">
        <v>517.99649999999997</v>
      </c>
      <c r="AA617" s="84">
        <v>1035.9929999999999</v>
      </c>
      <c r="AB617" s="88" t="e">
        <v>#DIV/0!</v>
      </c>
      <c r="AC617" t="s">
        <v>3129</v>
      </c>
    </row>
    <row r="618" spans="3:29">
      <c r="C618" t="s">
        <v>3130</v>
      </c>
      <c r="D618" t="s">
        <v>3124</v>
      </c>
      <c r="E618" s="84">
        <v>1019.99</v>
      </c>
      <c r="F618" s="84">
        <v>509.995</v>
      </c>
      <c r="G618" t="s">
        <v>3125</v>
      </c>
      <c r="H618" t="s">
        <v>3131</v>
      </c>
      <c r="I618" t="s">
        <v>120</v>
      </c>
      <c r="J618" t="s">
        <v>3132</v>
      </c>
      <c r="K618" t="s">
        <v>1046</v>
      </c>
      <c r="L618" t="s">
        <v>670</v>
      </c>
      <c r="M618">
        <v>80</v>
      </c>
      <c r="N618">
        <v>180</v>
      </c>
      <c r="O618">
        <v>8</v>
      </c>
      <c r="P618">
        <v>0.1152</v>
      </c>
      <c r="Q618" s="84" t="e">
        <v>#REF!</v>
      </c>
      <c r="R618" s="85">
        <v>1083166.6759522399</v>
      </c>
      <c r="S618" s="85">
        <v>0</v>
      </c>
      <c r="T618" s="86">
        <v>1083166.6759522399</v>
      </c>
      <c r="U618" s="84">
        <v>72.211111730149298</v>
      </c>
      <c r="V618" s="84">
        <v>713.99300000000005</v>
      </c>
      <c r="W618" s="84">
        <v>356.99650000000003</v>
      </c>
      <c r="X618" s="82">
        <v>0.35</v>
      </c>
      <c r="Y618" s="82"/>
      <c r="Z618" s="84">
        <v>356.99650000000003</v>
      </c>
      <c r="AA618" s="84">
        <v>713.99300000000005</v>
      </c>
      <c r="AB618" s="88">
        <v>4.9437890020871702</v>
      </c>
      <c r="AC618" t="s">
        <v>3133</v>
      </c>
    </row>
    <row r="619" spans="3:29">
      <c r="C619" t="s">
        <v>3134</v>
      </c>
      <c r="D619" t="s">
        <v>3124</v>
      </c>
      <c r="E619" s="84">
        <v>1129.99</v>
      </c>
      <c r="F619" s="84">
        <v>564.995</v>
      </c>
      <c r="G619" t="s">
        <v>3125</v>
      </c>
      <c r="H619" t="s">
        <v>3135</v>
      </c>
      <c r="I619" t="s">
        <v>120</v>
      </c>
      <c r="J619" t="s">
        <v>3136</v>
      </c>
      <c r="K619" t="s">
        <v>1046</v>
      </c>
      <c r="L619" t="s">
        <v>50</v>
      </c>
      <c r="M619">
        <v>80</v>
      </c>
      <c r="N619">
        <v>180</v>
      </c>
      <c r="O619">
        <v>8</v>
      </c>
      <c r="P619">
        <v>0.1152</v>
      </c>
      <c r="Q619" s="84" t="e">
        <v>#REF!</v>
      </c>
      <c r="R619" s="85"/>
      <c r="S619" s="85"/>
      <c r="T619" s="86">
        <v>0</v>
      </c>
      <c r="U619" s="84">
        <v>0</v>
      </c>
      <c r="V619" s="84">
        <v>790.99300000000005</v>
      </c>
      <c r="W619" s="84">
        <v>395.49650000000003</v>
      </c>
      <c r="X619" s="82">
        <v>0.35</v>
      </c>
      <c r="Y619" s="82"/>
      <c r="Z619" s="84">
        <v>395.49650000000003</v>
      </c>
      <c r="AA619" s="84">
        <v>790.99300000000005</v>
      </c>
      <c r="AB619" s="88" t="e">
        <v>#DIV/0!</v>
      </c>
      <c r="AC619" t="s">
        <v>3137</v>
      </c>
    </row>
    <row r="620" spans="3:29">
      <c r="C620" t="s">
        <v>3138</v>
      </c>
      <c r="D620" t="s">
        <v>3124</v>
      </c>
      <c r="E620" s="84">
        <v>1389.99</v>
      </c>
      <c r="F620" s="84">
        <v>694.995</v>
      </c>
      <c r="G620" t="s">
        <v>3125</v>
      </c>
      <c r="H620" t="s">
        <v>3135</v>
      </c>
      <c r="I620" t="s">
        <v>120</v>
      </c>
      <c r="J620" t="s">
        <v>3139</v>
      </c>
      <c r="K620" t="s">
        <v>1046</v>
      </c>
      <c r="L620" t="s">
        <v>50</v>
      </c>
      <c r="M620">
        <v>80</v>
      </c>
      <c r="N620">
        <v>180</v>
      </c>
      <c r="O620">
        <v>8</v>
      </c>
      <c r="P620">
        <v>0.1152</v>
      </c>
      <c r="Q620" s="84" t="e">
        <v>#REF!</v>
      </c>
      <c r="R620" s="85"/>
      <c r="S620" s="85"/>
      <c r="T620" s="86">
        <v>0</v>
      </c>
      <c r="U620" s="84">
        <v>0</v>
      </c>
      <c r="V620" s="84">
        <v>972.99300000000005</v>
      </c>
      <c r="W620" s="84">
        <v>486.49650000000003</v>
      </c>
      <c r="X620" s="82">
        <v>0.35</v>
      </c>
      <c r="Y620" s="82"/>
      <c r="Z620" s="84">
        <v>486.49650000000003</v>
      </c>
      <c r="AA620" s="84">
        <v>972.99300000000005</v>
      </c>
      <c r="AB620" s="88" t="e">
        <v>#DIV/0!</v>
      </c>
      <c r="AC620" t="s">
        <v>3140</v>
      </c>
    </row>
    <row r="621" spans="3:29">
      <c r="C621" t="s">
        <v>3141</v>
      </c>
      <c r="D621" t="s">
        <v>3124</v>
      </c>
      <c r="E621" s="84">
        <v>659.99</v>
      </c>
      <c r="F621" s="84">
        <v>329.995</v>
      </c>
      <c r="G621" t="s">
        <v>3125</v>
      </c>
      <c r="H621" t="s">
        <v>3142</v>
      </c>
      <c r="I621" t="s">
        <v>3143</v>
      </c>
      <c r="J621" t="s">
        <v>3144</v>
      </c>
      <c r="K621" t="s">
        <v>1046</v>
      </c>
      <c r="L621" t="s">
        <v>50</v>
      </c>
      <c r="M621">
        <v>80</v>
      </c>
      <c r="N621">
        <v>80</v>
      </c>
      <c r="O621">
        <v>8</v>
      </c>
      <c r="P621">
        <v>5.1200000000000002E-2</v>
      </c>
      <c r="Q621" s="84" t="e">
        <v>#REF!</v>
      </c>
      <c r="R621" s="85">
        <v>941082.30095223896</v>
      </c>
      <c r="S621" s="85">
        <v>0</v>
      </c>
      <c r="T621" s="86">
        <v>941082.30095223896</v>
      </c>
      <c r="U621" s="84">
        <v>62.738820063482599</v>
      </c>
      <c r="V621" s="84">
        <v>461.99299999999999</v>
      </c>
      <c r="W621" s="84">
        <v>230.9965</v>
      </c>
      <c r="X621" s="82">
        <v>0.35</v>
      </c>
      <c r="Y621" s="82"/>
      <c r="Z621" s="84">
        <v>230.9965</v>
      </c>
      <c r="AA621" s="84">
        <v>461.99299999999999</v>
      </c>
      <c r="AB621" s="88">
        <v>3.6818751096412901</v>
      </c>
      <c r="AC621" t="s">
        <v>3133</v>
      </c>
    </row>
    <row r="622" spans="3:29">
      <c r="C622" t="s">
        <v>3145</v>
      </c>
      <c r="D622" t="s">
        <v>3146</v>
      </c>
      <c r="E622" s="84">
        <v>1169.99</v>
      </c>
      <c r="F622" s="84">
        <v>584.995</v>
      </c>
      <c r="G622" t="s">
        <v>3125</v>
      </c>
      <c r="H622" t="s">
        <v>3147</v>
      </c>
      <c r="I622" t="s">
        <v>3146</v>
      </c>
      <c r="J622" t="s">
        <v>3148</v>
      </c>
      <c r="K622" t="s">
        <v>3149</v>
      </c>
      <c r="L622" t="s">
        <v>646</v>
      </c>
      <c r="M622">
        <v>80</v>
      </c>
      <c r="N622">
        <v>5</v>
      </c>
      <c r="O622">
        <v>80</v>
      </c>
      <c r="P622">
        <v>3.2000000000000001E-2</v>
      </c>
      <c r="Q622" s="84" t="e">
        <v>#REF!</v>
      </c>
      <c r="R622" s="85"/>
      <c r="S622" s="85"/>
      <c r="T622" s="86">
        <v>0</v>
      </c>
      <c r="U622" s="84">
        <v>0</v>
      </c>
      <c r="V622" s="84">
        <v>818.99300000000005</v>
      </c>
      <c r="W622" s="84">
        <v>409.49650000000003</v>
      </c>
      <c r="X622" s="82">
        <v>0.35</v>
      </c>
      <c r="Y622" s="82"/>
      <c r="Z622" s="84">
        <v>409.49650000000003</v>
      </c>
      <c r="AA622" s="84">
        <v>818.99300000000005</v>
      </c>
      <c r="AB622" s="88" t="e">
        <v>#DIV/0!</v>
      </c>
      <c r="AC622" t="s">
        <v>3150</v>
      </c>
    </row>
    <row r="623" spans="3:29">
      <c r="C623" t="s">
        <v>3152</v>
      </c>
      <c r="D623" t="s">
        <v>3153</v>
      </c>
      <c r="E623" s="84">
        <v>459.99</v>
      </c>
      <c r="F623" s="84">
        <v>229.995</v>
      </c>
      <c r="G623" t="s">
        <v>3125</v>
      </c>
      <c r="H623" t="s">
        <v>3154</v>
      </c>
      <c r="I623" t="s">
        <v>3155</v>
      </c>
      <c r="J623" t="s">
        <v>3148</v>
      </c>
      <c r="K623" t="s">
        <v>1125</v>
      </c>
      <c r="L623" t="s">
        <v>50</v>
      </c>
      <c r="M623">
        <v>80</v>
      </c>
      <c r="N623">
        <v>5</v>
      </c>
      <c r="O623">
        <v>80</v>
      </c>
      <c r="P623">
        <v>3.2000000000000001E-2</v>
      </c>
      <c r="Q623" s="84" t="e">
        <v>#REF!</v>
      </c>
      <c r="R623" s="85"/>
      <c r="S623" s="85"/>
      <c r="T623" s="86">
        <v>0</v>
      </c>
      <c r="U623" s="84">
        <v>0</v>
      </c>
      <c r="V623" s="84">
        <v>321.99299999999999</v>
      </c>
      <c r="W623" s="84">
        <v>160.9965</v>
      </c>
      <c r="X623" s="82">
        <v>0.35</v>
      </c>
      <c r="Y623" s="82"/>
      <c r="Z623" s="84">
        <v>160.9965</v>
      </c>
      <c r="AA623" s="84">
        <v>321.99299999999999</v>
      </c>
      <c r="AB623" s="88" t="e">
        <v>#DIV/0!</v>
      </c>
      <c r="AC623" t="s">
        <v>3156</v>
      </c>
    </row>
    <row r="624" spans="3:29">
      <c r="C624" t="s">
        <v>3157</v>
      </c>
      <c r="D624" t="s">
        <v>3158</v>
      </c>
      <c r="E624" s="84">
        <v>499.99</v>
      </c>
      <c r="F624" s="84">
        <v>249.995</v>
      </c>
      <c r="G624" t="s">
        <v>3125</v>
      </c>
      <c r="H624" t="s">
        <v>3154</v>
      </c>
      <c r="I624" t="s">
        <v>208</v>
      </c>
      <c r="J624" t="s">
        <v>3148</v>
      </c>
      <c r="K624" t="s">
        <v>3159</v>
      </c>
      <c r="L624" t="s">
        <v>853</v>
      </c>
      <c r="M624">
        <v>80</v>
      </c>
      <c r="N624">
        <v>5</v>
      </c>
      <c r="O624">
        <v>80</v>
      </c>
      <c r="P624">
        <v>3.2000000000000001E-2</v>
      </c>
      <c r="Q624" s="84" t="e">
        <v>#REF!</v>
      </c>
      <c r="R624" s="85"/>
      <c r="S624" s="85"/>
      <c r="T624" s="86">
        <v>0</v>
      </c>
      <c r="U624" s="84">
        <v>0</v>
      </c>
      <c r="V624" s="84">
        <v>349.99299999999999</v>
      </c>
      <c r="W624" s="84">
        <v>174.9965</v>
      </c>
      <c r="X624" s="82">
        <v>0.35</v>
      </c>
      <c r="Y624" s="82"/>
      <c r="Z624" s="84">
        <v>174.9965</v>
      </c>
      <c r="AA624" s="84">
        <v>349.99299999999999</v>
      </c>
      <c r="AB624" s="88" t="e">
        <v>#DIV/0!</v>
      </c>
      <c r="AC624" t="s">
        <v>3160</v>
      </c>
    </row>
    <row r="625" spans="3:29" ht="45.75">
      <c r="C625" t="s">
        <v>3161</v>
      </c>
      <c r="D625" t="s">
        <v>3158</v>
      </c>
      <c r="E625" s="84"/>
      <c r="F625" s="84">
        <v>0</v>
      </c>
      <c r="G625" t="s">
        <v>3125</v>
      </c>
      <c r="H625" t="s">
        <v>3162</v>
      </c>
      <c r="I625" t="s">
        <v>208</v>
      </c>
      <c r="J625" t="s">
        <v>3163</v>
      </c>
      <c r="K625" s="83" t="s">
        <v>3164</v>
      </c>
      <c r="L625" t="s">
        <v>853</v>
      </c>
      <c r="M625">
        <v>80</v>
      </c>
      <c r="N625">
        <v>10</v>
      </c>
      <c r="O625">
        <v>80</v>
      </c>
      <c r="P625">
        <v>6.4000000000000001E-2</v>
      </c>
      <c r="Q625" s="84" t="e">
        <v>#REF!</v>
      </c>
      <c r="R625" s="85"/>
      <c r="S625" s="85"/>
      <c r="T625" s="86">
        <v>0</v>
      </c>
      <c r="U625" s="84">
        <v>0</v>
      </c>
      <c r="V625" s="84">
        <v>0</v>
      </c>
      <c r="W625" s="84">
        <v>0</v>
      </c>
      <c r="X625" s="82" t="e">
        <v>#DIV/0!</v>
      </c>
      <c r="Y625" s="82"/>
      <c r="Z625" s="84">
        <v>0</v>
      </c>
      <c r="AA625" s="84">
        <v>0</v>
      </c>
      <c r="AB625" s="88" t="e">
        <v>#DIV/0!</v>
      </c>
      <c r="AC625" t="s">
        <v>3165</v>
      </c>
    </row>
    <row r="626" spans="3:29">
      <c r="C626" t="s">
        <v>3166</v>
      </c>
      <c r="D626" t="s">
        <v>3158</v>
      </c>
      <c r="E626" s="84">
        <v>829.99</v>
      </c>
      <c r="F626" s="84">
        <v>414.995</v>
      </c>
      <c r="G626" t="s">
        <v>3125</v>
      </c>
      <c r="H626" t="s">
        <v>3167</v>
      </c>
      <c r="I626" t="s">
        <v>208</v>
      </c>
      <c r="J626" t="s">
        <v>3168</v>
      </c>
      <c r="K626" t="s">
        <v>3159</v>
      </c>
      <c r="L626" t="s">
        <v>853</v>
      </c>
      <c r="M626">
        <v>180</v>
      </c>
      <c r="N626">
        <v>5</v>
      </c>
      <c r="O626">
        <v>80</v>
      </c>
      <c r="P626">
        <v>7.1999999999999995E-2</v>
      </c>
      <c r="Q626" s="84" t="e">
        <v>#REF!</v>
      </c>
      <c r="R626" s="85"/>
      <c r="S626" s="85"/>
      <c r="T626" s="86">
        <v>0</v>
      </c>
      <c r="U626" s="84">
        <v>0</v>
      </c>
      <c r="V626" s="84">
        <v>580.99300000000005</v>
      </c>
      <c r="W626" s="84">
        <v>290.49650000000003</v>
      </c>
      <c r="X626" s="82">
        <v>0.35</v>
      </c>
      <c r="Y626" s="82"/>
      <c r="Z626" s="84">
        <v>290.49650000000003</v>
      </c>
      <c r="AA626" s="84">
        <v>580.99300000000005</v>
      </c>
      <c r="AB626" s="88" t="e">
        <v>#DIV/0!</v>
      </c>
      <c r="AC626" t="s">
        <v>3169</v>
      </c>
    </row>
    <row r="627" spans="3:29">
      <c r="C627" t="s">
        <v>3170</v>
      </c>
      <c r="D627" t="s">
        <v>3158</v>
      </c>
      <c r="E627" s="84">
        <v>1269.99</v>
      </c>
      <c r="F627" s="84">
        <v>634.995</v>
      </c>
      <c r="G627" t="s">
        <v>3125</v>
      </c>
      <c r="H627" t="s">
        <v>3171</v>
      </c>
      <c r="I627" t="s">
        <v>208</v>
      </c>
      <c r="J627" t="s">
        <v>3172</v>
      </c>
      <c r="K627" t="s">
        <v>3159</v>
      </c>
      <c r="L627" t="s">
        <v>853</v>
      </c>
      <c r="M627">
        <v>180</v>
      </c>
      <c r="N627">
        <v>10</v>
      </c>
      <c r="O627">
        <v>80</v>
      </c>
      <c r="P627">
        <v>0.14399999999999999</v>
      </c>
      <c r="Q627" s="84" t="e">
        <v>#REF!</v>
      </c>
      <c r="R627" s="85"/>
      <c r="S627" s="85"/>
      <c r="T627" s="86">
        <v>0</v>
      </c>
      <c r="U627" s="84">
        <v>0</v>
      </c>
      <c r="V627" s="84">
        <v>888.99300000000005</v>
      </c>
      <c r="W627" s="84">
        <v>444.49650000000003</v>
      </c>
      <c r="X627" s="82">
        <v>0.35</v>
      </c>
      <c r="Y627" s="82"/>
      <c r="Z627" s="84">
        <v>444.49650000000003</v>
      </c>
      <c r="AA627" s="84">
        <v>888.99300000000005</v>
      </c>
      <c r="AB627" s="88" t="e">
        <v>#DIV/0!</v>
      </c>
      <c r="AC627" t="s">
        <v>3169</v>
      </c>
    </row>
    <row r="628" spans="3:29">
      <c r="C628" t="s">
        <v>3173</v>
      </c>
      <c r="D628" t="s">
        <v>3174</v>
      </c>
      <c r="E628" s="84">
        <v>249.99</v>
      </c>
      <c r="F628" s="84">
        <v>124.995</v>
      </c>
      <c r="G628" t="s">
        <v>3125</v>
      </c>
      <c r="H628" t="s">
        <v>3175</v>
      </c>
      <c r="I628" t="s">
        <v>519</v>
      </c>
      <c r="J628" t="s">
        <v>3176</v>
      </c>
      <c r="K628" t="s">
        <v>846</v>
      </c>
      <c r="L628" t="s">
        <v>50</v>
      </c>
      <c r="N628">
        <v>50</v>
      </c>
      <c r="O628">
        <v>4</v>
      </c>
      <c r="P628">
        <v>0.01</v>
      </c>
      <c r="Q628" s="84" t="e">
        <v>#REF!</v>
      </c>
      <c r="R628" s="85"/>
      <c r="S628" s="85"/>
      <c r="T628" s="86">
        <v>0</v>
      </c>
      <c r="U628" s="84">
        <v>0</v>
      </c>
      <c r="V628" s="84">
        <v>174.99299999999999</v>
      </c>
      <c r="W628" s="84">
        <v>87.496499999999997</v>
      </c>
      <c r="X628" s="82">
        <v>0.35</v>
      </c>
      <c r="Y628" s="82"/>
      <c r="Z628" s="84">
        <v>87.496499999999997</v>
      </c>
      <c r="AA628" s="84">
        <v>174.99299999999999</v>
      </c>
      <c r="AB628" s="88" t="e">
        <v>#DIV/0!</v>
      </c>
      <c r="AC628" t="s">
        <v>3177</v>
      </c>
    </row>
    <row r="629" spans="3:29">
      <c r="C629" t="s">
        <v>3178</v>
      </c>
      <c r="D629" t="s">
        <v>3174</v>
      </c>
      <c r="E629" s="84">
        <v>319.99</v>
      </c>
      <c r="F629" s="84">
        <v>159.995</v>
      </c>
      <c r="G629" t="s">
        <v>3125</v>
      </c>
      <c r="H629" t="s">
        <v>3179</v>
      </c>
      <c r="I629" t="s">
        <v>519</v>
      </c>
      <c r="J629" t="s">
        <v>3180</v>
      </c>
      <c r="K629" t="s">
        <v>846</v>
      </c>
      <c r="L629" t="s">
        <v>50</v>
      </c>
      <c r="N629">
        <v>70</v>
      </c>
      <c r="O629">
        <v>4</v>
      </c>
      <c r="P629">
        <v>1.9599999999999999E-2</v>
      </c>
      <c r="Q629" s="84" t="e">
        <v>#REF!</v>
      </c>
      <c r="R629" s="85"/>
      <c r="S629" s="85"/>
      <c r="T629" s="86">
        <v>0</v>
      </c>
      <c r="U629" s="84">
        <v>0</v>
      </c>
      <c r="V629" s="84">
        <v>223.99299999999999</v>
      </c>
      <c r="W629" s="84">
        <v>111.9965</v>
      </c>
      <c r="X629" s="82">
        <v>0.35</v>
      </c>
      <c r="Y629" s="82"/>
      <c r="Z629" s="84">
        <v>111.9965</v>
      </c>
      <c r="AA629" s="84">
        <v>223.99299999999999</v>
      </c>
      <c r="AB629" s="88" t="e">
        <v>#DIV/0!</v>
      </c>
      <c r="AC629" t="s">
        <v>3181</v>
      </c>
    </row>
    <row r="630" spans="3:29">
      <c r="C630" t="s">
        <v>3182</v>
      </c>
      <c r="D630" t="s">
        <v>3174</v>
      </c>
      <c r="E630" s="84">
        <v>489.99</v>
      </c>
      <c r="F630" s="84">
        <v>244.995</v>
      </c>
      <c r="G630" t="s">
        <v>3125</v>
      </c>
      <c r="H630" t="s">
        <v>3183</v>
      </c>
      <c r="I630" t="s">
        <v>519</v>
      </c>
      <c r="J630" t="s">
        <v>3184</v>
      </c>
      <c r="K630" t="s">
        <v>846</v>
      </c>
      <c r="L630" t="s">
        <v>50</v>
      </c>
      <c r="N630">
        <v>90</v>
      </c>
      <c r="O630">
        <v>4</v>
      </c>
      <c r="P630">
        <v>3.2399999999999998E-2</v>
      </c>
      <c r="Q630" s="84" t="e">
        <v>#REF!</v>
      </c>
      <c r="R630" s="85">
        <v>1050827.01682396</v>
      </c>
      <c r="S630" s="85">
        <v>0</v>
      </c>
      <c r="T630" s="86">
        <v>1050827.01682396</v>
      </c>
      <c r="U630" s="84">
        <v>70.055134454930297</v>
      </c>
      <c r="V630" s="84">
        <v>342.99299999999999</v>
      </c>
      <c r="W630" s="84">
        <v>171.4965</v>
      </c>
      <c r="X630" s="82">
        <v>0.35</v>
      </c>
      <c r="Y630" s="82"/>
      <c r="Z630" s="84">
        <v>171.4965</v>
      </c>
      <c r="AA630" s="84">
        <v>342.99299999999999</v>
      </c>
      <c r="AB630" s="88">
        <v>2.4480218521360699</v>
      </c>
      <c r="AC630" t="s">
        <v>3185</v>
      </c>
    </row>
    <row r="631" spans="3:29" ht="30.75">
      <c r="C631" t="s">
        <v>3186</v>
      </c>
      <c r="D631" t="s">
        <v>3174</v>
      </c>
      <c r="E631" s="84"/>
      <c r="F631" s="84">
        <v>0</v>
      </c>
      <c r="G631" t="s">
        <v>3125</v>
      </c>
      <c r="H631" t="s">
        <v>3187</v>
      </c>
      <c r="I631" t="s">
        <v>519</v>
      </c>
      <c r="J631" t="s">
        <v>3188</v>
      </c>
      <c r="K631" s="83" t="s">
        <v>3189</v>
      </c>
      <c r="L631" t="s">
        <v>50</v>
      </c>
      <c r="N631">
        <v>105</v>
      </c>
      <c r="O631">
        <v>4</v>
      </c>
      <c r="P631">
        <v>4.41E-2</v>
      </c>
      <c r="Q631" s="84" t="e">
        <v>#REF!</v>
      </c>
      <c r="R631" s="85"/>
      <c r="S631" s="85"/>
      <c r="T631" s="86">
        <v>0</v>
      </c>
      <c r="U631" s="84">
        <v>0</v>
      </c>
      <c r="V631" s="84">
        <v>0</v>
      </c>
      <c r="W631" s="84">
        <v>0</v>
      </c>
      <c r="X631" s="82" t="e">
        <v>#DIV/0!</v>
      </c>
      <c r="Y631" s="82"/>
      <c r="Z631" s="84">
        <v>0</v>
      </c>
      <c r="AA631" s="84">
        <v>0</v>
      </c>
      <c r="AB631" s="88" t="e">
        <v>#DIV/0!</v>
      </c>
      <c r="AC631" t="s">
        <v>3177</v>
      </c>
    </row>
    <row r="632" spans="3:29">
      <c r="C632" t="s">
        <v>3190</v>
      </c>
      <c r="D632" t="s">
        <v>3191</v>
      </c>
      <c r="E632" s="84">
        <v>1998.99</v>
      </c>
      <c r="F632" s="84">
        <v>999.495</v>
      </c>
      <c r="G632" t="s">
        <v>3125</v>
      </c>
      <c r="H632" t="s">
        <v>3192</v>
      </c>
      <c r="I632" t="s">
        <v>3193</v>
      </c>
      <c r="J632" t="s">
        <v>3194</v>
      </c>
      <c r="K632" t="s">
        <v>3195</v>
      </c>
      <c r="L632" t="s">
        <v>646</v>
      </c>
      <c r="M632">
        <v>85</v>
      </c>
      <c r="N632">
        <v>5</v>
      </c>
      <c r="O632">
        <v>78</v>
      </c>
      <c r="P632">
        <v>3.3149999999999999E-2</v>
      </c>
      <c r="Q632" s="84" t="e">
        <v>#REF!</v>
      </c>
      <c r="R632" s="85"/>
      <c r="S632" s="85"/>
      <c r="T632" s="86">
        <v>0</v>
      </c>
      <c r="U632" s="84">
        <v>0</v>
      </c>
      <c r="V632" s="84">
        <v>1399.2929999999999</v>
      </c>
      <c r="W632" s="84">
        <v>699.64649999999995</v>
      </c>
      <c r="X632" s="82">
        <v>0.35</v>
      </c>
      <c r="Y632" s="82"/>
      <c r="Z632" s="84">
        <v>699.64649999999995</v>
      </c>
      <c r="AA632" s="84">
        <v>1399.2929999999999</v>
      </c>
      <c r="AB632" s="88" t="e">
        <v>#DIV/0!</v>
      </c>
      <c r="AC632" t="s">
        <v>3196</v>
      </c>
    </row>
    <row r="633" spans="3:29">
      <c r="C633" t="s">
        <v>3198</v>
      </c>
      <c r="E633" s="84"/>
      <c r="F633" s="82"/>
      <c r="R633" s="85"/>
      <c r="S633" s="85"/>
      <c r="T633" s="86"/>
      <c r="V633" s="84">
        <v>0</v>
      </c>
      <c r="W633" s="84">
        <v>0</v>
      </c>
      <c r="X633" s="82" t="e">
        <v>#DIV/0!</v>
      </c>
      <c r="Y633" s="82"/>
      <c r="Z633" s="82"/>
      <c r="AA633" s="82"/>
      <c r="AB633" s="88" t="e">
        <v>#DIV/0!</v>
      </c>
    </row>
    <row r="634" spans="3:29">
      <c r="C634" t="s">
        <v>3199</v>
      </c>
      <c r="D634" t="s">
        <v>3200</v>
      </c>
      <c r="E634" s="84">
        <v>459.99</v>
      </c>
      <c r="F634" s="84">
        <v>229.995</v>
      </c>
      <c r="G634" t="s">
        <v>3201</v>
      </c>
      <c r="H634" t="s">
        <v>3202</v>
      </c>
      <c r="I634" t="s">
        <v>3200</v>
      </c>
      <c r="J634" t="s">
        <v>3203</v>
      </c>
      <c r="K634" t="s">
        <v>2848</v>
      </c>
      <c r="L634" t="s">
        <v>670</v>
      </c>
      <c r="M634">
        <v>60</v>
      </c>
      <c r="N634">
        <v>20</v>
      </c>
      <c r="O634">
        <v>180</v>
      </c>
      <c r="P634">
        <v>0.216</v>
      </c>
      <c r="Q634" s="84" t="e">
        <v>#REF!</v>
      </c>
      <c r="R634" s="85">
        <v>147848.49229851001</v>
      </c>
      <c r="S634" s="85">
        <v>1000000</v>
      </c>
      <c r="T634" s="86">
        <v>1147848.4922985099</v>
      </c>
      <c r="U634" s="84">
        <v>76.523232819900699</v>
      </c>
      <c r="V634" s="84">
        <v>321.99299999999999</v>
      </c>
      <c r="W634" s="84">
        <v>160.9965</v>
      </c>
      <c r="X634" s="82">
        <v>0.35</v>
      </c>
      <c r="Y634" s="82"/>
      <c r="Z634" s="84">
        <v>160.9965</v>
      </c>
      <c r="AA634" s="84">
        <v>321.99299999999999</v>
      </c>
      <c r="AB634" s="88">
        <v>2.1038904665581701</v>
      </c>
      <c r="AC634" t="s">
        <v>3204</v>
      </c>
    </row>
    <row r="635" spans="3:29">
      <c r="C635" t="s">
        <v>3206</v>
      </c>
      <c r="D635" t="s">
        <v>3207</v>
      </c>
      <c r="E635" s="84">
        <v>649.99</v>
      </c>
      <c r="F635" s="84">
        <v>324.995</v>
      </c>
      <c r="G635" t="s">
        <v>3201</v>
      </c>
      <c r="H635" t="s">
        <v>3208</v>
      </c>
      <c r="I635" t="s">
        <v>3207</v>
      </c>
      <c r="J635" t="s">
        <v>3209</v>
      </c>
      <c r="K635" t="s">
        <v>2848</v>
      </c>
      <c r="L635" t="s">
        <v>670</v>
      </c>
      <c r="M635">
        <v>100</v>
      </c>
      <c r="N635">
        <v>20</v>
      </c>
      <c r="O635">
        <v>220</v>
      </c>
      <c r="P635">
        <v>0.44</v>
      </c>
      <c r="Q635" s="84" t="e">
        <v>#REF!</v>
      </c>
      <c r="R635" s="85">
        <v>216429.04820968001</v>
      </c>
      <c r="S635" s="85">
        <v>1320000</v>
      </c>
      <c r="T635" s="86">
        <v>1536429.04820968</v>
      </c>
      <c r="U635" s="84">
        <v>102.428603213979</v>
      </c>
      <c r="V635" s="84">
        <v>454.99299999999999</v>
      </c>
      <c r="W635" s="84">
        <v>227.4965</v>
      </c>
      <c r="X635" s="82">
        <v>0.35</v>
      </c>
      <c r="Y635" s="82"/>
      <c r="Z635" s="84">
        <v>227.4965</v>
      </c>
      <c r="AA635" s="84">
        <v>454.99299999999999</v>
      </c>
      <c r="AB635" s="88">
        <v>2.2210251127289902</v>
      </c>
      <c r="AC635" t="s">
        <v>3210</v>
      </c>
    </row>
    <row r="636" spans="3:29">
      <c r="C636" t="s">
        <v>3211</v>
      </c>
      <c r="D636" t="s">
        <v>3212</v>
      </c>
      <c r="E636" s="84">
        <v>574.99</v>
      </c>
      <c r="F636" s="84">
        <v>287.495</v>
      </c>
      <c r="G636" t="s">
        <v>3201</v>
      </c>
      <c r="H636" t="s">
        <v>3213</v>
      </c>
      <c r="I636" t="s">
        <v>3212</v>
      </c>
      <c r="J636" t="s">
        <v>3214</v>
      </c>
      <c r="K636" t="s">
        <v>2950</v>
      </c>
      <c r="L636" t="s">
        <v>646</v>
      </c>
      <c r="M636">
        <v>78</v>
      </c>
      <c r="N636">
        <v>38</v>
      </c>
      <c r="O636">
        <v>200</v>
      </c>
      <c r="P636">
        <v>0.59279999999999999</v>
      </c>
      <c r="Q636" s="84" t="e">
        <v>#REF!</v>
      </c>
      <c r="R636" s="85">
        <v>229545.40688646</v>
      </c>
      <c r="S636" s="85">
        <v>1000000</v>
      </c>
      <c r="T636" s="86">
        <v>1229545.40688646</v>
      </c>
      <c r="U636" s="84">
        <v>81.969693792430704</v>
      </c>
      <c r="V636" s="84">
        <v>402.49299999999999</v>
      </c>
      <c r="W636" s="84">
        <v>201.2465</v>
      </c>
      <c r="X636" s="82">
        <v>0.35</v>
      </c>
      <c r="Y636" s="82"/>
      <c r="Z636" s="84">
        <v>201.2465</v>
      </c>
      <c r="AA636" s="84">
        <v>402.49299999999999</v>
      </c>
      <c r="AB636" s="88">
        <v>2.4551329971978499</v>
      </c>
      <c r="AC636" t="s">
        <v>3215</v>
      </c>
    </row>
    <row r="637" spans="3:29">
      <c r="C637" t="s">
        <v>3216</v>
      </c>
      <c r="D637" t="s">
        <v>3217</v>
      </c>
      <c r="E637" s="84">
        <v>679.99</v>
      </c>
      <c r="F637" s="84">
        <v>339.995</v>
      </c>
      <c r="G637" t="s">
        <v>3201</v>
      </c>
      <c r="H637" t="s">
        <v>3218</v>
      </c>
      <c r="I637" t="s">
        <v>700</v>
      </c>
      <c r="J637" t="s">
        <v>3203</v>
      </c>
      <c r="K637" t="s">
        <v>2833</v>
      </c>
      <c r="L637" t="s">
        <v>2193</v>
      </c>
      <c r="M637">
        <v>60</v>
      </c>
      <c r="N637">
        <v>20</v>
      </c>
      <c r="O637">
        <v>180</v>
      </c>
      <c r="P637">
        <v>0.216</v>
      </c>
      <c r="Q637" s="84" t="e">
        <v>#REF!</v>
      </c>
      <c r="R637" s="85"/>
      <c r="S637" s="85"/>
      <c r="T637" s="86">
        <v>0</v>
      </c>
      <c r="U637" s="84">
        <v>0</v>
      </c>
      <c r="V637" s="84">
        <v>475.99299999999999</v>
      </c>
      <c r="W637" s="84">
        <v>237.9965</v>
      </c>
      <c r="X637" s="82">
        <v>0.35</v>
      </c>
      <c r="Y637" s="82"/>
      <c r="Z637" s="84">
        <v>237.9965</v>
      </c>
      <c r="AA637" s="84">
        <v>475.99299999999999</v>
      </c>
      <c r="AB637" s="88" t="e">
        <v>#DIV/0!</v>
      </c>
      <c r="AC637" t="s">
        <v>3219</v>
      </c>
    </row>
    <row r="638" spans="3:29">
      <c r="C638" t="s">
        <v>3220</v>
      </c>
      <c r="D638" t="s">
        <v>3217</v>
      </c>
      <c r="E638" s="84">
        <v>1179.99</v>
      </c>
      <c r="F638" s="84">
        <v>589.995</v>
      </c>
      <c r="G638" t="s">
        <v>3201</v>
      </c>
      <c r="H638" t="s">
        <v>3221</v>
      </c>
      <c r="I638" t="s">
        <v>700</v>
      </c>
      <c r="J638" t="s">
        <v>3222</v>
      </c>
      <c r="K638" t="s">
        <v>2833</v>
      </c>
      <c r="L638" t="s">
        <v>2193</v>
      </c>
      <c r="M638">
        <v>100</v>
      </c>
      <c r="N638">
        <v>23</v>
      </c>
      <c r="O638">
        <v>230</v>
      </c>
      <c r="P638">
        <v>0.52900000000000003</v>
      </c>
      <c r="Q638" s="84" t="e">
        <v>#REF!</v>
      </c>
      <c r="R638" s="85"/>
      <c r="S638" s="85"/>
      <c r="T638" s="86">
        <v>0</v>
      </c>
      <c r="U638" s="84">
        <v>0</v>
      </c>
      <c r="V638" s="84">
        <v>825.99300000000005</v>
      </c>
      <c r="W638" s="84">
        <v>412.99650000000003</v>
      </c>
      <c r="X638" s="82">
        <v>0.35</v>
      </c>
      <c r="Y638" s="82"/>
      <c r="Z638" s="84">
        <v>412.99650000000003</v>
      </c>
      <c r="AA638" s="84">
        <v>825.99300000000005</v>
      </c>
      <c r="AB638" s="88" t="e">
        <v>#DIV/0!</v>
      </c>
      <c r="AC638" t="s">
        <v>3219</v>
      </c>
    </row>
    <row r="639" spans="3:29">
      <c r="C639" t="s">
        <v>3223</v>
      </c>
      <c r="D639" t="s">
        <v>3224</v>
      </c>
      <c r="E639" s="84">
        <v>214.99</v>
      </c>
      <c r="F639" s="84">
        <v>107.495</v>
      </c>
      <c r="G639" t="s">
        <v>3201</v>
      </c>
      <c r="H639" t="s">
        <v>3225</v>
      </c>
      <c r="I639" t="s">
        <v>261</v>
      </c>
      <c r="J639" t="s">
        <v>3226</v>
      </c>
      <c r="K639" t="s">
        <v>3227</v>
      </c>
      <c r="L639" t="s">
        <v>646</v>
      </c>
      <c r="M639">
        <v>120</v>
      </c>
      <c r="N639">
        <v>4</v>
      </c>
      <c r="O639">
        <v>100</v>
      </c>
      <c r="P639">
        <v>4.8000000000000001E-2</v>
      </c>
      <c r="Q639" s="84" t="e">
        <v>#REF!</v>
      </c>
      <c r="R639" s="85"/>
      <c r="S639" s="85"/>
      <c r="T639" s="86">
        <v>0</v>
      </c>
      <c r="U639" s="84">
        <v>0</v>
      </c>
      <c r="V639" s="84">
        <v>150.49299999999999</v>
      </c>
      <c r="W639" s="84">
        <v>75.246499999999997</v>
      </c>
      <c r="X639" s="82">
        <v>0.35</v>
      </c>
      <c r="Y639" s="82"/>
      <c r="Z639" s="84">
        <v>75.246499999999997</v>
      </c>
      <c r="AA639" s="84">
        <v>150.49299999999999</v>
      </c>
      <c r="AB639" s="88" t="e">
        <v>#DIV/0!</v>
      </c>
      <c r="AC639" t="s">
        <v>3228</v>
      </c>
    </row>
    <row r="640" spans="3:29">
      <c r="C640" t="s">
        <v>3229</v>
      </c>
      <c r="D640" t="s">
        <v>3224</v>
      </c>
      <c r="E640" s="84">
        <v>364.99</v>
      </c>
      <c r="F640" s="84">
        <v>182.495</v>
      </c>
      <c r="G640" t="s">
        <v>3201</v>
      </c>
      <c r="H640" t="s">
        <v>3230</v>
      </c>
      <c r="I640" t="s">
        <v>261</v>
      </c>
      <c r="J640" t="s">
        <v>3231</v>
      </c>
      <c r="K640" t="s">
        <v>3227</v>
      </c>
      <c r="L640" t="s">
        <v>646</v>
      </c>
      <c r="M640">
        <v>220</v>
      </c>
      <c r="N640">
        <v>1</v>
      </c>
      <c r="O640">
        <v>150</v>
      </c>
      <c r="P640">
        <v>3.3000000000000002E-2</v>
      </c>
      <c r="Q640" s="84" t="e">
        <v>#REF!</v>
      </c>
      <c r="R640" s="85"/>
      <c r="S640" s="85"/>
      <c r="T640" s="86">
        <v>0</v>
      </c>
      <c r="U640" s="84">
        <v>0</v>
      </c>
      <c r="V640" s="84">
        <v>255.49299999999999</v>
      </c>
      <c r="W640" s="84">
        <v>127.7465</v>
      </c>
      <c r="X640" s="82">
        <v>0.35</v>
      </c>
      <c r="Y640" s="82"/>
      <c r="Z640" s="84">
        <v>127.7465</v>
      </c>
      <c r="AA640" s="84">
        <v>255.49299999999999</v>
      </c>
      <c r="AB640" s="88" t="e">
        <v>#DIV/0!</v>
      </c>
      <c r="AC640" t="s">
        <v>3232</v>
      </c>
    </row>
    <row r="641" spans="3:29">
      <c r="C641" t="s">
        <v>3233</v>
      </c>
      <c r="D641" t="s">
        <v>3234</v>
      </c>
      <c r="E641" s="84">
        <v>254.99</v>
      </c>
      <c r="F641" s="84">
        <v>127.495</v>
      </c>
      <c r="G641" t="s">
        <v>3201</v>
      </c>
      <c r="H641" t="s">
        <v>3225</v>
      </c>
      <c r="I641" t="s">
        <v>264</v>
      </c>
      <c r="J641" t="s">
        <v>3226</v>
      </c>
      <c r="K641" t="s">
        <v>3227</v>
      </c>
      <c r="L641" t="s">
        <v>646</v>
      </c>
      <c r="M641">
        <v>120</v>
      </c>
      <c r="N641">
        <v>4</v>
      </c>
      <c r="O641">
        <v>100</v>
      </c>
      <c r="P641">
        <v>4.8000000000000001E-2</v>
      </c>
      <c r="Q641" s="84" t="e">
        <v>#REF!</v>
      </c>
      <c r="R641" s="85"/>
      <c r="S641" s="85"/>
      <c r="T641" s="86">
        <v>0</v>
      </c>
      <c r="U641" s="84">
        <v>0</v>
      </c>
      <c r="V641" s="84">
        <v>178.49299999999999</v>
      </c>
      <c r="W641" s="84">
        <v>89.246499999999997</v>
      </c>
      <c r="X641" s="82">
        <v>0.35</v>
      </c>
      <c r="Y641" s="82"/>
      <c r="Z641" s="84">
        <v>89.246499999999997</v>
      </c>
      <c r="AA641" s="84">
        <v>178.49299999999999</v>
      </c>
      <c r="AB641" s="88" t="e">
        <v>#DIV/0!</v>
      </c>
      <c r="AC641" t="s">
        <v>3235</v>
      </c>
    </row>
    <row r="642" spans="3:29">
      <c r="C642" t="s">
        <v>3236</v>
      </c>
      <c r="D642" t="s">
        <v>3234</v>
      </c>
      <c r="E642" s="84">
        <v>414.99</v>
      </c>
      <c r="F642" s="84">
        <v>207.495</v>
      </c>
      <c r="G642" t="s">
        <v>3201</v>
      </c>
      <c r="H642" t="s">
        <v>3230</v>
      </c>
      <c r="I642" t="s">
        <v>264</v>
      </c>
      <c r="J642" t="s">
        <v>3231</v>
      </c>
      <c r="K642" t="s">
        <v>3227</v>
      </c>
      <c r="L642" t="s">
        <v>646</v>
      </c>
      <c r="M642">
        <v>220</v>
      </c>
      <c r="N642">
        <v>1</v>
      </c>
      <c r="O642">
        <v>150</v>
      </c>
      <c r="P642">
        <v>3.3000000000000002E-2</v>
      </c>
      <c r="Q642" s="84" t="e">
        <v>#REF!</v>
      </c>
      <c r="R642" s="85"/>
      <c r="S642" s="85"/>
      <c r="T642" s="86">
        <v>0</v>
      </c>
      <c r="U642" s="84">
        <v>0</v>
      </c>
      <c r="V642" s="84">
        <v>290.49299999999999</v>
      </c>
      <c r="W642" s="84">
        <v>145.2465</v>
      </c>
      <c r="X642" s="82">
        <v>0.35</v>
      </c>
      <c r="Y642" s="82"/>
      <c r="Z642" s="84">
        <v>145.2465</v>
      </c>
      <c r="AA642" s="84">
        <v>290.49299999999999</v>
      </c>
      <c r="AB642" s="88" t="e">
        <v>#DIV/0!</v>
      </c>
      <c r="AC642" t="s">
        <v>3237</v>
      </c>
    </row>
    <row r="643" spans="3:29">
      <c r="C643" t="s">
        <v>3238</v>
      </c>
      <c r="E643" s="84"/>
      <c r="F643" s="82"/>
      <c r="R643" s="85"/>
      <c r="S643" s="85"/>
      <c r="T643" s="86"/>
      <c r="V643" s="84">
        <v>0</v>
      </c>
      <c r="W643" s="84">
        <v>0</v>
      </c>
      <c r="X643" s="82" t="e">
        <v>#DIV/0!</v>
      </c>
      <c r="Y643" s="82">
        <v>0</v>
      </c>
      <c r="Z643" s="82"/>
      <c r="AA643" s="82"/>
      <c r="AB643" s="88" t="e">
        <v>#DIV/0!</v>
      </c>
    </row>
    <row r="644" spans="3:29">
      <c r="C644">
        <v>30249</v>
      </c>
      <c r="D644" t="s">
        <v>3239</v>
      </c>
      <c r="E644" s="84">
        <v>15.99</v>
      </c>
      <c r="F644" s="84">
        <v>7.9950000000000001</v>
      </c>
      <c r="G644" t="s">
        <v>3240</v>
      </c>
      <c r="H644" t="s">
        <v>3241</v>
      </c>
      <c r="I644" t="s">
        <v>3242</v>
      </c>
      <c r="J644" t="s">
        <v>3243</v>
      </c>
      <c r="K644" t="s">
        <v>3244</v>
      </c>
      <c r="L644" t="s">
        <v>670</v>
      </c>
      <c r="M644">
        <v>28</v>
      </c>
      <c r="N644">
        <v>28</v>
      </c>
      <c r="O644">
        <v>33</v>
      </c>
      <c r="P644">
        <v>2.5871999999999999E-2</v>
      </c>
      <c r="Q644" s="84" t="e">
        <v>#REF!</v>
      </c>
      <c r="R644" s="85">
        <v>6245.7514108660098</v>
      </c>
      <c r="S644" s="85">
        <v>170000</v>
      </c>
      <c r="T644" s="86">
        <v>176245.75141086601</v>
      </c>
      <c r="U644" s="84">
        <v>11.7497167607244</v>
      </c>
      <c r="V644" s="84">
        <v>11.193</v>
      </c>
      <c r="W644" s="84">
        <v>5.5964999999999998</v>
      </c>
      <c r="X644" s="82">
        <v>0.35</v>
      </c>
      <c r="Y644" s="87">
        <v>23.4994335214488</v>
      </c>
      <c r="Z644" s="84">
        <v>23.4994335214488</v>
      </c>
      <c r="AA644" s="84">
        <v>46.998867042897601</v>
      </c>
      <c r="AB644" s="88">
        <v>2</v>
      </c>
      <c r="AC644" t="s">
        <v>3245</v>
      </c>
    </row>
    <row r="645" spans="3:29">
      <c r="C645" t="s">
        <v>3247</v>
      </c>
      <c r="D645" t="s">
        <v>3248</v>
      </c>
      <c r="E645" s="84">
        <v>117.99</v>
      </c>
      <c r="F645" s="84">
        <v>58.994999999999997</v>
      </c>
      <c r="G645" t="s">
        <v>3240</v>
      </c>
      <c r="H645" t="s">
        <v>3249</v>
      </c>
      <c r="I645" t="s">
        <v>3250</v>
      </c>
      <c r="J645" t="s">
        <v>3251</v>
      </c>
      <c r="K645" t="s">
        <v>3244</v>
      </c>
      <c r="L645" t="s">
        <v>670</v>
      </c>
      <c r="M645">
        <v>40</v>
      </c>
      <c r="N645">
        <v>30</v>
      </c>
      <c r="O645">
        <v>29</v>
      </c>
      <c r="P645">
        <v>3.4799999999999998E-2</v>
      </c>
      <c r="Q645" s="84" t="e">
        <v>#REF!</v>
      </c>
      <c r="R645" s="85"/>
      <c r="S645" s="85"/>
      <c r="T645" s="86">
        <v>0</v>
      </c>
      <c r="U645" s="84">
        <v>0</v>
      </c>
      <c r="V645" s="84">
        <v>82.593000000000004</v>
      </c>
      <c r="W645" s="84">
        <v>41.296500000000002</v>
      </c>
      <c r="X645" s="82">
        <v>0.35</v>
      </c>
      <c r="Y645" s="82"/>
      <c r="Z645" s="84">
        <v>41.296500000000002</v>
      </c>
      <c r="AA645" s="84">
        <v>82.593000000000004</v>
      </c>
      <c r="AB645" s="88" t="e">
        <v>#DIV/0!</v>
      </c>
      <c r="AC645" t="s">
        <v>3252</v>
      </c>
    </row>
    <row r="646" spans="3:29">
      <c r="C646" t="s">
        <v>3253</v>
      </c>
      <c r="D646" t="s">
        <v>3254</v>
      </c>
      <c r="E646" s="84">
        <v>97.99</v>
      </c>
      <c r="F646" s="84">
        <v>48.994999999999997</v>
      </c>
      <c r="G646" t="s">
        <v>3240</v>
      </c>
      <c r="H646" t="s">
        <v>3249</v>
      </c>
      <c r="I646" t="s">
        <v>3255</v>
      </c>
      <c r="J646" t="s">
        <v>3256</v>
      </c>
      <c r="K646" t="s">
        <v>3244</v>
      </c>
      <c r="L646" t="s">
        <v>670</v>
      </c>
      <c r="M646">
        <v>30</v>
      </c>
      <c r="N646">
        <v>30</v>
      </c>
      <c r="O646">
        <v>20</v>
      </c>
      <c r="P646">
        <v>1.7999999999999999E-2</v>
      </c>
      <c r="Q646" s="84" t="e">
        <v>#REF!</v>
      </c>
      <c r="R646" s="85"/>
      <c r="S646" s="85"/>
      <c r="T646" s="86">
        <v>0</v>
      </c>
      <c r="U646" s="84">
        <v>0</v>
      </c>
      <c r="V646" s="84">
        <v>68.593000000000004</v>
      </c>
      <c r="W646" s="84">
        <v>34.296500000000002</v>
      </c>
      <c r="X646" s="82">
        <v>0.35</v>
      </c>
      <c r="Y646" s="82"/>
      <c r="Z646" s="84">
        <v>34.296500000000002</v>
      </c>
      <c r="AA646" s="84">
        <v>68.593000000000004</v>
      </c>
      <c r="AB646" s="88" t="e">
        <v>#DIV/0!</v>
      </c>
      <c r="AC646" t="s">
        <v>3257</v>
      </c>
    </row>
    <row r="647" spans="3:29">
      <c r="C647">
        <v>999051</v>
      </c>
      <c r="D647" t="s">
        <v>3258</v>
      </c>
      <c r="E647" s="84">
        <v>172.99</v>
      </c>
      <c r="F647" s="84">
        <v>86.495000000000005</v>
      </c>
      <c r="G647" t="s">
        <v>3240</v>
      </c>
      <c r="H647" t="s">
        <v>3259</v>
      </c>
      <c r="I647" t="s">
        <v>3260</v>
      </c>
      <c r="J647" t="s">
        <v>3261</v>
      </c>
      <c r="K647" t="s">
        <v>3244</v>
      </c>
      <c r="L647" t="s">
        <v>670</v>
      </c>
      <c r="M647">
        <v>31</v>
      </c>
      <c r="N647">
        <v>21</v>
      </c>
      <c r="O647">
        <v>17</v>
      </c>
      <c r="P647">
        <v>1.1067E-2</v>
      </c>
      <c r="Q647" s="84" t="e">
        <v>#REF!</v>
      </c>
      <c r="R647" s="85"/>
      <c r="S647" s="85"/>
      <c r="T647" s="86">
        <v>0</v>
      </c>
      <c r="U647" s="84">
        <v>0</v>
      </c>
      <c r="V647" s="84">
        <v>121.093</v>
      </c>
      <c r="W647" s="84">
        <v>60.546500000000002</v>
      </c>
      <c r="X647" s="82">
        <v>0.35</v>
      </c>
      <c r="Y647" s="82"/>
      <c r="Z647" s="84">
        <v>60.546500000000002</v>
      </c>
      <c r="AA647" s="84">
        <v>121.093</v>
      </c>
      <c r="AB647" s="88" t="e">
        <v>#DIV/0!</v>
      </c>
      <c r="AC647" t="s">
        <v>3262</v>
      </c>
    </row>
    <row r="648" spans="3:29">
      <c r="C648" t="s">
        <v>3263</v>
      </c>
      <c r="D648" t="s">
        <v>3264</v>
      </c>
      <c r="E648" s="84">
        <v>174.99</v>
      </c>
      <c r="F648" s="84">
        <v>87.495000000000005</v>
      </c>
      <c r="G648" t="s">
        <v>3240</v>
      </c>
      <c r="H648" t="s">
        <v>3265</v>
      </c>
      <c r="I648" t="s">
        <v>3266</v>
      </c>
      <c r="J648" t="s">
        <v>3267</v>
      </c>
      <c r="K648" t="s">
        <v>3244</v>
      </c>
      <c r="L648" t="s">
        <v>670</v>
      </c>
      <c r="M648">
        <v>32</v>
      </c>
      <c r="N648">
        <v>32</v>
      </c>
      <c r="O648">
        <v>51</v>
      </c>
      <c r="P648">
        <v>5.2224E-2</v>
      </c>
      <c r="Q648" s="84" t="e">
        <v>#REF!</v>
      </c>
      <c r="R648" s="85">
        <v>41408.037898119001</v>
      </c>
      <c r="S648" s="85">
        <v>495000</v>
      </c>
      <c r="T648" s="86">
        <v>536408.03789811896</v>
      </c>
      <c r="U648" s="84">
        <v>35.760535859874601</v>
      </c>
      <c r="V648" s="84">
        <v>122.49299999999999</v>
      </c>
      <c r="W648" s="84">
        <v>61.246499999999997</v>
      </c>
      <c r="X648" s="82">
        <v>0.35</v>
      </c>
      <c r="Y648" s="87">
        <v>71.521071719749202</v>
      </c>
      <c r="Z648" s="84">
        <v>71.521071719749202</v>
      </c>
      <c r="AA648" s="84">
        <v>143.04214343949801</v>
      </c>
      <c r="AB648" s="88">
        <v>2</v>
      </c>
      <c r="AC648" t="s">
        <v>3268</v>
      </c>
    </row>
    <row r="649" spans="3:29">
      <c r="C649" t="s">
        <v>3269</v>
      </c>
      <c r="D649" t="s">
        <v>3270</v>
      </c>
      <c r="E649" s="84">
        <v>58.99</v>
      </c>
      <c r="F649" s="84">
        <v>29.495000000000001</v>
      </c>
      <c r="G649" t="s">
        <v>3240</v>
      </c>
      <c r="H649" t="s">
        <v>3271</v>
      </c>
      <c r="I649" t="s">
        <v>3272</v>
      </c>
      <c r="J649" t="s">
        <v>3273</v>
      </c>
      <c r="K649" t="s">
        <v>3244</v>
      </c>
      <c r="L649" t="s">
        <v>670</v>
      </c>
      <c r="M649">
        <v>55</v>
      </c>
      <c r="N649">
        <v>15</v>
      </c>
      <c r="O649">
        <v>57</v>
      </c>
      <c r="P649">
        <v>4.7024999999999997E-2</v>
      </c>
      <c r="Q649" s="84" t="e">
        <v>#REF!</v>
      </c>
      <c r="R649" s="85">
        <v>0</v>
      </c>
      <c r="S649" s="85">
        <v>150000</v>
      </c>
      <c r="T649" s="86">
        <v>150000</v>
      </c>
      <c r="U649" s="84">
        <v>10</v>
      </c>
      <c r="V649" s="84">
        <v>41.292999999999999</v>
      </c>
      <c r="W649" s="84">
        <v>20.6465</v>
      </c>
      <c r="X649" s="82">
        <v>0.35</v>
      </c>
      <c r="Y649" s="87">
        <v>23</v>
      </c>
      <c r="Z649" s="84">
        <v>23</v>
      </c>
      <c r="AA649" s="84">
        <v>46</v>
      </c>
      <c r="AB649" s="88">
        <v>2</v>
      </c>
      <c r="AC649" t="s">
        <v>3274</v>
      </c>
    </row>
    <row r="650" spans="3:29">
      <c r="C650" t="s">
        <v>3275</v>
      </c>
      <c r="D650" t="s">
        <v>3276</v>
      </c>
      <c r="E650" s="84">
        <v>237.99</v>
      </c>
      <c r="F650" s="84">
        <v>118.995</v>
      </c>
      <c r="G650" t="s">
        <v>3240</v>
      </c>
      <c r="H650" t="s">
        <v>3277</v>
      </c>
      <c r="I650" t="s">
        <v>3278</v>
      </c>
      <c r="J650" t="s">
        <v>3279</v>
      </c>
      <c r="K650" t="s">
        <v>3244</v>
      </c>
      <c r="L650" t="s">
        <v>670</v>
      </c>
      <c r="M650">
        <v>70</v>
      </c>
      <c r="N650">
        <v>40</v>
      </c>
      <c r="O650">
        <v>48</v>
      </c>
      <c r="P650">
        <v>0.13439999999999999</v>
      </c>
      <c r="Q650" s="84" t="e">
        <v>#REF!</v>
      </c>
      <c r="R650" s="85"/>
      <c r="S650" s="85"/>
      <c r="T650" s="86">
        <v>0</v>
      </c>
      <c r="U650" s="84">
        <v>0</v>
      </c>
      <c r="V650" s="84">
        <v>166.59299999999999</v>
      </c>
      <c r="W650" s="84">
        <v>83.296499999999995</v>
      </c>
      <c r="X650" s="82">
        <v>0.35</v>
      </c>
      <c r="Y650" s="82"/>
      <c r="Z650" s="84">
        <v>83.296499999999995</v>
      </c>
      <c r="AA650" s="84">
        <v>166.59299999999999</v>
      </c>
      <c r="AB650" s="88" t="e">
        <v>#DIV/0!</v>
      </c>
      <c r="AC650" t="s">
        <v>3280</v>
      </c>
    </row>
    <row r="651" spans="3:29">
      <c r="C651" t="s">
        <v>3281</v>
      </c>
      <c r="D651" t="s">
        <v>3282</v>
      </c>
      <c r="E651" s="84">
        <v>56.99</v>
      </c>
      <c r="F651" s="84">
        <v>28.495000000000001</v>
      </c>
      <c r="G651" t="s">
        <v>3240</v>
      </c>
      <c r="H651" t="s">
        <v>3283</v>
      </c>
      <c r="I651" t="s">
        <v>132</v>
      </c>
      <c r="J651" t="s">
        <v>3284</v>
      </c>
      <c r="K651" t="s">
        <v>3244</v>
      </c>
      <c r="L651" t="s">
        <v>670</v>
      </c>
      <c r="N651">
        <v>38</v>
      </c>
      <c r="O651">
        <v>47</v>
      </c>
      <c r="P651">
        <v>6.7867999999999998E-2</v>
      </c>
      <c r="Q651" s="84" t="e">
        <v>#REF!</v>
      </c>
      <c r="R651" s="85">
        <v>-16383.992607940299</v>
      </c>
      <c r="S651" s="85">
        <v>211383.99260793999</v>
      </c>
      <c r="T651" s="86">
        <v>195000</v>
      </c>
      <c r="U651" s="84">
        <v>13</v>
      </c>
      <c r="V651" s="84">
        <v>39.893000000000001</v>
      </c>
      <c r="W651" s="84">
        <v>19.9465</v>
      </c>
      <c r="X651" s="82">
        <v>0.35</v>
      </c>
      <c r="Y651" s="87">
        <v>26</v>
      </c>
      <c r="Z651" s="84">
        <v>26</v>
      </c>
      <c r="AA651" s="84">
        <v>52</v>
      </c>
      <c r="AB651" s="88">
        <v>2</v>
      </c>
      <c r="AC651" t="s">
        <v>3285</v>
      </c>
    </row>
    <row r="652" spans="3:29">
      <c r="C652" t="s">
        <v>3286</v>
      </c>
      <c r="D652" t="s">
        <v>3282</v>
      </c>
      <c r="E652" s="84">
        <v>93.99</v>
      </c>
      <c r="F652" s="84">
        <v>46.994999999999997</v>
      </c>
      <c r="G652" t="s">
        <v>3240</v>
      </c>
      <c r="H652" t="s">
        <v>3287</v>
      </c>
      <c r="I652" t="s">
        <v>132</v>
      </c>
      <c r="J652" t="s">
        <v>3288</v>
      </c>
      <c r="K652" t="s">
        <v>3244</v>
      </c>
      <c r="L652" t="s">
        <v>670</v>
      </c>
      <c r="N652">
        <v>60</v>
      </c>
      <c r="O652">
        <v>60</v>
      </c>
      <c r="P652">
        <v>0.216</v>
      </c>
      <c r="Q652" s="84" t="e">
        <v>#REF!</v>
      </c>
      <c r="R652" s="85">
        <v>0</v>
      </c>
      <c r="S652" s="85">
        <v>250000</v>
      </c>
      <c r="T652" s="86">
        <v>250000</v>
      </c>
      <c r="U652" s="84">
        <v>16.6666666666667</v>
      </c>
      <c r="V652" s="84">
        <v>65.793000000000006</v>
      </c>
      <c r="W652" s="84">
        <v>32.896500000000003</v>
      </c>
      <c r="X652" s="82">
        <v>0.35</v>
      </c>
      <c r="Y652" s="87">
        <v>36.6666666666667</v>
      </c>
      <c r="Z652" s="84">
        <v>36.6666666666667</v>
      </c>
      <c r="AA652" s="84">
        <v>73.3333333333333</v>
      </c>
      <c r="AB652" s="88">
        <v>2</v>
      </c>
      <c r="AC652" t="s">
        <v>3285</v>
      </c>
    </row>
    <row r="653" spans="3:29">
      <c r="C653" t="s">
        <v>3289</v>
      </c>
      <c r="D653" t="s">
        <v>3282</v>
      </c>
      <c r="E653" s="84">
        <v>129.99</v>
      </c>
      <c r="F653" s="84">
        <v>64.995000000000005</v>
      </c>
      <c r="G653" t="s">
        <v>3240</v>
      </c>
      <c r="H653" t="s">
        <v>3290</v>
      </c>
      <c r="I653" t="s">
        <v>132</v>
      </c>
      <c r="J653" t="s">
        <v>3291</v>
      </c>
      <c r="K653" t="s">
        <v>3244</v>
      </c>
      <c r="L653" t="s">
        <v>670</v>
      </c>
      <c r="N653">
        <v>48</v>
      </c>
      <c r="O653">
        <v>57</v>
      </c>
      <c r="P653">
        <v>0.131328</v>
      </c>
      <c r="Q653" s="84" t="e">
        <v>#REF!</v>
      </c>
      <c r="R653" s="85">
        <v>31703.851317493001</v>
      </c>
      <c r="S653" s="85">
        <v>215000</v>
      </c>
      <c r="T653" s="86">
        <v>246703.85131749301</v>
      </c>
      <c r="U653" s="84">
        <v>16.446923421166201</v>
      </c>
      <c r="V653" s="84">
        <v>90.992999999999995</v>
      </c>
      <c r="W653" s="84">
        <v>45.496499999999997</v>
      </c>
      <c r="X653" s="82">
        <v>0.35</v>
      </c>
      <c r="Y653" s="82"/>
      <c r="Z653" s="84">
        <v>45.496499999999997</v>
      </c>
      <c r="AA653" s="84">
        <v>90.992999999999995</v>
      </c>
      <c r="AB653" s="88">
        <v>2.7662620439667598</v>
      </c>
      <c r="AC653" t="s">
        <v>3292</v>
      </c>
    </row>
    <row r="654" spans="3:29">
      <c r="C654">
        <v>28918</v>
      </c>
      <c r="D654" t="s">
        <v>3293</v>
      </c>
      <c r="E654" s="84">
        <v>95.99</v>
      </c>
      <c r="F654" s="84">
        <v>47.994999999999997</v>
      </c>
      <c r="G654" t="s">
        <v>3240</v>
      </c>
      <c r="H654" t="s">
        <v>3294</v>
      </c>
      <c r="I654" t="s">
        <v>3295</v>
      </c>
      <c r="J654" t="s">
        <v>3296</v>
      </c>
      <c r="K654" t="s">
        <v>3297</v>
      </c>
      <c r="L654" t="s">
        <v>670</v>
      </c>
      <c r="N654">
        <v>43</v>
      </c>
      <c r="O654">
        <v>39</v>
      </c>
      <c r="P654">
        <v>7.2110999999999995E-2</v>
      </c>
      <c r="Q654" s="84" t="e">
        <v>#REF!</v>
      </c>
      <c r="R654" s="85">
        <v>37950</v>
      </c>
      <c r="S654" s="85">
        <v>345000</v>
      </c>
      <c r="T654" s="86">
        <v>382950</v>
      </c>
      <c r="U654" s="84">
        <v>25.53</v>
      </c>
      <c r="V654" s="84">
        <v>67.192999999999998</v>
      </c>
      <c r="W654" s="84">
        <v>33.596499999999999</v>
      </c>
      <c r="X654" s="82">
        <v>0.35</v>
      </c>
      <c r="Y654" s="87">
        <v>42.124499999999998</v>
      </c>
      <c r="Z654" s="84">
        <v>42.124499999999998</v>
      </c>
      <c r="AA654" s="84">
        <v>84.248999999999995</v>
      </c>
      <c r="AB654" s="88">
        <v>2</v>
      </c>
      <c r="AC654" t="s">
        <v>3298</v>
      </c>
    </row>
    <row r="655" spans="3:29">
      <c r="C655">
        <v>33007</v>
      </c>
      <c r="D655" t="s">
        <v>3299</v>
      </c>
      <c r="E655" s="84">
        <v>96.99</v>
      </c>
      <c r="F655" s="84">
        <v>48.494999999999997</v>
      </c>
      <c r="G655" t="s">
        <v>3240</v>
      </c>
      <c r="H655" t="s">
        <v>3300</v>
      </c>
      <c r="I655" t="s">
        <v>3301</v>
      </c>
      <c r="J655" t="s">
        <v>3302</v>
      </c>
      <c r="K655" t="s">
        <v>3244</v>
      </c>
      <c r="L655" t="s">
        <v>670</v>
      </c>
      <c r="M655">
        <v>60</v>
      </c>
      <c r="N655">
        <v>40</v>
      </c>
      <c r="O655">
        <v>30</v>
      </c>
      <c r="P655">
        <v>7.1999999999999995E-2</v>
      </c>
      <c r="Q655" s="84" t="e">
        <v>#REF!</v>
      </c>
      <c r="R655" s="85"/>
      <c r="S655" s="85"/>
      <c r="T655" s="86">
        <v>0</v>
      </c>
      <c r="U655" s="84">
        <v>0</v>
      </c>
      <c r="V655" s="84">
        <v>67.893000000000001</v>
      </c>
      <c r="W655" s="84">
        <v>33.9465</v>
      </c>
      <c r="X655" s="82">
        <v>0.35</v>
      </c>
      <c r="Y655" s="82"/>
      <c r="Z655" s="84">
        <v>33.9465</v>
      </c>
      <c r="AA655" s="84">
        <v>67.893000000000001</v>
      </c>
      <c r="AB655" s="88" t="e">
        <v>#DIV/0!</v>
      </c>
      <c r="AC655" t="s">
        <v>3303</v>
      </c>
    </row>
    <row r="656" spans="3:29">
      <c r="C656">
        <v>33016</v>
      </c>
      <c r="D656" t="s">
        <v>3304</v>
      </c>
      <c r="E656" s="84">
        <v>51.99</v>
      </c>
      <c r="F656" s="84">
        <v>25.995000000000001</v>
      </c>
      <c r="G656" t="s">
        <v>3240</v>
      </c>
      <c r="H656" t="s">
        <v>3305</v>
      </c>
      <c r="I656" t="s">
        <v>3306</v>
      </c>
      <c r="J656" t="s">
        <v>3307</v>
      </c>
      <c r="K656" t="s">
        <v>3244</v>
      </c>
      <c r="L656" t="s">
        <v>670</v>
      </c>
      <c r="M656">
        <v>45</v>
      </c>
      <c r="N656">
        <v>35</v>
      </c>
      <c r="O656">
        <v>50</v>
      </c>
      <c r="P656">
        <v>7.8750000000000001E-2</v>
      </c>
      <c r="Q656" s="84" t="e">
        <v>#REF!</v>
      </c>
      <c r="R656" s="85"/>
      <c r="S656" s="85"/>
      <c r="T656" s="86">
        <v>0</v>
      </c>
      <c r="U656" s="84">
        <v>0</v>
      </c>
      <c r="V656" s="84">
        <v>36.393000000000001</v>
      </c>
      <c r="W656" s="84">
        <v>18.1965</v>
      </c>
      <c r="X656" s="82">
        <v>0.35</v>
      </c>
      <c r="Y656" s="82"/>
      <c r="Z656" s="84">
        <v>18.1965</v>
      </c>
      <c r="AA656" s="84">
        <v>36.393000000000001</v>
      </c>
      <c r="AB656" s="88" t="e">
        <v>#DIV/0!</v>
      </c>
      <c r="AC656" t="s">
        <v>3308</v>
      </c>
    </row>
    <row r="657" spans="3:29">
      <c r="C657">
        <v>33017</v>
      </c>
      <c r="D657" t="s">
        <v>3309</v>
      </c>
      <c r="E657" s="84">
        <v>72.989999999999995</v>
      </c>
      <c r="F657" s="84">
        <v>36.494999999999997</v>
      </c>
      <c r="G657" t="s">
        <v>3240</v>
      </c>
      <c r="H657" t="s">
        <v>3310</v>
      </c>
      <c r="I657" t="s">
        <v>3311</v>
      </c>
      <c r="J657" t="s">
        <v>3312</v>
      </c>
      <c r="K657" t="s">
        <v>3244</v>
      </c>
      <c r="L657" t="s">
        <v>670</v>
      </c>
      <c r="M657">
        <v>45</v>
      </c>
      <c r="N657">
        <v>20</v>
      </c>
      <c r="O657">
        <v>45</v>
      </c>
      <c r="P657">
        <v>4.0500000000000001E-2</v>
      </c>
      <c r="Q657" s="84" t="e">
        <v>#REF!</v>
      </c>
      <c r="R657" s="85"/>
      <c r="S657" s="85"/>
      <c r="T657" s="86">
        <v>0</v>
      </c>
      <c r="U657" s="84">
        <v>0</v>
      </c>
      <c r="V657" s="84">
        <v>51.093000000000004</v>
      </c>
      <c r="W657" s="84">
        <v>25.546500000000002</v>
      </c>
      <c r="X657" s="82">
        <v>0.35</v>
      </c>
      <c r="Y657" s="82"/>
      <c r="Z657" s="84">
        <v>25.546500000000002</v>
      </c>
      <c r="AA657" s="84">
        <v>51.093000000000004</v>
      </c>
      <c r="AB657" s="88" t="e">
        <v>#DIV/0!</v>
      </c>
      <c r="AC657" t="s">
        <v>3313</v>
      </c>
    </row>
    <row r="658" spans="3:29">
      <c r="C658" t="s">
        <v>3314</v>
      </c>
      <c r="D658" t="s">
        <v>3315</v>
      </c>
      <c r="E658" s="84">
        <v>52.99</v>
      </c>
      <c r="F658" s="84">
        <v>26.495000000000001</v>
      </c>
      <c r="G658" t="s">
        <v>3240</v>
      </c>
      <c r="H658" t="s">
        <v>3316</v>
      </c>
      <c r="I658" t="s">
        <v>529</v>
      </c>
      <c r="J658" t="s">
        <v>3317</v>
      </c>
      <c r="K658" t="s">
        <v>3318</v>
      </c>
      <c r="L658" t="s">
        <v>670</v>
      </c>
      <c r="N658">
        <v>25</v>
      </c>
      <c r="O658">
        <v>25</v>
      </c>
      <c r="P658">
        <v>1.5625E-2</v>
      </c>
      <c r="Q658" s="84" t="e">
        <v>#REF!</v>
      </c>
      <c r="R658" s="85"/>
      <c r="S658" s="85"/>
      <c r="T658" s="86">
        <v>0</v>
      </c>
      <c r="U658" s="84">
        <v>0</v>
      </c>
      <c r="V658" s="84">
        <v>37.093000000000004</v>
      </c>
      <c r="W658" s="84">
        <v>18.546500000000002</v>
      </c>
      <c r="X658" s="82">
        <v>0.35</v>
      </c>
      <c r="Y658" s="82"/>
      <c r="Z658" s="84">
        <v>18.546500000000002</v>
      </c>
      <c r="AA658" s="84">
        <v>37.093000000000004</v>
      </c>
      <c r="AB658" s="88" t="e">
        <v>#DIV/0!</v>
      </c>
      <c r="AC658" t="s">
        <v>3319</v>
      </c>
    </row>
    <row r="659" spans="3:29">
      <c r="C659" t="s">
        <v>3320</v>
      </c>
      <c r="D659" t="s">
        <v>3315</v>
      </c>
      <c r="E659" s="84">
        <v>62.99</v>
      </c>
      <c r="F659" s="84">
        <v>31.495000000000001</v>
      </c>
      <c r="G659" t="s">
        <v>3240</v>
      </c>
      <c r="H659" t="s">
        <v>3321</v>
      </c>
      <c r="I659" t="s">
        <v>529</v>
      </c>
      <c r="J659" t="s">
        <v>3322</v>
      </c>
      <c r="K659" t="s">
        <v>3318</v>
      </c>
      <c r="L659" t="s">
        <v>670</v>
      </c>
      <c r="N659">
        <v>30</v>
      </c>
      <c r="O659">
        <v>30</v>
      </c>
      <c r="P659">
        <v>2.7E-2</v>
      </c>
      <c r="Q659" s="84" t="e">
        <v>#REF!</v>
      </c>
      <c r="R659" s="85">
        <v>6518.0615373129804</v>
      </c>
      <c r="S659" s="85">
        <v>345000</v>
      </c>
      <c r="T659" s="86">
        <v>150000</v>
      </c>
      <c r="U659" s="84">
        <v>10</v>
      </c>
      <c r="V659" s="84">
        <v>44.093000000000004</v>
      </c>
      <c r="W659" s="84">
        <v>22.046500000000002</v>
      </c>
      <c r="X659" s="82">
        <v>0.35</v>
      </c>
      <c r="Y659" s="87">
        <v>20</v>
      </c>
      <c r="Z659" s="84">
        <v>20</v>
      </c>
      <c r="AA659" s="84">
        <v>40</v>
      </c>
      <c r="AB659" s="88">
        <v>2</v>
      </c>
      <c r="AC659" t="s">
        <v>3323</v>
      </c>
    </row>
    <row r="660" spans="3:29">
      <c r="C660" t="s">
        <v>3324</v>
      </c>
      <c r="E660" s="84"/>
      <c r="F660" s="82"/>
      <c r="R660" s="85"/>
      <c r="S660" s="85"/>
      <c r="T660" s="86"/>
      <c r="V660" s="84">
        <v>0</v>
      </c>
      <c r="W660" s="84">
        <v>0</v>
      </c>
      <c r="X660" s="82" t="e">
        <v>#DIV/0!</v>
      </c>
      <c r="Y660" s="82">
        <v>0</v>
      </c>
      <c r="Z660" s="82"/>
      <c r="AA660" s="82"/>
      <c r="AB660" s="88" t="e">
        <v>#DIV/0!</v>
      </c>
    </row>
    <row r="661" spans="3:29">
      <c r="C661" t="s">
        <v>3325</v>
      </c>
      <c r="D661" t="s">
        <v>3326</v>
      </c>
      <c r="E661" s="84">
        <v>114.99</v>
      </c>
      <c r="F661" s="84">
        <v>57.494999999999997</v>
      </c>
      <c r="G661" t="s">
        <v>3327</v>
      </c>
      <c r="H661" t="s">
        <v>3328</v>
      </c>
      <c r="I661" t="s">
        <v>900</v>
      </c>
      <c r="J661" t="s">
        <v>3329</v>
      </c>
      <c r="K661" t="s">
        <v>2950</v>
      </c>
      <c r="L661" t="s">
        <v>670</v>
      </c>
      <c r="M661">
        <v>45</v>
      </c>
      <c r="N661">
        <v>40</v>
      </c>
      <c r="O661">
        <v>100</v>
      </c>
      <c r="P661">
        <v>0.18</v>
      </c>
      <c r="Q661" s="84" t="e">
        <v>#REF!</v>
      </c>
      <c r="R661" s="85"/>
      <c r="S661" s="85"/>
      <c r="T661" s="86">
        <v>0</v>
      </c>
      <c r="U661" s="84">
        <v>0</v>
      </c>
      <c r="V661" s="84">
        <v>80.492999999999995</v>
      </c>
      <c r="W661" s="84">
        <v>40.246499999999997</v>
      </c>
      <c r="X661" s="82">
        <v>0.35</v>
      </c>
      <c r="Y661" s="82"/>
      <c r="Z661" s="84">
        <v>40.246499999999997</v>
      </c>
      <c r="AA661" s="84">
        <v>80.492999999999995</v>
      </c>
      <c r="AB661" s="88" t="e">
        <v>#DIV/0!</v>
      </c>
      <c r="AC661" t="s">
        <v>3330</v>
      </c>
    </row>
    <row r="662" spans="3:29">
      <c r="C662" t="s">
        <v>3332</v>
      </c>
      <c r="D662" t="s">
        <v>3326</v>
      </c>
      <c r="E662" s="84">
        <v>154.99</v>
      </c>
      <c r="F662" s="84">
        <v>77.495000000000005</v>
      </c>
      <c r="G662" t="s">
        <v>3327</v>
      </c>
      <c r="H662" t="s">
        <v>3333</v>
      </c>
      <c r="I662" t="s">
        <v>900</v>
      </c>
      <c r="J662" t="s">
        <v>3334</v>
      </c>
      <c r="K662" t="s">
        <v>2950</v>
      </c>
      <c r="L662" t="s">
        <v>670</v>
      </c>
      <c r="M662">
        <v>70</v>
      </c>
      <c r="N662">
        <v>40</v>
      </c>
      <c r="O662">
        <v>100</v>
      </c>
      <c r="P662">
        <v>0.28000000000000003</v>
      </c>
      <c r="Q662" s="84" t="e">
        <v>#REF!</v>
      </c>
      <c r="R662" s="85"/>
      <c r="S662" s="85"/>
      <c r="T662" s="86">
        <v>0</v>
      </c>
      <c r="U662" s="84">
        <v>0</v>
      </c>
      <c r="V662" s="84">
        <v>108.49299999999999</v>
      </c>
      <c r="W662" s="84">
        <v>54.246499999999997</v>
      </c>
      <c r="X662" s="82">
        <v>0.35</v>
      </c>
      <c r="Y662" s="82"/>
      <c r="Z662" s="84">
        <v>54.246499999999997</v>
      </c>
      <c r="AA662" s="84">
        <v>108.49299999999999</v>
      </c>
      <c r="AB662" s="88" t="e">
        <v>#DIV/0!</v>
      </c>
      <c r="AC662" t="s">
        <v>3335</v>
      </c>
    </row>
    <row r="663" spans="3:29">
      <c r="C663" t="s">
        <v>3336</v>
      </c>
      <c r="D663" t="s">
        <v>3326</v>
      </c>
      <c r="E663" s="84">
        <v>184.99</v>
      </c>
      <c r="F663" s="84">
        <v>92.495000000000005</v>
      </c>
      <c r="G663" t="s">
        <v>3327</v>
      </c>
      <c r="H663" t="s">
        <v>3337</v>
      </c>
      <c r="I663" t="s">
        <v>900</v>
      </c>
      <c r="J663" t="s">
        <v>3338</v>
      </c>
      <c r="K663" t="s">
        <v>2950</v>
      </c>
      <c r="L663" t="s">
        <v>646</v>
      </c>
      <c r="M663">
        <v>100</v>
      </c>
      <c r="N663">
        <v>40</v>
      </c>
      <c r="O663">
        <v>100</v>
      </c>
      <c r="P663">
        <v>0.4</v>
      </c>
      <c r="Q663" s="84" t="e">
        <v>#REF!</v>
      </c>
      <c r="R663" s="85">
        <v>142002.03296019899</v>
      </c>
      <c r="S663" s="85">
        <v>246000</v>
      </c>
      <c r="T663" s="86">
        <v>388002.03296019899</v>
      </c>
      <c r="U663" s="84">
        <v>25.866802197346601</v>
      </c>
      <c r="V663" s="84">
        <v>129.49299999999999</v>
      </c>
      <c r="W663" s="84">
        <v>64.746499999999997</v>
      </c>
      <c r="X663" s="82">
        <v>0.35</v>
      </c>
      <c r="Y663" s="82"/>
      <c r="Z663" s="84">
        <v>64.746499999999997</v>
      </c>
      <c r="AA663" s="84">
        <v>129.49299999999999</v>
      </c>
      <c r="AB663" s="88">
        <v>2.5030732251334</v>
      </c>
      <c r="AC663" t="s">
        <v>3339</v>
      </c>
    </row>
    <row r="664" spans="3:29">
      <c r="C664" t="s">
        <v>3340</v>
      </c>
      <c r="D664" t="s">
        <v>3341</v>
      </c>
      <c r="E664" s="84">
        <v>259.99</v>
      </c>
      <c r="F664" s="84">
        <v>129.995</v>
      </c>
      <c r="G664" t="s">
        <v>3327</v>
      </c>
      <c r="H664" t="s">
        <v>3337</v>
      </c>
      <c r="I664" t="s">
        <v>3342</v>
      </c>
      <c r="J664" t="s">
        <v>3343</v>
      </c>
      <c r="K664" t="s">
        <v>2950</v>
      </c>
      <c r="L664" t="s">
        <v>646</v>
      </c>
      <c r="M664">
        <v>100</v>
      </c>
      <c r="N664">
        <v>40</v>
      </c>
      <c r="O664">
        <v>100</v>
      </c>
      <c r="P664">
        <v>0.4</v>
      </c>
      <c r="Q664" s="84" t="e">
        <v>#REF!</v>
      </c>
      <c r="R664" s="85"/>
      <c r="S664" s="85"/>
      <c r="T664" s="86">
        <v>0</v>
      </c>
      <c r="U664" s="84">
        <v>0</v>
      </c>
      <c r="V664" s="84">
        <v>181.99299999999999</v>
      </c>
      <c r="W664" s="84">
        <v>90.996499999999997</v>
      </c>
      <c r="X664" s="82">
        <v>0.35</v>
      </c>
      <c r="Y664" s="82"/>
      <c r="Z664" s="84">
        <v>90.996499999999997</v>
      </c>
      <c r="AA664" s="84">
        <v>181.99299999999999</v>
      </c>
      <c r="AB664" s="88" t="e">
        <v>#DIV/0!</v>
      </c>
      <c r="AC664" t="s">
        <v>3344</v>
      </c>
    </row>
    <row r="665" spans="3:29">
      <c r="C665" t="s">
        <v>3345</v>
      </c>
      <c r="D665" t="s">
        <v>3346</v>
      </c>
      <c r="E665" s="84">
        <v>269.99</v>
      </c>
      <c r="F665" s="84">
        <v>134.995</v>
      </c>
      <c r="G665" t="s">
        <v>3327</v>
      </c>
      <c r="H665" t="s">
        <v>3347</v>
      </c>
      <c r="I665" t="s">
        <v>3348</v>
      </c>
      <c r="J665" t="s">
        <v>3349</v>
      </c>
      <c r="K665" t="s">
        <v>2950</v>
      </c>
      <c r="L665" t="s">
        <v>646</v>
      </c>
      <c r="M665">
        <v>104</v>
      </c>
      <c r="N665">
        <v>20</v>
      </c>
      <c r="O665">
        <v>120</v>
      </c>
      <c r="P665">
        <v>0.24959999999999999</v>
      </c>
      <c r="Q665" s="84" t="e">
        <v>#REF!</v>
      </c>
      <c r="R665" s="85"/>
      <c r="S665" s="85"/>
      <c r="T665" s="86">
        <v>0</v>
      </c>
      <c r="U665" s="84">
        <v>0</v>
      </c>
      <c r="V665" s="84">
        <v>188.99299999999999</v>
      </c>
      <c r="W665" s="84">
        <v>94.496499999999997</v>
      </c>
      <c r="X665" s="82">
        <v>0.35</v>
      </c>
      <c r="Y665" s="82"/>
      <c r="Z665" s="84">
        <v>94.496499999999997</v>
      </c>
      <c r="AA665" s="84">
        <v>188.99299999999999</v>
      </c>
      <c r="AB665" s="88" t="e">
        <v>#DIV/0!</v>
      </c>
      <c r="AC665" t="s">
        <v>3350</v>
      </c>
    </row>
    <row r="666" spans="3:29">
      <c r="C666" t="s">
        <v>3351</v>
      </c>
      <c r="D666" t="s">
        <v>3352</v>
      </c>
      <c r="E666" s="84">
        <v>189.99</v>
      </c>
      <c r="F666" s="84">
        <v>94.995000000000005</v>
      </c>
      <c r="G666" t="s">
        <v>3327</v>
      </c>
      <c r="H666" t="s">
        <v>3353</v>
      </c>
      <c r="I666" t="s">
        <v>3354</v>
      </c>
      <c r="J666" t="s">
        <v>3355</v>
      </c>
      <c r="K666" t="s">
        <v>2950</v>
      </c>
      <c r="L666" t="s">
        <v>646</v>
      </c>
      <c r="M666">
        <v>104</v>
      </c>
      <c r="N666">
        <v>6</v>
      </c>
      <c r="O666">
        <v>120</v>
      </c>
      <c r="P666">
        <v>7.4880000000000002E-2</v>
      </c>
      <c r="Q666" s="84" t="e">
        <v>#REF!</v>
      </c>
      <c r="R666" s="85"/>
      <c r="S666" s="85"/>
      <c r="T666" s="86">
        <v>0</v>
      </c>
      <c r="U666" s="84">
        <v>0</v>
      </c>
      <c r="V666" s="84">
        <v>132.99299999999999</v>
      </c>
      <c r="W666" s="84">
        <v>66.496499999999997</v>
      </c>
      <c r="X666" s="82">
        <v>0.35</v>
      </c>
      <c r="Y666" s="82"/>
      <c r="Z666" s="84">
        <v>66.496499999999997</v>
      </c>
      <c r="AA666" s="84">
        <v>132.99299999999999</v>
      </c>
      <c r="AB666" s="88" t="e">
        <v>#DIV/0!</v>
      </c>
      <c r="AC666" t="s">
        <v>3356</v>
      </c>
    </row>
    <row r="667" spans="3:29">
      <c r="C667" t="s">
        <v>3024</v>
      </c>
      <c r="D667" t="s">
        <v>3025</v>
      </c>
      <c r="E667" s="84">
        <v>139.99</v>
      </c>
      <c r="F667" s="84">
        <v>69.995000000000005</v>
      </c>
      <c r="G667" t="s">
        <v>3327</v>
      </c>
      <c r="H667" t="s">
        <v>3357</v>
      </c>
      <c r="I667" t="s">
        <v>3025</v>
      </c>
      <c r="J667" t="s">
        <v>3358</v>
      </c>
      <c r="K667" t="s">
        <v>2950</v>
      </c>
      <c r="L667" t="s">
        <v>646</v>
      </c>
      <c r="M667">
        <v>150</v>
      </c>
      <c r="N667">
        <v>7</v>
      </c>
      <c r="O667">
        <v>7</v>
      </c>
      <c r="P667">
        <v>7.3499999999999998E-3</v>
      </c>
      <c r="Q667" s="84" t="e">
        <v>#REF!</v>
      </c>
      <c r="R667" s="85"/>
      <c r="S667" s="85"/>
      <c r="T667" s="86">
        <v>0</v>
      </c>
      <c r="U667" s="84">
        <v>0</v>
      </c>
      <c r="V667" s="84">
        <v>97.992999999999995</v>
      </c>
      <c r="W667" s="84">
        <v>48.996499999999997</v>
      </c>
      <c r="X667" s="82">
        <v>0.35</v>
      </c>
      <c r="Y667" s="82"/>
      <c r="Z667" s="84">
        <v>48.996499999999997</v>
      </c>
      <c r="AA667" s="84">
        <v>97.992999999999995</v>
      </c>
      <c r="AB667" s="88" t="e">
        <v>#DIV/0!</v>
      </c>
      <c r="AC667" t="s">
        <v>3359</v>
      </c>
    </row>
    <row r="668" spans="3:29">
      <c r="C668">
        <v>42471</v>
      </c>
      <c r="D668" t="s">
        <v>3360</v>
      </c>
      <c r="E668" s="84">
        <v>32.99</v>
      </c>
      <c r="F668" s="84">
        <v>16.495000000000001</v>
      </c>
      <c r="G668" t="s">
        <v>3327</v>
      </c>
      <c r="H668" t="s">
        <v>3361</v>
      </c>
      <c r="I668" t="s">
        <v>3362</v>
      </c>
      <c r="J668" t="s">
        <v>3363</v>
      </c>
      <c r="K668" t="s">
        <v>3244</v>
      </c>
      <c r="L668" t="s">
        <v>670</v>
      </c>
      <c r="N668">
        <v>22</v>
      </c>
      <c r="O668">
        <v>50</v>
      </c>
      <c r="P668">
        <v>2.4199999999999999E-2</v>
      </c>
      <c r="Q668" s="84" t="e">
        <v>#REF!</v>
      </c>
      <c r="R668" s="85"/>
      <c r="S668" s="85"/>
      <c r="T668" s="86">
        <v>0</v>
      </c>
      <c r="U668" s="84">
        <v>0</v>
      </c>
      <c r="V668" s="84">
        <v>23.093</v>
      </c>
      <c r="W668" s="84">
        <v>11.5465</v>
      </c>
      <c r="X668" s="82">
        <v>0.35</v>
      </c>
      <c r="Y668" s="82"/>
      <c r="Z668" s="84">
        <v>11.5465</v>
      </c>
      <c r="AA668" s="84">
        <v>23.093</v>
      </c>
      <c r="AB668" s="88" t="e">
        <v>#DIV/0!</v>
      </c>
      <c r="AC668" t="s">
        <v>3364</v>
      </c>
    </row>
    <row r="669" spans="3:29">
      <c r="C669" t="s">
        <v>3365</v>
      </c>
      <c r="D669" t="s">
        <v>3366</v>
      </c>
      <c r="E669" s="84">
        <v>24.99</v>
      </c>
      <c r="F669" s="84">
        <v>12.494999999999999</v>
      </c>
      <c r="G669" t="s">
        <v>3327</v>
      </c>
      <c r="H669" t="s">
        <v>3367</v>
      </c>
      <c r="I669" t="s">
        <v>3368</v>
      </c>
      <c r="J669" t="s">
        <v>3369</v>
      </c>
      <c r="K669" t="s">
        <v>2950</v>
      </c>
      <c r="L669" t="s">
        <v>646</v>
      </c>
      <c r="M669">
        <v>30</v>
      </c>
      <c r="N669">
        <v>8</v>
      </c>
      <c r="O669">
        <v>20</v>
      </c>
      <c r="P669">
        <v>4.7999999999999996E-3</v>
      </c>
      <c r="Q669" s="84" t="e">
        <v>#REF!</v>
      </c>
      <c r="R669" s="85"/>
      <c r="S669" s="85"/>
      <c r="T669" s="86">
        <v>0</v>
      </c>
      <c r="U669" s="84">
        <v>0</v>
      </c>
      <c r="V669" s="84">
        <v>17.492999999999999</v>
      </c>
      <c r="W669" s="84">
        <v>8.7464999999999993</v>
      </c>
      <c r="X669" s="82">
        <v>0.35</v>
      </c>
      <c r="Y669" s="82"/>
      <c r="Z669" s="84">
        <v>8.7464999999999993</v>
      </c>
      <c r="AA669" s="84">
        <v>17.492999999999999</v>
      </c>
      <c r="AB669" s="88" t="e">
        <v>#DIV/0!</v>
      </c>
      <c r="AC669" t="s">
        <v>3370</v>
      </c>
    </row>
    <row r="670" spans="3:29">
      <c r="C670" t="s">
        <v>3371</v>
      </c>
      <c r="D670" t="s">
        <v>3372</v>
      </c>
      <c r="E670" s="84">
        <v>44.99</v>
      </c>
      <c r="F670" s="84">
        <v>22.495000000000001</v>
      </c>
      <c r="G670" t="s">
        <v>3327</v>
      </c>
      <c r="H670" t="s">
        <v>3373</v>
      </c>
      <c r="I670" t="s">
        <v>3374</v>
      </c>
      <c r="J670" t="s">
        <v>3375</v>
      </c>
      <c r="K670" t="s">
        <v>2950</v>
      </c>
      <c r="L670" t="s">
        <v>646</v>
      </c>
      <c r="M670">
        <v>45</v>
      </c>
      <c r="N670">
        <v>20</v>
      </c>
      <c r="O670">
        <v>60</v>
      </c>
      <c r="P670">
        <v>5.3999999999999999E-2</v>
      </c>
      <c r="Q670" s="84" t="e">
        <v>#REF!</v>
      </c>
      <c r="R670" s="85"/>
      <c r="S670" s="85"/>
      <c r="T670" s="86">
        <v>0</v>
      </c>
      <c r="U670" s="84">
        <v>0</v>
      </c>
      <c r="V670" s="84">
        <v>31.492999999999999</v>
      </c>
      <c r="W670" s="84">
        <v>15.746499999999999</v>
      </c>
      <c r="X670" s="82">
        <v>0.35</v>
      </c>
      <c r="Y670" s="82"/>
      <c r="Z670" s="84">
        <v>15.746499999999999</v>
      </c>
      <c r="AA670" s="84">
        <v>31.492999999999999</v>
      </c>
      <c r="AB670" s="88" t="e">
        <v>#DIV/0!</v>
      </c>
      <c r="AC670" t="s">
        <v>3376</v>
      </c>
    </row>
    <row r="671" spans="3:29">
      <c r="C671" t="s">
        <v>3377</v>
      </c>
      <c r="D671" t="s">
        <v>2946</v>
      </c>
      <c r="E671" s="84">
        <v>124.99</v>
      </c>
      <c r="F671" s="84">
        <v>62.494999999999997</v>
      </c>
      <c r="G671" t="s">
        <v>3327</v>
      </c>
      <c r="H671" t="s">
        <v>3378</v>
      </c>
      <c r="I671" t="s">
        <v>3379</v>
      </c>
      <c r="J671" t="s">
        <v>3380</v>
      </c>
      <c r="K671" t="s">
        <v>2950</v>
      </c>
      <c r="L671" t="s">
        <v>646</v>
      </c>
      <c r="M671">
        <v>65</v>
      </c>
      <c r="N671">
        <v>80</v>
      </c>
      <c r="O671">
        <v>157</v>
      </c>
      <c r="P671">
        <v>0.81640000000000001</v>
      </c>
      <c r="Q671" s="84" t="e">
        <v>#REF!</v>
      </c>
      <c r="R671" s="85"/>
      <c r="S671" s="85"/>
      <c r="T671" s="86">
        <v>0</v>
      </c>
      <c r="U671" s="84">
        <v>0</v>
      </c>
      <c r="V671" s="84">
        <v>87.492999999999995</v>
      </c>
      <c r="W671" s="84">
        <v>43.746499999999997</v>
      </c>
      <c r="X671" s="82">
        <v>0.35</v>
      </c>
      <c r="Y671" s="82"/>
      <c r="Z671" s="84">
        <v>43.746499999999997</v>
      </c>
      <c r="AA671" s="84">
        <v>87.492999999999995</v>
      </c>
      <c r="AB671" s="88" t="e">
        <v>#DIV/0!</v>
      </c>
      <c r="AC671" t="s">
        <v>3381</v>
      </c>
    </row>
    <row r="672" spans="3:29">
      <c r="C672" t="s">
        <v>3382</v>
      </c>
      <c r="D672" t="s">
        <v>2953</v>
      </c>
      <c r="E672" s="84">
        <v>124.99</v>
      </c>
      <c r="F672" s="84">
        <v>62.494999999999997</v>
      </c>
      <c r="G672" t="s">
        <v>3327</v>
      </c>
      <c r="H672" t="s">
        <v>3383</v>
      </c>
      <c r="I672" t="s">
        <v>3384</v>
      </c>
      <c r="J672" t="s">
        <v>2949</v>
      </c>
      <c r="K672" t="s">
        <v>2950</v>
      </c>
      <c r="L672" t="s">
        <v>646</v>
      </c>
      <c r="M672">
        <v>65</v>
      </c>
      <c r="N672">
        <v>80</v>
      </c>
      <c r="O672">
        <v>157</v>
      </c>
      <c r="P672">
        <v>0.81640000000000001</v>
      </c>
      <c r="Q672" s="84" t="e">
        <v>#REF!</v>
      </c>
      <c r="R672" s="85">
        <v>73029.412748667004</v>
      </c>
      <c r="S672" s="85">
        <v>200000</v>
      </c>
      <c r="T672" s="86">
        <v>273029.412748667</v>
      </c>
      <c r="U672" s="84">
        <v>18.201960849911099</v>
      </c>
      <c r="V672" s="84">
        <v>87.492999999999995</v>
      </c>
      <c r="W672" s="84">
        <v>43.746499999999997</v>
      </c>
      <c r="X672" s="82">
        <v>0.35</v>
      </c>
      <c r="Y672" s="82"/>
      <c r="Z672" s="84">
        <v>43.746499999999997</v>
      </c>
      <c r="AA672" s="84">
        <v>87.492999999999995</v>
      </c>
      <c r="AB672" s="88">
        <v>2.40339490677531</v>
      </c>
      <c r="AC672" t="s">
        <v>3385</v>
      </c>
    </row>
    <row r="673" spans="3:29" ht="45.75">
      <c r="C673" t="s">
        <v>3012</v>
      </c>
      <c r="D673" t="s">
        <v>3013</v>
      </c>
      <c r="E673" s="84">
        <v>24.99</v>
      </c>
      <c r="F673" s="84">
        <v>12.494999999999999</v>
      </c>
      <c r="G673" t="s">
        <v>3327</v>
      </c>
      <c r="H673" t="s">
        <v>3386</v>
      </c>
      <c r="I673" t="s">
        <v>3387</v>
      </c>
      <c r="J673" t="s">
        <v>3016</v>
      </c>
      <c r="K673" s="83" t="s">
        <v>2955</v>
      </c>
      <c r="L673" t="s">
        <v>646</v>
      </c>
      <c r="M673">
        <v>40</v>
      </c>
      <c r="N673">
        <v>2.4</v>
      </c>
      <c r="P673">
        <v>0</v>
      </c>
      <c r="Q673" s="84" t="e">
        <v>#REF!</v>
      </c>
      <c r="R673" s="85"/>
      <c r="S673" s="85"/>
      <c r="T673" s="86">
        <v>0</v>
      </c>
      <c r="U673" s="84">
        <v>0</v>
      </c>
      <c r="V673" s="84">
        <v>17.492999999999999</v>
      </c>
      <c r="W673" s="84">
        <v>8.7464999999999993</v>
      </c>
      <c r="X673" s="82">
        <v>0.35</v>
      </c>
      <c r="Y673" s="82"/>
      <c r="Z673" s="84">
        <v>8.7464999999999993</v>
      </c>
      <c r="AA673" s="84">
        <v>17.492999999999999</v>
      </c>
      <c r="AB673" s="88" t="e">
        <v>#DIV/0!</v>
      </c>
      <c r="AC673" t="s">
        <v>3388</v>
      </c>
    </row>
    <row r="674" spans="3:29">
      <c r="C674" t="s">
        <v>3018</v>
      </c>
      <c r="D674" t="s">
        <v>3019</v>
      </c>
      <c r="E674" s="84">
        <v>44.99</v>
      </c>
      <c r="F674" s="84">
        <v>22.495000000000001</v>
      </c>
      <c r="G674" t="s">
        <v>3327</v>
      </c>
      <c r="H674" t="s">
        <v>3389</v>
      </c>
      <c r="I674" t="s">
        <v>3390</v>
      </c>
      <c r="J674" t="s">
        <v>3022</v>
      </c>
      <c r="K674" t="s">
        <v>2950</v>
      </c>
      <c r="L674" t="s">
        <v>646</v>
      </c>
      <c r="M674">
        <v>47</v>
      </c>
      <c r="N674">
        <v>2.4</v>
      </c>
      <c r="O674">
        <v>23</v>
      </c>
      <c r="P674">
        <v>2.5944000000000002E-3</v>
      </c>
      <c r="Q674" s="84" t="e">
        <v>#REF!</v>
      </c>
      <c r="R674" s="85"/>
      <c r="S674" s="85"/>
      <c r="T674" s="86">
        <v>0</v>
      </c>
      <c r="U674" s="84">
        <v>0</v>
      </c>
      <c r="V674" s="84">
        <v>31.492999999999999</v>
      </c>
      <c r="W674" s="84">
        <v>15.746499999999999</v>
      </c>
      <c r="X674" s="82">
        <v>0.35</v>
      </c>
      <c r="Y674" s="82"/>
      <c r="Z674" s="84">
        <v>15.746499999999999</v>
      </c>
      <c r="AA674" s="84">
        <v>31.492999999999999</v>
      </c>
      <c r="AB674" s="88" t="e">
        <v>#DIV/0!</v>
      </c>
      <c r="AC674" t="s">
        <v>3391</v>
      </c>
    </row>
    <row r="675" spans="3:29">
      <c r="C675">
        <v>33019</v>
      </c>
      <c r="D675" t="s">
        <v>3392</v>
      </c>
      <c r="E675" s="84">
        <v>5.99</v>
      </c>
      <c r="F675" s="84">
        <v>2.9950000000000001</v>
      </c>
      <c r="G675" t="s">
        <v>3327</v>
      </c>
      <c r="H675" t="s">
        <v>3393</v>
      </c>
      <c r="I675" t="s">
        <v>3394</v>
      </c>
      <c r="J675" t="s">
        <v>3395</v>
      </c>
      <c r="K675" t="s">
        <v>3396</v>
      </c>
      <c r="L675" t="s">
        <v>646</v>
      </c>
      <c r="M675">
        <v>44</v>
      </c>
      <c r="N675">
        <v>2</v>
      </c>
      <c r="O675">
        <v>23</v>
      </c>
      <c r="P675">
        <v>2.0240000000000002E-3</v>
      </c>
      <c r="Q675" s="84" t="e">
        <v>#REF!</v>
      </c>
      <c r="R675" s="85"/>
      <c r="S675" s="85"/>
      <c r="T675" s="86">
        <v>0</v>
      </c>
      <c r="U675" s="84">
        <v>0</v>
      </c>
      <c r="V675" s="84">
        <v>4.1929999999999996</v>
      </c>
      <c r="W675" s="84">
        <v>2.0964999999999998</v>
      </c>
      <c r="X675" s="82">
        <v>0.35</v>
      </c>
      <c r="Y675" s="82"/>
      <c r="Z675" s="84">
        <v>2.0964999999999998</v>
      </c>
      <c r="AA675" s="84">
        <v>4.1929999999999996</v>
      </c>
      <c r="AB675" s="88" t="e">
        <v>#DIV/0!</v>
      </c>
      <c r="AC675" t="s">
        <v>3397</v>
      </c>
    </row>
    <row r="676" spans="3:29">
      <c r="C676" t="s">
        <v>2957</v>
      </c>
      <c r="D676" t="s">
        <v>2958</v>
      </c>
      <c r="E676" s="84">
        <v>179.99</v>
      </c>
      <c r="F676" s="84">
        <v>89.995000000000005</v>
      </c>
      <c r="G676" t="s">
        <v>3327</v>
      </c>
      <c r="H676" t="s">
        <v>3399</v>
      </c>
      <c r="I676" t="s">
        <v>3400</v>
      </c>
      <c r="J676" t="s">
        <v>3401</v>
      </c>
      <c r="K676" t="s">
        <v>2950</v>
      </c>
      <c r="L676" t="s">
        <v>646</v>
      </c>
      <c r="M676">
        <v>40</v>
      </c>
      <c r="N676">
        <v>40</v>
      </c>
      <c r="O676">
        <v>176</v>
      </c>
      <c r="P676">
        <v>0.28160000000000002</v>
      </c>
      <c r="Q676" s="84" t="e">
        <v>#REF!</v>
      </c>
      <c r="R676" s="85"/>
      <c r="S676" s="85"/>
      <c r="T676" s="86">
        <v>0</v>
      </c>
      <c r="U676" s="84">
        <v>0</v>
      </c>
      <c r="V676" s="84">
        <v>125.99299999999999</v>
      </c>
      <c r="W676" s="84">
        <v>62.996499999999997</v>
      </c>
      <c r="X676" s="82">
        <v>0.35</v>
      </c>
      <c r="Y676" s="82"/>
      <c r="Z676" s="84">
        <v>62.996499999999997</v>
      </c>
      <c r="AA676" s="84">
        <v>125.99299999999999</v>
      </c>
      <c r="AB676" s="88" t="e">
        <v>#DIV/0!</v>
      </c>
      <c r="AC676" t="s">
        <v>3402</v>
      </c>
    </row>
    <row r="677" spans="3:29">
      <c r="C677" t="s">
        <v>2963</v>
      </c>
      <c r="D677" t="s">
        <v>2964</v>
      </c>
      <c r="E677" s="84">
        <v>206.99</v>
      </c>
      <c r="F677" s="84">
        <v>103.495</v>
      </c>
      <c r="G677" t="s">
        <v>3327</v>
      </c>
      <c r="H677" t="s">
        <v>3403</v>
      </c>
      <c r="I677" t="s">
        <v>3404</v>
      </c>
      <c r="J677" t="s">
        <v>2967</v>
      </c>
      <c r="K677" t="s">
        <v>2407</v>
      </c>
      <c r="L677" t="s">
        <v>646</v>
      </c>
      <c r="N677">
        <v>30</v>
      </c>
      <c r="O677">
        <v>200</v>
      </c>
      <c r="P677">
        <v>0.18</v>
      </c>
      <c r="Q677" s="84" t="e">
        <v>#REF!</v>
      </c>
      <c r="R677" s="85"/>
      <c r="S677" s="85"/>
      <c r="T677" s="86">
        <v>0</v>
      </c>
      <c r="U677" s="84">
        <v>0</v>
      </c>
      <c r="V677" s="84">
        <v>144.893</v>
      </c>
      <c r="W677" s="84">
        <v>72.4465</v>
      </c>
      <c r="X677" s="82">
        <v>0.35</v>
      </c>
      <c r="Y677" s="82"/>
      <c r="Z677" s="84">
        <v>72.4465</v>
      </c>
      <c r="AA677" s="84">
        <v>144.893</v>
      </c>
      <c r="AB677" s="88" t="e">
        <v>#DIV/0!</v>
      </c>
      <c r="AC677" t="s">
        <v>3405</v>
      </c>
    </row>
    <row r="678" spans="3:29">
      <c r="C678" t="s">
        <v>2989</v>
      </c>
      <c r="D678" t="s">
        <v>2990</v>
      </c>
      <c r="E678" s="84">
        <v>319.99</v>
      </c>
      <c r="F678" s="84">
        <v>159.995</v>
      </c>
      <c r="G678" t="s">
        <v>3327</v>
      </c>
      <c r="H678" t="s">
        <v>3406</v>
      </c>
      <c r="I678" t="s">
        <v>3407</v>
      </c>
      <c r="J678" t="s">
        <v>2993</v>
      </c>
      <c r="K678" t="s">
        <v>2994</v>
      </c>
      <c r="L678" t="s">
        <v>3408</v>
      </c>
      <c r="M678">
        <v>40</v>
      </c>
      <c r="N678">
        <v>30</v>
      </c>
      <c r="O678">
        <v>195</v>
      </c>
      <c r="P678">
        <v>0.23400000000000001</v>
      </c>
      <c r="Q678" s="84" t="e">
        <v>#REF!</v>
      </c>
      <c r="R678" s="85"/>
      <c r="S678" s="85"/>
      <c r="T678" s="86">
        <v>0</v>
      </c>
      <c r="U678" s="84">
        <v>0</v>
      </c>
      <c r="V678" s="84">
        <v>223.99299999999999</v>
      </c>
      <c r="W678" s="84">
        <v>111.9965</v>
      </c>
      <c r="X678" s="82">
        <v>0.35</v>
      </c>
      <c r="Y678" s="82"/>
      <c r="Z678" s="84">
        <v>111.9965</v>
      </c>
      <c r="AA678" s="84">
        <v>223.99299999999999</v>
      </c>
      <c r="AB678" s="88" t="e">
        <v>#DIV/0!</v>
      </c>
      <c r="AC678" t="s">
        <v>3409</v>
      </c>
    </row>
    <row r="679" spans="3:29">
      <c r="C679" t="s">
        <v>969</v>
      </c>
      <c r="D679" t="s">
        <v>3410</v>
      </c>
      <c r="E679" s="84">
        <v>328.99</v>
      </c>
      <c r="F679" s="84">
        <v>164.495</v>
      </c>
      <c r="G679" t="s">
        <v>3327</v>
      </c>
      <c r="H679" t="s">
        <v>3411</v>
      </c>
      <c r="I679" t="s">
        <v>3412</v>
      </c>
      <c r="J679" t="s">
        <v>972</v>
      </c>
      <c r="K679" t="s">
        <v>3413</v>
      </c>
      <c r="L679" t="s">
        <v>670</v>
      </c>
      <c r="M679">
        <v>45</v>
      </c>
      <c r="N679">
        <v>36</v>
      </c>
      <c r="O679">
        <v>15</v>
      </c>
      <c r="P679">
        <v>2.4299999999999999E-2</v>
      </c>
      <c r="Q679" s="84" t="e">
        <v>#REF!</v>
      </c>
      <c r="R679" s="85">
        <v>5866.2553835799899</v>
      </c>
      <c r="S679" s="85">
        <v>1100000</v>
      </c>
      <c r="T679" s="86">
        <v>1105866.25538358</v>
      </c>
      <c r="U679" s="84">
        <v>73.724417025571995</v>
      </c>
      <c r="V679" s="84">
        <v>230.29300000000001</v>
      </c>
      <c r="W679" s="84">
        <v>115.1465</v>
      </c>
      <c r="X679" s="82">
        <v>0.35</v>
      </c>
      <c r="Y679" s="87">
        <v>147.44883405114399</v>
      </c>
      <c r="Z679" s="84">
        <v>147.44883405114399</v>
      </c>
      <c r="AA679" s="84">
        <v>294.89766810228798</v>
      </c>
      <c r="AB679" s="88">
        <v>2</v>
      </c>
      <c r="AC679" t="s">
        <v>3414</v>
      </c>
    </row>
    <row r="680" spans="3:29">
      <c r="C680" t="s">
        <v>3415</v>
      </c>
      <c r="D680" t="s">
        <v>3416</v>
      </c>
      <c r="E680" s="84">
        <v>481.99</v>
      </c>
      <c r="F680" s="84">
        <v>240.995</v>
      </c>
      <c r="G680" t="s">
        <v>3327</v>
      </c>
      <c r="H680" t="s">
        <v>3417</v>
      </c>
      <c r="I680" t="s">
        <v>3418</v>
      </c>
      <c r="J680" t="s">
        <v>3419</v>
      </c>
      <c r="K680" t="s">
        <v>3413</v>
      </c>
      <c r="L680" t="s">
        <v>670</v>
      </c>
      <c r="M680">
        <v>70</v>
      </c>
      <c r="N680">
        <v>55</v>
      </c>
      <c r="O680">
        <v>20</v>
      </c>
      <c r="P680">
        <v>7.6999999999999999E-2</v>
      </c>
      <c r="Q680" s="84" t="e">
        <v>#REF!</v>
      </c>
      <c r="R680" s="85">
        <v>18588.545865670101</v>
      </c>
      <c r="S680" s="85">
        <v>1210000</v>
      </c>
      <c r="T680" s="86">
        <v>1228588.5458656701</v>
      </c>
      <c r="U680" s="84">
        <v>81.905903057711299</v>
      </c>
      <c r="V680" s="84">
        <v>337.39299999999997</v>
      </c>
      <c r="W680" s="84">
        <v>168.69649999999999</v>
      </c>
      <c r="X680" s="82">
        <v>0.35</v>
      </c>
      <c r="Y680" s="82"/>
      <c r="Z680" s="84">
        <v>168.69649999999999</v>
      </c>
      <c r="AA680" s="84">
        <v>337.39299999999997</v>
      </c>
      <c r="AB680" s="88">
        <v>2.05963787348924</v>
      </c>
      <c r="AC680" t="s">
        <v>3420</v>
      </c>
    </row>
    <row r="681" spans="3:29">
      <c r="C681" t="s">
        <v>3421</v>
      </c>
      <c r="D681" t="s">
        <v>3422</v>
      </c>
      <c r="E681" s="84">
        <v>4789.99</v>
      </c>
      <c r="F681" s="84">
        <v>2394.9949999999999</v>
      </c>
      <c r="G681" t="s">
        <v>3327</v>
      </c>
      <c r="H681" t="s">
        <v>3423</v>
      </c>
      <c r="I681" t="s">
        <v>3424</v>
      </c>
      <c r="J681" t="s">
        <v>3425</v>
      </c>
      <c r="K681" t="s">
        <v>3426</v>
      </c>
      <c r="L681" t="s">
        <v>670</v>
      </c>
      <c r="M681">
        <v>70</v>
      </c>
      <c r="N681">
        <v>40</v>
      </c>
      <c r="O681">
        <v>15</v>
      </c>
      <c r="P681">
        <v>4.2000000000000003E-2</v>
      </c>
      <c r="Q681" s="84" t="e">
        <v>#REF!</v>
      </c>
      <c r="R681" s="85">
        <v>260139.20683581999</v>
      </c>
      <c r="S681" s="85">
        <v>1375000</v>
      </c>
      <c r="T681" s="86">
        <v>1635139.2068358201</v>
      </c>
      <c r="U681" s="84">
        <v>109.009280455721</v>
      </c>
      <c r="V681" s="84">
        <v>3352.9929999999999</v>
      </c>
      <c r="W681" s="84">
        <v>1676.4965</v>
      </c>
      <c r="X681" s="82">
        <v>0.35</v>
      </c>
      <c r="Y681" s="82"/>
      <c r="Z681" s="84">
        <v>1676.4965</v>
      </c>
      <c r="AA681" s="84">
        <v>3352.9929999999999</v>
      </c>
      <c r="AB681" s="88">
        <v>15.379392405777599</v>
      </c>
      <c r="AC681" t="s">
        <v>3427</v>
      </c>
    </row>
    <row r="682" spans="3:29">
      <c r="C682">
        <v>33011</v>
      </c>
      <c r="D682" t="s">
        <v>3428</v>
      </c>
      <c r="E682" s="84">
        <v>19.989999999999998</v>
      </c>
      <c r="F682" s="84">
        <v>9.9949999999999992</v>
      </c>
      <c r="G682" t="s">
        <v>3327</v>
      </c>
      <c r="H682" t="s">
        <v>3429</v>
      </c>
      <c r="I682" t="s">
        <v>190</v>
      </c>
      <c r="J682" t="s">
        <v>3430</v>
      </c>
      <c r="K682" t="s">
        <v>3431</v>
      </c>
      <c r="L682" t="s">
        <v>670</v>
      </c>
      <c r="M682">
        <v>15</v>
      </c>
      <c r="N682">
        <v>15</v>
      </c>
      <c r="O682">
        <v>15</v>
      </c>
      <c r="P682">
        <v>3.375E-3</v>
      </c>
      <c r="Q682" s="84" t="e">
        <v>#REF!</v>
      </c>
      <c r="R682" s="85">
        <v>814.75769216420304</v>
      </c>
      <c r="S682" s="85">
        <v>70000</v>
      </c>
      <c r="T682" s="86">
        <v>70814.757692164203</v>
      </c>
      <c r="U682" s="84">
        <v>4.7209838461442803</v>
      </c>
      <c r="V682" s="84">
        <v>13.993</v>
      </c>
      <c r="W682" s="84">
        <v>6.9965000000000002</v>
      </c>
      <c r="X682" s="82">
        <v>0.35</v>
      </c>
      <c r="Y682" s="87">
        <v>9.4419676922885607</v>
      </c>
      <c r="Z682" s="84">
        <v>9.4419676922885607</v>
      </c>
      <c r="AA682" s="84">
        <v>18.8839353845771</v>
      </c>
      <c r="AB682" s="88">
        <v>2</v>
      </c>
      <c r="AC682" t="s">
        <v>3432</v>
      </c>
    </row>
    <row r="683" spans="3:29">
      <c r="C683">
        <v>33010</v>
      </c>
      <c r="D683" t="s">
        <v>3428</v>
      </c>
      <c r="E683" s="84">
        <v>20.99</v>
      </c>
      <c r="F683" s="84">
        <v>10.494999999999999</v>
      </c>
      <c r="G683" t="s">
        <v>3327</v>
      </c>
      <c r="H683" t="s">
        <v>3433</v>
      </c>
      <c r="I683" t="s">
        <v>190</v>
      </c>
      <c r="J683" t="s">
        <v>3434</v>
      </c>
      <c r="K683" t="s">
        <v>3075</v>
      </c>
      <c r="L683" t="s">
        <v>670</v>
      </c>
      <c r="M683">
        <v>15</v>
      </c>
      <c r="N683">
        <v>25</v>
      </c>
      <c r="O683">
        <v>8</v>
      </c>
      <c r="P683">
        <v>3.0000000000000001E-3</v>
      </c>
      <c r="Q683" s="84" t="e">
        <v>#REF!</v>
      </c>
      <c r="R683" s="85"/>
      <c r="S683" s="85"/>
      <c r="T683" s="86">
        <v>0</v>
      </c>
      <c r="U683" s="84">
        <v>0</v>
      </c>
      <c r="V683" s="84">
        <v>14.693</v>
      </c>
      <c r="W683" s="84">
        <v>7.3464999999999998</v>
      </c>
      <c r="X683" s="82">
        <v>0.35</v>
      </c>
      <c r="Y683" s="82"/>
      <c r="Z683" s="84">
        <v>7.3464999999999998</v>
      </c>
      <c r="AA683" s="84">
        <v>14.693</v>
      </c>
      <c r="AB683" s="88" t="e">
        <v>#DIV/0!</v>
      </c>
      <c r="AC683" t="s">
        <v>3435</v>
      </c>
    </row>
    <row r="684" spans="3:29">
      <c r="C684">
        <v>33018</v>
      </c>
      <c r="D684" t="s">
        <v>3436</v>
      </c>
      <c r="E684" s="84">
        <v>140.99</v>
      </c>
      <c r="F684" s="84">
        <v>70.495000000000005</v>
      </c>
      <c r="G684" t="s">
        <v>3327</v>
      </c>
      <c r="H684" t="s">
        <v>3437</v>
      </c>
      <c r="I684" t="s">
        <v>3438</v>
      </c>
      <c r="J684" t="s">
        <v>3439</v>
      </c>
      <c r="K684" t="s">
        <v>3440</v>
      </c>
      <c r="L684" t="s">
        <v>670</v>
      </c>
      <c r="M684">
        <v>100</v>
      </c>
      <c r="N684">
        <v>5</v>
      </c>
      <c r="O684">
        <v>180</v>
      </c>
      <c r="P684">
        <v>0.09</v>
      </c>
      <c r="Q684" s="84" t="e">
        <v>#REF!</v>
      </c>
      <c r="R684" s="85"/>
      <c r="S684" s="85"/>
      <c r="T684" s="86">
        <v>0</v>
      </c>
      <c r="U684" s="84">
        <v>0</v>
      </c>
      <c r="V684" s="84">
        <v>98.692999999999998</v>
      </c>
      <c r="W684" s="84">
        <v>49.346499999999999</v>
      </c>
      <c r="X684" s="82">
        <v>0.35</v>
      </c>
      <c r="Y684" s="82"/>
      <c r="Z684" s="84">
        <v>49.346499999999999</v>
      </c>
      <c r="AA684" s="84">
        <v>98.692999999999998</v>
      </c>
      <c r="AB684" s="88" t="e">
        <v>#DIV/0!</v>
      </c>
      <c r="AC684" t="s">
        <v>3441</v>
      </c>
    </row>
    <row r="685" spans="3:29">
      <c r="C685" t="s">
        <v>3442</v>
      </c>
      <c r="D685" t="s">
        <v>3443</v>
      </c>
      <c r="E685" s="84">
        <v>34.99</v>
      </c>
      <c r="F685" s="84">
        <v>17.495000000000001</v>
      </c>
      <c r="G685" t="s">
        <v>3327</v>
      </c>
      <c r="H685" t="s">
        <v>3444</v>
      </c>
      <c r="I685" t="s">
        <v>3445</v>
      </c>
      <c r="J685" t="s">
        <v>3446</v>
      </c>
      <c r="K685" t="s">
        <v>3447</v>
      </c>
      <c r="L685" t="s">
        <v>670</v>
      </c>
      <c r="N685">
        <v>24</v>
      </c>
      <c r="O685">
        <v>28</v>
      </c>
      <c r="P685">
        <v>1.6128E-2</v>
      </c>
      <c r="Q685" s="84" t="e">
        <v>#REF!</v>
      </c>
      <c r="R685" s="85"/>
      <c r="S685" s="85"/>
      <c r="T685" s="86">
        <v>0</v>
      </c>
      <c r="U685" s="84">
        <v>0</v>
      </c>
      <c r="V685" s="84">
        <v>24.492999999999999</v>
      </c>
      <c r="W685" s="84">
        <v>12.246499999999999</v>
      </c>
      <c r="X685" s="82">
        <v>0.35</v>
      </c>
      <c r="Y685" s="82"/>
      <c r="Z685" s="84">
        <v>12.246499999999999</v>
      </c>
      <c r="AA685" s="84">
        <v>24.492999999999999</v>
      </c>
      <c r="AB685" s="88" t="e">
        <v>#DIV/0!</v>
      </c>
      <c r="AC685" t="s">
        <v>3448</v>
      </c>
    </row>
    <row r="686" spans="3:29">
      <c r="C686" t="s">
        <v>3449</v>
      </c>
      <c r="D686" t="s">
        <v>3450</v>
      </c>
      <c r="E686" s="84">
        <v>19.989999999999998</v>
      </c>
      <c r="F686" s="84">
        <v>9.9949999999999992</v>
      </c>
      <c r="G686" t="s">
        <v>3327</v>
      </c>
      <c r="H686" t="s">
        <v>3451</v>
      </c>
      <c r="I686" t="s">
        <v>3452</v>
      </c>
      <c r="J686" t="s">
        <v>3446</v>
      </c>
      <c r="K686" t="s">
        <v>3318</v>
      </c>
      <c r="L686" t="s">
        <v>670</v>
      </c>
      <c r="N686">
        <v>24</v>
      </c>
      <c r="O686">
        <v>28</v>
      </c>
      <c r="P686">
        <v>1.6128E-2</v>
      </c>
      <c r="Q686" s="84" t="e">
        <v>#REF!</v>
      </c>
      <c r="R686" s="85"/>
      <c r="S686" s="85"/>
      <c r="T686" s="86">
        <v>0</v>
      </c>
      <c r="U686" s="84">
        <v>0</v>
      </c>
      <c r="V686" s="84">
        <v>13.993</v>
      </c>
      <c r="W686" s="84">
        <v>6.9965000000000002</v>
      </c>
      <c r="X686" s="82">
        <v>0.35</v>
      </c>
      <c r="Y686" s="82"/>
      <c r="Z686" s="84">
        <v>6.9965000000000002</v>
      </c>
      <c r="AA686" s="84">
        <v>13.993</v>
      </c>
      <c r="AB686" s="88" t="e">
        <v>#DIV/0!</v>
      </c>
      <c r="AC686" t="s">
        <v>3453</v>
      </c>
    </row>
    <row r="687" spans="3:29">
      <c r="C687" t="s">
        <v>3454</v>
      </c>
      <c r="E687" s="84"/>
      <c r="F687" s="82"/>
      <c r="R687" s="85"/>
      <c r="S687" s="85"/>
      <c r="T687" s="86"/>
      <c r="V687" s="84"/>
      <c r="W687" s="84"/>
      <c r="X687" s="82"/>
      <c r="Y687" s="82"/>
      <c r="Z687" s="82"/>
      <c r="AA687" s="82"/>
      <c r="AB687" s="88"/>
    </row>
    <row r="688" spans="3:29">
      <c r="C688" t="s">
        <v>3455</v>
      </c>
      <c r="D688" t="s">
        <v>3456</v>
      </c>
      <c r="E688" s="84">
        <v>629.99</v>
      </c>
      <c r="F688" s="84">
        <v>314.995</v>
      </c>
      <c r="G688" t="s">
        <v>3457</v>
      </c>
      <c r="H688" t="s">
        <v>3458</v>
      </c>
      <c r="I688" t="s">
        <v>3459</v>
      </c>
      <c r="J688" t="s">
        <v>3460</v>
      </c>
      <c r="K688" t="s">
        <v>3461</v>
      </c>
      <c r="L688" t="s">
        <v>670</v>
      </c>
      <c r="N688">
        <v>68</v>
      </c>
      <c r="O688">
        <v>60</v>
      </c>
      <c r="P688">
        <v>0.27744000000000002</v>
      </c>
      <c r="Q688" s="84" t="e">
        <v>#REF!</v>
      </c>
      <c r="R688" s="85"/>
      <c r="S688" s="85"/>
      <c r="T688" s="86">
        <v>0</v>
      </c>
      <c r="U688" s="84">
        <v>0</v>
      </c>
      <c r="V688" s="84">
        <v>440.99299999999999</v>
      </c>
      <c r="W688" s="84">
        <v>220.4965</v>
      </c>
      <c r="X688" s="82">
        <v>0.35</v>
      </c>
      <c r="Y688" s="82"/>
      <c r="Z688" s="84">
        <v>220.4965</v>
      </c>
      <c r="AA688" s="84">
        <v>440.99299999999999</v>
      </c>
      <c r="AB688" s="88" t="e">
        <v>#DIV/0!</v>
      </c>
      <c r="AC688" t="s">
        <v>3462</v>
      </c>
    </row>
    <row r="689" spans="3:29">
      <c r="C689" t="s">
        <v>3464</v>
      </c>
      <c r="D689" t="s">
        <v>3456</v>
      </c>
      <c r="E689" s="84">
        <v>729.99</v>
      </c>
      <c r="F689" s="84">
        <v>364.995</v>
      </c>
      <c r="G689" t="s">
        <v>3457</v>
      </c>
      <c r="H689" t="s">
        <v>3465</v>
      </c>
      <c r="I689" t="s">
        <v>3466</v>
      </c>
      <c r="J689" t="s">
        <v>3467</v>
      </c>
      <c r="K689" t="s">
        <v>3461</v>
      </c>
      <c r="L689" t="s">
        <v>670</v>
      </c>
      <c r="N689">
        <v>60</v>
      </c>
      <c r="O689">
        <v>100</v>
      </c>
      <c r="P689">
        <v>0.36</v>
      </c>
      <c r="Q689" s="84" t="e">
        <v>#REF!</v>
      </c>
      <c r="R689" s="85"/>
      <c r="S689" s="85"/>
      <c r="T689" s="86">
        <v>0</v>
      </c>
      <c r="U689" s="84">
        <v>0</v>
      </c>
      <c r="V689" s="84">
        <v>510.99299999999999</v>
      </c>
      <c r="W689" s="84">
        <v>255.4965</v>
      </c>
      <c r="X689" s="82">
        <v>0.35</v>
      </c>
      <c r="Y689" s="82"/>
      <c r="Z689" s="84">
        <v>255.4965</v>
      </c>
      <c r="AA689" s="84">
        <v>510.99299999999999</v>
      </c>
      <c r="AB689" s="88" t="e">
        <v>#DIV/0!</v>
      </c>
      <c r="AC689" t="s">
        <v>3468</v>
      </c>
    </row>
    <row r="690" spans="3:29" ht="30.75">
      <c r="C690" t="s">
        <v>3469</v>
      </c>
      <c r="D690" t="s">
        <v>3456</v>
      </c>
      <c r="E690" s="84">
        <v>0</v>
      </c>
      <c r="F690" s="84">
        <v>0</v>
      </c>
      <c r="G690" t="s">
        <v>3457</v>
      </c>
      <c r="H690" t="s">
        <v>3470</v>
      </c>
      <c r="I690" t="s">
        <v>3471</v>
      </c>
      <c r="J690" t="s">
        <v>3472</v>
      </c>
      <c r="K690" s="83" t="s">
        <v>3473</v>
      </c>
      <c r="L690" t="s">
        <v>670</v>
      </c>
      <c r="N690">
        <v>40</v>
      </c>
      <c r="O690">
        <v>120</v>
      </c>
      <c r="P690">
        <v>0.192</v>
      </c>
      <c r="Q690" s="84" t="e">
        <v>#REF!</v>
      </c>
      <c r="R690" s="85"/>
      <c r="S690" s="85"/>
      <c r="T690" s="86">
        <v>0</v>
      </c>
      <c r="U690" s="84">
        <v>0</v>
      </c>
      <c r="V690" s="84">
        <v>0</v>
      </c>
      <c r="W690" s="84">
        <v>0</v>
      </c>
      <c r="X690" s="82" t="e">
        <v>#DIV/0!</v>
      </c>
      <c r="Y690" s="82"/>
      <c r="Z690" s="84">
        <v>0</v>
      </c>
      <c r="AA690" s="84">
        <v>0</v>
      </c>
      <c r="AB690" s="88" t="e">
        <v>#DIV/0!</v>
      </c>
      <c r="AC690" t="s">
        <v>3474</v>
      </c>
    </row>
    <row r="691" spans="3:29">
      <c r="C691" t="s">
        <v>3475</v>
      </c>
      <c r="D691" t="s">
        <v>3476</v>
      </c>
      <c r="E691" s="84">
        <v>939.99</v>
      </c>
      <c r="F691" s="84">
        <v>469.995</v>
      </c>
      <c r="G691" t="s">
        <v>3457</v>
      </c>
      <c r="H691" t="s">
        <v>3477</v>
      </c>
      <c r="I691" t="s">
        <v>3478</v>
      </c>
      <c r="J691" t="s">
        <v>3479</v>
      </c>
      <c r="K691" t="s">
        <v>3461</v>
      </c>
      <c r="L691" t="s">
        <v>670</v>
      </c>
      <c r="N691">
        <v>50</v>
      </c>
      <c r="O691">
        <v>180</v>
      </c>
      <c r="P691">
        <v>0.45</v>
      </c>
      <c r="Q691" s="84" t="e">
        <v>#REF!</v>
      </c>
      <c r="R691" s="85"/>
      <c r="S691" s="85"/>
      <c r="T691" s="86">
        <v>0</v>
      </c>
      <c r="U691" s="84">
        <v>0</v>
      </c>
      <c r="V691" s="84">
        <v>657.99300000000005</v>
      </c>
      <c r="W691" s="84">
        <v>328.99650000000003</v>
      </c>
      <c r="X691" s="82">
        <v>0.35</v>
      </c>
      <c r="Y691" s="82"/>
      <c r="Z691" s="84">
        <v>328.99650000000003</v>
      </c>
      <c r="AA691" s="84">
        <v>657.99300000000005</v>
      </c>
      <c r="AB691" s="88" t="e">
        <v>#DIV/0!</v>
      </c>
      <c r="AC691" t="s">
        <v>3462</v>
      </c>
    </row>
    <row r="692" spans="3:29">
      <c r="C692" t="s">
        <v>3480</v>
      </c>
      <c r="D692" t="s">
        <v>3481</v>
      </c>
      <c r="E692" s="84">
        <v>589.99</v>
      </c>
      <c r="F692" s="84">
        <v>294.995</v>
      </c>
      <c r="G692" t="s">
        <v>3457</v>
      </c>
      <c r="H692" t="s">
        <v>3482</v>
      </c>
      <c r="I692" t="s">
        <v>3483</v>
      </c>
      <c r="J692" t="s">
        <v>3460</v>
      </c>
      <c r="K692" t="s">
        <v>3461</v>
      </c>
      <c r="L692" t="s">
        <v>670</v>
      </c>
      <c r="N692">
        <v>68</v>
      </c>
      <c r="O692">
        <v>60</v>
      </c>
      <c r="P692">
        <v>0.27744000000000002</v>
      </c>
      <c r="Q692" s="84" t="e">
        <v>#REF!</v>
      </c>
      <c r="R692" s="85"/>
      <c r="S692" s="85"/>
      <c r="T692" s="86">
        <v>0</v>
      </c>
      <c r="U692" s="84">
        <v>0</v>
      </c>
      <c r="V692" s="84">
        <v>412.99299999999999</v>
      </c>
      <c r="W692" s="84">
        <v>206.4965</v>
      </c>
      <c r="X692" s="82">
        <v>0.35</v>
      </c>
      <c r="Y692" s="82"/>
      <c r="Z692" s="84">
        <v>206.4965</v>
      </c>
      <c r="AA692" s="84">
        <v>412.99299999999999</v>
      </c>
      <c r="AB692" s="88" t="e">
        <v>#DIV/0!</v>
      </c>
      <c r="AC692" t="s">
        <v>3484</v>
      </c>
    </row>
    <row r="693" spans="3:29">
      <c r="C693" t="s">
        <v>3485</v>
      </c>
      <c r="D693" t="s">
        <v>3486</v>
      </c>
      <c r="E693" s="84">
        <v>729.99</v>
      </c>
      <c r="F693" s="84">
        <v>364.995</v>
      </c>
      <c r="G693" t="s">
        <v>3457</v>
      </c>
      <c r="H693" t="s">
        <v>3487</v>
      </c>
      <c r="I693" t="s">
        <v>3488</v>
      </c>
      <c r="J693" t="s">
        <v>3467</v>
      </c>
      <c r="K693" t="s">
        <v>3461</v>
      </c>
      <c r="L693" t="s">
        <v>670</v>
      </c>
      <c r="N693">
        <v>60</v>
      </c>
      <c r="O693">
        <v>100</v>
      </c>
      <c r="P693">
        <v>0.36</v>
      </c>
      <c r="Q693" s="84" t="e">
        <v>#REF!</v>
      </c>
      <c r="R693" s="85"/>
      <c r="S693" s="85"/>
      <c r="T693" s="86">
        <v>0</v>
      </c>
      <c r="U693" s="84">
        <v>0</v>
      </c>
      <c r="V693" s="84">
        <v>510.99299999999999</v>
      </c>
      <c r="W693" s="84">
        <v>255.4965</v>
      </c>
      <c r="X693" s="82">
        <v>0.35</v>
      </c>
      <c r="Y693" s="82"/>
      <c r="Z693" s="84">
        <v>255.4965</v>
      </c>
      <c r="AA693" s="84">
        <v>510.99299999999999</v>
      </c>
      <c r="AB693" s="88" t="e">
        <v>#DIV/0!</v>
      </c>
      <c r="AC693" t="s">
        <v>3489</v>
      </c>
    </row>
    <row r="694" spans="3:29">
      <c r="C694">
        <v>9120</v>
      </c>
      <c r="D694" t="s">
        <v>3490</v>
      </c>
      <c r="E694" s="84">
        <v>409.99</v>
      </c>
      <c r="F694" s="84">
        <v>204.995</v>
      </c>
      <c r="G694" t="s">
        <v>3457</v>
      </c>
      <c r="H694" t="s">
        <v>3491</v>
      </c>
      <c r="I694" t="s">
        <v>3492</v>
      </c>
      <c r="J694" t="s">
        <v>3472</v>
      </c>
      <c r="K694" t="s">
        <v>3461</v>
      </c>
      <c r="L694" t="s">
        <v>670</v>
      </c>
      <c r="N694">
        <v>40</v>
      </c>
      <c r="O694">
        <v>120</v>
      </c>
      <c r="P694">
        <v>0.192</v>
      </c>
      <c r="Q694" s="84" t="e">
        <v>#REF!</v>
      </c>
      <c r="R694" s="85"/>
      <c r="S694" s="85"/>
      <c r="T694" s="86">
        <v>0</v>
      </c>
      <c r="U694" s="84">
        <v>0</v>
      </c>
      <c r="V694" s="84">
        <v>286.99299999999999</v>
      </c>
      <c r="W694" s="84">
        <v>143.4965</v>
      </c>
      <c r="X694" s="82">
        <v>0.35</v>
      </c>
      <c r="Y694" s="82"/>
      <c r="Z694" s="84">
        <v>143.4965</v>
      </c>
      <c r="AA694" s="84">
        <v>286.99299999999999</v>
      </c>
      <c r="AB694" s="88" t="e">
        <v>#DIV/0!</v>
      </c>
      <c r="AC694" t="s">
        <v>3493</v>
      </c>
    </row>
    <row r="695" spans="3:29">
      <c r="C695" t="s">
        <v>3494</v>
      </c>
      <c r="D695" t="s">
        <v>3495</v>
      </c>
      <c r="E695" s="84">
        <v>869.99</v>
      </c>
      <c r="F695" s="84">
        <v>434.995</v>
      </c>
      <c r="G695" t="s">
        <v>3457</v>
      </c>
      <c r="H695" t="s">
        <v>3496</v>
      </c>
      <c r="I695" t="s">
        <v>3497</v>
      </c>
      <c r="J695" t="s">
        <v>3472</v>
      </c>
      <c r="K695" t="s">
        <v>3461</v>
      </c>
      <c r="L695" t="s">
        <v>670</v>
      </c>
      <c r="N695">
        <v>40</v>
      </c>
      <c r="O695">
        <v>120</v>
      </c>
      <c r="P695">
        <v>0.192</v>
      </c>
      <c r="Q695" s="84" t="e">
        <v>#REF!</v>
      </c>
      <c r="R695" s="85"/>
      <c r="S695" s="85"/>
      <c r="T695" s="86">
        <v>0</v>
      </c>
      <c r="U695" s="84">
        <v>0</v>
      </c>
      <c r="V695" s="84">
        <v>608.99300000000005</v>
      </c>
      <c r="W695" s="84">
        <v>304.49650000000003</v>
      </c>
      <c r="X695" s="82">
        <v>0.35</v>
      </c>
      <c r="Y695" s="82"/>
      <c r="Z695" s="84">
        <v>304.49650000000003</v>
      </c>
      <c r="AA695" s="84">
        <v>608.99300000000005</v>
      </c>
      <c r="AB695" s="88" t="e">
        <v>#DIV/0!</v>
      </c>
      <c r="AC695" t="s">
        <v>3498</v>
      </c>
    </row>
    <row r="696" spans="3:29">
      <c r="C696" t="s">
        <v>3499</v>
      </c>
      <c r="D696" t="s">
        <v>3500</v>
      </c>
      <c r="E696" s="84">
        <v>589.99</v>
      </c>
      <c r="F696" s="84">
        <v>294.995</v>
      </c>
      <c r="G696" t="s">
        <v>3457</v>
      </c>
      <c r="H696" t="s">
        <v>3501</v>
      </c>
      <c r="I696" t="s">
        <v>3502</v>
      </c>
      <c r="J696" t="s">
        <v>3472</v>
      </c>
      <c r="K696" t="s">
        <v>3461</v>
      </c>
      <c r="L696" t="s">
        <v>670</v>
      </c>
      <c r="N696">
        <v>40</v>
      </c>
      <c r="O696">
        <v>120</v>
      </c>
      <c r="P696">
        <v>0.192</v>
      </c>
      <c r="Q696" s="84" t="e">
        <v>#REF!</v>
      </c>
      <c r="R696" s="85"/>
      <c r="S696" s="85"/>
      <c r="T696" s="86">
        <v>0</v>
      </c>
      <c r="U696" s="84">
        <v>0</v>
      </c>
      <c r="V696" s="84">
        <v>412.99299999999999</v>
      </c>
      <c r="W696" s="84">
        <v>206.4965</v>
      </c>
      <c r="X696" s="82">
        <v>0.35</v>
      </c>
      <c r="Y696" s="82"/>
      <c r="Z696" s="84">
        <v>206.4965</v>
      </c>
      <c r="AA696" s="84">
        <v>412.99299999999999</v>
      </c>
      <c r="AB696" s="88" t="e">
        <v>#DIV/0!</v>
      </c>
      <c r="AC696" t="s">
        <v>3503</v>
      </c>
    </row>
    <row r="697" spans="3:29">
      <c r="C697" t="s">
        <v>3504</v>
      </c>
      <c r="D697" t="s">
        <v>3505</v>
      </c>
      <c r="E697" s="84">
        <v>589.99</v>
      </c>
      <c r="F697" s="84">
        <v>294.995</v>
      </c>
      <c r="G697" t="s">
        <v>3457</v>
      </c>
      <c r="H697" t="s">
        <v>3506</v>
      </c>
      <c r="I697" t="s">
        <v>3507</v>
      </c>
      <c r="J697" t="s">
        <v>3472</v>
      </c>
      <c r="K697" t="s">
        <v>3461</v>
      </c>
      <c r="L697" t="s">
        <v>670</v>
      </c>
      <c r="N697">
        <v>40</v>
      </c>
      <c r="O697">
        <v>120</v>
      </c>
      <c r="P697">
        <v>0.192</v>
      </c>
      <c r="Q697" s="84" t="e">
        <v>#REF!</v>
      </c>
      <c r="R697" s="85"/>
      <c r="S697" s="85"/>
      <c r="T697" s="86">
        <v>0</v>
      </c>
      <c r="U697" s="84">
        <v>0</v>
      </c>
      <c r="V697" s="84">
        <v>412.99299999999999</v>
      </c>
      <c r="W697" s="84">
        <v>206.4965</v>
      </c>
      <c r="X697" s="82">
        <v>0.35</v>
      </c>
      <c r="Y697" s="82"/>
      <c r="Z697" s="84">
        <v>206.4965</v>
      </c>
      <c r="AA697" s="84">
        <v>412.99299999999999</v>
      </c>
      <c r="AB697" s="88" t="e">
        <v>#DIV/0!</v>
      </c>
      <c r="AC697" t="s">
        <v>3508</v>
      </c>
    </row>
    <row r="698" spans="3:29">
      <c r="C698">
        <v>9180</v>
      </c>
      <c r="D698" t="s">
        <v>3509</v>
      </c>
      <c r="E698" s="84">
        <v>989.99</v>
      </c>
      <c r="F698" s="84">
        <v>494.995</v>
      </c>
      <c r="G698" t="s">
        <v>3457</v>
      </c>
      <c r="H698" t="s">
        <v>3510</v>
      </c>
      <c r="I698" t="s">
        <v>3511</v>
      </c>
      <c r="J698" t="s">
        <v>3479</v>
      </c>
      <c r="K698" t="s">
        <v>3461</v>
      </c>
      <c r="L698" t="s">
        <v>670</v>
      </c>
      <c r="N698">
        <v>50</v>
      </c>
      <c r="O698">
        <v>180</v>
      </c>
      <c r="P698">
        <v>0.45</v>
      </c>
      <c r="Q698" s="84" t="e">
        <v>#REF!</v>
      </c>
      <c r="R698" s="85"/>
      <c r="S698" s="85"/>
      <c r="T698" s="86">
        <v>0</v>
      </c>
      <c r="U698" s="84">
        <v>0</v>
      </c>
      <c r="V698" s="84">
        <v>692.99300000000005</v>
      </c>
      <c r="W698" s="84">
        <v>346.49650000000003</v>
      </c>
      <c r="X698" s="82">
        <v>0.35</v>
      </c>
      <c r="Y698" s="82"/>
      <c r="Z698" s="84">
        <v>346.49650000000003</v>
      </c>
      <c r="AA698" s="84">
        <v>692.99300000000005</v>
      </c>
      <c r="AB698" s="88" t="e">
        <v>#DIV/0!</v>
      </c>
      <c r="AC698" t="s">
        <v>3512</v>
      </c>
    </row>
    <row r="699" spans="3:29">
      <c r="C699" t="s">
        <v>3513</v>
      </c>
      <c r="D699" t="s">
        <v>3514</v>
      </c>
      <c r="E699" s="84">
        <v>1459.99</v>
      </c>
      <c r="F699" s="84">
        <v>729.995</v>
      </c>
      <c r="G699" t="s">
        <v>3457</v>
      </c>
      <c r="H699" t="s">
        <v>3515</v>
      </c>
      <c r="I699" t="s">
        <v>3516</v>
      </c>
      <c r="J699" t="s">
        <v>3479</v>
      </c>
      <c r="K699" t="s">
        <v>3461</v>
      </c>
      <c r="L699" t="s">
        <v>670</v>
      </c>
      <c r="N699">
        <v>50</v>
      </c>
      <c r="O699">
        <v>180</v>
      </c>
      <c r="P699">
        <v>0.45</v>
      </c>
      <c r="Q699" s="84" t="e">
        <v>#REF!</v>
      </c>
      <c r="R699" s="85"/>
      <c r="S699" s="85"/>
      <c r="T699" s="86">
        <v>0</v>
      </c>
      <c r="U699" s="84">
        <v>0</v>
      </c>
      <c r="V699" s="84">
        <v>1021.9930000000001</v>
      </c>
      <c r="W699" s="84">
        <v>510.99650000000003</v>
      </c>
      <c r="X699" s="82">
        <v>0.35</v>
      </c>
      <c r="Y699" s="82"/>
      <c r="Z699" s="84">
        <v>510.99650000000003</v>
      </c>
      <c r="AA699" s="84">
        <v>1021.9930000000001</v>
      </c>
      <c r="AB699" s="88" t="e">
        <v>#DIV/0!</v>
      </c>
      <c r="AC699" t="s">
        <v>3517</v>
      </c>
    </row>
    <row r="700" spans="3:29">
      <c r="C700" t="s">
        <v>3518</v>
      </c>
      <c r="D700" t="s">
        <v>3519</v>
      </c>
      <c r="E700" s="84">
        <v>1109.99</v>
      </c>
      <c r="F700" s="84">
        <v>554.995</v>
      </c>
      <c r="G700" t="s">
        <v>3457</v>
      </c>
      <c r="H700" t="s">
        <v>3520</v>
      </c>
      <c r="I700" t="s">
        <v>3521</v>
      </c>
      <c r="J700" t="s">
        <v>3479</v>
      </c>
      <c r="K700" t="s">
        <v>3461</v>
      </c>
      <c r="L700" t="s">
        <v>670</v>
      </c>
      <c r="N700">
        <v>50</v>
      </c>
      <c r="O700">
        <v>180</v>
      </c>
      <c r="P700">
        <v>0.45</v>
      </c>
      <c r="Q700" s="84" t="e">
        <v>#REF!</v>
      </c>
      <c r="R700" s="85"/>
      <c r="S700" s="85"/>
      <c r="T700" s="86">
        <v>0</v>
      </c>
      <c r="U700" s="84">
        <v>0</v>
      </c>
      <c r="V700" s="84">
        <v>776.99300000000005</v>
      </c>
      <c r="W700" s="84">
        <v>388.49650000000003</v>
      </c>
      <c r="X700" s="82">
        <v>0.35</v>
      </c>
      <c r="Y700" s="82"/>
      <c r="Z700" s="84">
        <v>388.49650000000003</v>
      </c>
      <c r="AA700" s="84">
        <v>776.99300000000005</v>
      </c>
      <c r="AB700" s="88" t="e">
        <v>#DIV/0!</v>
      </c>
      <c r="AC700" t="s">
        <v>3522</v>
      </c>
    </row>
    <row r="701" spans="3:29">
      <c r="C701" t="s">
        <v>3523</v>
      </c>
      <c r="D701" t="s">
        <v>3524</v>
      </c>
      <c r="E701" s="84">
        <v>1109.99</v>
      </c>
      <c r="F701" s="84">
        <v>554.995</v>
      </c>
      <c r="G701" t="s">
        <v>3457</v>
      </c>
      <c r="H701" t="s">
        <v>3525</v>
      </c>
      <c r="I701" t="s">
        <v>3526</v>
      </c>
      <c r="J701" t="s">
        <v>3479</v>
      </c>
      <c r="K701" t="s">
        <v>3461</v>
      </c>
      <c r="L701" t="s">
        <v>670</v>
      </c>
      <c r="N701">
        <v>50</v>
      </c>
      <c r="O701">
        <v>180</v>
      </c>
      <c r="P701">
        <v>0.45</v>
      </c>
      <c r="Q701" s="84" t="e">
        <v>#REF!</v>
      </c>
      <c r="R701" s="85"/>
      <c r="S701" s="85"/>
      <c r="T701" s="86">
        <v>0</v>
      </c>
      <c r="U701" s="84">
        <v>0</v>
      </c>
      <c r="V701" s="84">
        <v>776.99300000000005</v>
      </c>
      <c r="W701" s="84">
        <v>388.49650000000003</v>
      </c>
      <c r="X701" s="82">
        <v>0.35</v>
      </c>
      <c r="Y701" s="82"/>
      <c r="Z701" s="84">
        <v>388.49650000000003</v>
      </c>
      <c r="AA701" s="84">
        <v>776.99300000000005</v>
      </c>
      <c r="AB701" s="88" t="e">
        <v>#DIV/0!</v>
      </c>
      <c r="AC701" t="s">
        <v>3527</v>
      </c>
    </row>
    <row r="702" spans="3:29">
      <c r="C702" t="s">
        <v>3528</v>
      </c>
      <c r="D702" t="s">
        <v>3529</v>
      </c>
      <c r="E702" s="84">
        <v>859.99</v>
      </c>
      <c r="F702" s="84">
        <v>429.995</v>
      </c>
      <c r="G702" t="s">
        <v>3457</v>
      </c>
      <c r="H702" t="s">
        <v>3530</v>
      </c>
      <c r="I702" t="s">
        <v>428</v>
      </c>
      <c r="J702" t="s">
        <v>3531</v>
      </c>
      <c r="K702" t="s">
        <v>3532</v>
      </c>
      <c r="L702" t="s">
        <v>646</v>
      </c>
      <c r="N702">
        <v>40</v>
      </c>
      <c r="O702">
        <v>34</v>
      </c>
      <c r="P702">
        <v>5.4399999999999997E-2</v>
      </c>
      <c r="Q702" s="84" t="e">
        <v>#REF!</v>
      </c>
      <c r="R702" s="85"/>
      <c r="S702" s="85"/>
      <c r="T702" s="86">
        <v>0</v>
      </c>
      <c r="U702" s="84">
        <v>0</v>
      </c>
      <c r="V702" s="84">
        <v>601.99300000000005</v>
      </c>
      <c r="W702" s="84">
        <v>300.99650000000003</v>
      </c>
      <c r="X702" s="82">
        <v>0.35</v>
      </c>
      <c r="Y702" s="82"/>
      <c r="Z702" s="84">
        <v>300.99650000000003</v>
      </c>
      <c r="AA702" s="84">
        <v>601.99300000000005</v>
      </c>
      <c r="AB702" s="88" t="e">
        <v>#DIV/0!</v>
      </c>
      <c r="AC702" t="s">
        <v>3533</v>
      </c>
    </row>
    <row r="703" spans="3:29">
      <c r="C703" t="s">
        <v>3534</v>
      </c>
      <c r="D703" t="s">
        <v>3529</v>
      </c>
      <c r="E703" s="84">
        <v>2279.9899999999998</v>
      </c>
      <c r="F703" s="84">
        <v>1139.9949999999999</v>
      </c>
      <c r="G703" t="s">
        <v>3457</v>
      </c>
      <c r="H703" t="s">
        <v>3535</v>
      </c>
      <c r="I703" t="s">
        <v>428</v>
      </c>
      <c r="J703" t="s">
        <v>3536</v>
      </c>
      <c r="K703" t="s">
        <v>3532</v>
      </c>
      <c r="L703" t="s">
        <v>646</v>
      </c>
      <c r="N703">
        <v>80</v>
      </c>
      <c r="O703">
        <v>69</v>
      </c>
      <c r="P703">
        <v>0.44159999999999999</v>
      </c>
      <c r="Q703" s="84" t="e">
        <v>#REF!</v>
      </c>
      <c r="R703" s="85"/>
      <c r="S703" s="85"/>
      <c r="T703" s="86">
        <v>0</v>
      </c>
      <c r="U703" s="84">
        <v>0</v>
      </c>
      <c r="V703" s="84">
        <v>1595.9929999999999</v>
      </c>
      <c r="W703" s="84">
        <v>797.99649999999997</v>
      </c>
      <c r="X703" s="82">
        <v>0.35</v>
      </c>
      <c r="Y703" s="82"/>
      <c r="Z703" s="84">
        <v>797.99649999999997</v>
      </c>
      <c r="AA703" s="84">
        <v>1595.9929999999999</v>
      </c>
      <c r="AB703" s="88" t="e">
        <v>#DIV/0!</v>
      </c>
      <c r="AC703" t="s">
        <v>3537</v>
      </c>
    </row>
    <row r="704" spans="3:29">
      <c r="C704" t="s">
        <v>3538</v>
      </c>
      <c r="D704" t="s">
        <v>3529</v>
      </c>
      <c r="E704" s="84">
        <v>4769.99</v>
      </c>
      <c r="F704" s="84">
        <v>2384.9949999999999</v>
      </c>
      <c r="G704" t="s">
        <v>3457</v>
      </c>
      <c r="H704" t="s">
        <v>3539</v>
      </c>
      <c r="I704" t="s">
        <v>428</v>
      </c>
      <c r="J704" t="s">
        <v>3540</v>
      </c>
      <c r="K704" t="s">
        <v>3532</v>
      </c>
      <c r="L704" t="s">
        <v>646</v>
      </c>
      <c r="N704">
        <v>120</v>
      </c>
      <c r="O704">
        <v>104</v>
      </c>
      <c r="P704">
        <v>1.4976</v>
      </c>
      <c r="Q704" s="84" t="e">
        <v>#REF!</v>
      </c>
      <c r="R704" s="85"/>
      <c r="S704" s="85"/>
      <c r="T704" s="86">
        <v>0</v>
      </c>
      <c r="U704" s="84">
        <v>0</v>
      </c>
      <c r="V704" s="84">
        <v>3338.9929999999999</v>
      </c>
      <c r="W704" s="84">
        <v>1669.4965</v>
      </c>
      <c r="X704" s="82">
        <v>0.35</v>
      </c>
      <c r="Y704" s="82"/>
      <c r="Z704" s="84">
        <v>1669.4965</v>
      </c>
      <c r="AA704" s="84">
        <v>3338.9929999999999</v>
      </c>
      <c r="AB704" s="88" t="e">
        <v>#DIV/0!</v>
      </c>
      <c r="AC704" t="s">
        <v>3537</v>
      </c>
    </row>
    <row r="705" spans="3:29">
      <c r="C705" t="s">
        <v>3541</v>
      </c>
      <c r="D705" t="s">
        <v>3542</v>
      </c>
      <c r="E705" s="84">
        <v>8.99</v>
      </c>
      <c r="F705" s="84">
        <v>4.4950000000000001</v>
      </c>
      <c r="G705" t="s">
        <v>3457</v>
      </c>
      <c r="H705" t="s">
        <v>3543</v>
      </c>
      <c r="I705" t="s">
        <v>539</v>
      </c>
      <c r="J705" t="s">
        <v>3544</v>
      </c>
      <c r="K705" t="s">
        <v>2943</v>
      </c>
      <c r="L705" t="s">
        <v>646</v>
      </c>
      <c r="M705">
        <v>15</v>
      </c>
      <c r="N705">
        <v>15</v>
      </c>
      <c r="O705">
        <v>6</v>
      </c>
      <c r="P705">
        <v>1.3500000000000001E-3</v>
      </c>
      <c r="Q705" s="84" t="e">
        <v>#REF!</v>
      </c>
      <c r="R705" s="85"/>
      <c r="S705" s="85"/>
      <c r="T705" s="86">
        <v>0</v>
      </c>
      <c r="U705" s="84">
        <v>0</v>
      </c>
      <c r="V705" s="84">
        <v>6.2930000000000001</v>
      </c>
      <c r="W705" s="84">
        <v>3.1465000000000001</v>
      </c>
      <c r="X705" s="82">
        <v>0.35</v>
      </c>
      <c r="Y705" s="82"/>
      <c r="Z705" s="84">
        <v>3.1465000000000001</v>
      </c>
      <c r="AA705" s="84">
        <v>6.2930000000000001</v>
      </c>
      <c r="AB705" s="88" t="e">
        <v>#DIV/0!</v>
      </c>
      <c r="AC705" t="s">
        <v>3545</v>
      </c>
    </row>
    <row r="706" spans="3:29">
      <c r="C706" t="s">
        <v>3546</v>
      </c>
      <c r="D706" t="s">
        <v>3542</v>
      </c>
      <c r="E706" s="84">
        <v>11.99</v>
      </c>
      <c r="F706" s="84">
        <v>5.9950000000000001</v>
      </c>
      <c r="G706" t="s">
        <v>3457</v>
      </c>
      <c r="H706" t="s">
        <v>3547</v>
      </c>
      <c r="I706" t="s">
        <v>539</v>
      </c>
      <c r="J706" t="s">
        <v>3548</v>
      </c>
      <c r="K706" t="s">
        <v>2943</v>
      </c>
      <c r="L706" t="s">
        <v>646</v>
      </c>
      <c r="M706">
        <v>15</v>
      </c>
      <c r="N706">
        <v>15</v>
      </c>
      <c r="O706">
        <v>11</v>
      </c>
      <c r="P706">
        <v>2.4750000000000002E-3</v>
      </c>
      <c r="Q706" s="84" t="e">
        <v>#REF!</v>
      </c>
      <c r="R706" s="85"/>
      <c r="S706" s="85"/>
      <c r="T706" s="86">
        <v>0</v>
      </c>
      <c r="U706" s="84">
        <v>0</v>
      </c>
      <c r="V706" s="84">
        <v>8.3930000000000007</v>
      </c>
      <c r="W706" s="84">
        <v>4.1965000000000003</v>
      </c>
      <c r="X706" s="82">
        <v>0.35</v>
      </c>
      <c r="Y706" s="82"/>
      <c r="Z706" s="84">
        <v>4.1965000000000003</v>
      </c>
      <c r="AA706" s="84">
        <v>8.3930000000000007</v>
      </c>
      <c r="AB706" s="88" t="e">
        <v>#DIV/0!</v>
      </c>
      <c r="AC706" t="s">
        <v>3549</v>
      </c>
    </row>
    <row r="707" spans="3:29">
      <c r="C707" t="s">
        <v>3550</v>
      </c>
      <c r="D707" t="s">
        <v>3542</v>
      </c>
      <c r="E707" s="84">
        <v>21.99</v>
      </c>
      <c r="F707" s="84">
        <v>10.994999999999999</v>
      </c>
      <c r="G707" t="s">
        <v>3457</v>
      </c>
      <c r="H707" t="s">
        <v>3551</v>
      </c>
      <c r="I707" t="s">
        <v>539</v>
      </c>
      <c r="J707" t="s">
        <v>3552</v>
      </c>
      <c r="K707" t="s">
        <v>2943</v>
      </c>
      <c r="L707" t="s">
        <v>646</v>
      </c>
      <c r="M707">
        <v>40</v>
      </c>
      <c r="N707">
        <v>15</v>
      </c>
      <c r="O707">
        <v>11</v>
      </c>
      <c r="P707">
        <v>6.6E-3</v>
      </c>
      <c r="Q707" s="84" t="e">
        <v>#REF!</v>
      </c>
      <c r="R707" s="85"/>
      <c r="S707" s="85"/>
      <c r="T707" s="86">
        <v>0</v>
      </c>
      <c r="U707" s="84">
        <v>0</v>
      </c>
      <c r="V707" s="84">
        <v>15.393000000000001</v>
      </c>
      <c r="W707" s="84">
        <v>7.6965000000000003</v>
      </c>
      <c r="X707" s="82">
        <v>0.35</v>
      </c>
      <c r="Y707" s="82"/>
      <c r="Z707" s="84">
        <v>7.6965000000000003</v>
      </c>
      <c r="AA707" s="84">
        <v>15.393000000000001</v>
      </c>
      <c r="AB707" s="88" t="e">
        <v>#DIV/0!</v>
      </c>
      <c r="AC707" t="s">
        <v>3553</v>
      </c>
    </row>
    <row r="708" spans="3:29">
      <c r="C708" t="s">
        <v>3554</v>
      </c>
      <c r="D708" t="s">
        <v>3542</v>
      </c>
      <c r="E708" s="84">
        <v>20.99</v>
      </c>
      <c r="F708" s="84">
        <v>10.494999999999999</v>
      </c>
      <c r="G708" t="s">
        <v>3457</v>
      </c>
      <c r="H708" t="s">
        <v>3555</v>
      </c>
      <c r="I708" t="s">
        <v>539</v>
      </c>
      <c r="J708" t="s">
        <v>3556</v>
      </c>
      <c r="K708" t="s">
        <v>2943</v>
      </c>
      <c r="L708" t="s">
        <v>646</v>
      </c>
      <c r="M708">
        <v>50</v>
      </c>
      <c r="N708">
        <v>15</v>
      </c>
      <c r="O708">
        <v>6</v>
      </c>
      <c r="P708">
        <v>4.4999999999999997E-3</v>
      </c>
      <c r="Q708" s="84" t="e">
        <v>#REF!</v>
      </c>
      <c r="R708" s="85"/>
      <c r="S708" s="85"/>
      <c r="T708" s="86">
        <v>0</v>
      </c>
      <c r="U708" s="84">
        <v>0</v>
      </c>
      <c r="V708" s="84">
        <v>14.693</v>
      </c>
      <c r="W708" s="84">
        <v>7.3464999999999998</v>
      </c>
      <c r="X708" s="82">
        <v>0.35</v>
      </c>
      <c r="Y708" s="82"/>
      <c r="Z708" s="84">
        <v>7.3464999999999998</v>
      </c>
      <c r="AA708" s="84">
        <v>14.693</v>
      </c>
      <c r="AB708" s="88" t="e">
        <v>#DIV/0!</v>
      </c>
      <c r="AC708" t="s">
        <v>3553</v>
      </c>
    </row>
    <row r="709" spans="3:29">
      <c r="C709" t="s">
        <v>3557</v>
      </c>
      <c r="D709" t="s">
        <v>3542</v>
      </c>
      <c r="E709" s="84">
        <v>28.99</v>
      </c>
      <c r="F709" s="84">
        <v>14.494999999999999</v>
      </c>
      <c r="G709" t="s">
        <v>3457</v>
      </c>
      <c r="H709" t="s">
        <v>3558</v>
      </c>
      <c r="I709" t="s">
        <v>539</v>
      </c>
      <c r="J709" t="s">
        <v>3559</v>
      </c>
      <c r="K709" t="s">
        <v>2943</v>
      </c>
      <c r="L709" t="s">
        <v>646</v>
      </c>
      <c r="M709">
        <v>50</v>
      </c>
      <c r="N709">
        <v>20</v>
      </c>
      <c r="O709">
        <v>11</v>
      </c>
      <c r="P709">
        <v>1.0999999999999999E-2</v>
      </c>
      <c r="Q709" s="84" t="e">
        <v>#REF!</v>
      </c>
      <c r="R709" s="85"/>
      <c r="S709" s="85"/>
      <c r="T709" s="86">
        <v>0</v>
      </c>
      <c r="U709" s="84">
        <v>0</v>
      </c>
      <c r="V709" s="84">
        <v>20.292999999999999</v>
      </c>
      <c r="W709" s="84">
        <v>10.1465</v>
      </c>
      <c r="X709" s="82">
        <v>0.35</v>
      </c>
      <c r="Y709" s="82"/>
      <c r="Z709" s="84">
        <v>10.1465</v>
      </c>
      <c r="AA709" s="84">
        <v>20.292999999999999</v>
      </c>
      <c r="AB709" s="88" t="e">
        <v>#DIV/0!</v>
      </c>
      <c r="AC709" t="s">
        <v>3560</v>
      </c>
    </row>
    <row r="710" spans="3:29">
      <c r="C710" t="s">
        <v>3561</v>
      </c>
      <c r="D710" t="s">
        <v>3542</v>
      </c>
      <c r="E710" s="84">
        <v>24.99</v>
      </c>
      <c r="F710" s="84">
        <v>12.494999999999999</v>
      </c>
      <c r="G710" t="s">
        <v>3457</v>
      </c>
      <c r="H710" t="s">
        <v>3562</v>
      </c>
      <c r="I710" t="s">
        <v>539</v>
      </c>
      <c r="J710" t="s">
        <v>3563</v>
      </c>
      <c r="K710" t="s">
        <v>2943</v>
      </c>
      <c r="L710" t="s">
        <v>646</v>
      </c>
      <c r="M710">
        <v>50</v>
      </c>
      <c r="N710">
        <v>22</v>
      </c>
      <c r="O710">
        <v>6</v>
      </c>
      <c r="P710">
        <v>6.6E-3</v>
      </c>
      <c r="Q710" s="84" t="e">
        <v>#REF!</v>
      </c>
      <c r="R710" s="85"/>
      <c r="S710" s="85"/>
      <c r="T710" s="86">
        <v>0</v>
      </c>
      <c r="U710" s="84">
        <v>0</v>
      </c>
      <c r="V710" s="84">
        <v>17.492999999999999</v>
      </c>
      <c r="W710" s="84">
        <v>8.7464999999999993</v>
      </c>
      <c r="X710" s="82">
        <v>0.35</v>
      </c>
      <c r="Y710" s="82"/>
      <c r="Z710" s="84">
        <v>8.7464999999999993</v>
      </c>
      <c r="AA710" s="84">
        <v>17.492999999999999</v>
      </c>
      <c r="AB710" s="88" t="e">
        <v>#DIV/0!</v>
      </c>
      <c r="AC710" t="s">
        <v>3553</v>
      </c>
    </row>
    <row r="711" spans="3:29">
      <c r="C711" t="s">
        <v>3564</v>
      </c>
      <c r="D711" t="s">
        <v>3542</v>
      </c>
      <c r="E711" s="84">
        <v>24.99</v>
      </c>
      <c r="F711" s="84">
        <v>12.494999999999999</v>
      </c>
      <c r="G711" t="s">
        <v>3457</v>
      </c>
      <c r="H711" t="s">
        <v>3565</v>
      </c>
      <c r="I711" t="s">
        <v>539</v>
      </c>
      <c r="J711" t="s">
        <v>3566</v>
      </c>
      <c r="K711" t="s">
        <v>2943</v>
      </c>
      <c r="L711" t="s">
        <v>646</v>
      </c>
      <c r="M711">
        <v>50</v>
      </c>
      <c r="N711">
        <v>22</v>
      </c>
      <c r="O711">
        <v>11</v>
      </c>
      <c r="P711">
        <v>1.21E-2</v>
      </c>
      <c r="Q711" s="84" t="e">
        <v>#REF!</v>
      </c>
      <c r="R711" s="85"/>
      <c r="S711" s="85"/>
      <c r="T711" s="86">
        <v>0</v>
      </c>
      <c r="U711" s="84">
        <v>0</v>
      </c>
      <c r="V711" s="84">
        <v>17.492999999999999</v>
      </c>
      <c r="W711" s="84">
        <v>8.7464999999999993</v>
      </c>
      <c r="X711" s="82">
        <v>0.35</v>
      </c>
      <c r="Y711" s="82"/>
      <c r="Z711" s="84">
        <v>8.7464999999999993</v>
      </c>
      <c r="AA711" s="84">
        <v>17.492999999999999</v>
      </c>
      <c r="AB711" s="88" t="e">
        <v>#DIV/0!</v>
      </c>
      <c r="AC711" t="s">
        <v>3545</v>
      </c>
    </row>
    <row r="712" spans="3:29">
      <c r="C712" t="s">
        <v>3567</v>
      </c>
      <c r="D712" t="s">
        <v>3542</v>
      </c>
      <c r="E712" s="84">
        <v>42.99</v>
      </c>
      <c r="F712" s="84">
        <v>21.495000000000001</v>
      </c>
      <c r="G712" t="s">
        <v>3457</v>
      </c>
      <c r="H712" t="s">
        <v>3568</v>
      </c>
      <c r="I712" t="s">
        <v>539</v>
      </c>
      <c r="J712" t="s">
        <v>3569</v>
      </c>
      <c r="K712" t="s">
        <v>2943</v>
      </c>
      <c r="L712" t="s">
        <v>646</v>
      </c>
      <c r="M712">
        <v>50</v>
      </c>
      <c r="N712">
        <v>47</v>
      </c>
      <c r="O712">
        <v>11</v>
      </c>
      <c r="P712">
        <v>2.5850000000000001E-2</v>
      </c>
      <c r="Q712" s="84" t="e">
        <v>#REF!</v>
      </c>
      <c r="R712" s="85"/>
      <c r="S712" s="85"/>
      <c r="T712" s="86">
        <v>0</v>
      </c>
      <c r="U712" s="84">
        <v>0</v>
      </c>
      <c r="V712" s="84">
        <v>30.093</v>
      </c>
      <c r="W712" s="84">
        <v>15.0465</v>
      </c>
      <c r="X712" s="82">
        <v>0.35</v>
      </c>
      <c r="Y712" s="82"/>
      <c r="Z712" s="84">
        <v>15.0465</v>
      </c>
      <c r="AA712" s="84">
        <v>30.093</v>
      </c>
      <c r="AB712" s="88" t="e">
        <v>#DIV/0!</v>
      </c>
      <c r="AC712" t="s">
        <v>3553</v>
      </c>
    </row>
    <row r="713" spans="3:29">
      <c r="C713">
        <v>21917</v>
      </c>
      <c r="D713" t="s">
        <v>3570</v>
      </c>
      <c r="E713" s="84">
        <v>168.99</v>
      </c>
      <c r="F713" s="84">
        <v>84.495000000000005</v>
      </c>
      <c r="G713" t="s">
        <v>3457</v>
      </c>
      <c r="H713" t="s">
        <v>3571</v>
      </c>
      <c r="I713" t="s">
        <v>3572</v>
      </c>
      <c r="J713" t="s">
        <v>3288</v>
      </c>
      <c r="K713" t="s">
        <v>3573</v>
      </c>
      <c r="L713" t="s">
        <v>670</v>
      </c>
      <c r="N713">
        <v>60</v>
      </c>
      <c r="O713">
        <v>60</v>
      </c>
      <c r="P713">
        <v>0.216</v>
      </c>
      <c r="Q713" s="84" t="e">
        <v>#REF!</v>
      </c>
      <c r="R713" s="85"/>
      <c r="S713" s="85"/>
      <c r="T713" s="86">
        <v>0</v>
      </c>
      <c r="U713" s="84">
        <v>0</v>
      </c>
      <c r="V713" s="84">
        <v>118.29300000000001</v>
      </c>
      <c r="W713" s="84">
        <v>59.146500000000003</v>
      </c>
      <c r="X713" s="82">
        <v>0.35</v>
      </c>
      <c r="Y713" s="82"/>
      <c r="Z713" s="84">
        <v>59.146500000000003</v>
      </c>
      <c r="AA713" s="84">
        <v>118.29300000000001</v>
      </c>
      <c r="AB713" s="88" t="e">
        <v>#DIV/0!</v>
      </c>
      <c r="AC713" t="s">
        <v>3574</v>
      </c>
    </row>
    <row r="714" spans="3:29">
      <c r="C714">
        <v>21959</v>
      </c>
      <c r="D714" t="s">
        <v>3575</v>
      </c>
      <c r="E714" s="84">
        <v>47.99</v>
      </c>
      <c r="F714" s="84">
        <v>23.995000000000001</v>
      </c>
      <c r="G714" t="s">
        <v>3457</v>
      </c>
      <c r="H714" t="s">
        <v>3576</v>
      </c>
      <c r="I714" t="s">
        <v>245</v>
      </c>
      <c r="J714" t="s">
        <v>3577</v>
      </c>
      <c r="K714" t="s">
        <v>3578</v>
      </c>
      <c r="L714" t="s">
        <v>670</v>
      </c>
      <c r="N714">
        <v>20</v>
      </c>
      <c r="O714">
        <v>18</v>
      </c>
      <c r="P714">
        <v>7.1999999999999998E-3</v>
      </c>
      <c r="Q714" s="84" t="e">
        <v>#REF!</v>
      </c>
      <c r="R714" s="85"/>
      <c r="S714" s="85"/>
      <c r="T714" s="86">
        <v>0</v>
      </c>
      <c r="U714" s="84">
        <v>0</v>
      </c>
      <c r="V714" s="84">
        <v>33.593000000000004</v>
      </c>
      <c r="W714" s="84">
        <v>16.796500000000002</v>
      </c>
      <c r="X714" s="82">
        <v>0.35</v>
      </c>
      <c r="Y714" s="82"/>
      <c r="Z714" s="84">
        <v>16.796500000000002</v>
      </c>
      <c r="AA714" s="84">
        <v>33.593000000000004</v>
      </c>
      <c r="AB714" s="88" t="e">
        <v>#DIV/0!</v>
      </c>
      <c r="AC714" t="s">
        <v>3579</v>
      </c>
    </row>
    <row r="715" spans="3:29">
      <c r="C715">
        <v>21958</v>
      </c>
      <c r="D715" t="s">
        <v>3575</v>
      </c>
      <c r="E715" s="84">
        <v>94.99</v>
      </c>
      <c r="F715" s="84">
        <v>47.494999999999997</v>
      </c>
      <c r="G715" t="s">
        <v>3457</v>
      </c>
      <c r="H715" t="s">
        <v>3580</v>
      </c>
      <c r="I715" t="s">
        <v>245</v>
      </c>
      <c r="J715" t="s">
        <v>3581</v>
      </c>
      <c r="K715" t="s">
        <v>3578</v>
      </c>
      <c r="L715" t="s">
        <v>670</v>
      </c>
      <c r="N715">
        <v>32</v>
      </c>
      <c r="O715">
        <v>28</v>
      </c>
      <c r="P715">
        <v>2.8672E-2</v>
      </c>
      <c r="Q715" s="84" t="e">
        <v>#REF!</v>
      </c>
      <c r="R715" s="85"/>
      <c r="S715" s="85"/>
      <c r="T715" s="86">
        <v>0</v>
      </c>
      <c r="U715" s="84">
        <v>0</v>
      </c>
      <c r="V715" s="84">
        <v>66.492999999999995</v>
      </c>
      <c r="W715" s="84">
        <v>33.246499999999997</v>
      </c>
      <c r="X715" s="82">
        <v>0.35</v>
      </c>
      <c r="Y715" s="82"/>
      <c r="Z715" s="84">
        <v>33.246499999999997</v>
      </c>
      <c r="AA715" s="84">
        <v>66.492999999999995</v>
      </c>
      <c r="AB715" s="88" t="e">
        <v>#DIV/0!</v>
      </c>
      <c r="AC715" t="s">
        <v>3582</v>
      </c>
    </row>
    <row r="716" spans="3:29">
      <c r="C716">
        <v>21957</v>
      </c>
      <c r="D716" t="s">
        <v>3575</v>
      </c>
      <c r="E716" s="84">
        <v>176.99</v>
      </c>
      <c r="F716" s="84">
        <v>88.495000000000005</v>
      </c>
      <c r="G716" t="s">
        <v>3457</v>
      </c>
      <c r="H716" t="s">
        <v>3583</v>
      </c>
      <c r="I716" t="s">
        <v>245</v>
      </c>
      <c r="J716" t="s">
        <v>3584</v>
      </c>
      <c r="K716" t="s">
        <v>3578</v>
      </c>
      <c r="L716" t="s">
        <v>670</v>
      </c>
      <c r="N716">
        <v>45</v>
      </c>
      <c r="O716">
        <v>39</v>
      </c>
      <c r="P716">
        <v>7.8975000000000004E-2</v>
      </c>
      <c r="Q716" s="84" t="e">
        <v>#REF!</v>
      </c>
      <c r="R716" s="85"/>
      <c r="S716" s="85"/>
      <c r="T716" s="86">
        <v>0</v>
      </c>
      <c r="U716" s="84">
        <v>0</v>
      </c>
      <c r="V716" s="84">
        <v>123.893</v>
      </c>
      <c r="W716" s="84">
        <v>61.9465</v>
      </c>
      <c r="X716" s="82">
        <v>0.35</v>
      </c>
      <c r="Y716" s="82"/>
      <c r="Z716" s="84">
        <v>61.9465</v>
      </c>
      <c r="AA716" s="84">
        <v>123.893</v>
      </c>
      <c r="AB716" s="88" t="e">
        <v>#DIV/0!</v>
      </c>
      <c r="AC716" t="s">
        <v>3585</v>
      </c>
    </row>
    <row r="717" spans="3:29">
      <c r="C717">
        <v>21953</v>
      </c>
      <c r="D717" t="s">
        <v>3575</v>
      </c>
      <c r="E717" s="84">
        <v>201.99</v>
      </c>
      <c r="F717" s="84">
        <v>100.995</v>
      </c>
      <c r="G717" t="s">
        <v>3457</v>
      </c>
      <c r="H717" t="s">
        <v>3586</v>
      </c>
      <c r="I717" t="s">
        <v>245</v>
      </c>
      <c r="J717" t="s">
        <v>3587</v>
      </c>
      <c r="K717" t="s">
        <v>3578</v>
      </c>
      <c r="L717" t="s">
        <v>670</v>
      </c>
      <c r="N717">
        <v>50</v>
      </c>
      <c r="O717">
        <v>43</v>
      </c>
      <c r="P717">
        <v>0.1075</v>
      </c>
      <c r="Q717" s="84" t="e">
        <v>#REF!</v>
      </c>
      <c r="R717" s="85"/>
      <c r="S717" s="85"/>
      <c r="T717" s="86">
        <v>0</v>
      </c>
      <c r="U717" s="84">
        <v>0</v>
      </c>
      <c r="V717" s="84">
        <v>141.393</v>
      </c>
      <c r="W717" s="84">
        <v>70.6965</v>
      </c>
      <c r="X717" s="82">
        <v>0.35</v>
      </c>
      <c r="Y717" s="82"/>
      <c r="Z717" s="84">
        <v>70.6965</v>
      </c>
      <c r="AA717" s="84">
        <v>141.393</v>
      </c>
      <c r="AB717" s="88" t="e">
        <v>#DIV/0!</v>
      </c>
      <c r="AC717" t="s">
        <v>3588</v>
      </c>
    </row>
    <row r="718" spans="3:29">
      <c r="C718">
        <v>21956</v>
      </c>
      <c r="D718" t="s">
        <v>3575</v>
      </c>
      <c r="E718" s="84">
        <v>318.99</v>
      </c>
      <c r="F718" s="84">
        <v>159.495</v>
      </c>
      <c r="G718" t="s">
        <v>3457</v>
      </c>
      <c r="H718" t="s">
        <v>3589</v>
      </c>
      <c r="I718" t="s">
        <v>245</v>
      </c>
      <c r="J718" t="s">
        <v>3590</v>
      </c>
      <c r="K718" t="s">
        <v>3578</v>
      </c>
      <c r="L718" t="s">
        <v>670</v>
      </c>
      <c r="N718">
        <v>60</v>
      </c>
      <c r="O718">
        <v>52</v>
      </c>
      <c r="P718">
        <v>0.18720000000000001</v>
      </c>
      <c r="Q718" s="84" t="e">
        <v>#REF!</v>
      </c>
      <c r="R718" s="85"/>
      <c r="S718" s="85"/>
      <c r="T718" s="86">
        <v>0</v>
      </c>
      <c r="U718" s="84">
        <v>0</v>
      </c>
      <c r="V718" s="84">
        <v>223.29300000000001</v>
      </c>
      <c r="W718" s="84">
        <v>111.6465</v>
      </c>
      <c r="X718" s="82">
        <v>0.35</v>
      </c>
      <c r="Y718" s="82"/>
      <c r="Z718" s="84">
        <v>111.6465</v>
      </c>
      <c r="AA718" s="84">
        <v>223.29300000000001</v>
      </c>
      <c r="AB718" s="88" t="e">
        <v>#DIV/0!</v>
      </c>
      <c r="AC718" t="s">
        <v>3582</v>
      </c>
    </row>
    <row r="719" spans="3:29">
      <c r="C719">
        <v>21952</v>
      </c>
      <c r="D719" t="s">
        <v>3575</v>
      </c>
      <c r="E719" s="84">
        <v>468.99</v>
      </c>
      <c r="F719" s="84">
        <v>234.495</v>
      </c>
      <c r="G719" t="s">
        <v>3457</v>
      </c>
      <c r="H719" t="s">
        <v>3591</v>
      </c>
      <c r="I719" t="s">
        <v>245</v>
      </c>
      <c r="J719" t="s">
        <v>3592</v>
      </c>
      <c r="K719" t="s">
        <v>3578</v>
      </c>
      <c r="L719" t="s">
        <v>670</v>
      </c>
      <c r="N719">
        <v>80</v>
      </c>
      <c r="O719">
        <v>69</v>
      </c>
      <c r="P719">
        <v>0.44159999999999999</v>
      </c>
      <c r="Q719" s="84" t="e">
        <v>#REF!</v>
      </c>
      <c r="R719" s="85"/>
      <c r="S719" s="85"/>
      <c r="T719" s="86">
        <v>0</v>
      </c>
      <c r="U719" s="84">
        <v>0</v>
      </c>
      <c r="V719" s="84">
        <v>328.29300000000001</v>
      </c>
      <c r="W719" s="84">
        <v>164.1465</v>
      </c>
      <c r="X719" s="82">
        <v>0.35</v>
      </c>
      <c r="Y719" s="82"/>
      <c r="Z719" s="84">
        <v>164.1465</v>
      </c>
      <c r="AA719" s="84">
        <v>328.29300000000001</v>
      </c>
      <c r="AB719" s="88" t="e">
        <v>#DIV/0!</v>
      </c>
      <c r="AC719" t="s">
        <v>3585</v>
      </c>
    </row>
    <row r="720" spans="3:29">
      <c r="C720">
        <v>21954</v>
      </c>
      <c r="D720" t="s">
        <v>3575</v>
      </c>
      <c r="E720" s="84">
        <v>692.99</v>
      </c>
      <c r="F720" s="84">
        <v>346.495</v>
      </c>
      <c r="G720" t="s">
        <v>3457</v>
      </c>
      <c r="H720" t="s">
        <v>3593</v>
      </c>
      <c r="I720" t="s">
        <v>245</v>
      </c>
      <c r="J720" t="s">
        <v>3594</v>
      </c>
      <c r="K720" t="s">
        <v>3578</v>
      </c>
      <c r="L720" t="s">
        <v>670</v>
      </c>
      <c r="N720">
        <v>100</v>
      </c>
      <c r="O720">
        <v>86</v>
      </c>
      <c r="P720">
        <v>0.86</v>
      </c>
      <c r="Q720" s="84" t="e">
        <v>#REF!</v>
      </c>
      <c r="R720" s="85"/>
      <c r="S720" s="85"/>
      <c r="T720" s="86">
        <v>0</v>
      </c>
      <c r="U720" s="84">
        <v>0</v>
      </c>
      <c r="V720" s="84">
        <v>485.09300000000002</v>
      </c>
      <c r="W720" s="84">
        <v>242.54650000000001</v>
      </c>
      <c r="X720" s="82">
        <v>0.35</v>
      </c>
      <c r="Y720" s="82"/>
      <c r="Z720" s="84">
        <v>242.54650000000001</v>
      </c>
      <c r="AA720" s="84">
        <v>485.09300000000002</v>
      </c>
      <c r="AB720" s="88" t="e">
        <v>#DIV/0!</v>
      </c>
      <c r="AC720" t="s">
        <v>3588</v>
      </c>
    </row>
    <row r="721" spans="3:29">
      <c r="C721">
        <v>21955</v>
      </c>
      <c r="D721" t="s">
        <v>3575</v>
      </c>
      <c r="E721" s="84">
        <v>1039.99</v>
      </c>
      <c r="F721" s="84">
        <v>519.995</v>
      </c>
      <c r="G721" t="s">
        <v>3457</v>
      </c>
      <c r="H721" t="s">
        <v>3595</v>
      </c>
      <c r="I721" t="s">
        <v>245</v>
      </c>
      <c r="J721" t="s">
        <v>3596</v>
      </c>
      <c r="K721" t="s">
        <v>3578</v>
      </c>
      <c r="L721" t="s">
        <v>670</v>
      </c>
      <c r="N721">
        <v>120</v>
      </c>
      <c r="O721">
        <v>103</v>
      </c>
      <c r="P721">
        <v>1.4832000000000001</v>
      </c>
      <c r="Q721" s="84" t="e">
        <v>#REF!</v>
      </c>
      <c r="R721" s="85"/>
      <c r="S721" s="85"/>
      <c r="T721" s="86">
        <v>0</v>
      </c>
      <c r="U721" s="84">
        <v>0</v>
      </c>
      <c r="V721" s="84">
        <v>727.99300000000005</v>
      </c>
      <c r="W721" s="84">
        <v>363.99650000000003</v>
      </c>
      <c r="X721" s="82">
        <v>0.35</v>
      </c>
      <c r="Y721" s="82"/>
      <c r="Z721" s="84">
        <v>363.99650000000003</v>
      </c>
      <c r="AA721" s="84">
        <v>727.99300000000005</v>
      </c>
      <c r="AB721" s="88" t="e">
        <v>#DIV/0!</v>
      </c>
      <c r="AC721" t="s">
        <v>3597</v>
      </c>
    </row>
    <row r="722" spans="3:29">
      <c r="C722" t="s">
        <v>3281</v>
      </c>
      <c r="D722" t="s">
        <v>3282</v>
      </c>
      <c r="E722" s="84">
        <v>56.99</v>
      </c>
      <c r="F722" s="84">
        <v>28.495000000000001</v>
      </c>
      <c r="G722" t="s">
        <v>3457</v>
      </c>
      <c r="H722" t="s">
        <v>3598</v>
      </c>
      <c r="I722" t="s">
        <v>256</v>
      </c>
      <c r="J722" t="s">
        <v>3284</v>
      </c>
      <c r="K722" t="s">
        <v>3244</v>
      </c>
      <c r="L722" t="s">
        <v>670</v>
      </c>
      <c r="N722">
        <v>38</v>
      </c>
      <c r="O722">
        <v>47</v>
      </c>
      <c r="P722">
        <v>6.7867999999999998E-2</v>
      </c>
      <c r="Q722" s="84" t="e">
        <v>#REF!</v>
      </c>
      <c r="R722" s="85"/>
      <c r="S722" s="85"/>
      <c r="T722" s="86">
        <v>0</v>
      </c>
      <c r="U722" s="84">
        <v>0</v>
      </c>
      <c r="V722" s="84">
        <v>39.893000000000001</v>
      </c>
      <c r="W722" s="84">
        <v>19.9465</v>
      </c>
      <c r="X722" s="82">
        <v>0.35</v>
      </c>
      <c r="Y722" s="82"/>
      <c r="Z722" s="84">
        <v>19.9465</v>
      </c>
      <c r="AA722" s="84">
        <v>39.893000000000001</v>
      </c>
      <c r="AB722" s="88" t="e">
        <v>#DIV/0!</v>
      </c>
      <c r="AC722" t="s">
        <v>3599</v>
      </c>
    </row>
    <row r="723" spans="3:29">
      <c r="C723" t="s">
        <v>3286</v>
      </c>
      <c r="D723" t="s">
        <v>3282</v>
      </c>
      <c r="E723" s="84">
        <v>93.99</v>
      </c>
      <c r="F723" s="84">
        <v>46.994999999999997</v>
      </c>
      <c r="G723" t="s">
        <v>3457</v>
      </c>
      <c r="H723" t="s">
        <v>3600</v>
      </c>
      <c r="I723" t="s">
        <v>256</v>
      </c>
      <c r="J723" t="s">
        <v>3601</v>
      </c>
      <c r="K723" t="s">
        <v>3244</v>
      </c>
      <c r="L723" t="s">
        <v>670</v>
      </c>
      <c r="N723">
        <v>47</v>
      </c>
      <c r="O723">
        <v>54</v>
      </c>
      <c r="P723">
        <v>0.119286</v>
      </c>
      <c r="Q723" s="84" t="e">
        <v>#REF!</v>
      </c>
      <c r="R723" s="85"/>
      <c r="S723" s="85"/>
      <c r="T723" s="86">
        <v>0</v>
      </c>
      <c r="U723" s="84">
        <v>0</v>
      </c>
      <c r="V723" s="84">
        <v>65.793000000000006</v>
      </c>
      <c r="W723" s="84">
        <v>32.896500000000003</v>
      </c>
      <c r="X723" s="82">
        <v>0.35</v>
      </c>
      <c r="Y723" s="82"/>
      <c r="Z723" s="84">
        <v>32.896500000000003</v>
      </c>
      <c r="AA723" s="84">
        <v>65.793000000000006</v>
      </c>
      <c r="AB723" s="88" t="e">
        <v>#DIV/0!</v>
      </c>
      <c r="AC723" t="s">
        <v>3602</v>
      </c>
    </row>
    <row r="724" spans="3:29">
      <c r="C724" t="s">
        <v>3289</v>
      </c>
      <c r="D724" t="s">
        <v>3282</v>
      </c>
      <c r="E724" s="84">
        <v>129.99</v>
      </c>
      <c r="F724" s="84">
        <v>64.995000000000005</v>
      </c>
      <c r="G724" t="s">
        <v>3457</v>
      </c>
      <c r="H724" t="s">
        <v>3603</v>
      </c>
      <c r="I724" t="s">
        <v>256</v>
      </c>
      <c r="J724" t="s">
        <v>3604</v>
      </c>
      <c r="K724" t="s">
        <v>3244</v>
      </c>
      <c r="L724" t="s">
        <v>670</v>
      </c>
      <c r="N724">
        <v>60</v>
      </c>
      <c r="O724">
        <v>60</v>
      </c>
      <c r="P724">
        <v>0.216</v>
      </c>
      <c r="Q724" s="84" t="e">
        <v>#REF!</v>
      </c>
      <c r="R724" s="85"/>
      <c r="S724" s="85"/>
      <c r="T724" s="86">
        <v>0</v>
      </c>
      <c r="U724" s="84">
        <v>0</v>
      </c>
      <c r="V724" s="84">
        <v>90.992999999999995</v>
      </c>
      <c r="W724" s="84">
        <v>45.496499999999997</v>
      </c>
      <c r="X724" s="82">
        <v>0.35</v>
      </c>
      <c r="Y724" s="82"/>
      <c r="Z724" s="84">
        <v>45.496499999999997</v>
      </c>
      <c r="AA724" s="84">
        <v>90.992999999999995</v>
      </c>
      <c r="AB724" s="88" t="e">
        <v>#DIV/0!</v>
      </c>
      <c r="AC724" t="s">
        <v>3599</v>
      </c>
    </row>
    <row r="725" spans="3:29">
      <c r="C725" t="s">
        <v>3275</v>
      </c>
      <c r="D725" t="s">
        <v>3605</v>
      </c>
      <c r="E725" s="84">
        <v>237.99</v>
      </c>
      <c r="F725" s="84">
        <v>118.995</v>
      </c>
      <c r="G725" t="s">
        <v>3457</v>
      </c>
      <c r="H725" t="s">
        <v>3606</v>
      </c>
      <c r="I725" t="s">
        <v>3607</v>
      </c>
      <c r="J725" t="s">
        <v>3608</v>
      </c>
      <c r="K725" t="s">
        <v>3609</v>
      </c>
      <c r="L725" t="s">
        <v>670</v>
      </c>
      <c r="M725">
        <v>70</v>
      </c>
      <c r="N725">
        <v>40</v>
      </c>
      <c r="O725">
        <v>48</v>
      </c>
      <c r="P725">
        <v>0.13439999999999999</v>
      </c>
      <c r="Q725" s="84" t="e">
        <v>#REF!</v>
      </c>
      <c r="R725" s="85">
        <v>84589.954173134101</v>
      </c>
      <c r="S725" s="85">
        <v>497000</v>
      </c>
      <c r="T725" s="86">
        <v>581589.95417313406</v>
      </c>
      <c r="U725" s="84">
        <v>38.772663611542299</v>
      </c>
      <c r="V725" s="84">
        <v>166.59299999999999</v>
      </c>
      <c r="W725" s="84">
        <v>83.296499999999995</v>
      </c>
      <c r="X725" s="82">
        <v>0.35</v>
      </c>
      <c r="Y725" s="82"/>
      <c r="Z725" s="84">
        <v>83.296499999999995</v>
      </c>
      <c r="AA725" s="84">
        <v>166.59299999999999</v>
      </c>
      <c r="AB725" s="88">
        <v>2.1483306082485201</v>
      </c>
      <c r="AC725" t="s">
        <v>3610</v>
      </c>
    </row>
    <row r="726" spans="3:29">
      <c r="C726" t="s">
        <v>3611</v>
      </c>
      <c r="D726" t="s">
        <v>3612</v>
      </c>
      <c r="E726" s="84">
        <v>139.99</v>
      </c>
      <c r="F726" s="84">
        <v>69.995000000000005</v>
      </c>
      <c r="G726" t="s">
        <v>3457</v>
      </c>
      <c r="H726" t="s">
        <v>3613</v>
      </c>
      <c r="I726" t="s">
        <v>77</v>
      </c>
      <c r="J726" t="s">
        <v>3614</v>
      </c>
      <c r="K726" t="s">
        <v>3615</v>
      </c>
      <c r="L726" t="s">
        <v>50</v>
      </c>
      <c r="N726">
        <v>25</v>
      </c>
      <c r="O726">
        <v>32</v>
      </c>
      <c r="P726">
        <v>0.02</v>
      </c>
      <c r="Q726" s="84" t="e">
        <v>#REF!</v>
      </c>
      <c r="R726" s="85">
        <v>137151.318731343</v>
      </c>
      <c r="S726" s="85">
        <v>0</v>
      </c>
      <c r="T726" s="86">
        <v>137151.318731343</v>
      </c>
      <c r="U726" s="84">
        <v>9.1434212487562192</v>
      </c>
      <c r="V726" s="84">
        <v>97.992999999999995</v>
      </c>
      <c r="W726" s="84">
        <v>48.996499999999997</v>
      </c>
      <c r="X726" s="82">
        <v>0.35</v>
      </c>
      <c r="Y726" s="82"/>
      <c r="Z726" s="84">
        <v>48.996499999999997</v>
      </c>
      <c r="AA726" s="84">
        <v>97.992999999999995</v>
      </c>
      <c r="AB726" s="88">
        <v>5.3586615629969998</v>
      </c>
      <c r="AC726" t="s">
        <v>3616</v>
      </c>
    </row>
    <row r="727" spans="3:29">
      <c r="C727" t="s">
        <v>3617</v>
      </c>
      <c r="D727" t="s">
        <v>3612</v>
      </c>
      <c r="E727" s="84">
        <v>149.99</v>
      </c>
      <c r="F727" s="84">
        <v>74.995000000000005</v>
      </c>
      <c r="G727" t="s">
        <v>3457</v>
      </c>
      <c r="H727" t="s">
        <v>3618</v>
      </c>
      <c r="I727" t="s">
        <v>77</v>
      </c>
      <c r="J727" t="s">
        <v>3619</v>
      </c>
      <c r="K727" t="s">
        <v>3615</v>
      </c>
      <c r="L727" t="s">
        <v>50</v>
      </c>
      <c r="N727">
        <v>35</v>
      </c>
      <c r="O727">
        <v>42</v>
      </c>
      <c r="P727">
        <v>5.1450000000000003E-2</v>
      </c>
      <c r="Q727" s="84" t="e">
        <v>#REF!</v>
      </c>
      <c r="R727" s="85">
        <v>186301.59087388101</v>
      </c>
      <c r="S727" s="85">
        <v>0</v>
      </c>
      <c r="T727" s="86">
        <v>186301.59087388101</v>
      </c>
      <c r="U727" s="84">
        <v>12.4201060582587</v>
      </c>
      <c r="V727" s="84">
        <v>104.99299999999999</v>
      </c>
      <c r="W727" s="84">
        <v>52.496499999999997</v>
      </c>
      <c r="X727" s="82">
        <v>0.35</v>
      </c>
      <c r="Y727" s="82"/>
      <c r="Z727" s="84">
        <v>52.496499999999997</v>
      </c>
      <c r="AA727" s="84">
        <v>104.99299999999999</v>
      </c>
      <c r="AB727" s="88">
        <v>4.2267352431417198</v>
      </c>
      <c r="AC727" t="s">
        <v>3616</v>
      </c>
    </row>
    <row r="728" spans="3:29">
      <c r="C728" t="s">
        <v>3620</v>
      </c>
      <c r="D728" t="s">
        <v>3612</v>
      </c>
      <c r="E728" s="84">
        <v>169.99</v>
      </c>
      <c r="F728" s="84">
        <v>84.995000000000005</v>
      </c>
      <c r="G728" t="s">
        <v>3457</v>
      </c>
      <c r="H728" t="s">
        <v>3621</v>
      </c>
      <c r="I728" t="s">
        <v>77</v>
      </c>
      <c r="J728" t="s">
        <v>3622</v>
      </c>
      <c r="K728" t="s">
        <v>3615</v>
      </c>
      <c r="L728" t="s">
        <v>50</v>
      </c>
      <c r="N728">
        <v>45</v>
      </c>
      <c r="O728">
        <v>52</v>
      </c>
      <c r="P728">
        <v>0.1053</v>
      </c>
      <c r="Q728" s="84" t="e">
        <v>#REF!</v>
      </c>
      <c r="R728" s="85"/>
      <c r="S728" s="85"/>
      <c r="T728" s="86">
        <v>0</v>
      </c>
      <c r="U728" s="84">
        <v>0</v>
      </c>
      <c r="V728" s="84">
        <v>118.99299999999999</v>
      </c>
      <c r="W728" s="84">
        <v>59.496499999999997</v>
      </c>
      <c r="X728" s="82">
        <v>0.35</v>
      </c>
      <c r="Y728" s="82"/>
      <c r="Z728" s="84">
        <v>59.496499999999997</v>
      </c>
      <c r="AA728" s="84">
        <v>118.99299999999999</v>
      </c>
      <c r="AB728" s="88" t="e">
        <v>#DIV/0!</v>
      </c>
      <c r="AC728" t="s">
        <v>3623</v>
      </c>
    </row>
    <row r="729" spans="3:29">
      <c r="C729" t="s">
        <v>3624</v>
      </c>
      <c r="D729" t="s">
        <v>3625</v>
      </c>
      <c r="E729" s="84">
        <v>1459.99</v>
      </c>
      <c r="F729" s="84">
        <v>729.995</v>
      </c>
      <c r="G729" t="s">
        <v>3457</v>
      </c>
      <c r="H729" t="s">
        <v>3626</v>
      </c>
      <c r="I729" t="s">
        <v>588</v>
      </c>
      <c r="J729" t="s">
        <v>3627</v>
      </c>
      <c r="K729" t="s">
        <v>3615</v>
      </c>
      <c r="L729" t="s">
        <v>50</v>
      </c>
      <c r="M729">
        <v>500</v>
      </c>
      <c r="N729">
        <v>60</v>
      </c>
      <c r="O729">
        <v>42</v>
      </c>
      <c r="P729">
        <v>1.26</v>
      </c>
      <c r="Q729" s="84" t="e">
        <v>#REF!</v>
      </c>
      <c r="R729" s="85"/>
      <c r="S729" s="85"/>
      <c r="T729" s="86">
        <v>0</v>
      </c>
      <c r="U729" s="84">
        <v>0</v>
      </c>
      <c r="V729" s="84">
        <v>1021.9930000000001</v>
      </c>
      <c r="W729" s="84">
        <v>510.99650000000003</v>
      </c>
      <c r="X729" s="82">
        <v>0.35</v>
      </c>
      <c r="Y729" s="82"/>
      <c r="Z729" s="84">
        <v>510.99650000000003</v>
      </c>
      <c r="AA729" s="84">
        <v>1021.9930000000001</v>
      </c>
      <c r="AB729" s="88" t="e">
        <v>#DIV/0!</v>
      </c>
      <c r="AC729" t="s">
        <v>3628</v>
      </c>
    </row>
    <row r="730" spans="3:29">
      <c r="C730" t="s">
        <v>3629</v>
      </c>
      <c r="D730" t="s">
        <v>3630</v>
      </c>
      <c r="E730" s="84">
        <v>1604.99</v>
      </c>
      <c r="F730" s="84">
        <v>802.495</v>
      </c>
      <c r="G730" t="s">
        <v>3457</v>
      </c>
      <c r="H730" t="s">
        <v>3631</v>
      </c>
      <c r="I730" t="s">
        <v>588</v>
      </c>
      <c r="J730" t="s">
        <v>3632</v>
      </c>
      <c r="K730" t="s">
        <v>3615</v>
      </c>
      <c r="L730" t="s">
        <v>50</v>
      </c>
      <c r="M730">
        <v>635</v>
      </c>
      <c r="N730">
        <v>60</v>
      </c>
      <c r="O730">
        <v>42</v>
      </c>
      <c r="P730">
        <v>1.6002000000000001</v>
      </c>
      <c r="Q730" s="84" t="e">
        <v>#REF!</v>
      </c>
      <c r="R730" s="85"/>
      <c r="S730" s="85"/>
      <c r="T730" s="86">
        <v>0</v>
      </c>
      <c r="U730" s="84">
        <v>0</v>
      </c>
      <c r="V730" s="84">
        <v>1123.4929999999999</v>
      </c>
      <c r="W730" s="84">
        <v>561.74649999999997</v>
      </c>
      <c r="X730" s="82">
        <v>0.35</v>
      </c>
      <c r="Y730" s="82"/>
      <c r="Z730" s="84">
        <v>561.74649999999997</v>
      </c>
      <c r="AA730" s="84">
        <v>1123.4929999999999</v>
      </c>
      <c r="AB730" s="88" t="e">
        <v>#DIV/0!</v>
      </c>
      <c r="AC730" t="s">
        <v>3633</v>
      </c>
    </row>
    <row r="731" spans="3:29">
      <c r="C731" t="s">
        <v>3634</v>
      </c>
      <c r="D731" t="s">
        <v>3635</v>
      </c>
      <c r="E731" s="84">
        <v>65.989999999999995</v>
      </c>
      <c r="F731" s="84">
        <v>32.994999999999997</v>
      </c>
      <c r="G731" t="s">
        <v>3457</v>
      </c>
      <c r="H731" t="s">
        <v>3636</v>
      </c>
      <c r="I731" t="s">
        <v>252</v>
      </c>
      <c r="J731" t="s">
        <v>3637</v>
      </c>
      <c r="K731" t="s">
        <v>3413</v>
      </c>
      <c r="L731" t="s">
        <v>670</v>
      </c>
      <c r="N731">
        <v>16</v>
      </c>
      <c r="O731">
        <v>15</v>
      </c>
      <c r="P731">
        <v>3.8400000000000001E-3</v>
      </c>
      <c r="Q731" s="84" t="e">
        <v>#REF!</v>
      </c>
      <c r="R731" s="85"/>
      <c r="S731" s="85"/>
      <c r="T731" s="86">
        <v>0</v>
      </c>
      <c r="U731" s="84">
        <v>0</v>
      </c>
      <c r="V731" s="84">
        <v>46.192999999999998</v>
      </c>
      <c r="W731" s="84">
        <v>23.096499999999999</v>
      </c>
      <c r="X731" s="82">
        <v>0.35</v>
      </c>
      <c r="Y731" s="82"/>
      <c r="Z731" s="84">
        <v>23.096499999999999</v>
      </c>
      <c r="AA731" s="84">
        <v>46.192999999999998</v>
      </c>
      <c r="AB731" s="88" t="e">
        <v>#DIV/0!</v>
      </c>
      <c r="AC731" t="s">
        <v>3638</v>
      </c>
    </row>
    <row r="732" spans="3:29">
      <c r="C732" t="s">
        <v>3639</v>
      </c>
      <c r="D732" t="s">
        <v>3635</v>
      </c>
      <c r="E732" s="84">
        <v>172.99</v>
      </c>
      <c r="F732" s="84">
        <v>86.495000000000005</v>
      </c>
      <c r="G732" t="s">
        <v>3457</v>
      </c>
      <c r="H732" t="s">
        <v>3640</v>
      </c>
      <c r="I732" t="s">
        <v>252</v>
      </c>
      <c r="J732" t="s">
        <v>3641</v>
      </c>
      <c r="K732" t="s">
        <v>3413</v>
      </c>
      <c r="L732" t="s">
        <v>670</v>
      </c>
      <c r="N732">
        <v>30</v>
      </c>
      <c r="O732">
        <v>26</v>
      </c>
      <c r="P732">
        <v>2.3400000000000001E-2</v>
      </c>
      <c r="Q732" s="84" t="e">
        <v>#REF!</v>
      </c>
      <c r="R732" s="85"/>
      <c r="S732" s="85"/>
      <c r="T732" s="86">
        <v>0</v>
      </c>
      <c r="U732" s="84">
        <v>0</v>
      </c>
      <c r="V732" s="84">
        <v>121.093</v>
      </c>
      <c r="W732" s="84">
        <v>60.546500000000002</v>
      </c>
      <c r="X732" s="82">
        <v>0.35</v>
      </c>
      <c r="Y732" s="82"/>
      <c r="Z732" s="84">
        <v>60.546500000000002</v>
      </c>
      <c r="AA732" s="84">
        <v>121.093</v>
      </c>
      <c r="AB732" s="88" t="e">
        <v>#DIV/0!</v>
      </c>
      <c r="AC732" t="s">
        <v>3642</v>
      </c>
    </row>
    <row r="733" spans="3:29">
      <c r="C733" t="s">
        <v>3643</v>
      </c>
      <c r="D733" t="s">
        <v>3635</v>
      </c>
      <c r="E733" s="84">
        <v>322.99</v>
      </c>
      <c r="F733" s="84">
        <v>161.495</v>
      </c>
      <c r="G733" t="s">
        <v>3457</v>
      </c>
      <c r="H733" t="s">
        <v>3644</v>
      </c>
      <c r="I733" t="s">
        <v>252</v>
      </c>
      <c r="J733" t="s">
        <v>3645</v>
      </c>
      <c r="K733" t="s">
        <v>3413</v>
      </c>
      <c r="L733" t="s">
        <v>670</v>
      </c>
      <c r="N733">
        <v>40</v>
      </c>
      <c r="O733">
        <v>35</v>
      </c>
      <c r="P733">
        <v>5.6000000000000001E-2</v>
      </c>
      <c r="Q733" s="84" t="e">
        <v>#REF!</v>
      </c>
      <c r="R733" s="85"/>
      <c r="S733" s="85"/>
      <c r="T733" s="86">
        <v>0</v>
      </c>
      <c r="U733" s="84">
        <v>0</v>
      </c>
      <c r="V733" s="84">
        <v>226.09299999999999</v>
      </c>
      <c r="W733" s="84">
        <v>113.04649999999999</v>
      </c>
      <c r="X733" s="82">
        <v>0.35</v>
      </c>
      <c r="Y733" s="82"/>
      <c r="Z733" s="84">
        <v>113.04649999999999</v>
      </c>
      <c r="AA733" s="84">
        <v>226.09299999999999</v>
      </c>
      <c r="AB733" s="88" t="e">
        <v>#DIV/0!</v>
      </c>
      <c r="AC733" t="s">
        <v>3638</v>
      </c>
    </row>
    <row r="734" spans="3:29" ht="45.75">
      <c r="C734" t="s">
        <v>3646</v>
      </c>
      <c r="D734" t="s">
        <v>3635</v>
      </c>
      <c r="E734" s="84">
        <v>1715.99</v>
      </c>
      <c r="F734" s="84">
        <v>857.995</v>
      </c>
      <c r="G734" t="s">
        <v>3457</v>
      </c>
      <c r="H734" t="s">
        <v>3647</v>
      </c>
      <c r="I734" t="s">
        <v>252</v>
      </c>
      <c r="J734" s="83" t="s">
        <v>3648</v>
      </c>
      <c r="K734" t="s">
        <v>3413</v>
      </c>
      <c r="L734" t="s">
        <v>670</v>
      </c>
      <c r="N734">
        <v>60</v>
      </c>
      <c r="O734">
        <v>55</v>
      </c>
      <c r="P734">
        <v>0.19800000000000001</v>
      </c>
      <c r="Q734" s="84" t="e">
        <v>#REF!</v>
      </c>
      <c r="R734" s="85"/>
      <c r="S734" s="85"/>
      <c r="T734" s="86">
        <v>0</v>
      </c>
      <c r="U734" s="84">
        <v>0</v>
      </c>
      <c r="V734" s="84">
        <v>1201.193</v>
      </c>
      <c r="W734" s="84">
        <v>600.59649999999999</v>
      </c>
      <c r="X734" s="82">
        <v>0.35</v>
      </c>
      <c r="Y734" s="82"/>
      <c r="Z734" s="84">
        <v>600.59649999999999</v>
      </c>
      <c r="AA734" s="84">
        <v>1201.193</v>
      </c>
      <c r="AB734" s="88" t="e">
        <v>#DIV/0!</v>
      </c>
      <c r="AC734" t="s">
        <v>3642</v>
      </c>
    </row>
    <row r="735" spans="3:29">
      <c r="C735" t="s">
        <v>3649</v>
      </c>
      <c r="E735" s="84"/>
      <c r="F735" s="82"/>
      <c r="R735" s="85"/>
      <c r="S735" s="85"/>
      <c r="T735" s="86"/>
      <c r="V735" s="84">
        <v>0</v>
      </c>
      <c r="W735" s="84">
        <v>0</v>
      </c>
      <c r="X735" s="82" t="e">
        <v>#DIV/0!</v>
      </c>
      <c r="Y735" s="82"/>
      <c r="Z735" s="82"/>
      <c r="AA735" s="82"/>
      <c r="AB735" s="88" t="e">
        <v>#DIV/0!</v>
      </c>
    </row>
    <row r="736" spans="3:29">
      <c r="C736" t="s">
        <v>3650</v>
      </c>
      <c r="D736" t="s">
        <v>3651</v>
      </c>
      <c r="E736" s="84">
        <v>879.99</v>
      </c>
      <c r="F736" s="84">
        <v>439.995</v>
      </c>
      <c r="G736" t="s">
        <v>3652</v>
      </c>
      <c r="H736" t="s">
        <v>3653</v>
      </c>
      <c r="I736" t="s">
        <v>1049</v>
      </c>
      <c r="J736" t="s">
        <v>3654</v>
      </c>
      <c r="K736" t="s">
        <v>3655</v>
      </c>
      <c r="L736" t="s">
        <v>646</v>
      </c>
      <c r="N736">
        <v>40</v>
      </c>
      <c r="O736">
        <v>50</v>
      </c>
      <c r="P736">
        <v>0.08</v>
      </c>
      <c r="Q736" s="84" t="e">
        <v>#REF!</v>
      </c>
      <c r="R736" s="85">
        <v>581958.91822545999</v>
      </c>
      <c r="S736" s="85">
        <v>3000000</v>
      </c>
      <c r="T736" s="86">
        <v>3581958.9182254602</v>
      </c>
      <c r="U736" s="84">
        <v>238.797261215031</v>
      </c>
      <c r="V736" s="84">
        <v>615.99300000000005</v>
      </c>
      <c r="W736" s="84">
        <v>307.99650000000003</v>
      </c>
      <c r="X736" s="82">
        <v>0.35</v>
      </c>
      <c r="Y736" s="87">
        <v>429.83507018705501</v>
      </c>
      <c r="Z736" s="84">
        <v>429.83507018705501</v>
      </c>
      <c r="AA736" s="84">
        <v>859.67014037411002</v>
      </c>
      <c r="AB736" s="88">
        <v>2</v>
      </c>
      <c r="AC736" t="s">
        <v>3656</v>
      </c>
    </row>
    <row r="737" spans="3:29">
      <c r="C737" t="s">
        <v>3658</v>
      </c>
      <c r="D737" t="s">
        <v>3651</v>
      </c>
      <c r="E737" s="84">
        <v>1689.99</v>
      </c>
      <c r="F737" s="84">
        <v>844.995</v>
      </c>
      <c r="G737" t="s">
        <v>3652</v>
      </c>
      <c r="H737" t="s">
        <v>3659</v>
      </c>
      <c r="I737" t="s">
        <v>1049</v>
      </c>
      <c r="J737" t="s">
        <v>3660</v>
      </c>
      <c r="K737" t="s">
        <v>3655</v>
      </c>
      <c r="L737" t="s">
        <v>670</v>
      </c>
      <c r="N737">
        <v>65</v>
      </c>
      <c r="O737">
        <v>65</v>
      </c>
      <c r="P737">
        <v>0.27462500000000001</v>
      </c>
      <c r="Q737" s="84" t="e">
        <v>#REF!</v>
      </c>
      <c r="R737" s="85"/>
      <c r="S737" s="85"/>
      <c r="T737" s="86">
        <v>0</v>
      </c>
      <c r="U737" s="84">
        <v>0</v>
      </c>
      <c r="V737" s="84">
        <v>1182.9929999999999</v>
      </c>
      <c r="W737" s="84">
        <v>591.49649999999997</v>
      </c>
      <c r="X737" s="82">
        <v>0.35</v>
      </c>
      <c r="Y737" s="82"/>
      <c r="Z737" s="84">
        <v>591.49649999999997</v>
      </c>
      <c r="AA737" s="84">
        <v>1182.9929999999999</v>
      </c>
      <c r="AB737" s="88" t="e">
        <v>#DIV/0!</v>
      </c>
      <c r="AC737" t="s">
        <v>3656</v>
      </c>
    </row>
    <row r="738" spans="3:29">
      <c r="C738" t="s">
        <v>3661</v>
      </c>
      <c r="D738" t="s">
        <v>3662</v>
      </c>
      <c r="E738" s="84">
        <v>1825.99</v>
      </c>
      <c r="F738" s="84">
        <v>912.995</v>
      </c>
      <c r="G738" t="s">
        <v>3652</v>
      </c>
      <c r="H738" t="s">
        <v>3663</v>
      </c>
      <c r="I738" t="s">
        <v>215</v>
      </c>
      <c r="J738" t="s">
        <v>3664</v>
      </c>
      <c r="K738" t="s">
        <v>3655</v>
      </c>
      <c r="N738">
        <v>65</v>
      </c>
      <c r="O738">
        <v>55</v>
      </c>
      <c r="P738">
        <v>0.232375</v>
      </c>
      <c r="Q738" s="84" t="e">
        <v>#REF!</v>
      </c>
      <c r="R738" s="85"/>
      <c r="S738" s="85"/>
      <c r="T738" s="86">
        <v>0</v>
      </c>
      <c r="U738" s="84">
        <v>0</v>
      </c>
      <c r="V738" s="84">
        <v>1278.193</v>
      </c>
      <c r="W738" s="84">
        <v>639.09649999999999</v>
      </c>
      <c r="X738" s="82">
        <v>0.35</v>
      </c>
      <c r="Y738" s="82"/>
      <c r="Z738" s="84">
        <v>639.09649999999999</v>
      </c>
      <c r="AA738" s="84">
        <v>1278.193</v>
      </c>
      <c r="AB738" s="88" t="e">
        <v>#DIV/0!</v>
      </c>
      <c r="AC738" t="s">
        <v>3665</v>
      </c>
    </row>
    <row r="739" spans="3:29">
      <c r="C739" t="s">
        <v>3666</v>
      </c>
      <c r="D739" t="s">
        <v>3662</v>
      </c>
      <c r="E739" s="84">
        <v>1979.99</v>
      </c>
      <c r="F739" s="84">
        <v>989.995</v>
      </c>
      <c r="G739" t="s">
        <v>3652</v>
      </c>
      <c r="H739" t="s">
        <v>3667</v>
      </c>
      <c r="I739" t="s">
        <v>215</v>
      </c>
      <c r="J739" t="s">
        <v>3668</v>
      </c>
      <c r="K739" t="s">
        <v>3655</v>
      </c>
      <c r="N739">
        <v>70</v>
      </c>
      <c r="O739">
        <v>95</v>
      </c>
      <c r="P739">
        <v>0.46550000000000002</v>
      </c>
      <c r="Q739" s="84" t="e">
        <v>#REF!</v>
      </c>
      <c r="R739" s="85"/>
      <c r="S739" s="85"/>
      <c r="T739" s="86">
        <v>0</v>
      </c>
      <c r="U739" s="84">
        <v>0</v>
      </c>
      <c r="V739" s="84">
        <v>1385.9929999999999</v>
      </c>
      <c r="W739" s="84">
        <v>692.99649999999997</v>
      </c>
      <c r="X739" s="82">
        <v>0.35</v>
      </c>
      <c r="Y739" s="82"/>
      <c r="Z739" s="84">
        <v>692.99649999999997</v>
      </c>
      <c r="AA739" s="84">
        <v>1385.9929999999999</v>
      </c>
      <c r="AB739" s="88" t="e">
        <v>#DIV/0!</v>
      </c>
      <c r="AC739" t="s">
        <v>3669</v>
      </c>
    </row>
    <row r="740" spans="3:29">
      <c r="C740" t="s">
        <v>3670</v>
      </c>
      <c r="D740" t="s">
        <v>3662</v>
      </c>
      <c r="E740" s="84">
        <v>749.99</v>
      </c>
      <c r="F740" s="84">
        <v>374.995</v>
      </c>
      <c r="G740" t="s">
        <v>3652</v>
      </c>
      <c r="H740" t="s">
        <v>3671</v>
      </c>
      <c r="I740" t="s">
        <v>215</v>
      </c>
      <c r="J740" t="s">
        <v>3672</v>
      </c>
      <c r="K740" t="s">
        <v>3673</v>
      </c>
      <c r="M740">
        <v>70</v>
      </c>
      <c r="N740">
        <v>70</v>
      </c>
      <c r="O740">
        <v>10</v>
      </c>
      <c r="P740">
        <v>4.9000000000000002E-2</v>
      </c>
      <c r="Q740" s="84" t="e">
        <v>#REF!</v>
      </c>
      <c r="R740" s="85"/>
      <c r="S740" s="85"/>
      <c r="T740" s="86">
        <v>0</v>
      </c>
      <c r="U740" s="84">
        <v>0</v>
      </c>
      <c r="V740" s="84">
        <v>524.99300000000005</v>
      </c>
      <c r="W740" s="84">
        <v>262.49650000000003</v>
      </c>
      <c r="X740" s="82">
        <v>0.35</v>
      </c>
      <c r="Y740" s="82"/>
      <c r="Z740" s="84">
        <v>262.49650000000003</v>
      </c>
      <c r="AA740" s="84">
        <v>524.99300000000005</v>
      </c>
      <c r="AB740" s="88" t="e">
        <v>#DIV/0!</v>
      </c>
      <c r="AC740" t="s">
        <v>3669</v>
      </c>
    </row>
    <row r="741" spans="3:29">
      <c r="C741" t="s">
        <v>3674</v>
      </c>
      <c r="D741" t="s">
        <v>3675</v>
      </c>
      <c r="E741" s="84">
        <v>4365.99</v>
      </c>
      <c r="F741" s="84">
        <v>2182.9949999999999</v>
      </c>
      <c r="G741" t="s">
        <v>3652</v>
      </c>
      <c r="H741" t="s">
        <v>3676</v>
      </c>
      <c r="I741" t="s">
        <v>93</v>
      </c>
      <c r="J741" t="s">
        <v>3677</v>
      </c>
      <c r="K741" t="s">
        <v>3655</v>
      </c>
      <c r="N741">
        <v>100</v>
      </c>
      <c r="O741">
        <v>150</v>
      </c>
      <c r="P741">
        <v>1.5</v>
      </c>
      <c r="Q741" s="84" t="e">
        <v>#REF!</v>
      </c>
      <c r="R741" s="85"/>
      <c r="S741" s="85"/>
      <c r="T741" s="86">
        <v>0</v>
      </c>
      <c r="U741" s="84">
        <v>0</v>
      </c>
      <c r="V741" s="84">
        <v>3056.1930000000002</v>
      </c>
      <c r="W741" s="84">
        <v>1528.0965000000001</v>
      </c>
      <c r="X741" s="82">
        <v>0.35</v>
      </c>
      <c r="Y741" s="82"/>
      <c r="Z741" s="84">
        <v>1528.0965000000001</v>
      </c>
      <c r="AA741" s="84">
        <v>3056.1930000000002</v>
      </c>
      <c r="AB741" s="88" t="e">
        <v>#DIV/0!</v>
      </c>
      <c r="AC741" t="s">
        <v>3678</v>
      </c>
    </row>
    <row r="742" spans="3:29">
      <c r="C742" t="s">
        <v>3679</v>
      </c>
      <c r="D742" t="s">
        <v>3675</v>
      </c>
      <c r="E742" s="84">
        <v>1491.99</v>
      </c>
      <c r="F742" s="84">
        <v>745.995</v>
      </c>
      <c r="G742" t="s">
        <v>3652</v>
      </c>
      <c r="H742" t="s">
        <v>3680</v>
      </c>
      <c r="I742" t="s">
        <v>93</v>
      </c>
      <c r="J742" t="s">
        <v>3681</v>
      </c>
      <c r="K742" t="s">
        <v>3655</v>
      </c>
      <c r="N742">
        <v>100</v>
      </c>
      <c r="O742">
        <v>20</v>
      </c>
      <c r="P742">
        <v>0.2</v>
      </c>
      <c r="Q742" s="84" t="e">
        <v>#REF!</v>
      </c>
      <c r="R742" s="85"/>
      <c r="S742" s="85"/>
      <c r="T742" s="86">
        <v>0</v>
      </c>
      <c r="U742" s="84">
        <v>0</v>
      </c>
      <c r="V742" s="84">
        <v>1044.393</v>
      </c>
      <c r="W742" s="84">
        <v>522.19650000000001</v>
      </c>
      <c r="X742" s="82">
        <v>0.35</v>
      </c>
      <c r="Y742" s="82"/>
      <c r="Z742" s="84">
        <v>522.19650000000001</v>
      </c>
      <c r="AA742" s="84">
        <v>1044.393</v>
      </c>
      <c r="AB742" s="88" t="e">
        <v>#DIV/0!</v>
      </c>
      <c r="AC742" t="s">
        <v>3678</v>
      </c>
    </row>
    <row r="743" spans="3:29">
      <c r="C743" t="s">
        <v>3682</v>
      </c>
      <c r="D743" t="s">
        <v>3675</v>
      </c>
      <c r="E743" s="84">
        <v>967.99</v>
      </c>
      <c r="F743" s="84">
        <v>483.995</v>
      </c>
      <c r="G743" t="s">
        <v>3652</v>
      </c>
      <c r="H743" t="s">
        <v>3683</v>
      </c>
      <c r="I743" t="s">
        <v>93</v>
      </c>
      <c r="J743" t="s">
        <v>3684</v>
      </c>
      <c r="K743" t="s">
        <v>3655</v>
      </c>
      <c r="N743">
        <v>50</v>
      </c>
      <c r="O743">
        <v>30</v>
      </c>
      <c r="P743">
        <v>7.4999999999999997E-2</v>
      </c>
      <c r="Q743" s="84" t="e">
        <v>#REF!</v>
      </c>
      <c r="R743" s="85"/>
      <c r="S743" s="85"/>
      <c r="T743" s="86">
        <v>0</v>
      </c>
      <c r="U743" s="84">
        <v>0</v>
      </c>
      <c r="V743" s="84">
        <v>677.59299999999996</v>
      </c>
      <c r="W743" s="84">
        <v>338.79649999999998</v>
      </c>
      <c r="X743" s="82">
        <v>0.35</v>
      </c>
      <c r="Y743" s="82"/>
      <c r="Z743" s="84">
        <v>338.79649999999998</v>
      </c>
      <c r="AA743" s="84">
        <v>677.59299999999996</v>
      </c>
      <c r="AB743" s="88" t="e">
        <v>#DIV/0!</v>
      </c>
      <c r="AC743" t="s">
        <v>3685</v>
      </c>
    </row>
    <row r="744" spans="3:29">
      <c r="C744" t="s">
        <v>3686</v>
      </c>
      <c r="D744" t="s">
        <v>3675</v>
      </c>
      <c r="E744" s="84">
        <v>1088.99</v>
      </c>
      <c r="F744" s="84">
        <v>544.495</v>
      </c>
      <c r="G744" t="s">
        <v>3652</v>
      </c>
      <c r="H744" t="s">
        <v>3687</v>
      </c>
      <c r="I744" t="s">
        <v>93</v>
      </c>
      <c r="J744" t="s">
        <v>3688</v>
      </c>
      <c r="K744" t="s">
        <v>3655</v>
      </c>
      <c r="N744">
        <v>100</v>
      </c>
      <c r="O744">
        <v>40</v>
      </c>
      <c r="P744">
        <v>0.4</v>
      </c>
      <c r="Q744" s="84" t="e">
        <v>#REF!</v>
      </c>
      <c r="R744" s="85"/>
      <c r="S744" s="85"/>
      <c r="T744" s="86">
        <v>0</v>
      </c>
      <c r="U744" s="84">
        <v>0</v>
      </c>
      <c r="V744" s="84">
        <v>762.29300000000001</v>
      </c>
      <c r="W744" s="84">
        <v>381.1465</v>
      </c>
      <c r="X744" s="82">
        <v>0.35</v>
      </c>
      <c r="Y744" s="82"/>
      <c r="Z744" s="84">
        <v>381.1465</v>
      </c>
      <c r="AA744" s="84">
        <v>762.29300000000001</v>
      </c>
      <c r="AB744" s="88" t="e">
        <v>#DIV/0!</v>
      </c>
      <c r="AC744" t="s">
        <v>3689</v>
      </c>
    </row>
    <row r="745" spans="3:29">
      <c r="C745" t="s">
        <v>3690</v>
      </c>
      <c r="D745" t="s">
        <v>3675</v>
      </c>
      <c r="E745" s="84">
        <v>816.99</v>
      </c>
      <c r="F745" s="84">
        <v>408.495</v>
      </c>
      <c r="G745" t="s">
        <v>3652</v>
      </c>
      <c r="H745" t="s">
        <v>3691</v>
      </c>
      <c r="I745" t="s">
        <v>93</v>
      </c>
      <c r="J745" t="s">
        <v>3692</v>
      </c>
      <c r="K745" t="s">
        <v>3655</v>
      </c>
      <c r="N745">
        <v>60</v>
      </c>
      <c r="O745">
        <v>80</v>
      </c>
      <c r="P745">
        <v>0.28799999999999998</v>
      </c>
      <c r="Q745" s="84" t="e">
        <v>#REF!</v>
      </c>
      <c r="R745" s="85"/>
      <c r="S745" s="85"/>
      <c r="T745" s="86">
        <v>0</v>
      </c>
      <c r="U745" s="84">
        <v>0</v>
      </c>
      <c r="V745" s="84">
        <v>571.89300000000003</v>
      </c>
      <c r="W745" s="84">
        <v>285.94650000000001</v>
      </c>
      <c r="X745" s="82">
        <v>0.35</v>
      </c>
      <c r="Y745" s="82"/>
      <c r="Z745" s="84">
        <v>285.94650000000001</v>
      </c>
      <c r="AA745" s="84">
        <v>571.89300000000003</v>
      </c>
      <c r="AB745" s="88" t="e">
        <v>#DIV/0!</v>
      </c>
      <c r="AC745" t="s">
        <v>3678</v>
      </c>
    </row>
    <row r="746" spans="3:29">
      <c r="C746" t="s">
        <v>3693</v>
      </c>
      <c r="D746" t="s">
        <v>3694</v>
      </c>
      <c r="E746" s="84">
        <v>1019.99</v>
      </c>
      <c r="F746" s="84">
        <v>509.995</v>
      </c>
      <c r="G746" t="s">
        <v>3652</v>
      </c>
      <c r="H746" t="s">
        <v>3695</v>
      </c>
      <c r="I746" t="s">
        <v>285</v>
      </c>
      <c r="J746" t="s">
        <v>3696</v>
      </c>
      <c r="K746" t="s">
        <v>3655</v>
      </c>
      <c r="N746">
        <v>36</v>
      </c>
      <c r="O746">
        <v>60</v>
      </c>
      <c r="P746">
        <v>7.7759999999999996E-2</v>
      </c>
      <c r="Q746" s="84" t="e">
        <v>#REF!</v>
      </c>
      <c r="R746" s="85"/>
      <c r="S746" s="85"/>
      <c r="T746" s="86">
        <v>0</v>
      </c>
      <c r="U746" s="84">
        <v>0</v>
      </c>
      <c r="V746" s="84">
        <v>713.99300000000005</v>
      </c>
      <c r="W746" s="84">
        <v>356.99650000000003</v>
      </c>
      <c r="X746" s="82">
        <v>0.35</v>
      </c>
      <c r="Y746" s="82"/>
      <c r="Z746" s="84">
        <v>356.99650000000003</v>
      </c>
      <c r="AA746" s="84">
        <v>713.99300000000005</v>
      </c>
      <c r="AB746" s="88" t="e">
        <v>#DIV/0!</v>
      </c>
      <c r="AC746" t="s">
        <v>3697</v>
      </c>
    </row>
    <row r="747" spans="3:29">
      <c r="C747" t="s">
        <v>3698</v>
      </c>
      <c r="D747" t="s">
        <v>3694</v>
      </c>
      <c r="E747" s="84">
        <v>1179.99</v>
      </c>
      <c r="F747" s="84">
        <v>589.995</v>
      </c>
      <c r="G747" t="s">
        <v>3652</v>
      </c>
      <c r="H747" t="s">
        <v>3699</v>
      </c>
      <c r="I747" t="s">
        <v>285</v>
      </c>
      <c r="J747" t="s">
        <v>3700</v>
      </c>
      <c r="K747" t="s">
        <v>3655</v>
      </c>
      <c r="N747">
        <v>80</v>
      </c>
      <c r="O747">
        <v>20</v>
      </c>
      <c r="P747">
        <v>0.128</v>
      </c>
      <c r="Q747" s="84" t="e">
        <v>#REF!</v>
      </c>
      <c r="R747" s="85"/>
      <c r="S747" s="85"/>
      <c r="T747" s="86">
        <v>0</v>
      </c>
      <c r="U747" s="84">
        <v>0</v>
      </c>
      <c r="V747" s="84">
        <v>825.99300000000005</v>
      </c>
      <c r="W747" s="84">
        <v>412.99650000000003</v>
      </c>
      <c r="X747" s="82">
        <v>0.35</v>
      </c>
      <c r="Y747" s="82"/>
      <c r="Z747" s="84">
        <v>412.99650000000003</v>
      </c>
      <c r="AA747" s="84">
        <v>825.99300000000005</v>
      </c>
      <c r="AB747" s="88" t="e">
        <v>#DIV/0!</v>
      </c>
      <c r="AC747" t="s">
        <v>3697</v>
      </c>
    </row>
    <row r="748" spans="3:29">
      <c r="C748" t="s">
        <v>3701</v>
      </c>
      <c r="D748" t="s">
        <v>3694</v>
      </c>
      <c r="E748" s="84">
        <v>1859.99</v>
      </c>
      <c r="F748" s="84">
        <v>929.995</v>
      </c>
      <c r="G748" t="s">
        <v>3652</v>
      </c>
      <c r="H748" t="s">
        <v>3702</v>
      </c>
      <c r="I748" t="s">
        <v>285</v>
      </c>
      <c r="J748" t="s">
        <v>3703</v>
      </c>
      <c r="K748" t="s">
        <v>3655</v>
      </c>
      <c r="N748">
        <v>57</v>
      </c>
      <c r="O748">
        <v>90</v>
      </c>
      <c r="P748">
        <v>0.29241</v>
      </c>
      <c r="Q748" s="84" t="e">
        <v>#REF!</v>
      </c>
      <c r="R748" s="85"/>
      <c r="S748" s="85"/>
      <c r="T748" s="86">
        <v>0</v>
      </c>
      <c r="U748" s="84">
        <v>0</v>
      </c>
      <c r="V748" s="84">
        <v>1301.9929999999999</v>
      </c>
      <c r="W748" s="84">
        <v>650.99649999999997</v>
      </c>
      <c r="X748" s="82">
        <v>0.35</v>
      </c>
      <c r="Y748" s="82"/>
      <c r="Z748" s="84">
        <v>650.99649999999997</v>
      </c>
      <c r="AA748" s="84">
        <v>1301.9929999999999</v>
      </c>
      <c r="AB748" s="88" t="e">
        <v>#DIV/0!</v>
      </c>
      <c r="AC748" t="s">
        <v>3704</v>
      </c>
    </row>
    <row r="749" spans="3:29">
      <c r="C749" t="s">
        <v>3705</v>
      </c>
      <c r="D749" t="s">
        <v>3706</v>
      </c>
      <c r="E749" s="84">
        <v>1019.99</v>
      </c>
      <c r="F749" s="84">
        <v>509.995</v>
      </c>
      <c r="G749" t="s">
        <v>3652</v>
      </c>
      <c r="H749" t="s">
        <v>3707</v>
      </c>
      <c r="I749" t="s">
        <v>282</v>
      </c>
      <c r="J749" t="s">
        <v>3708</v>
      </c>
      <c r="K749" t="s">
        <v>3655</v>
      </c>
      <c r="N749">
        <v>50</v>
      </c>
      <c r="O749">
        <v>60</v>
      </c>
      <c r="P749">
        <v>0.15</v>
      </c>
      <c r="Q749" s="84" t="e">
        <v>#REF!</v>
      </c>
      <c r="R749" s="85"/>
      <c r="S749" s="85"/>
      <c r="T749" s="86">
        <v>0</v>
      </c>
      <c r="U749" s="84">
        <v>0</v>
      </c>
      <c r="V749" s="84">
        <v>713.99300000000005</v>
      </c>
      <c r="W749" s="84">
        <v>356.99650000000003</v>
      </c>
      <c r="X749" s="82">
        <v>0.35</v>
      </c>
      <c r="Y749" s="82"/>
      <c r="Z749" s="84">
        <v>356.99650000000003</v>
      </c>
      <c r="AA749" s="84">
        <v>713.99300000000005</v>
      </c>
      <c r="AB749" s="88" t="e">
        <v>#DIV/0!</v>
      </c>
      <c r="AC749" t="s">
        <v>3709</v>
      </c>
    </row>
    <row r="750" spans="3:29">
      <c r="C750" t="s">
        <v>3710</v>
      </c>
      <c r="D750" t="s">
        <v>3706</v>
      </c>
      <c r="E750" s="84">
        <v>1179.99</v>
      </c>
      <c r="F750" s="84">
        <v>589.995</v>
      </c>
      <c r="G750" t="s">
        <v>3652</v>
      </c>
      <c r="H750" t="s">
        <v>3711</v>
      </c>
      <c r="I750" t="s">
        <v>282</v>
      </c>
      <c r="J750" t="s">
        <v>3712</v>
      </c>
      <c r="K750" t="s">
        <v>3655</v>
      </c>
      <c r="N750">
        <v>90</v>
      </c>
      <c r="O750">
        <v>20</v>
      </c>
      <c r="P750">
        <v>0.16200000000000001</v>
      </c>
      <c r="Q750" s="84" t="e">
        <v>#REF!</v>
      </c>
      <c r="R750" s="85"/>
      <c r="S750" s="85"/>
      <c r="T750" s="86">
        <v>0</v>
      </c>
      <c r="U750" s="84">
        <v>0</v>
      </c>
      <c r="V750" s="84">
        <v>825.99300000000005</v>
      </c>
      <c r="W750" s="84">
        <v>412.99650000000003</v>
      </c>
      <c r="X750" s="82">
        <v>0.35</v>
      </c>
      <c r="Y750" s="82"/>
      <c r="Z750" s="84">
        <v>412.99650000000003</v>
      </c>
      <c r="AA750" s="84">
        <v>825.99300000000005</v>
      </c>
      <c r="AB750" s="88" t="e">
        <v>#DIV/0!</v>
      </c>
      <c r="AC750" t="s">
        <v>3713</v>
      </c>
    </row>
    <row r="751" spans="3:29">
      <c r="C751" t="s">
        <v>3714</v>
      </c>
      <c r="D751" t="s">
        <v>3706</v>
      </c>
      <c r="E751" s="84">
        <v>1859.99</v>
      </c>
      <c r="F751" s="84">
        <v>929.995</v>
      </c>
      <c r="G751" t="s">
        <v>3652</v>
      </c>
      <c r="H751" t="s">
        <v>3715</v>
      </c>
      <c r="I751" t="s">
        <v>282</v>
      </c>
      <c r="J751" t="s">
        <v>3716</v>
      </c>
      <c r="K751" t="s">
        <v>3655</v>
      </c>
      <c r="N751">
        <v>77</v>
      </c>
      <c r="O751">
        <v>90</v>
      </c>
      <c r="P751">
        <v>0.53361000000000003</v>
      </c>
      <c r="Q751" s="84" t="e">
        <v>#REF!</v>
      </c>
      <c r="R751" s="85"/>
      <c r="S751" s="85"/>
      <c r="T751" s="86">
        <v>0</v>
      </c>
      <c r="U751" s="84">
        <v>0</v>
      </c>
      <c r="V751" s="84">
        <v>1301.9929999999999</v>
      </c>
      <c r="W751" s="84">
        <v>650.99649999999997</v>
      </c>
      <c r="X751" s="82">
        <v>0.35</v>
      </c>
      <c r="Y751" s="82"/>
      <c r="Z751" s="84">
        <v>650.99649999999997</v>
      </c>
      <c r="AA751" s="84">
        <v>1301.9929999999999</v>
      </c>
      <c r="AB751" s="88" t="e">
        <v>#DIV/0!</v>
      </c>
      <c r="AC751" t="s">
        <v>3717</v>
      </c>
    </row>
    <row r="752" spans="3:29">
      <c r="C752" t="s">
        <v>3718</v>
      </c>
      <c r="D752" t="s">
        <v>3719</v>
      </c>
      <c r="E752" s="84">
        <v>1643.99</v>
      </c>
      <c r="F752" s="84">
        <v>821.995</v>
      </c>
      <c r="G752" t="s">
        <v>3652</v>
      </c>
      <c r="H752" t="s">
        <v>3720</v>
      </c>
      <c r="I752" t="s">
        <v>3721</v>
      </c>
      <c r="J752" t="s">
        <v>3722</v>
      </c>
      <c r="K752" t="s">
        <v>3655</v>
      </c>
      <c r="N752">
        <v>55</v>
      </c>
      <c r="O752">
        <v>66</v>
      </c>
      <c r="P752">
        <v>0.19964999999999999</v>
      </c>
      <c r="Q752" s="84" t="e">
        <v>#REF!</v>
      </c>
      <c r="R752" s="85"/>
      <c r="S752" s="85"/>
      <c r="T752" s="86">
        <v>0</v>
      </c>
      <c r="U752" s="84">
        <v>0</v>
      </c>
      <c r="V752" s="84">
        <v>1150.7929999999999</v>
      </c>
      <c r="W752" s="84">
        <v>575.39649999999995</v>
      </c>
      <c r="X752" s="82">
        <v>0.35</v>
      </c>
      <c r="Y752" s="82"/>
      <c r="Z752" s="84">
        <v>575.39649999999995</v>
      </c>
      <c r="AA752" s="84">
        <v>1150.7929999999999</v>
      </c>
      <c r="AB752" s="88" t="e">
        <v>#DIV/0!</v>
      </c>
      <c r="AC752" t="s">
        <v>3723</v>
      </c>
    </row>
    <row r="753" spans="3:29">
      <c r="C753" t="s">
        <v>3724</v>
      </c>
      <c r="D753" t="s">
        <v>3725</v>
      </c>
      <c r="E753" s="84">
        <v>2207.9899999999998</v>
      </c>
      <c r="F753" s="84">
        <v>1103.9949999999999</v>
      </c>
      <c r="G753" t="s">
        <v>3652</v>
      </c>
      <c r="H753" t="s">
        <v>3726</v>
      </c>
      <c r="I753" t="s">
        <v>3727</v>
      </c>
      <c r="J753" t="s">
        <v>3728</v>
      </c>
      <c r="K753" t="s">
        <v>3655</v>
      </c>
      <c r="N753">
        <v>120</v>
      </c>
      <c r="O753">
        <v>55</v>
      </c>
      <c r="P753">
        <v>0.79200000000000004</v>
      </c>
      <c r="Q753" s="84" t="e">
        <v>#REF!</v>
      </c>
      <c r="R753" s="85"/>
      <c r="S753" s="85"/>
      <c r="T753" s="86">
        <v>0</v>
      </c>
      <c r="U753" s="84">
        <v>0</v>
      </c>
      <c r="V753" s="84">
        <v>1545.5930000000001</v>
      </c>
      <c r="W753" s="84">
        <v>772.79650000000004</v>
      </c>
      <c r="X753" s="82">
        <v>0.35</v>
      </c>
      <c r="Y753" s="82"/>
      <c r="Z753" s="84">
        <v>772.79650000000004</v>
      </c>
      <c r="AA753" s="84">
        <v>1545.5930000000001</v>
      </c>
      <c r="AB753" s="88" t="e">
        <v>#DIV/0!</v>
      </c>
      <c r="AC753" t="s">
        <v>3729</v>
      </c>
    </row>
    <row r="754" spans="3:29">
      <c r="C754" t="s">
        <v>3730</v>
      </c>
      <c r="D754" t="s">
        <v>3731</v>
      </c>
      <c r="E754" s="84">
        <v>2226.9899999999998</v>
      </c>
      <c r="F754" s="84">
        <v>1113.4949999999999</v>
      </c>
      <c r="G754" t="s">
        <v>3652</v>
      </c>
      <c r="H754" t="s">
        <v>3732</v>
      </c>
      <c r="I754" t="s">
        <v>3733</v>
      </c>
      <c r="J754" t="s">
        <v>3734</v>
      </c>
      <c r="K754" t="s">
        <v>3655</v>
      </c>
      <c r="N754">
        <v>95</v>
      </c>
      <c r="O754">
        <v>130</v>
      </c>
      <c r="P754">
        <v>1.1732499999999999</v>
      </c>
      <c r="Q754" s="84" t="e">
        <v>#REF!</v>
      </c>
      <c r="R754" s="85"/>
      <c r="S754" s="85"/>
      <c r="T754" s="86">
        <v>0</v>
      </c>
      <c r="U754" s="84">
        <v>0</v>
      </c>
      <c r="V754" s="84">
        <v>1558.893</v>
      </c>
      <c r="W754" s="84">
        <v>779.44650000000001</v>
      </c>
      <c r="X754" s="82">
        <v>0.35</v>
      </c>
      <c r="Y754" s="82"/>
      <c r="Z754" s="84">
        <v>779.44650000000001</v>
      </c>
      <c r="AA754" s="84">
        <v>1558.893</v>
      </c>
      <c r="AB754" s="88" t="e">
        <v>#DIV/0!</v>
      </c>
      <c r="AC754" t="s">
        <v>3735</v>
      </c>
    </row>
    <row r="755" spans="3:29">
      <c r="C755" t="s">
        <v>3736</v>
      </c>
      <c r="E755" s="84"/>
      <c r="F755" s="82"/>
      <c r="R755" s="85"/>
      <c r="S755" s="85"/>
      <c r="T755" s="86"/>
      <c r="V755" s="84">
        <v>0</v>
      </c>
      <c r="W755" s="84">
        <v>0</v>
      </c>
      <c r="X755" s="82" t="e">
        <v>#DIV/0!</v>
      </c>
      <c r="Y755" s="82"/>
      <c r="Z755" s="82"/>
      <c r="AA755" s="82"/>
      <c r="AB755" s="88" t="e">
        <v>#DIV/0!</v>
      </c>
    </row>
    <row r="756" spans="3:29">
      <c r="C756" t="s">
        <v>3737</v>
      </c>
      <c r="D756" t="s">
        <v>3738</v>
      </c>
      <c r="E756" s="84">
        <v>42.99</v>
      </c>
      <c r="F756" s="84">
        <v>21.495000000000001</v>
      </c>
      <c r="G756" t="s">
        <v>3739</v>
      </c>
      <c r="H756" t="s">
        <v>3740</v>
      </c>
      <c r="I756" t="s">
        <v>3741</v>
      </c>
      <c r="J756" t="s">
        <v>3742</v>
      </c>
      <c r="K756" t="s">
        <v>3743</v>
      </c>
      <c r="L756" t="s">
        <v>670</v>
      </c>
      <c r="M756">
        <v>42</v>
      </c>
      <c r="N756">
        <v>3</v>
      </c>
      <c r="O756">
        <v>70</v>
      </c>
      <c r="P756">
        <v>8.8199999999999997E-3</v>
      </c>
      <c r="Q756" s="84" t="e">
        <v>#REF!</v>
      </c>
      <c r="R756" s="85"/>
      <c r="S756" s="85"/>
      <c r="T756" s="86">
        <v>0</v>
      </c>
      <c r="U756" s="84">
        <v>0</v>
      </c>
      <c r="V756" s="84">
        <v>30.093</v>
      </c>
      <c r="W756" s="84">
        <v>15.0465</v>
      </c>
      <c r="X756" s="82">
        <v>0.35</v>
      </c>
      <c r="Y756" s="82"/>
      <c r="Z756" s="84">
        <v>15.0465</v>
      </c>
      <c r="AA756" s="84">
        <v>30.093</v>
      </c>
      <c r="AB756" s="88" t="e">
        <v>#DIV/0!</v>
      </c>
      <c r="AC756" t="s">
        <v>3744</v>
      </c>
    </row>
    <row r="757" spans="3:29">
      <c r="C757" t="s">
        <v>3747</v>
      </c>
      <c r="D757" t="s">
        <v>3748</v>
      </c>
      <c r="E757" s="84">
        <v>46.99</v>
      </c>
      <c r="F757" s="84">
        <v>23.495000000000001</v>
      </c>
      <c r="G757" t="s">
        <v>3739</v>
      </c>
      <c r="H757" t="s">
        <v>3749</v>
      </c>
      <c r="I757" t="s">
        <v>3750</v>
      </c>
      <c r="J757" t="s">
        <v>3742</v>
      </c>
      <c r="K757" t="s">
        <v>3743</v>
      </c>
      <c r="L757" t="s">
        <v>670</v>
      </c>
      <c r="M757">
        <v>42</v>
      </c>
      <c r="N757">
        <v>3</v>
      </c>
      <c r="O757">
        <v>70</v>
      </c>
      <c r="P757">
        <v>8.8199999999999997E-3</v>
      </c>
      <c r="Q757" s="84" t="e">
        <v>#REF!</v>
      </c>
      <c r="R757" s="85"/>
      <c r="S757" s="85"/>
      <c r="T757" s="86">
        <v>0</v>
      </c>
      <c r="U757" s="84">
        <v>0</v>
      </c>
      <c r="V757" s="84">
        <v>32.893000000000001</v>
      </c>
      <c r="W757" s="84">
        <v>16.4465</v>
      </c>
      <c r="X757" s="82">
        <v>0.35</v>
      </c>
      <c r="Y757" s="82"/>
      <c r="Z757" s="84">
        <v>16.4465</v>
      </c>
      <c r="AA757" s="84">
        <v>32.893000000000001</v>
      </c>
      <c r="AB757" s="88" t="e">
        <v>#DIV/0!</v>
      </c>
      <c r="AC757" t="s">
        <v>3751</v>
      </c>
    </row>
    <row r="758" spans="3:29">
      <c r="C758" t="s">
        <v>3752</v>
      </c>
      <c r="D758" t="s">
        <v>3753</v>
      </c>
      <c r="E758" s="84">
        <v>42.99</v>
      </c>
      <c r="F758" s="84">
        <v>21.495000000000001</v>
      </c>
      <c r="G758" t="s">
        <v>3739</v>
      </c>
      <c r="H758" t="s">
        <v>3754</v>
      </c>
      <c r="I758" t="s">
        <v>3755</v>
      </c>
      <c r="J758" t="s">
        <v>3742</v>
      </c>
      <c r="K758" t="s">
        <v>3743</v>
      </c>
      <c r="L758" t="s">
        <v>670</v>
      </c>
      <c r="M758">
        <v>42</v>
      </c>
      <c r="N758">
        <v>3</v>
      </c>
      <c r="O758">
        <v>70</v>
      </c>
      <c r="P758">
        <v>8.8199999999999997E-3</v>
      </c>
      <c r="Q758" s="84" t="e">
        <v>#REF!</v>
      </c>
      <c r="R758" s="85"/>
      <c r="S758" s="85"/>
      <c r="T758" s="86">
        <v>0</v>
      </c>
      <c r="U758" s="84">
        <v>0</v>
      </c>
      <c r="V758" s="84">
        <v>30.093</v>
      </c>
      <c r="W758" s="84">
        <v>15.0465</v>
      </c>
      <c r="X758" s="82">
        <v>0.35</v>
      </c>
      <c r="Y758" s="82"/>
      <c r="Z758" s="84">
        <v>15.0465</v>
      </c>
      <c r="AA758" s="84">
        <v>30.093</v>
      </c>
      <c r="AB758" s="88" t="e">
        <v>#DIV/0!</v>
      </c>
      <c r="AC758" t="s">
        <v>3756</v>
      </c>
    </row>
    <row r="759" spans="3:29" ht="91.5">
      <c r="C759" t="s">
        <v>3757</v>
      </c>
      <c r="D759" s="83" t="s">
        <v>3758</v>
      </c>
      <c r="E759" s="84">
        <v>75.989999999999995</v>
      </c>
      <c r="F759" s="84">
        <v>37.994999999999997</v>
      </c>
      <c r="G759" t="s">
        <v>3739</v>
      </c>
      <c r="H759" t="s">
        <v>3759</v>
      </c>
      <c r="I759" t="s">
        <v>3760</v>
      </c>
      <c r="J759" t="s">
        <v>3761</v>
      </c>
      <c r="K759" t="s">
        <v>3762</v>
      </c>
      <c r="L759" t="s">
        <v>670</v>
      </c>
      <c r="M759">
        <v>100</v>
      </c>
      <c r="N759">
        <v>3</v>
      </c>
      <c r="O759">
        <v>140</v>
      </c>
      <c r="P759">
        <v>4.2000000000000003E-2</v>
      </c>
      <c r="Q759" s="84" t="e">
        <v>#REF!</v>
      </c>
      <c r="R759" s="85"/>
      <c r="S759" s="85"/>
      <c r="T759" s="86">
        <v>0</v>
      </c>
      <c r="U759" s="84">
        <v>0</v>
      </c>
      <c r="V759" s="84">
        <v>53.192999999999998</v>
      </c>
      <c r="W759" s="84">
        <v>26.596499999999999</v>
      </c>
      <c r="X759" s="82">
        <v>0.35</v>
      </c>
      <c r="Y759" s="82"/>
      <c r="Z759" s="84">
        <v>26.596499999999999</v>
      </c>
      <c r="AA759" s="84">
        <v>53.192999999999998</v>
      </c>
      <c r="AB759" s="88" t="e">
        <v>#DIV/0!</v>
      </c>
      <c r="AC759" t="s">
        <v>3763</v>
      </c>
    </row>
    <row r="760" spans="3:29" ht="76.5">
      <c r="C760" t="s">
        <v>3764</v>
      </c>
      <c r="D760" s="83" t="s">
        <v>3765</v>
      </c>
      <c r="E760" s="84">
        <v>92.99</v>
      </c>
      <c r="F760" s="84">
        <v>46.494999999999997</v>
      </c>
      <c r="G760" t="s">
        <v>3739</v>
      </c>
      <c r="H760" t="s">
        <v>3766</v>
      </c>
      <c r="I760" t="s">
        <v>3767</v>
      </c>
      <c r="J760" s="83" t="s">
        <v>3768</v>
      </c>
      <c r="K760" t="s">
        <v>3762</v>
      </c>
      <c r="L760" t="s">
        <v>670</v>
      </c>
      <c r="M760">
        <v>100</v>
      </c>
      <c r="N760">
        <v>3</v>
      </c>
      <c r="O760">
        <v>140</v>
      </c>
      <c r="P760">
        <v>4.2000000000000003E-2</v>
      </c>
      <c r="Q760" s="84" t="e">
        <v>#REF!</v>
      </c>
      <c r="R760" s="85"/>
      <c r="S760" s="85"/>
      <c r="T760" s="86">
        <v>0</v>
      </c>
      <c r="U760" s="84">
        <v>0</v>
      </c>
      <c r="V760" s="84">
        <v>65.093000000000004</v>
      </c>
      <c r="W760" s="84">
        <v>32.546500000000002</v>
      </c>
      <c r="X760" s="82">
        <v>0.35</v>
      </c>
      <c r="Y760" s="82"/>
      <c r="Z760" s="84">
        <v>32.546500000000002</v>
      </c>
      <c r="AA760" s="84">
        <v>65.093000000000004</v>
      </c>
      <c r="AB760" s="88" t="e">
        <v>#DIV/0!</v>
      </c>
      <c r="AC760" t="s">
        <v>3769</v>
      </c>
    </row>
    <row r="761" spans="3:29">
      <c r="C761" t="s">
        <v>3770</v>
      </c>
      <c r="D761" t="s">
        <v>3771</v>
      </c>
      <c r="E761" s="84">
        <v>69.989999999999995</v>
      </c>
      <c r="F761" s="84">
        <v>34.994999999999997</v>
      </c>
      <c r="G761" t="s">
        <v>3739</v>
      </c>
      <c r="H761" t="s">
        <v>3772</v>
      </c>
      <c r="I761" t="s">
        <v>3773</v>
      </c>
      <c r="J761" t="s">
        <v>3761</v>
      </c>
      <c r="K761" t="s">
        <v>3762</v>
      </c>
      <c r="L761" t="s">
        <v>670</v>
      </c>
      <c r="M761">
        <v>100</v>
      </c>
      <c r="N761">
        <v>3</v>
      </c>
      <c r="O761">
        <v>140</v>
      </c>
      <c r="P761">
        <v>4.2000000000000003E-2</v>
      </c>
      <c r="Q761" s="84" t="e">
        <v>#REF!</v>
      </c>
      <c r="R761" s="85"/>
      <c r="S761" s="85"/>
      <c r="T761" s="86">
        <v>0</v>
      </c>
      <c r="U761" s="84">
        <v>0</v>
      </c>
      <c r="V761" s="84">
        <v>48.993000000000002</v>
      </c>
      <c r="W761" s="84">
        <v>24.496500000000001</v>
      </c>
      <c r="X761" s="82">
        <v>0.35</v>
      </c>
      <c r="Y761" s="82"/>
      <c r="Z761" s="84">
        <v>24.496500000000001</v>
      </c>
      <c r="AA761" s="84">
        <v>48.993000000000002</v>
      </c>
      <c r="AB761" s="88" t="e">
        <v>#DIV/0!</v>
      </c>
      <c r="AC761" t="s">
        <v>3774</v>
      </c>
    </row>
    <row r="762" spans="3:29">
      <c r="C762" t="s">
        <v>3775</v>
      </c>
      <c r="E762" s="84"/>
      <c r="F762" s="82"/>
      <c r="R762" s="85"/>
      <c r="S762" s="85"/>
      <c r="T762" s="86"/>
      <c r="V762" s="84">
        <v>0</v>
      </c>
      <c r="W762" s="84">
        <v>0</v>
      </c>
      <c r="X762" s="82" t="e">
        <v>#DIV/0!</v>
      </c>
      <c r="Y762" s="82"/>
      <c r="Z762" s="82"/>
      <c r="AA762" s="82"/>
      <c r="AB762" s="88" t="e">
        <v>#DIV/0!</v>
      </c>
    </row>
    <row r="763" spans="3:29">
      <c r="C763" t="s">
        <v>3776</v>
      </c>
      <c r="D763" t="s">
        <v>3777</v>
      </c>
      <c r="E763" s="84">
        <v>45.99</v>
      </c>
      <c r="F763" s="84">
        <v>22.995000000000001</v>
      </c>
      <c r="G763" t="s">
        <v>3778</v>
      </c>
      <c r="H763" t="s">
        <v>3779</v>
      </c>
      <c r="I763" t="s">
        <v>3780</v>
      </c>
      <c r="J763" t="s">
        <v>3781</v>
      </c>
      <c r="K763" t="s">
        <v>3762</v>
      </c>
      <c r="L763" t="s">
        <v>670</v>
      </c>
      <c r="M763">
        <v>35</v>
      </c>
      <c r="N763">
        <v>3</v>
      </c>
      <c r="O763">
        <v>50</v>
      </c>
      <c r="P763">
        <v>5.2500000000000003E-3</v>
      </c>
      <c r="Q763" s="84" t="e">
        <v>#REF!</v>
      </c>
      <c r="R763" s="85"/>
      <c r="S763" s="85"/>
      <c r="T763" s="86">
        <v>0</v>
      </c>
      <c r="U763" s="84">
        <v>0</v>
      </c>
      <c r="V763" s="84">
        <v>32.192999999999998</v>
      </c>
      <c r="W763" s="84">
        <v>16.096499999999999</v>
      </c>
      <c r="X763" s="82">
        <v>0.35</v>
      </c>
      <c r="Y763" s="82"/>
      <c r="Z763" s="84">
        <v>16.096499999999999</v>
      </c>
      <c r="AA763" s="84">
        <v>32.192999999999998</v>
      </c>
      <c r="AB763" s="88" t="e">
        <v>#DIV/0!</v>
      </c>
      <c r="AC763" t="s">
        <v>3782</v>
      </c>
    </row>
    <row r="764" spans="3:29">
      <c r="C764" t="s">
        <v>3784</v>
      </c>
      <c r="D764" t="s">
        <v>3785</v>
      </c>
      <c r="E764" s="84">
        <v>45.99</v>
      </c>
      <c r="F764" s="84">
        <v>22.995000000000001</v>
      </c>
      <c r="G764" t="s">
        <v>3778</v>
      </c>
      <c r="H764" t="s">
        <v>3786</v>
      </c>
      <c r="I764" t="s">
        <v>3787</v>
      </c>
      <c r="J764" t="s">
        <v>3781</v>
      </c>
      <c r="K764" t="s">
        <v>3762</v>
      </c>
      <c r="L764" t="s">
        <v>670</v>
      </c>
      <c r="M764">
        <v>35</v>
      </c>
      <c r="N764">
        <v>3</v>
      </c>
      <c r="O764">
        <v>50</v>
      </c>
      <c r="P764">
        <v>5.2500000000000003E-3</v>
      </c>
      <c r="Q764" s="84" t="e">
        <v>#REF!</v>
      </c>
      <c r="R764" s="85"/>
      <c r="S764" s="85"/>
      <c r="T764" s="86">
        <v>0</v>
      </c>
      <c r="U764" s="84">
        <v>0</v>
      </c>
      <c r="V764" s="84">
        <v>32.192999999999998</v>
      </c>
      <c r="W764" s="84">
        <v>16.096499999999999</v>
      </c>
      <c r="X764" s="82">
        <v>0.35</v>
      </c>
      <c r="Y764" s="82"/>
      <c r="Z764" s="84">
        <v>16.096499999999999</v>
      </c>
      <c r="AA764" s="84">
        <v>32.192999999999998</v>
      </c>
      <c r="AB764" s="88" t="e">
        <v>#DIV/0!</v>
      </c>
      <c r="AC764" t="s">
        <v>3788</v>
      </c>
    </row>
    <row r="765" spans="3:29">
      <c r="C765" t="s">
        <v>3789</v>
      </c>
      <c r="D765" t="s">
        <v>3790</v>
      </c>
      <c r="E765" s="84">
        <v>45.99</v>
      </c>
      <c r="F765" s="84">
        <v>22.995000000000001</v>
      </c>
      <c r="G765" t="s">
        <v>3778</v>
      </c>
      <c r="H765" t="s">
        <v>3791</v>
      </c>
      <c r="I765" t="s">
        <v>3792</v>
      </c>
      <c r="J765" t="s">
        <v>3781</v>
      </c>
      <c r="K765" t="s">
        <v>3762</v>
      </c>
      <c r="L765" t="s">
        <v>670</v>
      </c>
      <c r="M765">
        <v>35</v>
      </c>
      <c r="N765">
        <v>3</v>
      </c>
      <c r="O765">
        <v>50</v>
      </c>
      <c r="P765">
        <v>5.2500000000000003E-3</v>
      </c>
      <c r="Q765" s="84" t="e">
        <v>#REF!</v>
      </c>
      <c r="R765" s="85"/>
      <c r="S765" s="85"/>
      <c r="T765" s="86">
        <v>0</v>
      </c>
      <c r="U765" s="84">
        <v>0</v>
      </c>
      <c r="V765" s="84">
        <v>32.192999999999998</v>
      </c>
      <c r="W765" s="84">
        <v>16.096499999999999</v>
      </c>
      <c r="X765" s="82">
        <v>0.35</v>
      </c>
      <c r="Y765" s="82"/>
      <c r="Z765" s="84">
        <v>16.096499999999999</v>
      </c>
      <c r="AA765" s="84">
        <v>32.192999999999998</v>
      </c>
      <c r="AB765" s="88" t="e">
        <v>#DIV/0!</v>
      </c>
      <c r="AC765" t="s">
        <v>3793</v>
      </c>
    </row>
    <row r="766" spans="3:29">
      <c r="C766" t="s">
        <v>3794</v>
      </c>
      <c r="D766" t="s">
        <v>3795</v>
      </c>
      <c r="E766" s="84">
        <v>181.99</v>
      </c>
      <c r="F766" s="84">
        <v>90.995000000000005</v>
      </c>
      <c r="G766" t="s">
        <v>3778</v>
      </c>
      <c r="H766" t="s">
        <v>3796</v>
      </c>
      <c r="I766" t="s">
        <v>3797</v>
      </c>
      <c r="J766" t="s">
        <v>3798</v>
      </c>
      <c r="K766" t="s">
        <v>3762</v>
      </c>
      <c r="L766" t="s">
        <v>670</v>
      </c>
      <c r="M766">
        <v>140</v>
      </c>
      <c r="N766">
        <v>3</v>
      </c>
      <c r="O766">
        <v>250</v>
      </c>
      <c r="P766">
        <v>0.105</v>
      </c>
      <c r="Q766" s="84" t="e">
        <v>#REF!</v>
      </c>
      <c r="R766" s="85"/>
      <c r="S766" s="85"/>
      <c r="T766" s="86">
        <v>0</v>
      </c>
      <c r="U766" s="84">
        <v>0</v>
      </c>
      <c r="V766" s="84">
        <v>127.393</v>
      </c>
      <c r="W766" s="84">
        <v>63.6965</v>
      </c>
      <c r="X766" s="82">
        <v>0.35</v>
      </c>
      <c r="Y766" s="82"/>
      <c r="Z766" s="84">
        <v>63.6965</v>
      </c>
      <c r="AA766" s="84">
        <v>127.393</v>
      </c>
      <c r="AB766" s="88" t="e">
        <v>#DIV/0!</v>
      </c>
      <c r="AC766" t="s">
        <v>3799</v>
      </c>
    </row>
    <row r="767" spans="3:29">
      <c r="C767" t="s">
        <v>3800</v>
      </c>
      <c r="D767" t="s">
        <v>3801</v>
      </c>
      <c r="E767" s="84">
        <v>151.99</v>
      </c>
      <c r="F767" s="84">
        <v>75.995000000000005</v>
      </c>
      <c r="G767" t="s">
        <v>3778</v>
      </c>
      <c r="H767" t="s">
        <v>3802</v>
      </c>
      <c r="I767" t="s">
        <v>3803</v>
      </c>
      <c r="J767" t="s">
        <v>3804</v>
      </c>
      <c r="K767" t="s">
        <v>3762</v>
      </c>
      <c r="L767" t="s">
        <v>670</v>
      </c>
      <c r="M767">
        <v>140</v>
      </c>
      <c r="N767">
        <v>3</v>
      </c>
      <c r="O767">
        <v>250</v>
      </c>
      <c r="P767">
        <v>0.105</v>
      </c>
      <c r="Q767" s="84" t="e">
        <v>#REF!</v>
      </c>
      <c r="R767" s="85"/>
      <c r="S767" s="85"/>
      <c r="T767" s="86">
        <v>0</v>
      </c>
      <c r="U767" s="84">
        <v>0</v>
      </c>
      <c r="V767" s="84">
        <v>106.393</v>
      </c>
      <c r="W767" s="84">
        <v>53.1965</v>
      </c>
      <c r="X767" s="82">
        <v>0.35</v>
      </c>
      <c r="Y767" s="82"/>
      <c r="Z767" s="84">
        <v>53.1965</v>
      </c>
      <c r="AA767" s="84">
        <v>106.393</v>
      </c>
      <c r="AB767" s="88" t="e">
        <v>#DIV/0!</v>
      </c>
      <c r="AC767" t="s">
        <v>3805</v>
      </c>
    </row>
    <row r="768" spans="3:29">
      <c r="C768" t="s">
        <v>3806</v>
      </c>
      <c r="D768" t="s">
        <v>3807</v>
      </c>
      <c r="E768" s="84">
        <v>155.99</v>
      </c>
      <c r="F768" s="84">
        <v>77.995000000000005</v>
      </c>
      <c r="G768" t="s">
        <v>3778</v>
      </c>
      <c r="H768" t="s">
        <v>3808</v>
      </c>
      <c r="I768" t="s">
        <v>3809</v>
      </c>
      <c r="J768" t="s">
        <v>3804</v>
      </c>
      <c r="K768" t="s">
        <v>3762</v>
      </c>
      <c r="L768" t="s">
        <v>670</v>
      </c>
      <c r="M768">
        <v>140</v>
      </c>
      <c r="N768">
        <v>3</v>
      </c>
      <c r="O768">
        <v>250</v>
      </c>
      <c r="P768">
        <v>0.105</v>
      </c>
      <c r="Q768" s="84" t="e">
        <v>#REF!</v>
      </c>
      <c r="R768" s="85"/>
      <c r="S768" s="85"/>
      <c r="T768" s="86">
        <v>0</v>
      </c>
      <c r="U768" s="84">
        <v>0</v>
      </c>
      <c r="V768" s="84">
        <v>109.193</v>
      </c>
      <c r="W768" s="84">
        <v>54.596499999999999</v>
      </c>
      <c r="X768" s="82">
        <v>0.35</v>
      </c>
      <c r="Y768" s="82"/>
      <c r="Z768" s="84">
        <v>54.596499999999999</v>
      </c>
      <c r="AA768" s="84">
        <v>109.193</v>
      </c>
      <c r="AB768" s="88" t="e">
        <v>#DIV/0!</v>
      </c>
      <c r="AC768" t="s">
        <v>3810</v>
      </c>
    </row>
    <row r="769" spans="3:29">
      <c r="C769" t="s">
        <v>3811</v>
      </c>
      <c r="D769" t="s">
        <v>3812</v>
      </c>
      <c r="E769" s="84">
        <v>18.989999999999998</v>
      </c>
      <c r="F769" s="84">
        <v>9.4949999999999992</v>
      </c>
      <c r="G769" t="s">
        <v>3778</v>
      </c>
      <c r="H769" t="s">
        <v>3813</v>
      </c>
      <c r="I769" t="s">
        <v>3814</v>
      </c>
      <c r="J769" t="s">
        <v>3815</v>
      </c>
      <c r="K769" t="s">
        <v>3762</v>
      </c>
      <c r="L769" t="s">
        <v>670</v>
      </c>
      <c r="M769">
        <v>42</v>
      </c>
      <c r="N769">
        <v>3</v>
      </c>
      <c r="O769">
        <v>42</v>
      </c>
      <c r="P769">
        <v>5.2919999999999998E-3</v>
      </c>
      <c r="Q769" s="84" t="e">
        <v>#REF!</v>
      </c>
      <c r="R769" s="85"/>
      <c r="S769" s="85"/>
      <c r="T769" s="86">
        <v>0</v>
      </c>
      <c r="U769" s="84">
        <v>0</v>
      </c>
      <c r="V769" s="84">
        <v>13.292999999999999</v>
      </c>
      <c r="W769" s="84">
        <v>6.6464999999999996</v>
      </c>
      <c r="X769" s="82">
        <v>0.35</v>
      </c>
      <c r="Y769" s="82"/>
      <c r="Z769" s="84">
        <v>6.6464999999999996</v>
      </c>
      <c r="AA769" s="84">
        <v>13.292999999999999</v>
      </c>
      <c r="AB769" s="88" t="e">
        <v>#DIV/0!</v>
      </c>
      <c r="AC769" t="s">
        <v>3816</v>
      </c>
    </row>
    <row r="770" spans="3:29">
      <c r="C770" t="s">
        <v>3817</v>
      </c>
      <c r="D770" t="s">
        <v>3818</v>
      </c>
      <c r="E770" s="84">
        <v>14.99</v>
      </c>
      <c r="F770" s="84">
        <v>7.4950000000000001</v>
      </c>
      <c r="G770" t="s">
        <v>3778</v>
      </c>
      <c r="H770" t="s">
        <v>3819</v>
      </c>
      <c r="I770" t="s">
        <v>3820</v>
      </c>
      <c r="J770" t="s">
        <v>3815</v>
      </c>
      <c r="K770" t="s">
        <v>3762</v>
      </c>
      <c r="L770" t="s">
        <v>670</v>
      </c>
      <c r="M770">
        <v>42</v>
      </c>
      <c r="N770">
        <v>3</v>
      </c>
      <c r="O770">
        <v>42</v>
      </c>
      <c r="P770">
        <v>5.2919999999999998E-3</v>
      </c>
      <c r="Q770" s="84" t="e">
        <v>#REF!</v>
      </c>
      <c r="R770" s="85"/>
      <c r="S770" s="85"/>
      <c r="T770" s="86">
        <v>0</v>
      </c>
      <c r="U770" s="84">
        <v>0</v>
      </c>
      <c r="V770" s="84">
        <v>10.493</v>
      </c>
      <c r="W770" s="84">
        <v>5.2465000000000002</v>
      </c>
      <c r="X770" s="82">
        <v>0.35</v>
      </c>
      <c r="Y770" s="82"/>
      <c r="Z770" s="84">
        <v>5.2465000000000002</v>
      </c>
      <c r="AA770" s="84">
        <v>10.493</v>
      </c>
      <c r="AB770" s="88" t="e">
        <v>#DIV/0!</v>
      </c>
      <c r="AC770" t="s">
        <v>3821</v>
      </c>
    </row>
    <row r="771" spans="3:29">
      <c r="C771" t="s">
        <v>3822</v>
      </c>
      <c r="D771" t="s">
        <v>3823</v>
      </c>
      <c r="E771" s="84">
        <v>14.99</v>
      </c>
      <c r="F771" s="84">
        <v>7.4950000000000001</v>
      </c>
      <c r="G771" t="s">
        <v>3778</v>
      </c>
      <c r="H771" t="s">
        <v>3824</v>
      </c>
      <c r="I771" t="s">
        <v>3825</v>
      </c>
      <c r="J771" t="s">
        <v>3815</v>
      </c>
      <c r="K771" t="s">
        <v>3762</v>
      </c>
      <c r="L771" t="s">
        <v>670</v>
      </c>
      <c r="M771">
        <v>42</v>
      </c>
      <c r="N771">
        <v>3</v>
      </c>
      <c r="O771">
        <v>42</v>
      </c>
      <c r="P771">
        <v>5.2919999999999998E-3</v>
      </c>
      <c r="Q771" s="84" t="e">
        <v>#REF!</v>
      </c>
      <c r="R771" s="85"/>
      <c r="S771" s="85"/>
      <c r="T771" s="86">
        <v>0</v>
      </c>
      <c r="U771" s="84">
        <v>0</v>
      </c>
      <c r="V771" s="84">
        <v>10.493</v>
      </c>
      <c r="W771" s="84">
        <v>5.2465000000000002</v>
      </c>
      <c r="X771" s="82">
        <v>0.35</v>
      </c>
      <c r="Y771" s="82"/>
      <c r="Z771" s="84">
        <v>5.2465000000000002</v>
      </c>
      <c r="AA771" s="84">
        <v>10.493</v>
      </c>
      <c r="AB771" s="88" t="e">
        <v>#DIV/0!</v>
      </c>
      <c r="AC771" t="s">
        <v>3826</v>
      </c>
    </row>
    <row r="772" spans="3:29">
      <c r="C772" t="s">
        <v>3827</v>
      </c>
      <c r="D772" t="s">
        <v>3828</v>
      </c>
      <c r="E772" s="84">
        <v>14.99</v>
      </c>
      <c r="F772" s="84">
        <v>7.4950000000000001</v>
      </c>
      <c r="G772" t="s">
        <v>3778</v>
      </c>
      <c r="H772" t="s">
        <v>3829</v>
      </c>
      <c r="I772" t="s">
        <v>3830</v>
      </c>
      <c r="J772" t="s">
        <v>3815</v>
      </c>
      <c r="K772" t="s">
        <v>3762</v>
      </c>
      <c r="L772" t="s">
        <v>670</v>
      </c>
      <c r="M772">
        <v>42</v>
      </c>
      <c r="N772">
        <v>3</v>
      </c>
      <c r="O772">
        <v>42</v>
      </c>
      <c r="P772">
        <v>5.2919999999999998E-3</v>
      </c>
      <c r="Q772" s="84" t="e">
        <v>#REF!</v>
      </c>
      <c r="R772" s="85"/>
      <c r="S772" s="85"/>
      <c r="T772" s="86">
        <v>0</v>
      </c>
      <c r="U772" s="84">
        <v>0</v>
      </c>
      <c r="V772" s="84">
        <v>10.493</v>
      </c>
      <c r="W772" s="84">
        <v>5.2465000000000002</v>
      </c>
      <c r="X772" s="82">
        <v>0.35</v>
      </c>
      <c r="Y772" s="82"/>
      <c r="Z772" s="84">
        <v>5.2465000000000002</v>
      </c>
      <c r="AA772" s="84">
        <v>10.493</v>
      </c>
      <c r="AB772" s="88" t="e">
        <v>#DIV/0!</v>
      </c>
      <c r="AC772" t="s">
        <v>3831</v>
      </c>
    </row>
    <row r="773" spans="3:29">
      <c r="C773" t="s">
        <v>3832</v>
      </c>
      <c r="D773" t="s">
        <v>3833</v>
      </c>
      <c r="E773" s="84">
        <v>14.99</v>
      </c>
      <c r="F773" s="84">
        <v>7.4950000000000001</v>
      </c>
      <c r="G773" t="s">
        <v>3778</v>
      </c>
      <c r="H773" t="s">
        <v>3834</v>
      </c>
      <c r="I773" t="s">
        <v>3835</v>
      </c>
      <c r="J773" t="s">
        <v>3836</v>
      </c>
      <c r="K773" t="s">
        <v>3762</v>
      </c>
      <c r="L773" t="s">
        <v>670</v>
      </c>
      <c r="M773">
        <v>42</v>
      </c>
      <c r="N773">
        <v>3</v>
      </c>
      <c r="O773">
        <v>42</v>
      </c>
      <c r="P773">
        <v>5.2919999999999998E-3</v>
      </c>
      <c r="Q773" s="84" t="e">
        <v>#REF!</v>
      </c>
      <c r="R773" s="85"/>
      <c r="S773" s="85"/>
      <c r="T773" s="86">
        <v>0</v>
      </c>
      <c r="U773" s="84">
        <v>0</v>
      </c>
      <c r="V773" s="84">
        <v>10.493</v>
      </c>
      <c r="W773" s="84">
        <v>5.2465000000000002</v>
      </c>
      <c r="X773" s="82">
        <v>0.35</v>
      </c>
      <c r="Y773" s="82"/>
      <c r="Z773" s="84">
        <v>5.2465000000000002</v>
      </c>
      <c r="AA773" s="84">
        <v>10.493</v>
      </c>
      <c r="AB773" s="88" t="e">
        <v>#DIV/0!</v>
      </c>
      <c r="AC773" t="s">
        <v>3837</v>
      </c>
    </row>
    <row r="774" spans="3:29">
      <c r="C774" t="s">
        <v>3838</v>
      </c>
      <c r="D774" t="s">
        <v>3839</v>
      </c>
      <c r="E774" s="84">
        <v>43.99</v>
      </c>
      <c r="F774" s="84">
        <v>21.995000000000001</v>
      </c>
      <c r="G774" t="s">
        <v>3778</v>
      </c>
      <c r="H774" t="s">
        <v>3840</v>
      </c>
      <c r="I774" t="s">
        <v>3841</v>
      </c>
      <c r="J774" t="s">
        <v>3842</v>
      </c>
      <c r="K774" t="s">
        <v>3743</v>
      </c>
      <c r="L774" t="s">
        <v>670</v>
      </c>
      <c r="M774">
        <v>47</v>
      </c>
      <c r="N774">
        <v>3</v>
      </c>
      <c r="O774">
        <v>70</v>
      </c>
      <c r="P774">
        <v>9.8700000000000003E-3</v>
      </c>
      <c r="Q774" s="84" t="e">
        <v>#REF!</v>
      </c>
      <c r="R774" s="85"/>
      <c r="S774" s="85"/>
      <c r="T774" s="86">
        <v>0</v>
      </c>
      <c r="U774" s="84">
        <v>0</v>
      </c>
      <c r="V774" s="84">
        <v>30.792999999999999</v>
      </c>
      <c r="W774" s="84">
        <v>15.3965</v>
      </c>
      <c r="X774" s="82">
        <v>0.35</v>
      </c>
      <c r="Y774" s="82"/>
      <c r="Z774" s="84">
        <v>15.3965</v>
      </c>
      <c r="AA774" s="84">
        <v>30.792999999999999</v>
      </c>
      <c r="AB774" s="88" t="e">
        <v>#DIV/0!</v>
      </c>
      <c r="AC774" t="s">
        <v>3843</v>
      </c>
    </row>
    <row r="775" spans="3:29">
      <c r="C775" t="s">
        <v>3844</v>
      </c>
      <c r="D775" t="s">
        <v>3845</v>
      </c>
      <c r="E775" s="84">
        <v>43.99</v>
      </c>
      <c r="F775" s="84">
        <v>21.995000000000001</v>
      </c>
      <c r="G775" t="s">
        <v>3778</v>
      </c>
      <c r="H775" t="s">
        <v>3846</v>
      </c>
      <c r="I775" t="s">
        <v>3847</v>
      </c>
      <c r="J775" t="s">
        <v>3842</v>
      </c>
      <c r="K775" t="s">
        <v>3743</v>
      </c>
      <c r="L775" t="s">
        <v>670</v>
      </c>
      <c r="M775">
        <v>47</v>
      </c>
      <c r="N775">
        <v>3</v>
      </c>
      <c r="O775">
        <v>70</v>
      </c>
      <c r="P775">
        <v>9.8700000000000003E-3</v>
      </c>
      <c r="Q775" s="84" t="e">
        <v>#REF!</v>
      </c>
      <c r="R775" s="85"/>
      <c r="S775" s="85"/>
      <c r="T775" s="86">
        <v>0</v>
      </c>
      <c r="U775" s="84">
        <v>0</v>
      </c>
      <c r="V775" s="84">
        <v>30.792999999999999</v>
      </c>
      <c r="W775" s="84">
        <v>15.3965</v>
      </c>
      <c r="X775" s="82">
        <v>0.35</v>
      </c>
      <c r="Y775" s="82"/>
      <c r="Z775" s="84">
        <v>15.3965</v>
      </c>
      <c r="AA775" s="84">
        <v>30.792999999999999</v>
      </c>
      <c r="AB775" s="88" t="e">
        <v>#DIV/0!</v>
      </c>
      <c r="AC775" t="s">
        <v>3848</v>
      </c>
    </row>
    <row r="776" spans="3:29">
      <c r="C776" t="s">
        <v>3849</v>
      </c>
      <c r="E776" s="84"/>
      <c r="F776" s="82"/>
      <c r="R776" s="85"/>
      <c r="S776" s="85"/>
      <c r="T776" s="86"/>
      <c r="V776" s="84">
        <v>0</v>
      </c>
      <c r="W776" s="84">
        <v>0</v>
      </c>
      <c r="X776" s="82" t="e">
        <v>#DIV/0!</v>
      </c>
      <c r="Y776" s="82"/>
      <c r="Z776" s="82"/>
      <c r="AA776" s="82"/>
      <c r="AB776" s="88" t="e">
        <v>#DIV/0!</v>
      </c>
    </row>
    <row r="777" spans="3:29">
      <c r="C777" t="s">
        <v>3850</v>
      </c>
      <c r="D777" t="s">
        <v>3851</v>
      </c>
      <c r="E777" s="84">
        <v>0</v>
      </c>
      <c r="F777" s="84">
        <v>0</v>
      </c>
      <c r="G777" t="s">
        <v>3852</v>
      </c>
      <c r="H777" t="s">
        <v>3853</v>
      </c>
      <c r="I777" t="s">
        <v>3851</v>
      </c>
      <c r="J777" t="s">
        <v>3854</v>
      </c>
      <c r="K777" t="s">
        <v>3855</v>
      </c>
      <c r="L777" t="s">
        <v>670</v>
      </c>
      <c r="M777">
        <v>140</v>
      </c>
      <c r="N777">
        <v>3</v>
      </c>
      <c r="O777">
        <v>100</v>
      </c>
      <c r="P777">
        <v>4.2000000000000003E-2</v>
      </c>
      <c r="Q777" s="84" t="e">
        <v>#REF!</v>
      </c>
      <c r="R777" s="85"/>
      <c r="S777" s="85"/>
      <c r="T777" s="86">
        <v>0</v>
      </c>
      <c r="U777" s="84">
        <v>0</v>
      </c>
      <c r="V777" s="84">
        <v>0</v>
      </c>
      <c r="W777" s="84">
        <v>0</v>
      </c>
      <c r="X777" s="82" t="e">
        <v>#DIV/0!</v>
      </c>
      <c r="Y777" s="82"/>
      <c r="Z777" s="84">
        <v>0</v>
      </c>
      <c r="AA777" s="84">
        <v>0</v>
      </c>
      <c r="AB777" s="88" t="e">
        <v>#DIV/0!</v>
      </c>
      <c r="AC777" t="s">
        <v>3856</v>
      </c>
    </row>
    <row r="778" spans="3:29">
      <c r="C778" t="s">
        <v>3858</v>
      </c>
      <c r="D778" t="s">
        <v>3859</v>
      </c>
      <c r="E778" s="84">
        <v>0</v>
      </c>
      <c r="F778" s="84">
        <v>0</v>
      </c>
      <c r="G778" t="s">
        <v>3852</v>
      </c>
      <c r="H778" t="s">
        <v>3860</v>
      </c>
      <c r="I778" t="s">
        <v>3859</v>
      </c>
      <c r="J778" t="s">
        <v>3854</v>
      </c>
      <c r="K778" t="s">
        <v>3855</v>
      </c>
      <c r="L778" t="s">
        <v>670</v>
      </c>
      <c r="M778">
        <v>140</v>
      </c>
      <c r="N778">
        <v>3</v>
      </c>
      <c r="O778">
        <v>100</v>
      </c>
      <c r="P778">
        <v>4.2000000000000003E-2</v>
      </c>
      <c r="Q778" s="84" t="e">
        <v>#REF!</v>
      </c>
      <c r="R778" s="85"/>
      <c r="S778" s="85"/>
      <c r="T778" s="86">
        <v>0</v>
      </c>
      <c r="U778" s="84">
        <v>0</v>
      </c>
      <c r="V778" s="84">
        <v>0</v>
      </c>
      <c r="W778" s="84">
        <v>0</v>
      </c>
      <c r="X778" s="82" t="e">
        <v>#DIV/0!</v>
      </c>
      <c r="Y778" s="82"/>
      <c r="Z778" s="84">
        <v>0</v>
      </c>
      <c r="AA778" s="84">
        <v>0</v>
      </c>
      <c r="AB778" s="88" t="e">
        <v>#DIV/0!</v>
      </c>
      <c r="AC778" t="s">
        <v>3861</v>
      </c>
    </row>
    <row r="779" spans="3:29">
      <c r="C779" t="s">
        <v>3862</v>
      </c>
      <c r="D779" t="s">
        <v>3863</v>
      </c>
      <c r="E779" s="84">
        <v>0</v>
      </c>
      <c r="F779" s="84">
        <v>0</v>
      </c>
      <c r="G779" t="s">
        <v>3852</v>
      </c>
      <c r="H779" t="s">
        <v>3853</v>
      </c>
      <c r="I779" t="s">
        <v>3863</v>
      </c>
      <c r="J779" t="s">
        <v>3854</v>
      </c>
      <c r="K779" t="s">
        <v>3855</v>
      </c>
      <c r="L779" t="s">
        <v>670</v>
      </c>
      <c r="M779">
        <v>140</v>
      </c>
      <c r="N779">
        <v>3</v>
      </c>
      <c r="O779">
        <v>100</v>
      </c>
      <c r="P779">
        <v>4.2000000000000003E-2</v>
      </c>
      <c r="Q779" s="84" t="e">
        <v>#REF!</v>
      </c>
      <c r="R779" s="85"/>
      <c r="S779" s="85"/>
      <c r="T779" s="86">
        <v>0</v>
      </c>
      <c r="U779" s="84">
        <v>0</v>
      </c>
      <c r="V779" s="84">
        <v>0</v>
      </c>
      <c r="W779" s="84">
        <v>0</v>
      </c>
      <c r="X779" s="82" t="e">
        <v>#DIV/0!</v>
      </c>
      <c r="Y779" s="82"/>
      <c r="Z779" s="84">
        <v>0</v>
      </c>
      <c r="AA779" s="84">
        <v>0</v>
      </c>
      <c r="AB779" s="88" t="e">
        <v>#DIV/0!</v>
      </c>
      <c r="AC779" t="s">
        <v>3864</v>
      </c>
    </row>
    <row r="780" spans="3:29">
      <c r="C780">
        <v>33013</v>
      </c>
      <c r="D780" t="s">
        <v>3865</v>
      </c>
      <c r="E780" s="84">
        <v>57.99</v>
      </c>
      <c r="F780" s="84">
        <v>28.995000000000001</v>
      </c>
      <c r="G780" t="s">
        <v>3852</v>
      </c>
      <c r="H780" t="s">
        <v>3866</v>
      </c>
      <c r="I780" t="s">
        <v>3867</v>
      </c>
      <c r="J780" t="s">
        <v>3868</v>
      </c>
      <c r="K780" t="s">
        <v>3869</v>
      </c>
      <c r="L780" t="s">
        <v>670</v>
      </c>
      <c r="M780">
        <v>50</v>
      </c>
      <c r="N780">
        <v>10</v>
      </c>
      <c r="O780">
        <v>50</v>
      </c>
      <c r="P780">
        <v>2.5000000000000001E-2</v>
      </c>
      <c r="Q780" s="84" t="e">
        <v>#REF!</v>
      </c>
      <c r="R780" s="85">
        <v>11000</v>
      </c>
      <c r="S780" s="85">
        <v>220000</v>
      </c>
      <c r="T780" s="86">
        <v>231000</v>
      </c>
      <c r="U780" s="84">
        <v>15.4</v>
      </c>
      <c r="V780" s="84">
        <v>40.593000000000004</v>
      </c>
      <c r="W780" s="84">
        <v>20.296500000000002</v>
      </c>
      <c r="X780" s="82">
        <v>0.35</v>
      </c>
      <c r="Y780" s="87">
        <v>26.18</v>
      </c>
      <c r="Z780" s="84">
        <v>26.18</v>
      </c>
      <c r="AA780" s="84">
        <v>52.36</v>
      </c>
      <c r="AB780" s="88">
        <v>2</v>
      </c>
      <c r="AC780" t="s">
        <v>3870</v>
      </c>
    </row>
    <row r="781" spans="3:29">
      <c r="C781" t="s">
        <v>3871</v>
      </c>
      <c r="D781" t="s">
        <v>3872</v>
      </c>
      <c r="E781" s="84">
        <v>170.99</v>
      </c>
      <c r="F781" s="84">
        <v>85.495000000000005</v>
      </c>
      <c r="G781" t="s">
        <v>3852</v>
      </c>
      <c r="H781" t="s">
        <v>3873</v>
      </c>
      <c r="I781" t="s">
        <v>920</v>
      </c>
      <c r="J781" t="s">
        <v>3874</v>
      </c>
      <c r="L781" t="s">
        <v>670</v>
      </c>
      <c r="M781">
        <v>40</v>
      </c>
      <c r="N781">
        <v>10</v>
      </c>
      <c r="O781">
        <v>40</v>
      </c>
      <c r="P781">
        <v>1.6E-2</v>
      </c>
      <c r="Q781" s="84" t="e">
        <v>#REF!</v>
      </c>
      <c r="R781" s="85">
        <v>4888.5461529850099</v>
      </c>
      <c r="S781" s="85">
        <v>137500</v>
      </c>
      <c r="T781" s="86">
        <v>142388.54615298501</v>
      </c>
      <c r="U781" s="84">
        <v>9.4925697435323304</v>
      </c>
      <c r="V781" s="84">
        <v>119.693</v>
      </c>
      <c r="W781" s="84">
        <v>59.846499999999999</v>
      </c>
      <c r="X781" s="82">
        <v>0.35</v>
      </c>
      <c r="Y781" s="82"/>
      <c r="Z781" s="84">
        <v>59.846499999999999</v>
      </c>
      <c r="AA781" s="84">
        <v>119.693</v>
      </c>
      <c r="AB781" s="88">
        <v>6.3045625807253902</v>
      </c>
      <c r="AC781" t="s">
        <v>3875</v>
      </c>
    </row>
    <row r="782" spans="3:29">
      <c r="C782" t="s">
        <v>3876</v>
      </c>
      <c r="D782" t="s">
        <v>3872</v>
      </c>
      <c r="E782" s="84">
        <v>184.99</v>
      </c>
      <c r="F782" s="84">
        <v>92.495000000000005</v>
      </c>
      <c r="G782" t="s">
        <v>3852</v>
      </c>
      <c r="H782" t="s">
        <v>3877</v>
      </c>
      <c r="I782" t="s">
        <v>920</v>
      </c>
      <c r="J782" t="s">
        <v>3878</v>
      </c>
      <c r="L782" t="s">
        <v>670</v>
      </c>
      <c r="M782">
        <v>45</v>
      </c>
      <c r="N782">
        <v>10</v>
      </c>
      <c r="O782">
        <v>45</v>
      </c>
      <c r="P782">
        <v>2.0250000000000001E-2</v>
      </c>
      <c r="Q782" s="84" t="e">
        <v>#REF!</v>
      </c>
      <c r="R782" s="85">
        <v>4888.5461529850099</v>
      </c>
      <c r="S782" s="85">
        <v>148500</v>
      </c>
      <c r="T782" s="86">
        <v>153388.54615298501</v>
      </c>
      <c r="U782" s="84">
        <v>10.2259030768657</v>
      </c>
      <c r="V782" s="84">
        <v>129.49299999999999</v>
      </c>
      <c r="W782" s="84">
        <v>64.746499999999997</v>
      </c>
      <c r="X782" s="82">
        <v>0.35</v>
      </c>
      <c r="Y782" s="82"/>
      <c r="Z782" s="84">
        <v>64.746499999999997</v>
      </c>
      <c r="AA782" s="84">
        <v>129.49299999999999</v>
      </c>
      <c r="AB782" s="88">
        <v>6.3316168277086202</v>
      </c>
      <c r="AC782" t="s">
        <v>3879</v>
      </c>
    </row>
    <row r="783" spans="3:29">
      <c r="C783" t="s">
        <v>3880</v>
      </c>
      <c r="D783" t="s">
        <v>3872</v>
      </c>
      <c r="E783" s="84"/>
      <c r="F783" s="84">
        <v>0</v>
      </c>
      <c r="G783" t="s">
        <v>3852</v>
      </c>
      <c r="H783" t="s">
        <v>3881</v>
      </c>
      <c r="I783" t="s">
        <v>920</v>
      </c>
      <c r="J783" t="s">
        <v>3868</v>
      </c>
      <c r="L783" t="s">
        <v>670</v>
      </c>
      <c r="M783">
        <v>50</v>
      </c>
      <c r="N783">
        <v>10</v>
      </c>
      <c r="O783">
        <v>50</v>
      </c>
      <c r="P783">
        <v>2.5000000000000001E-2</v>
      </c>
      <c r="Q783" s="84" t="e">
        <v>#REF!</v>
      </c>
      <c r="R783" s="85">
        <v>6035.2421641790097</v>
      </c>
      <c r="S783" s="85">
        <v>170500</v>
      </c>
      <c r="T783" s="86">
        <v>176535.24216417901</v>
      </c>
      <c r="U783" s="84">
        <v>11.7690161442786</v>
      </c>
      <c r="V783" s="84">
        <v>0</v>
      </c>
      <c r="W783" s="84">
        <v>0</v>
      </c>
      <c r="X783" s="82" t="e">
        <v>#DIV/0!</v>
      </c>
      <c r="Y783" s="87">
        <v>23.538032288557201</v>
      </c>
      <c r="Z783" s="84">
        <v>23.538032288557201</v>
      </c>
      <c r="AA783" s="84">
        <v>47.076064577114401</v>
      </c>
      <c r="AB783" s="88">
        <v>2</v>
      </c>
      <c r="AC783" t="s">
        <v>3882</v>
      </c>
    </row>
    <row r="784" spans="3:29">
      <c r="C784" t="s">
        <v>3883</v>
      </c>
      <c r="D784" t="s">
        <v>3872</v>
      </c>
      <c r="E784" s="84"/>
      <c r="F784" s="84">
        <v>0</v>
      </c>
      <c r="G784" t="s">
        <v>3852</v>
      </c>
      <c r="H784" t="s">
        <v>3884</v>
      </c>
      <c r="I784" t="s">
        <v>920</v>
      </c>
      <c r="J784" t="s">
        <v>3885</v>
      </c>
      <c r="L784" t="s">
        <v>670</v>
      </c>
      <c r="M784">
        <v>60</v>
      </c>
      <c r="N784">
        <v>10</v>
      </c>
      <c r="O784">
        <v>60</v>
      </c>
      <c r="P784">
        <v>3.5999999999999997E-2</v>
      </c>
      <c r="Q784" s="84" t="e">
        <v>#REF!</v>
      </c>
      <c r="R784" s="85">
        <v>8690.7487164179893</v>
      </c>
      <c r="S784" s="85">
        <v>192500</v>
      </c>
      <c r="T784" s="86">
        <v>201190.74871641799</v>
      </c>
      <c r="U784" s="84">
        <v>13.4127165810945</v>
      </c>
      <c r="V784" s="84">
        <v>0</v>
      </c>
      <c r="W784" s="84">
        <v>0</v>
      </c>
      <c r="X784" s="82" t="e">
        <v>#DIV/0!</v>
      </c>
      <c r="Y784" s="87">
        <v>26.8254331621891</v>
      </c>
      <c r="Z784" s="84">
        <v>26.8254331621891</v>
      </c>
      <c r="AA784" s="84">
        <v>53.6508663243781</v>
      </c>
      <c r="AB784" s="88">
        <v>2</v>
      </c>
      <c r="AC784" t="s">
        <v>3886</v>
      </c>
    </row>
    <row r="785" spans="3:29">
      <c r="C785" t="s">
        <v>3887</v>
      </c>
      <c r="D785" t="s">
        <v>3888</v>
      </c>
      <c r="E785" s="84">
        <v>124.99</v>
      </c>
      <c r="F785" s="84">
        <v>62.494999999999997</v>
      </c>
      <c r="G785" t="s">
        <v>3852</v>
      </c>
      <c r="H785" t="s">
        <v>3873</v>
      </c>
      <c r="I785" t="s">
        <v>914</v>
      </c>
      <c r="J785" t="s">
        <v>2686</v>
      </c>
      <c r="L785" t="s">
        <v>670</v>
      </c>
      <c r="M785">
        <v>40</v>
      </c>
      <c r="N785">
        <v>10</v>
      </c>
      <c r="O785">
        <v>40</v>
      </c>
      <c r="P785">
        <v>1.6E-2</v>
      </c>
      <c r="Q785" s="84" t="e">
        <v>#REF!</v>
      </c>
      <c r="R785" s="85">
        <v>3862.5549850749999</v>
      </c>
      <c r="S785" s="85">
        <v>137500</v>
      </c>
      <c r="T785" s="86">
        <v>141362.554985075</v>
      </c>
      <c r="U785" s="84">
        <v>9.4241703323383295</v>
      </c>
      <c r="V785" s="84">
        <v>87.492999999999995</v>
      </c>
      <c r="W785" s="84">
        <v>43.746499999999997</v>
      </c>
      <c r="X785" s="82">
        <v>0.35</v>
      </c>
      <c r="Y785" s="82"/>
      <c r="Z785" s="84">
        <v>43.746499999999997</v>
      </c>
      <c r="AA785" s="84">
        <v>87.492999999999995</v>
      </c>
      <c r="AB785" s="88">
        <v>4.64194708470911</v>
      </c>
      <c r="AC785" t="s">
        <v>3889</v>
      </c>
    </row>
    <row r="786" spans="3:29">
      <c r="C786" t="s">
        <v>3890</v>
      </c>
      <c r="D786" t="s">
        <v>3888</v>
      </c>
      <c r="E786" s="84">
        <v>144.99</v>
      </c>
      <c r="F786" s="84">
        <v>72.495000000000005</v>
      </c>
      <c r="G786" t="s">
        <v>3852</v>
      </c>
      <c r="H786" t="s">
        <v>3881</v>
      </c>
      <c r="I786" t="s">
        <v>914</v>
      </c>
      <c r="J786" t="s">
        <v>3891</v>
      </c>
      <c r="L786" t="s">
        <v>670</v>
      </c>
      <c r="M786">
        <v>50</v>
      </c>
      <c r="N786">
        <v>10</v>
      </c>
      <c r="O786">
        <v>50</v>
      </c>
      <c r="P786">
        <v>2.5000000000000001E-2</v>
      </c>
      <c r="Q786" s="84" t="e">
        <v>#REF!</v>
      </c>
      <c r="R786" s="85">
        <v>6035.2421641790097</v>
      </c>
      <c r="S786" s="85">
        <v>170500</v>
      </c>
      <c r="T786" s="86">
        <v>176535.24216417901</v>
      </c>
      <c r="U786" s="84">
        <v>11.7690161442786</v>
      </c>
      <c r="V786" s="84">
        <v>101.49299999999999</v>
      </c>
      <c r="W786" s="84">
        <v>50.746499999999997</v>
      </c>
      <c r="X786" s="82">
        <v>0.35</v>
      </c>
      <c r="Y786" s="82"/>
      <c r="Z786" s="84">
        <v>50.746499999999997</v>
      </c>
      <c r="AA786" s="84">
        <v>101.49299999999999</v>
      </c>
      <c r="AB786" s="88">
        <v>4.3118727494200897</v>
      </c>
      <c r="AC786" t="s">
        <v>3892</v>
      </c>
    </row>
    <row r="787" spans="3:29">
      <c r="C787" t="s">
        <v>3893</v>
      </c>
      <c r="D787" t="s">
        <v>3888</v>
      </c>
      <c r="E787" s="84">
        <v>179.99</v>
      </c>
      <c r="F787" s="84">
        <v>89.995000000000005</v>
      </c>
      <c r="G787" t="s">
        <v>3852</v>
      </c>
      <c r="H787" t="s">
        <v>3884</v>
      </c>
      <c r="I787" t="s">
        <v>914</v>
      </c>
      <c r="J787" t="s">
        <v>3885</v>
      </c>
      <c r="L787" t="s">
        <v>670</v>
      </c>
      <c r="M787">
        <v>60</v>
      </c>
      <c r="N787">
        <v>10</v>
      </c>
      <c r="O787">
        <v>60</v>
      </c>
      <c r="P787">
        <v>3.5999999999999997E-2</v>
      </c>
      <c r="Q787" s="84" t="e">
        <v>#REF!</v>
      </c>
      <c r="R787" s="85">
        <v>8690.7487164179893</v>
      </c>
      <c r="S787" s="85">
        <v>192500</v>
      </c>
      <c r="T787" s="86">
        <v>201190.74871641799</v>
      </c>
      <c r="U787" s="84">
        <v>13.4127165810945</v>
      </c>
      <c r="V787" s="84">
        <v>125.99299999999999</v>
      </c>
      <c r="W787" s="84">
        <v>62.996499999999997</v>
      </c>
      <c r="X787" s="82">
        <v>0.35</v>
      </c>
      <c r="Y787" s="82"/>
      <c r="Z787" s="84">
        <v>62.996499999999997</v>
      </c>
      <c r="AA787" s="84">
        <v>125.99299999999999</v>
      </c>
      <c r="AB787" s="88">
        <v>4.69677411127845</v>
      </c>
      <c r="AC787" t="s">
        <v>3894</v>
      </c>
    </row>
    <row r="788" spans="3:29">
      <c r="C788" t="s">
        <v>3895</v>
      </c>
      <c r="D788" t="s">
        <v>3888</v>
      </c>
      <c r="E788" s="84">
        <v>179.99</v>
      </c>
      <c r="F788" s="84">
        <v>89.995000000000005</v>
      </c>
      <c r="G788" t="s">
        <v>3852</v>
      </c>
      <c r="H788" t="s">
        <v>3896</v>
      </c>
      <c r="I788" t="s">
        <v>914</v>
      </c>
      <c r="J788" t="s">
        <v>3897</v>
      </c>
      <c r="L788" t="s">
        <v>670</v>
      </c>
      <c r="M788">
        <v>70</v>
      </c>
      <c r="N788">
        <v>10</v>
      </c>
      <c r="O788">
        <v>35</v>
      </c>
      <c r="P788">
        <v>2.4500000000000001E-2</v>
      </c>
      <c r="Q788" s="84" t="e">
        <v>#REF!</v>
      </c>
      <c r="R788" s="85">
        <v>5914.53732089599</v>
      </c>
      <c r="S788" s="85">
        <v>192500</v>
      </c>
      <c r="T788" s="86">
        <v>198414.53732089599</v>
      </c>
      <c r="U788" s="84">
        <v>13.2276358213931</v>
      </c>
      <c r="V788" s="84">
        <v>125.99299999999999</v>
      </c>
      <c r="W788" s="84">
        <v>62.996499999999997</v>
      </c>
      <c r="X788" s="82">
        <v>0.35</v>
      </c>
      <c r="Y788" s="82"/>
      <c r="Z788" s="84">
        <v>62.996499999999997</v>
      </c>
      <c r="AA788" s="84">
        <v>125.99299999999999</v>
      </c>
      <c r="AB788" s="88">
        <v>4.76249126076753</v>
      </c>
      <c r="AC788" t="s">
        <v>3889</v>
      </c>
    </row>
    <row r="789" spans="3:29">
      <c r="C789" t="s">
        <v>3898</v>
      </c>
      <c r="E789" s="84"/>
      <c r="F789" s="82"/>
      <c r="R789" s="85"/>
      <c r="S789" s="85"/>
      <c r="T789" s="86"/>
      <c r="V789" s="84">
        <v>0</v>
      </c>
      <c r="W789" s="84">
        <v>0</v>
      </c>
      <c r="X789" s="82" t="e">
        <v>#DIV/0!</v>
      </c>
      <c r="Y789" s="82">
        <v>0</v>
      </c>
      <c r="Z789" s="82"/>
      <c r="AA789" s="82"/>
      <c r="AB789" s="88" t="e">
        <v>#DIV/0!</v>
      </c>
    </row>
    <row r="790" spans="3:29">
      <c r="C790" t="s">
        <v>3899</v>
      </c>
      <c r="D790" t="s">
        <v>3900</v>
      </c>
      <c r="E790" s="84">
        <v>33.99</v>
      </c>
      <c r="F790" s="84">
        <v>16.995000000000001</v>
      </c>
      <c r="G790" t="s">
        <v>3901</v>
      </c>
      <c r="H790" t="s">
        <v>3902</v>
      </c>
      <c r="I790" t="s">
        <v>3903</v>
      </c>
      <c r="J790" t="s">
        <v>3904</v>
      </c>
      <c r="K790" t="s">
        <v>3905</v>
      </c>
      <c r="L790" t="s">
        <v>670</v>
      </c>
      <c r="N790">
        <v>12</v>
      </c>
      <c r="O790">
        <v>12</v>
      </c>
      <c r="P790">
        <v>1.7279999999999999E-3</v>
      </c>
      <c r="Q790" s="84" t="e">
        <v>#REF!</v>
      </c>
      <c r="R790" s="85"/>
      <c r="S790" s="85"/>
      <c r="T790" s="86">
        <v>0</v>
      </c>
      <c r="U790" s="84">
        <v>0</v>
      </c>
      <c r="V790" s="84">
        <v>23.792999999999999</v>
      </c>
      <c r="W790" s="84">
        <v>11.8965</v>
      </c>
      <c r="X790" s="82">
        <v>0.35</v>
      </c>
      <c r="Y790" s="82"/>
      <c r="Z790" s="84">
        <v>11.8965</v>
      </c>
      <c r="AA790" s="84">
        <v>23.792999999999999</v>
      </c>
      <c r="AB790" s="88" t="e">
        <v>#DIV/0!</v>
      </c>
      <c r="AC790" t="s">
        <v>3906</v>
      </c>
    </row>
    <row r="791" spans="3:29">
      <c r="C791" t="s">
        <v>3907</v>
      </c>
      <c r="D791" t="s">
        <v>3908</v>
      </c>
      <c r="E791" s="84">
        <v>31.99</v>
      </c>
      <c r="F791" s="84">
        <v>15.994999999999999</v>
      </c>
      <c r="G791" t="s">
        <v>3901</v>
      </c>
      <c r="H791" t="s">
        <v>3909</v>
      </c>
      <c r="I791" t="s">
        <v>3910</v>
      </c>
      <c r="J791" t="s">
        <v>3911</v>
      </c>
      <c r="K791" t="s">
        <v>3905</v>
      </c>
      <c r="L791" t="s">
        <v>670</v>
      </c>
      <c r="N791">
        <v>11</v>
      </c>
      <c r="O791">
        <v>15</v>
      </c>
      <c r="P791">
        <v>1.815E-3</v>
      </c>
      <c r="Q791" s="84" t="e">
        <v>#REF!</v>
      </c>
      <c r="R791" s="85"/>
      <c r="S791" s="85"/>
      <c r="T791" s="86">
        <v>0</v>
      </c>
      <c r="U791" s="84">
        <v>0</v>
      </c>
      <c r="V791" s="84">
        <v>22.393000000000001</v>
      </c>
      <c r="W791" s="84">
        <v>11.1965</v>
      </c>
      <c r="X791" s="82">
        <v>0.35</v>
      </c>
      <c r="Y791" s="82"/>
      <c r="Z791" s="84">
        <v>11.1965</v>
      </c>
      <c r="AA791" s="84">
        <v>22.393000000000001</v>
      </c>
      <c r="AB791" s="88" t="e">
        <v>#DIV/0!</v>
      </c>
      <c r="AC791" t="s">
        <v>3912</v>
      </c>
    </row>
    <row r="792" spans="3:29">
      <c r="C792" t="s">
        <v>3913</v>
      </c>
      <c r="D792" t="s">
        <v>3914</v>
      </c>
      <c r="E792" s="84">
        <v>35.99</v>
      </c>
      <c r="F792" s="84">
        <v>17.995000000000001</v>
      </c>
      <c r="G792" t="s">
        <v>3901</v>
      </c>
      <c r="H792" t="s">
        <v>3915</v>
      </c>
      <c r="I792" t="s">
        <v>3916</v>
      </c>
      <c r="J792" t="s">
        <v>3917</v>
      </c>
      <c r="K792" t="s">
        <v>3905</v>
      </c>
      <c r="L792" t="s">
        <v>670</v>
      </c>
      <c r="N792">
        <v>12</v>
      </c>
      <c r="O792">
        <v>15</v>
      </c>
      <c r="P792">
        <v>2.16E-3</v>
      </c>
      <c r="Q792" s="84" t="e">
        <v>#REF!</v>
      </c>
      <c r="R792" s="85"/>
      <c r="S792" s="85"/>
      <c r="T792" s="86">
        <v>0</v>
      </c>
      <c r="U792" s="84">
        <v>0</v>
      </c>
      <c r="V792" s="84">
        <v>25.193000000000001</v>
      </c>
      <c r="W792" s="84">
        <v>12.596500000000001</v>
      </c>
      <c r="X792" s="82">
        <v>0.35</v>
      </c>
      <c r="Y792" s="82"/>
      <c r="Z792" s="84">
        <v>12.596500000000001</v>
      </c>
      <c r="AA792" s="84">
        <v>25.193000000000001</v>
      </c>
      <c r="AB792" s="88" t="e">
        <v>#DIV/0!</v>
      </c>
      <c r="AC792" t="s">
        <v>3918</v>
      </c>
    </row>
    <row r="793" spans="3:29">
      <c r="C793" t="s">
        <v>3919</v>
      </c>
      <c r="D793" t="s">
        <v>3920</v>
      </c>
      <c r="E793" s="84">
        <v>26.99</v>
      </c>
      <c r="F793" s="84">
        <v>13.494999999999999</v>
      </c>
      <c r="G793" t="s">
        <v>3901</v>
      </c>
      <c r="H793" t="s">
        <v>3921</v>
      </c>
      <c r="I793" t="s">
        <v>3922</v>
      </c>
      <c r="J793" t="s">
        <v>3923</v>
      </c>
      <c r="K793" t="s">
        <v>3905</v>
      </c>
      <c r="L793" t="s">
        <v>670</v>
      </c>
      <c r="N793">
        <v>6</v>
      </c>
      <c r="O793">
        <v>18</v>
      </c>
      <c r="P793">
        <v>6.4800000000000003E-4</v>
      </c>
      <c r="Q793" s="84" t="e">
        <v>#REF!</v>
      </c>
      <c r="R793" s="85"/>
      <c r="S793" s="85"/>
      <c r="T793" s="86">
        <v>0</v>
      </c>
      <c r="U793" s="84">
        <v>0</v>
      </c>
      <c r="V793" s="84">
        <v>18.893000000000001</v>
      </c>
      <c r="W793" s="84">
        <v>9.4465000000000003</v>
      </c>
      <c r="X793" s="82">
        <v>0.35</v>
      </c>
      <c r="Y793" s="82"/>
      <c r="Z793" s="84">
        <v>9.4465000000000003</v>
      </c>
      <c r="AA793" s="84">
        <v>18.893000000000001</v>
      </c>
      <c r="AB793" s="88" t="e">
        <v>#DIV/0!</v>
      </c>
      <c r="AC793" t="s">
        <v>3924</v>
      </c>
    </row>
    <row r="794" spans="3:29">
      <c r="C794" t="s">
        <v>3925</v>
      </c>
      <c r="D794" t="s">
        <v>3926</v>
      </c>
      <c r="E794" s="84">
        <v>39.99</v>
      </c>
      <c r="F794" s="84">
        <v>19.995000000000001</v>
      </c>
      <c r="G794" t="s">
        <v>3901</v>
      </c>
      <c r="H794" t="s">
        <v>3927</v>
      </c>
      <c r="I794" t="s">
        <v>536</v>
      </c>
      <c r="J794" t="s">
        <v>3928</v>
      </c>
      <c r="K794" t="s">
        <v>3905</v>
      </c>
      <c r="L794" t="s">
        <v>670</v>
      </c>
      <c r="N794">
        <v>12</v>
      </c>
      <c r="O794">
        <v>21</v>
      </c>
      <c r="P794">
        <v>3.0240000000000002E-3</v>
      </c>
      <c r="Q794" s="84" t="e">
        <v>#REF!</v>
      </c>
      <c r="R794" s="85"/>
      <c r="S794" s="85"/>
      <c r="T794" s="86">
        <v>0</v>
      </c>
      <c r="U794" s="84">
        <v>0</v>
      </c>
      <c r="V794" s="84">
        <v>27.992999999999999</v>
      </c>
      <c r="W794" s="84">
        <v>13.996499999999999</v>
      </c>
      <c r="X794" s="82">
        <v>0.35</v>
      </c>
      <c r="Y794" s="82"/>
      <c r="Z794" s="84">
        <v>13.996499999999999</v>
      </c>
      <c r="AA794" s="84">
        <v>27.992999999999999</v>
      </c>
      <c r="AB794" s="88" t="e">
        <v>#DIV/0!</v>
      </c>
      <c r="AC794" t="s">
        <v>3929</v>
      </c>
    </row>
    <row r="795" spans="3:29">
      <c r="C795" t="s">
        <v>3930</v>
      </c>
      <c r="D795" t="s">
        <v>3926</v>
      </c>
      <c r="E795" s="84">
        <v>46.99</v>
      </c>
      <c r="F795" s="84">
        <v>23.495000000000001</v>
      </c>
      <c r="G795" t="s">
        <v>3901</v>
      </c>
      <c r="H795" t="s">
        <v>3931</v>
      </c>
      <c r="I795" t="s">
        <v>536</v>
      </c>
      <c r="J795" t="s">
        <v>3932</v>
      </c>
      <c r="K795" t="s">
        <v>3905</v>
      </c>
      <c r="L795" t="s">
        <v>670</v>
      </c>
      <c r="N795">
        <v>12</v>
      </c>
      <c r="O795">
        <v>30</v>
      </c>
      <c r="P795">
        <v>4.3200000000000001E-3</v>
      </c>
      <c r="Q795" s="84" t="e">
        <v>#REF!</v>
      </c>
      <c r="R795" s="85"/>
      <c r="S795" s="85"/>
      <c r="T795" s="86">
        <v>0</v>
      </c>
      <c r="U795" s="84">
        <v>0</v>
      </c>
      <c r="V795" s="84">
        <v>32.893000000000001</v>
      </c>
      <c r="W795" s="84">
        <v>16.4465</v>
      </c>
      <c r="X795" s="82">
        <v>0.35</v>
      </c>
      <c r="Y795" s="82"/>
      <c r="Z795" s="84">
        <v>16.4465</v>
      </c>
      <c r="AA795" s="84">
        <v>32.893000000000001</v>
      </c>
      <c r="AB795" s="88" t="e">
        <v>#DIV/0!</v>
      </c>
      <c r="AC795" t="s">
        <v>3933</v>
      </c>
    </row>
    <row r="796" spans="3:29">
      <c r="C796" t="s">
        <v>3934</v>
      </c>
      <c r="D796" t="s">
        <v>3935</v>
      </c>
      <c r="E796" s="84">
        <v>25.99</v>
      </c>
      <c r="F796" s="84">
        <v>12.994999999999999</v>
      </c>
      <c r="G796" t="s">
        <v>3901</v>
      </c>
      <c r="H796" t="s">
        <v>3936</v>
      </c>
      <c r="I796" t="s">
        <v>301</v>
      </c>
      <c r="J796" t="s">
        <v>3937</v>
      </c>
      <c r="K796" t="s">
        <v>3905</v>
      </c>
      <c r="L796" t="s">
        <v>670</v>
      </c>
      <c r="N796">
        <v>6</v>
      </c>
      <c r="O796">
        <v>9</v>
      </c>
      <c r="P796">
        <v>3.2400000000000001E-4</v>
      </c>
      <c r="Q796" s="84" t="e">
        <v>#REF!</v>
      </c>
      <c r="R796" s="85"/>
      <c r="S796" s="85"/>
      <c r="T796" s="86">
        <v>0</v>
      </c>
      <c r="U796" s="84">
        <v>0</v>
      </c>
      <c r="V796" s="84">
        <v>18.193000000000001</v>
      </c>
      <c r="W796" s="84">
        <v>9.0965000000000007</v>
      </c>
      <c r="X796" s="82">
        <v>0.35</v>
      </c>
      <c r="Y796" s="82"/>
      <c r="Z796" s="84">
        <v>9.0965000000000007</v>
      </c>
      <c r="AA796" s="84">
        <v>18.193000000000001</v>
      </c>
      <c r="AB796" s="88" t="e">
        <v>#DIV/0!</v>
      </c>
      <c r="AC796" t="s">
        <v>3938</v>
      </c>
    </row>
    <row r="797" spans="3:29">
      <c r="C797" t="s">
        <v>3939</v>
      </c>
      <c r="D797" t="s">
        <v>3935</v>
      </c>
      <c r="E797" s="84">
        <v>31.99</v>
      </c>
      <c r="F797" s="84">
        <v>15.994999999999999</v>
      </c>
      <c r="G797" t="s">
        <v>3901</v>
      </c>
      <c r="H797" t="s">
        <v>3940</v>
      </c>
      <c r="I797" t="s">
        <v>301</v>
      </c>
      <c r="J797" t="s">
        <v>3941</v>
      </c>
      <c r="K797" t="s">
        <v>3905</v>
      </c>
      <c r="L797" t="s">
        <v>670</v>
      </c>
      <c r="N797">
        <v>7</v>
      </c>
      <c r="O797">
        <v>10</v>
      </c>
      <c r="P797">
        <v>4.8999999999999998E-4</v>
      </c>
      <c r="Q797" s="84" t="e">
        <v>#REF!</v>
      </c>
      <c r="R797" s="85"/>
      <c r="S797" s="85"/>
      <c r="T797" s="86">
        <v>0</v>
      </c>
      <c r="U797" s="84">
        <v>0</v>
      </c>
      <c r="V797" s="84">
        <v>22.393000000000001</v>
      </c>
      <c r="W797" s="84">
        <v>11.1965</v>
      </c>
      <c r="X797" s="82">
        <v>0.35</v>
      </c>
      <c r="Y797" s="82"/>
      <c r="Z797" s="84">
        <v>11.1965</v>
      </c>
      <c r="AA797" s="84">
        <v>22.393000000000001</v>
      </c>
      <c r="AB797" s="88" t="e">
        <v>#DIV/0!</v>
      </c>
      <c r="AC797" t="s">
        <v>3942</v>
      </c>
    </row>
    <row r="798" spans="3:29">
      <c r="C798" t="s">
        <v>3943</v>
      </c>
      <c r="D798" t="s">
        <v>3935</v>
      </c>
      <c r="E798" s="84">
        <v>29.99</v>
      </c>
      <c r="F798" s="84">
        <v>14.994999999999999</v>
      </c>
      <c r="G798" t="s">
        <v>3901</v>
      </c>
      <c r="H798" t="s">
        <v>3944</v>
      </c>
      <c r="I798" t="s">
        <v>301</v>
      </c>
      <c r="J798" t="s">
        <v>3945</v>
      </c>
      <c r="K798" t="s">
        <v>3905</v>
      </c>
      <c r="L798" t="s">
        <v>670</v>
      </c>
      <c r="N798">
        <v>7</v>
      </c>
      <c r="O798">
        <v>12</v>
      </c>
      <c r="P798">
        <v>5.8799999999999998E-4</v>
      </c>
      <c r="Q798" s="84" t="e">
        <v>#REF!</v>
      </c>
      <c r="R798" s="85"/>
      <c r="S798" s="85"/>
      <c r="T798" s="86">
        <v>0</v>
      </c>
      <c r="U798" s="84">
        <v>0</v>
      </c>
      <c r="V798" s="84">
        <v>20.992999999999999</v>
      </c>
      <c r="W798" s="84">
        <v>10.496499999999999</v>
      </c>
      <c r="X798" s="82">
        <v>0.35</v>
      </c>
      <c r="Y798" s="82"/>
      <c r="Z798" s="84">
        <v>10.496499999999999</v>
      </c>
      <c r="AA798" s="84">
        <v>20.992999999999999</v>
      </c>
      <c r="AB798" s="88" t="e">
        <v>#DIV/0!</v>
      </c>
      <c r="AC798" t="s">
        <v>3938</v>
      </c>
    </row>
    <row r="799" spans="3:29">
      <c r="C799" t="s">
        <v>3946</v>
      </c>
      <c r="D799" t="s">
        <v>3935</v>
      </c>
      <c r="E799" s="84">
        <v>31.99</v>
      </c>
      <c r="F799" s="84">
        <v>15.994999999999999</v>
      </c>
      <c r="G799" t="s">
        <v>3901</v>
      </c>
      <c r="H799" t="s">
        <v>3947</v>
      </c>
      <c r="I799" t="s">
        <v>301</v>
      </c>
      <c r="J799" t="s">
        <v>3948</v>
      </c>
      <c r="K799" t="s">
        <v>3905</v>
      </c>
      <c r="L799" t="s">
        <v>670</v>
      </c>
      <c r="N799">
        <v>6</v>
      </c>
      <c r="O799">
        <v>16</v>
      </c>
      <c r="P799">
        <v>5.7600000000000001E-4</v>
      </c>
      <c r="Q799" s="84" t="e">
        <v>#REF!</v>
      </c>
      <c r="R799" s="85"/>
      <c r="S799" s="85"/>
      <c r="T799" s="86">
        <v>0</v>
      </c>
      <c r="U799" s="84">
        <v>0</v>
      </c>
      <c r="V799" s="84">
        <v>22.393000000000001</v>
      </c>
      <c r="W799" s="84">
        <v>11.1965</v>
      </c>
      <c r="X799" s="82">
        <v>0.35</v>
      </c>
      <c r="Y799" s="82"/>
      <c r="Z799" s="84">
        <v>11.1965</v>
      </c>
      <c r="AA799" s="84">
        <v>22.393000000000001</v>
      </c>
      <c r="AB799" s="88" t="e">
        <v>#DIV/0!</v>
      </c>
      <c r="AC799" t="s">
        <v>3949</v>
      </c>
    </row>
    <row r="800" spans="3:29">
      <c r="C800" t="s">
        <v>3950</v>
      </c>
      <c r="D800" t="s">
        <v>3935</v>
      </c>
      <c r="E800" s="84">
        <v>57.99</v>
      </c>
      <c r="F800" s="84">
        <v>28.995000000000001</v>
      </c>
      <c r="G800" t="s">
        <v>3901</v>
      </c>
      <c r="H800" t="s">
        <v>3951</v>
      </c>
      <c r="I800" t="s">
        <v>301</v>
      </c>
      <c r="J800" t="s">
        <v>3952</v>
      </c>
      <c r="K800" t="s">
        <v>3905</v>
      </c>
      <c r="L800" t="s">
        <v>670</v>
      </c>
      <c r="N800">
        <v>11</v>
      </c>
      <c r="O800">
        <v>27</v>
      </c>
      <c r="P800">
        <v>3.2669999999999999E-3</v>
      </c>
      <c r="Q800" s="84" t="e">
        <v>#REF!</v>
      </c>
      <c r="R800" s="85"/>
      <c r="S800" s="85"/>
      <c r="T800" s="86">
        <v>0</v>
      </c>
      <c r="U800" s="84">
        <v>0</v>
      </c>
      <c r="V800" s="84">
        <v>40.593000000000004</v>
      </c>
      <c r="W800" s="84">
        <v>20.296500000000002</v>
      </c>
      <c r="X800" s="82">
        <v>0.35</v>
      </c>
      <c r="Y800" s="82"/>
      <c r="Z800" s="84">
        <v>20.296500000000002</v>
      </c>
      <c r="AA800" s="84">
        <v>40.593000000000004</v>
      </c>
      <c r="AB800" s="88" t="e">
        <v>#DIV/0!</v>
      </c>
      <c r="AC800" t="s">
        <v>3953</v>
      </c>
    </row>
    <row r="801" spans="3:29">
      <c r="C801" t="s">
        <v>3954</v>
      </c>
      <c r="D801" t="s">
        <v>3955</v>
      </c>
      <c r="E801" s="84">
        <v>30.99</v>
      </c>
      <c r="F801" s="84">
        <v>15.494999999999999</v>
      </c>
      <c r="G801" t="s">
        <v>3901</v>
      </c>
      <c r="H801" t="s">
        <v>3956</v>
      </c>
      <c r="I801" t="s">
        <v>85</v>
      </c>
      <c r="J801" t="s">
        <v>3957</v>
      </c>
      <c r="K801" t="s">
        <v>3905</v>
      </c>
      <c r="L801" t="s">
        <v>670</v>
      </c>
      <c r="N801">
        <v>9</v>
      </c>
      <c r="O801">
        <v>15</v>
      </c>
      <c r="P801">
        <v>1.2149999999999999E-3</v>
      </c>
      <c r="Q801" s="84" t="e">
        <v>#REF!</v>
      </c>
      <c r="R801" s="85"/>
      <c r="S801" s="85"/>
      <c r="T801" s="86">
        <v>0</v>
      </c>
      <c r="U801" s="84">
        <v>0</v>
      </c>
      <c r="V801" s="84">
        <v>21.693000000000001</v>
      </c>
      <c r="W801" s="84">
        <v>10.846500000000001</v>
      </c>
      <c r="X801" s="82">
        <v>0.35</v>
      </c>
      <c r="Y801" s="82"/>
      <c r="Z801" s="84">
        <v>10.846500000000001</v>
      </c>
      <c r="AA801" s="84">
        <v>21.693000000000001</v>
      </c>
      <c r="AB801" s="88" t="e">
        <v>#DIV/0!</v>
      </c>
      <c r="AC801" t="s">
        <v>3958</v>
      </c>
    </row>
    <row r="802" spans="3:29" ht="60.75">
      <c r="C802" t="s">
        <v>3959</v>
      </c>
      <c r="D802" t="s">
        <v>3955</v>
      </c>
      <c r="E802" s="84"/>
      <c r="F802" s="84">
        <v>0</v>
      </c>
      <c r="G802" t="s">
        <v>3901</v>
      </c>
      <c r="H802" t="s">
        <v>3960</v>
      </c>
      <c r="I802" t="s">
        <v>85</v>
      </c>
      <c r="J802" t="s">
        <v>3957</v>
      </c>
      <c r="K802" s="83" t="s">
        <v>3961</v>
      </c>
      <c r="L802" t="s">
        <v>670</v>
      </c>
      <c r="N802">
        <v>9</v>
      </c>
      <c r="O802">
        <v>15</v>
      </c>
      <c r="P802">
        <v>1.2149999999999999E-3</v>
      </c>
      <c r="Q802" s="84" t="e">
        <v>#REF!</v>
      </c>
      <c r="R802" s="85"/>
      <c r="S802" s="85"/>
      <c r="T802" s="86">
        <v>0</v>
      </c>
      <c r="U802" s="84">
        <v>0</v>
      </c>
      <c r="V802" s="84">
        <v>0</v>
      </c>
      <c r="W802" s="84">
        <v>0</v>
      </c>
      <c r="X802" s="82" t="e">
        <v>#DIV/0!</v>
      </c>
      <c r="Y802" s="82"/>
      <c r="Z802" s="84">
        <v>0</v>
      </c>
      <c r="AA802" s="84">
        <v>0</v>
      </c>
      <c r="AB802" s="88" t="e">
        <v>#DIV/0!</v>
      </c>
      <c r="AC802" t="s">
        <v>3962</v>
      </c>
    </row>
    <row r="803" spans="3:29" ht="60.75">
      <c r="C803" t="s">
        <v>3963</v>
      </c>
      <c r="D803" t="s">
        <v>3955</v>
      </c>
      <c r="E803" s="84"/>
      <c r="F803" s="84">
        <v>0</v>
      </c>
      <c r="G803" t="s">
        <v>3901</v>
      </c>
      <c r="H803" t="s">
        <v>3964</v>
      </c>
      <c r="I803" t="s">
        <v>85</v>
      </c>
      <c r="J803" t="s">
        <v>3957</v>
      </c>
      <c r="K803" s="83" t="s">
        <v>3965</v>
      </c>
      <c r="L803" t="s">
        <v>670</v>
      </c>
      <c r="N803">
        <v>9</v>
      </c>
      <c r="O803">
        <v>15</v>
      </c>
      <c r="P803">
        <v>1.2149999999999999E-3</v>
      </c>
      <c r="Q803" s="84" t="e">
        <v>#REF!</v>
      </c>
      <c r="R803" s="85"/>
      <c r="S803" s="85"/>
      <c r="T803" s="86">
        <v>0</v>
      </c>
      <c r="U803" s="84">
        <v>0</v>
      </c>
      <c r="V803" s="84">
        <v>0</v>
      </c>
      <c r="W803" s="84">
        <v>0</v>
      </c>
      <c r="X803" s="82" t="e">
        <v>#DIV/0!</v>
      </c>
      <c r="Y803" s="82"/>
      <c r="Z803" s="84">
        <v>0</v>
      </c>
      <c r="AA803" s="84">
        <v>0</v>
      </c>
      <c r="AB803" s="88" t="e">
        <v>#DIV/0!</v>
      </c>
      <c r="AC803" t="s">
        <v>3958</v>
      </c>
    </row>
    <row r="804" spans="3:29">
      <c r="C804" t="s">
        <v>3966</v>
      </c>
      <c r="D804" t="s">
        <v>3967</v>
      </c>
      <c r="E804" s="84">
        <v>38.99</v>
      </c>
      <c r="F804" s="84">
        <v>19.495000000000001</v>
      </c>
      <c r="G804" t="s">
        <v>3901</v>
      </c>
      <c r="H804" t="s">
        <v>3968</v>
      </c>
      <c r="I804" t="s">
        <v>618</v>
      </c>
      <c r="J804" t="s">
        <v>3969</v>
      </c>
      <c r="K804" t="s">
        <v>3905</v>
      </c>
      <c r="L804" t="s">
        <v>670</v>
      </c>
      <c r="N804">
        <v>9.5</v>
      </c>
      <c r="O804">
        <v>20</v>
      </c>
      <c r="P804">
        <v>1.805E-3</v>
      </c>
      <c r="Q804" s="84" t="e">
        <v>#REF!</v>
      </c>
      <c r="R804" s="85"/>
      <c r="S804" s="85"/>
      <c r="T804" s="86">
        <v>0</v>
      </c>
      <c r="U804" s="84">
        <v>0</v>
      </c>
      <c r="V804" s="84">
        <v>27.292999999999999</v>
      </c>
      <c r="W804" s="84">
        <v>13.6465</v>
      </c>
      <c r="X804" s="82">
        <v>0.35</v>
      </c>
      <c r="Y804" s="82"/>
      <c r="Z804" s="84">
        <v>13.6465</v>
      </c>
      <c r="AA804" s="84">
        <v>27.292999999999999</v>
      </c>
      <c r="AB804" s="88" t="e">
        <v>#DIV/0!</v>
      </c>
      <c r="AC804" t="s">
        <v>3970</v>
      </c>
    </row>
    <row r="805" spans="3:29">
      <c r="C805" t="s">
        <v>3971</v>
      </c>
      <c r="D805" t="s">
        <v>3967</v>
      </c>
      <c r="E805" s="84">
        <v>41.99</v>
      </c>
      <c r="F805" s="84">
        <v>20.995000000000001</v>
      </c>
      <c r="G805" t="s">
        <v>3901</v>
      </c>
      <c r="H805" t="s">
        <v>3972</v>
      </c>
      <c r="I805" t="s">
        <v>618</v>
      </c>
      <c r="J805" t="s">
        <v>3969</v>
      </c>
      <c r="K805" t="s">
        <v>3973</v>
      </c>
      <c r="L805" t="s">
        <v>670</v>
      </c>
      <c r="N805">
        <v>9.5</v>
      </c>
      <c r="O805">
        <v>20</v>
      </c>
      <c r="P805">
        <v>1.805E-3</v>
      </c>
      <c r="Q805" s="84" t="e">
        <v>#REF!</v>
      </c>
      <c r="R805" s="85"/>
      <c r="S805" s="85"/>
      <c r="T805" s="86">
        <v>0</v>
      </c>
      <c r="U805" s="84">
        <v>0</v>
      </c>
      <c r="V805" s="84">
        <v>29.393000000000001</v>
      </c>
      <c r="W805" s="84">
        <v>14.6965</v>
      </c>
      <c r="X805" s="82">
        <v>0.35</v>
      </c>
      <c r="Y805" s="82"/>
      <c r="Z805" s="84">
        <v>14.6965</v>
      </c>
      <c r="AA805" s="84">
        <v>29.393000000000001</v>
      </c>
      <c r="AB805" s="88" t="e">
        <v>#DIV/0!</v>
      </c>
      <c r="AC805" t="s">
        <v>3974</v>
      </c>
    </row>
    <row r="806" spans="3:29" ht="60.75">
      <c r="C806" t="s">
        <v>3975</v>
      </c>
      <c r="D806" t="s">
        <v>3967</v>
      </c>
      <c r="E806" s="84"/>
      <c r="F806" s="84">
        <v>0</v>
      </c>
      <c r="G806" t="s">
        <v>3901</v>
      </c>
      <c r="H806" t="s">
        <v>3976</v>
      </c>
      <c r="I806" t="s">
        <v>618</v>
      </c>
      <c r="J806" t="s">
        <v>3969</v>
      </c>
      <c r="K806" s="83" t="s">
        <v>3965</v>
      </c>
      <c r="L806" t="s">
        <v>670</v>
      </c>
      <c r="N806">
        <v>9.5</v>
      </c>
      <c r="O806">
        <v>20</v>
      </c>
      <c r="P806">
        <v>1.805E-3</v>
      </c>
      <c r="Q806" s="84" t="e">
        <v>#REF!</v>
      </c>
      <c r="R806" s="85"/>
      <c r="S806" s="85"/>
      <c r="T806" s="86">
        <v>0</v>
      </c>
      <c r="U806" s="84">
        <v>0</v>
      </c>
      <c r="V806" s="84">
        <v>0</v>
      </c>
      <c r="W806" s="84">
        <v>0</v>
      </c>
      <c r="X806" s="82" t="e">
        <v>#DIV/0!</v>
      </c>
      <c r="Y806" s="82"/>
      <c r="Z806" s="84">
        <v>0</v>
      </c>
      <c r="AA806" s="84">
        <v>0</v>
      </c>
      <c r="AB806" s="88" t="e">
        <v>#DIV/0!</v>
      </c>
      <c r="AC806" t="s">
        <v>3974</v>
      </c>
    </row>
    <row r="807" spans="3:29">
      <c r="C807" t="s">
        <v>3977</v>
      </c>
      <c r="D807" t="s">
        <v>3978</v>
      </c>
      <c r="E807" s="84">
        <v>41.99</v>
      </c>
      <c r="F807" s="84">
        <v>20.995000000000001</v>
      </c>
      <c r="G807" t="s">
        <v>3901</v>
      </c>
      <c r="H807" t="s">
        <v>3979</v>
      </c>
      <c r="I807" t="s">
        <v>611</v>
      </c>
      <c r="J807" t="s">
        <v>3980</v>
      </c>
      <c r="K807" t="s">
        <v>3905</v>
      </c>
      <c r="L807" t="s">
        <v>670</v>
      </c>
      <c r="N807">
        <v>10</v>
      </c>
      <c r="O807">
        <v>25</v>
      </c>
      <c r="P807">
        <v>2.5000000000000001E-3</v>
      </c>
      <c r="Q807" s="84" t="e">
        <v>#REF!</v>
      </c>
      <c r="R807" s="85"/>
      <c r="S807" s="85"/>
      <c r="T807" s="86">
        <v>0</v>
      </c>
      <c r="U807" s="84">
        <v>0</v>
      </c>
      <c r="V807" s="84">
        <v>29.393000000000001</v>
      </c>
      <c r="W807" s="84">
        <v>14.6965</v>
      </c>
      <c r="X807" s="82">
        <v>0.35</v>
      </c>
      <c r="Y807" s="82"/>
      <c r="Z807" s="84">
        <v>14.6965</v>
      </c>
      <c r="AA807" s="84">
        <v>29.393000000000001</v>
      </c>
      <c r="AB807" s="88" t="e">
        <v>#DIV/0!</v>
      </c>
      <c r="AC807" t="s">
        <v>3981</v>
      </c>
    </row>
    <row r="808" spans="3:29">
      <c r="C808" t="s">
        <v>3982</v>
      </c>
      <c r="D808" t="s">
        <v>3978</v>
      </c>
      <c r="E808" s="84">
        <v>45.99</v>
      </c>
      <c r="F808" s="84">
        <v>22.995000000000001</v>
      </c>
      <c r="G808" t="s">
        <v>3901</v>
      </c>
      <c r="H808" t="s">
        <v>3983</v>
      </c>
      <c r="I808" t="s">
        <v>611</v>
      </c>
      <c r="J808" t="s">
        <v>3980</v>
      </c>
      <c r="K808" t="s">
        <v>3973</v>
      </c>
      <c r="L808" t="s">
        <v>670</v>
      </c>
      <c r="N808">
        <v>10</v>
      </c>
      <c r="O808">
        <v>25</v>
      </c>
      <c r="P808">
        <v>2.5000000000000001E-3</v>
      </c>
      <c r="Q808" s="84" t="e">
        <v>#REF!</v>
      </c>
      <c r="R808" s="85"/>
      <c r="S808" s="85"/>
      <c r="T808" s="86">
        <v>0</v>
      </c>
      <c r="U808" s="84">
        <v>0</v>
      </c>
      <c r="V808" s="84">
        <v>32.192999999999998</v>
      </c>
      <c r="W808" s="84">
        <v>16.096499999999999</v>
      </c>
      <c r="X808" s="82">
        <v>0.35</v>
      </c>
      <c r="Y808" s="82"/>
      <c r="Z808" s="84">
        <v>16.096499999999999</v>
      </c>
      <c r="AA808" s="84">
        <v>32.192999999999998</v>
      </c>
      <c r="AB808" s="88" t="e">
        <v>#DIV/0!</v>
      </c>
      <c r="AC808" t="s">
        <v>3984</v>
      </c>
    </row>
    <row r="809" spans="3:29" ht="60.75">
      <c r="C809" t="s">
        <v>3985</v>
      </c>
      <c r="D809" t="s">
        <v>3978</v>
      </c>
      <c r="E809" s="84"/>
      <c r="F809" s="84">
        <v>0</v>
      </c>
      <c r="G809" t="s">
        <v>3901</v>
      </c>
      <c r="H809" t="s">
        <v>3986</v>
      </c>
      <c r="I809" t="s">
        <v>611</v>
      </c>
      <c r="J809" t="s">
        <v>3980</v>
      </c>
      <c r="K809" s="83" t="s">
        <v>3965</v>
      </c>
      <c r="L809" t="s">
        <v>670</v>
      </c>
      <c r="N809">
        <v>10</v>
      </c>
      <c r="O809">
        <v>25</v>
      </c>
      <c r="P809">
        <v>2.5000000000000001E-3</v>
      </c>
      <c r="Q809" s="84" t="e">
        <v>#REF!</v>
      </c>
      <c r="R809" s="85"/>
      <c r="S809" s="85"/>
      <c r="T809" s="86">
        <v>0</v>
      </c>
      <c r="U809" s="84">
        <v>0</v>
      </c>
      <c r="V809" s="84">
        <v>0</v>
      </c>
      <c r="W809" s="84">
        <v>0</v>
      </c>
      <c r="X809" s="82" t="e">
        <v>#DIV/0!</v>
      </c>
      <c r="Y809" s="82"/>
      <c r="Z809" s="84">
        <v>0</v>
      </c>
      <c r="AA809" s="84">
        <v>0</v>
      </c>
      <c r="AB809" s="88" t="e">
        <v>#DIV/0!</v>
      </c>
      <c r="AC809" t="s">
        <v>3987</v>
      </c>
    </row>
    <row r="810" spans="3:29">
      <c r="C810" t="s">
        <v>3988</v>
      </c>
      <c r="D810" t="s">
        <v>3989</v>
      </c>
      <c r="E810" s="84">
        <v>36.99</v>
      </c>
      <c r="F810" s="84">
        <v>18.495000000000001</v>
      </c>
      <c r="G810" t="s">
        <v>3901</v>
      </c>
      <c r="H810" t="s">
        <v>3990</v>
      </c>
      <c r="I810" t="s">
        <v>577</v>
      </c>
      <c r="J810" t="s">
        <v>3991</v>
      </c>
      <c r="K810" t="s">
        <v>3905</v>
      </c>
      <c r="L810" t="s">
        <v>670</v>
      </c>
      <c r="N810">
        <v>7</v>
      </c>
      <c r="O810">
        <v>25</v>
      </c>
      <c r="P810">
        <v>1.225E-3</v>
      </c>
      <c r="Q810" s="84" t="e">
        <v>#REF!</v>
      </c>
      <c r="R810" s="85"/>
      <c r="S810" s="85"/>
      <c r="T810" s="86">
        <v>0</v>
      </c>
      <c r="U810" s="84">
        <v>0</v>
      </c>
      <c r="V810" s="84">
        <v>25.893000000000001</v>
      </c>
      <c r="W810" s="84">
        <v>12.9465</v>
      </c>
      <c r="X810" s="82">
        <v>0.35</v>
      </c>
      <c r="Y810" s="82"/>
      <c r="Z810" s="84">
        <v>12.9465</v>
      </c>
      <c r="AA810" s="84">
        <v>25.893000000000001</v>
      </c>
      <c r="AB810" s="88" t="e">
        <v>#DIV/0!</v>
      </c>
      <c r="AC810" t="s">
        <v>3992</v>
      </c>
    </row>
    <row r="811" spans="3:29">
      <c r="C811" t="s">
        <v>3993</v>
      </c>
      <c r="D811" t="s">
        <v>3989</v>
      </c>
      <c r="E811" s="84">
        <v>40.99</v>
      </c>
      <c r="F811" s="84">
        <v>20.495000000000001</v>
      </c>
      <c r="G811" t="s">
        <v>3901</v>
      </c>
      <c r="H811" t="s">
        <v>3994</v>
      </c>
      <c r="I811" t="s">
        <v>577</v>
      </c>
      <c r="J811" t="s">
        <v>3995</v>
      </c>
      <c r="K811" t="s">
        <v>3905</v>
      </c>
      <c r="L811" t="s">
        <v>670</v>
      </c>
      <c r="N811">
        <v>8</v>
      </c>
      <c r="O811">
        <v>30</v>
      </c>
      <c r="P811">
        <v>1.92E-3</v>
      </c>
      <c r="Q811" s="84" t="e">
        <v>#REF!</v>
      </c>
      <c r="R811" s="85"/>
      <c r="S811" s="85"/>
      <c r="T811" s="86">
        <v>0</v>
      </c>
      <c r="U811" s="84">
        <v>0</v>
      </c>
      <c r="V811" s="84">
        <v>28.693000000000001</v>
      </c>
      <c r="W811" s="84">
        <v>14.346500000000001</v>
      </c>
      <c r="X811" s="82">
        <v>0.35</v>
      </c>
      <c r="Y811" s="82"/>
      <c r="Z811" s="84">
        <v>14.346500000000001</v>
      </c>
      <c r="AA811" s="84">
        <v>28.693000000000001</v>
      </c>
      <c r="AB811" s="88" t="e">
        <v>#DIV/0!</v>
      </c>
      <c r="AC811" t="s">
        <v>3996</v>
      </c>
    </row>
    <row r="812" spans="3:29">
      <c r="C812" t="s">
        <v>3997</v>
      </c>
      <c r="D812" t="s">
        <v>3998</v>
      </c>
      <c r="E812" s="84">
        <v>27.99</v>
      </c>
      <c r="F812" s="84">
        <v>13.994999999999999</v>
      </c>
      <c r="G812" t="s">
        <v>3901</v>
      </c>
      <c r="H812" t="s">
        <v>3999</v>
      </c>
      <c r="I812" t="s">
        <v>496</v>
      </c>
      <c r="J812" t="s">
        <v>4000</v>
      </c>
      <c r="K812" t="s">
        <v>3905</v>
      </c>
      <c r="L812" t="s">
        <v>670</v>
      </c>
      <c r="N812">
        <v>12</v>
      </c>
      <c r="O812">
        <v>10</v>
      </c>
      <c r="P812">
        <v>1.4400000000000001E-3</v>
      </c>
      <c r="Q812" s="84" t="e">
        <v>#REF!</v>
      </c>
      <c r="R812" s="85"/>
      <c r="S812" s="85"/>
      <c r="T812" s="86">
        <v>0</v>
      </c>
      <c r="U812" s="84">
        <v>0</v>
      </c>
      <c r="V812" s="84">
        <v>19.593</v>
      </c>
      <c r="W812" s="84">
        <v>9.7965</v>
      </c>
      <c r="X812" s="82">
        <v>0.35</v>
      </c>
      <c r="Y812" s="82"/>
      <c r="Z812" s="84">
        <v>9.7965</v>
      </c>
      <c r="AA812" s="84">
        <v>19.593</v>
      </c>
      <c r="AB812" s="88" t="e">
        <v>#DIV/0!</v>
      </c>
      <c r="AC812" t="s">
        <v>4001</v>
      </c>
    </row>
    <row r="813" spans="3:29">
      <c r="C813" t="s">
        <v>4002</v>
      </c>
      <c r="D813" t="s">
        <v>3998</v>
      </c>
      <c r="E813" s="84">
        <v>31.99</v>
      </c>
      <c r="F813" s="84">
        <v>15.994999999999999</v>
      </c>
      <c r="G813" t="s">
        <v>3901</v>
      </c>
      <c r="H813" t="s">
        <v>4003</v>
      </c>
      <c r="I813" t="s">
        <v>496</v>
      </c>
      <c r="J813" t="s">
        <v>4004</v>
      </c>
      <c r="K813" t="s">
        <v>3905</v>
      </c>
      <c r="L813" t="s">
        <v>670</v>
      </c>
      <c r="N813">
        <v>12</v>
      </c>
      <c r="O813">
        <v>14</v>
      </c>
      <c r="P813">
        <v>2.016E-3</v>
      </c>
      <c r="Q813" s="84" t="e">
        <v>#REF!</v>
      </c>
      <c r="R813" s="85"/>
      <c r="S813" s="85"/>
      <c r="T813" s="86">
        <v>0</v>
      </c>
      <c r="U813" s="84">
        <v>0</v>
      </c>
      <c r="V813" s="84">
        <v>22.393000000000001</v>
      </c>
      <c r="W813" s="84">
        <v>11.1965</v>
      </c>
      <c r="X813" s="82">
        <v>0.35</v>
      </c>
      <c r="Y813" s="82"/>
      <c r="Z813" s="84">
        <v>11.1965</v>
      </c>
      <c r="AA813" s="84">
        <v>22.393000000000001</v>
      </c>
      <c r="AB813" s="88" t="e">
        <v>#DIV/0!</v>
      </c>
      <c r="AC813" t="s">
        <v>4005</v>
      </c>
    </row>
    <row r="814" spans="3:29">
      <c r="C814" t="s">
        <v>4006</v>
      </c>
      <c r="D814" t="s">
        <v>4007</v>
      </c>
      <c r="E814" s="84">
        <v>33.99</v>
      </c>
      <c r="F814" s="84">
        <v>16.995000000000001</v>
      </c>
      <c r="G814" t="s">
        <v>3901</v>
      </c>
      <c r="H814" t="s">
        <v>4008</v>
      </c>
      <c r="I814" t="s">
        <v>104</v>
      </c>
      <c r="J814" t="s">
        <v>4009</v>
      </c>
      <c r="K814" t="s">
        <v>3905</v>
      </c>
      <c r="L814" t="s">
        <v>670</v>
      </c>
      <c r="N814">
        <v>12</v>
      </c>
      <c r="O814">
        <v>15</v>
      </c>
      <c r="P814">
        <v>2.16E-3</v>
      </c>
      <c r="Q814" s="84" t="e">
        <v>#REF!</v>
      </c>
      <c r="R814" s="85"/>
      <c r="S814" s="85"/>
      <c r="T814" s="86">
        <v>0</v>
      </c>
      <c r="U814" s="84">
        <v>0</v>
      </c>
      <c r="V814" s="84">
        <v>23.792999999999999</v>
      </c>
      <c r="W814" s="84">
        <v>11.8965</v>
      </c>
      <c r="X814" s="82">
        <v>0.35</v>
      </c>
      <c r="Y814" s="82"/>
      <c r="Z814" s="84">
        <v>11.8965</v>
      </c>
      <c r="AA814" s="84">
        <v>23.792999999999999</v>
      </c>
      <c r="AB814" s="88" t="e">
        <v>#DIV/0!</v>
      </c>
      <c r="AC814" t="s">
        <v>4010</v>
      </c>
    </row>
    <row r="815" spans="3:29">
      <c r="C815" t="s">
        <v>4011</v>
      </c>
      <c r="D815" t="s">
        <v>4007</v>
      </c>
      <c r="E815" s="84">
        <v>44.99</v>
      </c>
      <c r="F815" s="84">
        <v>22.495000000000001</v>
      </c>
      <c r="G815" t="s">
        <v>3901</v>
      </c>
      <c r="H815" t="s">
        <v>4012</v>
      </c>
      <c r="I815" t="s">
        <v>104</v>
      </c>
      <c r="J815" t="s">
        <v>4013</v>
      </c>
      <c r="K815" t="s">
        <v>3905</v>
      </c>
      <c r="L815" t="s">
        <v>670</v>
      </c>
      <c r="N815">
        <v>14</v>
      </c>
      <c r="O815">
        <v>17</v>
      </c>
      <c r="P815">
        <v>3.3319999999999999E-3</v>
      </c>
      <c r="Q815" s="84" t="e">
        <v>#REF!</v>
      </c>
      <c r="R815" s="85"/>
      <c r="S815" s="85"/>
      <c r="T815" s="86">
        <v>0</v>
      </c>
      <c r="U815" s="84">
        <v>0</v>
      </c>
      <c r="V815" s="84">
        <v>31.492999999999999</v>
      </c>
      <c r="W815" s="84">
        <v>15.746499999999999</v>
      </c>
      <c r="X815" s="82">
        <v>0.35</v>
      </c>
      <c r="Y815" s="82"/>
      <c r="Z815" s="84">
        <v>15.746499999999999</v>
      </c>
      <c r="AA815" s="84">
        <v>31.492999999999999</v>
      </c>
      <c r="AB815" s="88" t="e">
        <v>#DIV/0!</v>
      </c>
      <c r="AC815" t="s">
        <v>4014</v>
      </c>
    </row>
    <row r="816" spans="3:29">
      <c r="C816" t="s">
        <v>4015</v>
      </c>
      <c r="D816" t="s">
        <v>4016</v>
      </c>
      <c r="E816" s="84">
        <v>20.99</v>
      </c>
      <c r="F816" s="84">
        <v>10.494999999999999</v>
      </c>
      <c r="G816" t="s">
        <v>3901</v>
      </c>
      <c r="H816" t="s">
        <v>4017</v>
      </c>
      <c r="I816" t="s">
        <v>998</v>
      </c>
      <c r="J816" t="s">
        <v>4018</v>
      </c>
      <c r="K816" t="s">
        <v>3905</v>
      </c>
      <c r="L816" t="s">
        <v>670</v>
      </c>
      <c r="N816">
        <v>5</v>
      </c>
      <c r="O816">
        <v>5</v>
      </c>
      <c r="P816">
        <v>1.25E-4</v>
      </c>
      <c r="Q816" s="84" t="e">
        <v>#REF!</v>
      </c>
      <c r="R816" s="85"/>
      <c r="S816" s="85"/>
      <c r="T816" s="86">
        <v>0</v>
      </c>
      <c r="U816" s="84">
        <v>0</v>
      </c>
      <c r="V816" s="84">
        <v>14.693</v>
      </c>
      <c r="W816" s="84">
        <v>7.3464999999999998</v>
      </c>
      <c r="X816" s="82">
        <v>0.35</v>
      </c>
      <c r="Y816" s="82"/>
      <c r="Z816" s="84">
        <v>7.3464999999999998</v>
      </c>
      <c r="AA816" s="84">
        <v>14.693</v>
      </c>
      <c r="AB816" s="88" t="e">
        <v>#DIV/0!</v>
      </c>
      <c r="AC816" t="s">
        <v>4019</v>
      </c>
    </row>
    <row r="817" spans="3:29">
      <c r="C817" t="s">
        <v>4020</v>
      </c>
      <c r="D817" t="s">
        <v>4016</v>
      </c>
      <c r="E817" s="84">
        <v>22.99</v>
      </c>
      <c r="F817" s="84">
        <v>11.494999999999999</v>
      </c>
      <c r="G817" t="s">
        <v>3901</v>
      </c>
      <c r="H817" t="s">
        <v>4021</v>
      </c>
      <c r="I817" t="s">
        <v>998</v>
      </c>
      <c r="J817" t="s">
        <v>4022</v>
      </c>
      <c r="K817" t="s">
        <v>3905</v>
      </c>
      <c r="L817" t="s">
        <v>670</v>
      </c>
      <c r="N817">
        <v>6</v>
      </c>
      <c r="O817">
        <v>7</v>
      </c>
      <c r="P817">
        <v>2.52E-4</v>
      </c>
      <c r="Q817" s="84" t="e">
        <v>#REF!</v>
      </c>
      <c r="R817" s="85"/>
      <c r="S817" s="85"/>
      <c r="T817" s="86">
        <v>0</v>
      </c>
      <c r="U817" s="84">
        <v>0</v>
      </c>
      <c r="V817" s="84">
        <v>16.093</v>
      </c>
      <c r="W817" s="84">
        <v>8.0465</v>
      </c>
      <c r="X817" s="82">
        <v>0.35</v>
      </c>
      <c r="Y817" s="82"/>
      <c r="Z817" s="84">
        <v>8.0465</v>
      </c>
      <c r="AA817" s="84">
        <v>16.093</v>
      </c>
      <c r="AB817" s="88" t="e">
        <v>#DIV/0!</v>
      </c>
      <c r="AC817" t="s">
        <v>4023</v>
      </c>
    </row>
    <row r="818" spans="3:29">
      <c r="C818" t="s">
        <v>4024</v>
      </c>
      <c r="D818" t="s">
        <v>4025</v>
      </c>
      <c r="E818" s="84">
        <v>23.99</v>
      </c>
      <c r="F818" s="84">
        <v>11.994999999999999</v>
      </c>
      <c r="G818" t="s">
        <v>3901</v>
      </c>
      <c r="H818" t="s">
        <v>4017</v>
      </c>
      <c r="I818" t="s">
        <v>1004</v>
      </c>
      <c r="J818" t="s">
        <v>4018</v>
      </c>
      <c r="K818" t="s">
        <v>3905</v>
      </c>
      <c r="L818" t="s">
        <v>670</v>
      </c>
      <c r="N818">
        <v>5</v>
      </c>
      <c r="O818">
        <v>5</v>
      </c>
      <c r="P818">
        <v>1.25E-4</v>
      </c>
      <c r="Q818" s="84" t="e">
        <v>#REF!</v>
      </c>
      <c r="R818" s="85"/>
      <c r="S818" s="85"/>
      <c r="T818" s="86">
        <v>0</v>
      </c>
      <c r="U818" s="84">
        <v>0</v>
      </c>
      <c r="V818" s="84">
        <v>16.792999999999999</v>
      </c>
      <c r="W818" s="84">
        <v>8.3964999999999996</v>
      </c>
      <c r="X818" s="82">
        <v>0.35</v>
      </c>
      <c r="Y818" s="82"/>
      <c r="Z818" s="84">
        <v>8.3964999999999996</v>
      </c>
      <c r="AA818" s="84">
        <v>16.792999999999999</v>
      </c>
      <c r="AB818" s="88" t="e">
        <v>#DIV/0!</v>
      </c>
      <c r="AC818" t="s">
        <v>4026</v>
      </c>
    </row>
    <row r="819" spans="3:29">
      <c r="C819" t="s">
        <v>4027</v>
      </c>
      <c r="D819" t="s">
        <v>4025</v>
      </c>
      <c r="E819" s="84">
        <v>26.99</v>
      </c>
      <c r="F819" s="84">
        <v>13.494999999999999</v>
      </c>
      <c r="G819" t="s">
        <v>3901</v>
      </c>
      <c r="H819" t="s">
        <v>4021</v>
      </c>
      <c r="I819" t="s">
        <v>1004</v>
      </c>
      <c r="J819" t="s">
        <v>4028</v>
      </c>
      <c r="K819" t="s">
        <v>3905</v>
      </c>
      <c r="L819" t="s">
        <v>670</v>
      </c>
      <c r="N819">
        <v>6</v>
      </c>
      <c r="O819">
        <v>7</v>
      </c>
      <c r="P819">
        <v>2.52E-4</v>
      </c>
      <c r="Q819" s="84" t="e">
        <v>#REF!</v>
      </c>
      <c r="R819" s="85"/>
      <c r="S819" s="85"/>
      <c r="T819" s="86">
        <v>0</v>
      </c>
      <c r="U819" s="84">
        <v>0</v>
      </c>
      <c r="V819" s="84">
        <v>18.893000000000001</v>
      </c>
      <c r="W819" s="84">
        <v>9.4465000000000003</v>
      </c>
      <c r="X819" s="82">
        <v>0.35</v>
      </c>
      <c r="Y819" s="82"/>
      <c r="Z819" s="84">
        <v>9.4465000000000003</v>
      </c>
      <c r="AA819" s="84">
        <v>18.893000000000001</v>
      </c>
      <c r="AB819" s="88" t="e">
        <v>#DIV/0!</v>
      </c>
      <c r="AC819" t="s">
        <v>4029</v>
      </c>
    </row>
    <row r="820" spans="3:29">
      <c r="C820" t="s">
        <v>4030</v>
      </c>
      <c r="D820" t="s">
        <v>4031</v>
      </c>
      <c r="E820" s="84">
        <v>25.99</v>
      </c>
      <c r="F820" s="84">
        <v>12.994999999999999</v>
      </c>
      <c r="G820" t="s">
        <v>3901</v>
      </c>
      <c r="H820" t="s">
        <v>4017</v>
      </c>
      <c r="I820" t="s">
        <v>1009</v>
      </c>
      <c r="J820" t="s">
        <v>4032</v>
      </c>
      <c r="K820" t="s">
        <v>3905</v>
      </c>
      <c r="L820" t="s">
        <v>670</v>
      </c>
      <c r="N820">
        <v>5</v>
      </c>
      <c r="O820">
        <v>5</v>
      </c>
      <c r="P820">
        <v>1.25E-4</v>
      </c>
      <c r="Q820" s="84" t="e">
        <v>#REF!</v>
      </c>
      <c r="R820" s="85"/>
      <c r="S820" s="85"/>
      <c r="T820" s="86">
        <v>0</v>
      </c>
      <c r="U820" s="84">
        <v>0</v>
      </c>
      <c r="V820" s="84">
        <v>18.193000000000001</v>
      </c>
      <c r="W820" s="84">
        <v>9.0965000000000007</v>
      </c>
      <c r="X820" s="82">
        <v>0.35</v>
      </c>
      <c r="Y820" s="82"/>
      <c r="Z820" s="84">
        <v>9.0965000000000007</v>
      </c>
      <c r="AA820" s="84">
        <v>18.193000000000001</v>
      </c>
      <c r="AB820" s="88" t="e">
        <v>#DIV/0!</v>
      </c>
      <c r="AC820" t="s">
        <v>4033</v>
      </c>
    </row>
    <row r="821" spans="3:29">
      <c r="C821" t="s">
        <v>4034</v>
      </c>
      <c r="D821" t="s">
        <v>4031</v>
      </c>
      <c r="E821" s="84">
        <v>26.99</v>
      </c>
      <c r="F821" s="84">
        <v>13.494999999999999</v>
      </c>
      <c r="G821" t="s">
        <v>3901</v>
      </c>
      <c r="H821" t="s">
        <v>4021</v>
      </c>
      <c r="I821" t="s">
        <v>1009</v>
      </c>
      <c r="J821" t="s">
        <v>4035</v>
      </c>
      <c r="K821" t="s">
        <v>3905</v>
      </c>
      <c r="L821" t="s">
        <v>670</v>
      </c>
      <c r="N821">
        <v>6</v>
      </c>
      <c r="O821">
        <v>7</v>
      </c>
      <c r="P821">
        <v>2.52E-4</v>
      </c>
      <c r="Q821" s="84" t="e">
        <v>#REF!</v>
      </c>
      <c r="R821" s="85"/>
      <c r="S821" s="85"/>
      <c r="T821" s="86">
        <v>0</v>
      </c>
      <c r="U821" s="84">
        <v>0</v>
      </c>
      <c r="V821" s="84">
        <v>18.893000000000001</v>
      </c>
      <c r="W821" s="84">
        <v>9.4465000000000003</v>
      </c>
      <c r="X821" s="82">
        <v>0.35</v>
      </c>
      <c r="Y821" s="82"/>
      <c r="Z821" s="84">
        <v>9.4465000000000003</v>
      </c>
      <c r="AA821" s="84">
        <v>18.893000000000001</v>
      </c>
      <c r="AB821" s="88" t="e">
        <v>#DIV/0!</v>
      </c>
      <c r="AC821" t="s">
        <v>4033</v>
      </c>
    </row>
    <row r="822" spans="3:29">
      <c r="C822" t="s">
        <v>4036</v>
      </c>
      <c r="D822" t="s">
        <v>4037</v>
      </c>
      <c r="E822" s="84">
        <v>24.99</v>
      </c>
      <c r="F822" s="84">
        <v>12.494999999999999</v>
      </c>
      <c r="G822" t="s">
        <v>3901</v>
      </c>
      <c r="H822" t="s">
        <v>4017</v>
      </c>
      <c r="I822" t="s">
        <v>1017</v>
      </c>
      <c r="J822" t="s">
        <v>4038</v>
      </c>
      <c r="K822" t="s">
        <v>4039</v>
      </c>
      <c r="L822" t="s">
        <v>670</v>
      </c>
      <c r="N822">
        <v>5</v>
      </c>
      <c r="O822">
        <v>5</v>
      </c>
      <c r="P822">
        <v>1.25E-4</v>
      </c>
      <c r="Q822" s="84" t="e">
        <v>#REF!</v>
      </c>
      <c r="R822" s="85"/>
      <c r="S822" s="85"/>
      <c r="T822" s="86">
        <v>0</v>
      </c>
      <c r="U822" s="84">
        <v>0</v>
      </c>
      <c r="V822" s="84">
        <v>17.492999999999999</v>
      </c>
      <c r="W822" s="84">
        <v>8.7464999999999993</v>
      </c>
      <c r="X822" s="82">
        <v>0.35</v>
      </c>
      <c r="Y822" s="82"/>
      <c r="Z822" s="84">
        <v>8.7464999999999993</v>
      </c>
      <c r="AA822" s="84">
        <v>17.492999999999999</v>
      </c>
      <c r="AB822" s="88" t="e">
        <v>#DIV/0!</v>
      </c>
      <c r="AC822" t="s">
        <v>4040</v>
      </c>
    </row>
    <row r="823" spans="3:29">
      <c r="C823" t="s">
        <v>4042</v>
      </c>
      <c r="D823" t="s">
        <v>4037</v>
      </c>
      <c r="E823" s="84">
        <v>26.99</v>
      </c>
      <c r="F823" s="84">
        <v>13.494999999999999</v>
      </c>
      <c r="G823" t="s">
        <v>3901</v>
      </c>
      <c r="H823" t="s">
        <v>4021</v>
      </c>
      <c r="I823" t="s">
        <v>1017</v>
      </c>
      <c r="J823" t="s">
        <v>4035</v>
      </c>
      <c r="K823" t="s">
        <v>4039</v>
      </c>
      <c r="L823" t="s">
        <v>670</v>
      </c>
      <c r="N823">
        <v>6</v>
      </c>
      <c r="O823">
        <v>7</v>
      </c>
      <c r="P823">
        <v>2.52E-4</v>
      </c>
      <c r="Q823" s="84" t="e">
        <v>#REF!</v>
      </c>
      <c r="R823" s="85"/>
      <c r="S823" s="85"/>
      <c r="T823" s="86">
        <v>0</v>
      </c>
      <c r="U823" s="84">
        <v>0</v>
      </c>
      <c r="V823" s="84">
        <v>18.893000000000001</v>
      </c>
      <c r="W823" s="84">
        <v>9.4465000000000003</v>
      </c>
      <c r="X823" s="82">
        <v>0.35</v>
      </c>
      <c r="Y823" s="82"/>
      <c r="Z823" s="84">
        <v>9.4465000000000003</v>
      </c>
      <c r="AA823" s="84">
        <v>18.893000000000001</v>
      </c>
      <c r="AB823" s="88" t="e">
        <v>#DIV/0!</v>
      </c>
      <c r="AC823" t="s">
        <v>4043</v>
      </c>
    </row>
    <row r="824" spans="3:29">
      <c r="C824" t="s">
        <v>4044</v>
      </c>
      <c r="D824" t="s">
        <v>4045</v>
      </c>
      <c r="E824" s="84">
        <v>24.99</v>
      </c>
      <c r="F824" s="84">
        <v>12.494999999999999</v>
      </c>
      <c r="G824" t="s">
        <v>3901</v>
      </c>
      <c r="H824" t="s">
        <v>4046</v>
      </c>
      <c r="I824" t="s">
        <v>956</v>
      </c>
      <c r="J824" t="s">
        <v>4047</v>
      </c>
      <c r="K824" t="s">
        <v>3905</v>
      </c>
      <c r="L824" t="s">
        <v>670</v>
      </c>
      <c r="N824">
        <v>8</v>
      </c>
      <c r="O824">
        <v>8</v>
      </c>
      <c r="P824">
        <v>5.1199999999999998E-4</v>
      </c>
      <c r="Q824" s="84" t="e">
        <v>#REF!</v>
      </c>
      <c r="R824" s="85"/>
      <c r="S824" s="85"/>
      <c r="T824" s="86">
        <v>0</v>
      </c>
      <c r="U824" s="84">
        <v>0</v>
      </c>
      <c r="V824" s="84">
        <v>17.492999999999999</v>
      </c>
      <c r="W824" s="84">
        <v>8.7464999999999993</v>
      </c>
      <c r="X824" s="82">
        <v>0.35</v>
      </c>
      <c r="Y824" s="82"/>
      <c r="Z824" s="84">
        <v>8.7464999999999993</v>
      </c>
      <c r="AA824" s="84">
        <v>17.492999999999999</v>
      </c>
      <c r="AB824" s="88" t="e">
        <v>#DIV/0!</v>
      </c>
      <c r="AC824" t="s">
        <v>4048</v>
      </c>
    </row>
    <row r="825" spans="3:29">
      <c r="C825" t="s">
        <v>4049</v>
      </c>
      <c r="D825" t="s">
        <v>4045</v>
      </c>
      <c r="E825" s="84">
        <v>38.99</v>
      </c>
      <c r="F825" s="84">
        <v>19.495000000000001</v>
      </c>
      <c r="G825" t="s">
        <v>3901</v>
      </c>
      <c r="H825" t="s">
        <v>4050</v>
      </c>
      <c r="I825" t="s">
        <v>956</v>
      </c>
      <c r="J825" t="s">
        <v>4051</v>
      </c>
      <c r="K825" t="s">
        <v>3905</v>
      </c>
      <c r="L825" t="s">
        <v>670</v>
      </c>
      <c r="N825">
        <v>8</v>
      </c>
      <c r="O825">
        <v>12</v>
      </c>
      <c r="P825">
        <v>7.6800000000000002E-4</v>
      </c>
      <c r="Q825" s="84" t="e">
        <v>#REF!</v>
      </c>
      <c r="R825" s="85"/>
      <c r="S825" s="85"/>
      <c r="T825" s="86">
        <v>0</v>
      </c>
      <c r="U825" s="84">
        <v>0</v>
      </c>
      <c r="V825" s="84">
        <v>27.292999999999999</v>
      </c>
      <c r="W825" s="84">
        <v>13.6465</v>
      </c>
      <c r="X825" s="82">
        <v>0.35</v>
      </c>
      <c r="Y825" s="82"/>
      <c r="Z825" s="84">
        <v>13.6465</v>
      </c>
      <c r="AA825" s="84">
        <v>27.292999999999999</v>
      </c>
      <c r="AB825" s="88" t="e">
        <v>#DIV/0!</v>
      </c>
      <c r="AC825" t="s">
        <v>4052</v>
      </c>
    </row>
    <row r="826" spans="3:29">
      <c r="C826" t="s">
        <v>4053</v>
      </c>
      <c r="D826" t="s">
        <v>4045</v>
      </c>
      <c r="E826" s="84">
        <v>33.99</v>
      </c>
      <c r="F826" s="84">
        <v>16.995000000000001</v>
      </c>
      <c r="G826" t="s">
        <v>3901</v>
      </c>
      <c r="H826" t="s">
        <v>4054</v>
      </c>
      <c r="I826" t="s">
        <v>956</v>
      </c>
      <c r="J826" t="s">
        <v>4055</v>
      </c>
      <c r="K826" t="s">
        <v>3905</v>
      </c>
      <c r="L826" t="s">
        <v>670</v>
      </c>
      <c r="N826">
        <v>8</v>
      </c>
      <c r="O826">
        <v>16</v>
      </c>
      <c r="P826">
        <v>1.024E-3</v>
      </c>
      <c r="Q826" s="84" t="e">
        <v>#REF!</v>
      </c>
      <c r="R826" s="85"/>
      <c r="S826" s="85"/>
      <c r="T826" s="86">
        <v>0</v>
      </c>
      <c r="U826" s="84">
        <v>0</v>
      </c>
      <c r="V826" s="84">
        <v>23.792999999999999</v>
      </c>
      <c r="W826" s="84">
        <v>11.8965</v>
      </c>
      <c r="X826" s="82">
        <v>0.35</v>
      </c>
      <c r="Y826" s="82"/>
      <c r="Z826" s="84">
        <v>11.8965</v>
      </c>
      <c r="AA826" s="84">
        <v>23.792999999999999</v>
      </c>
      <c r="AB826" s="88" t="e">
        <v>#DIV/0!</v>
      </c>
      <c r="AC826" t="s">
        <v>4052</v>
      </c>
    </row>
    <row r="827" spans="3:29">
      <c r="C827" t="s">
        <v>4056</v>
      </c>
      <c r="D827" t="s">
        <v>4057</v>
      </c>
      <c r="E827" s="84">
        <v>30.99</v>
      </c>
      <c r="F827" s="84">
        <v>15.494999999999999</v>
      </c>
      <c r="G827" t="s">
        <v>3901</v>
      </c>
      <c r="H827" t="s">
        <v>4046</v>
      </c>
      <c r="I827" t="s">
        <v>959</v>
      </c>
      <c r="J827" t="s">
        <v>4058</v>
      </c>
      <c r="K827" t="s">
        <v>4059</v>
      </c>
      <c r="L827" t="s">
        <v>670</v>
      </c>
      <c r="N827">
        <v>8</v>
      </c>
      <c r="O827">
        <v>8</v>
      </c>
      <c r="P827">
        <v>5.1199999999999998E-4</v>
      </c>
      <c r="Q827" s="84" t="e">
        <v>#REF!</v>
      </c>
      <c r="R827" s="85"/>
      <c r="S827" s="85"/>
      <c r="T827" s="86">
        <v>0</v>
      </c>
      <c r="U827" s="84">
        <v>0</v>
      </c>
      <c r="V827" s="84">
        <v>21.693000000000001</v>
      </c>
      <c r="W827" s="84">
        <v>10.846500000000001</v>
      </c>
      <c r="X827" s="82">
        <v>0.35</v>
      </c>
      <c r="Y827" s="82"/>
      <c r="Z827" s="84">
        <v>10.846500000000001</v>
      </c>
      <c r="AA827" s="84">
        <v>21.693000000000001</v>
      </c>
      <c r="AB827" s="88" t="e">
        <v>#DIV/0!</v>
      </c>
      <c r="AC827" t="s">
        <v>4060</v>
      </c>
    </row>
    <row r="828" spans="3:29">
      <c r="C828" t="s">
        <v>4061</v>
      </c>
      <c r="D828" t="s">
        <v>4057</v>
      </c>
      <c r="E828" s="84">
        <v>36.99</v>
      </c>
      <c r="F828" s="84">
        <v>18.495000000000001</v>
      </c>
      <c r="G828" t="s">
        <v>3901</v>
      </c>
      <c r="H828" t="s">
        <v>4050</v>
      </c>
      <c r="I828" t="s">
        <v>959</v>
      </c>
      <c r="J828" t="s">
        <v>4062</v>
      </c>
      <c r="K828" t="s">
        <v>4059</v>
      </c>
      <c r="L828" t="s">
        <v>670</v>
      </c>
      <c r="N828">
        <v>8</v>
      </c>
      <c r="O828">
        <v>12</v>
      </c>
      <c r="P828">
        <v>7.6800000000000002E-4</v>
      </c>
      <c r="Q828" s="84" t="e">
        <v>#REF!</v>
      </c>
      <c r="R828" s="85"/>
      <c r="S828" s="85"/>
      <c r="T828" s="86">
        <v>0</v>
      </c>
      <c r="U828" s="84">
        <v>0</v>
      </c>
      <c r="V828" s="84">
        <v>25.893000000000001</v>
      </c>
      <c r="W828" s="84">
        <v>12.9465</v>
      </c>
      <c r="X828" s="82">
        <v>0.35</v>
      </c>
      <c r="Y828" s="82"/>
      <c r="Z828" s="84">
        <v>12.9465</v>
      </c>
      <c r="AA828" s="84">
        <v>25.893000000000001</v>
      </c>
      <c r="AB828" s="88" t="e">
        <v>#DIV/0!</v>
      </c>
      <c r="AC828" t="s">
        <v>4063</v>
      </c>
    </row>
    <row r="829" spans="3:29">
      <c r="C829" t="s">
        <v>4064</v>
      </c>
      <c r="D829" t="s">
        <v>4057</v>
      </c>
      <c r="E829" s="84">
        <v>41.99</v>
      </c>
      <c r="F829" s="84">
        <v>20.995000000000001</v>
      </c>
      <c r="G829" t="s">
        <v>3901</v>
      </c>
      <c r="H829" t="s">
        <v>4054</v>
      </c>
      <c r="I829" t="s">
        <v>959</v>
      </c>
      <c r="J829" t="s">
        <v>4055</v>
      </c>
      <c r="K829" t="s">
        <v>4059</v>
      </c>
      <c r="L829" t="s">
        <v>670</v>
      </c>
      <c r="N829">
        <v>8</v>
      </c>
      <c r="O829">
        <v>16</v>
      </c>
      <c r="P829">
        <v>1.024E-3</v>
      </c>
      <c r="Q829" s="84" t="e">
        <v>#REF!</v>
      </c>
      <c r="R829" s="85"/>
      <c r="S829" s="85"/>
      <c r="T829" s="86">
        <v>0</v>
      </c>
      <c r="U829" s="84">
        <v>0</v>
      </c>
      <c r="V829" s="84">
        <v>29.393000000000001</v>
      </c>
      <c r="W829" s="84">
        <v>14.6965</v>
      </c>
      <c r="X829" s="82">
        <v>0.35</v>
      </c>
      <c r="Y829" s="82"/>
      <c r="Z829" s="84">
        <v>14.6965</v>
      </c>
      <c r="AA829" s="84">
        <v>29.393000000000001</v>
      </c>
      <c r="AB829" s="88" t="e">
        <v>#DIV/0!</v>
      </c>
      <c r="AC829" t="s">
        <v>4065</v>
      </c>
    </row>
    <row r="830" spans="3:29">
      <c r="C830" t="s">
        <v>4066</v>
      </c>
      <c r="D830" t="s">
        <v>4067</v>
      </c>
      <c r="E830" s="84">
        <v>29.99</v>
      </c>
      <c r="F830" s="84">
        <v>14.994999999999999</v>
      </c>
      <c r="G830" t="s">
        <v>3901</v>
      </c>
      <c r="H830" t="s">
        <v>4046</v>
      </c>
      <c r="I830" t="s">
        <v>968</v>
      </c>
      <c r="J830" t="s">
        <v>4047</v>
      </c>
      <c r="K830" t="s">
        <v>4068</v>
      </c>
      <c r="L830" t="s">
        <v>670</v>
      </c>
      <c r="N830">
        <v>8</v>
      </c>
      <c r="O830">
        <v>8</v>
      </c>
      <c r="P830">
        <v>5.1199999999999998E-4</v>
      </c>
      <c r="Q830" s="84" t="e">
        <v>#REF!</v>
      </c>
      <c r="R830" s="85"/>
      <c r="S830" s="85"/>
      <c r="T830" s="86">
        <v>0</v>
      </c>
      <c r="U830" s="84">
        <v>0</v>
      </c>
      <c r="V830" s="84">
        <v>20.992999999999999</v>
      </c>
      <c r="W830" s="84">
        <v>10.496499999999999</v>
      </c>
      <c r="X830" s="82">
        <v>0.35</v>
      </c>
      <c r="Y830" s="82"/>
      <c r="Z830" s="84">
        <v>10.496499999999999</v>
      </c>
      <c r="AA830" s="84">
        <v>20.992999999999999</v>
      </c>
      <c r="AB830" s="88" t="e">
        <v>#DIV/0!</v>
      </c>
      <c r="AC830" t="s">
        <v>4069</v>
      </c>
    </row>
    <row r="831" spans="3:29">
      <c r="C831" t="s">
        <v>4070</v>
      </c>
      <c r="D831" t="s">
        <v>4067</v>
      </c>
      <c r="E831" s="84">
        <v>38.99</v>
      </c>
      <c r="F831" s="84">
        <v>19.495000000000001</v>
      </c>
      <c r="G831" t="s">
        <v>3901</v>
      </c>
      <c r="H831" t="s">
        <v>4050</v>
      </c>
      <c r="I831" t="s">
        <v>968</v>
      </c>
      <c r="J831" t="s">
        <v>4051</v>
      </c>
      <c r="K831" t="s">
        <v>4068</v>
      </c>
      <c r="L831" t="s">
        <v>670</v>
      </c>
      <c r="N831">
        <v>8</v>
      </c>
      <c r="O831">
        <v>12</v>
      </c>
      <c r="P831">
        <v>7.6800000000000002E-4</v>
      </c>
      <c r="Q831" s="84" t="e">
        <v>#REF!</v>
      </c>
      <c r="R831" s="85"/>
      <c r="S831" s="85"/>
      <c r="T831" s="86">
        <v>0</v>
      </c>
      <c r="U831" s="84">
        <v>0</v>
      </c>
      <c r="V831" s="84">
        <v>27.292999999999999</v>
      </c>
      <c r="W831" s="84">
        <v>13.6465</v>
      </c>
      <c r="X831" s="82">
        <v>0.35</v>
      </c>
      <c r="Y831" s="82"/>
      <c r="Z831" s="84">
        <v>13.6465</v>
      </c>
      <c r="AA831" s="84">
        <v>27.292999999999999</v>
      </c>
      <c r="AB831" s="88" t="e">
        <v>#DIV/0!</v>
      </c>
      <c r="AC831" t="s">
        <v>4069</v>
      </c>
    </row>
    <row r="832" spans="3:29">
      <c r="C832" t="s">
        <v>4071</v>
      </c>
      <c r="D832" t="s">
        <v>4067</v>
      </c>
      <c r="E832" s="84">
        <v>40.99</v>
      </c>
      <c r="F832" s="84">
        <v>20.495000000000001</v>
      </c>
      <c r="G832" t="s">
        <v>3901</v>
      </c>
      <c r="H832" t="s">
        <v>4054</v>
      </c>
      <c r="I832" t="s">
        <v>968</v>
      </c>
      <c r="J832" t="s">
        <v>4072</v>
      </c>
      <c r="K832" t="s">
        <v>4068</v>
      </c>
      <c r="L832" t="s">
        <v>670</v>
      </c>
      <c r="N832">
        <v>8</v>
      </c>
      <c r="O832">
        <v>16</v>
      </c>
      <c r="P832">
        <v>1.024E-3</v>
      </c>
      <c r="Q832" s="84" t="e">
        <v>#REF!</v>
      </c>
      <c r="R832" s="85"/>
      <c r="S832" s="85"/>
      <c r="T832" s="86">
        <v>0</v>
      </c>
      <c r="U832" s="84">
        <v>0</v>
      </c>
      <c r="V832" s="84">
        <v>28.693000000000001</v>
      </c>
      <c r="W832" s="84">
        <v>14.346500000000001</v>
      </c>
      <c r="X832" s="82">
        <v>0.35</v>
      </c>
      <c r="Y832" s="82"/>
      <c r="Z832" s="84">
        <v>14.346500000000001</v>
      </c>
      <c r="AA832" s="84">
        <v>28.693000000000001</v>
      </c>
      <c r="AB832" s="88" t="e">
        <v>#DIV/0!</v>
      </c>
      <c r="AC832" t="s">
        <v>4073</v>
      </c>
    </row>
    <row r="833" spans="3:29">
      <c r="C833" t="s">
        <v>4074</v>
      </c>
      <c r="D833" t="s">
        <v>4075</v>
      </c>
      <c r="E833" s="84">
        <v>22.99</v>
      </c>
      <c r="F833" s="84">
        <v>11.494999999999999</v>
      </c>
      <c r="G833" t="s">
        <v>3901</v>
      </c>
      <c r="H833" t="s">
        <v>4076</v>
      </c>
      <c r="I833" t="s">
        <v>456</v>
      </c>
      <c r="J833" t="s">
        <v>4077</v>
      </c>
      <c r="K833" t="s">
        <v>4068</v>
      </c>
      <c r="L833" t="s">
        <v>670</v>
      </c>
      <c r="N833">
        <v>7</v>
      </c>
      <c r="O833">
        <v>8</v>
      </c>
      <c r="P833">
        <v>3.9199999999999999E-4</v>
      </c>
      <c r="Q833" s="84" t="e">
        <v>#REF!</v>
      </c>
      <c r="R833" s="85"/>
      <c r="S833" s="85"/>
      <c r="T833" s="86">
        <v>0</v>
      </c>
      <c r="U833" s="84">
        <v>0</v>
      </c>
      <c r="V833" s="84">
        <v>16.093</v>
      </c>
      <c r="W833" s="84">
        <v>8.0465</v>
      </c>
      <c r="X833" s="82">
        <v>0.35</v>
      </c>
      <c r="Y833" s="82"/>
      <c r="Z833" s="84">
        <v>8.0465</v>
      </c>
      <c r="AA833" s="84">
        <v>16.093</v>
      </c>
      <c r="AB833" s="88" t="e">
        <v>#DIV/0!</v>
      </c>
      <c r="AC833" t="s">
        <v>4078</v>
      </c>
    </row>
    <row r="834" spans="3:29">
      <c r="C834" t="s">
        <v>4079</v>
      </c>
      <c r="D834" t="s">
        <v>4075</v>
      </c>
      <c r="E834" s="84">
        <v>26.99</v>
      </c>
      <c r="F834" s="84">
        <v>13.494999999999999</v>
      </c>
      <c r="G834" t="s">
        <v>3901</v>
      </c>
      <c r="H834" t="s">
        <v>4080</v>
      </c>
      <c r="I834" t="s">
        <v>456</v>
      </c>
      <c r="J834" t="s">
        <v>4081</v>
      </c>
      <c r="K834" t="s">
        <v>4068</v>
      </c>
      <c r="L834" t="s">
        <v>670</v>
      </c>
      <c r="N834">
        <v>8</v>
      </c>
      <c r="O834">
        <v>9</v>
      </c>
      <c r="P834">
        <v>5.7600000000000001E-4</v>
      </c>
      <c r="Q834" s="84" t="e">
        <v>#REF!</v>
      </c>
      <c r="R834" s="85"/>
      <c r="S834" s="85"/>
      <c r="T834" s="86">
        <v>0</v>
      </c>
      <c r="U834" s="84">
        <v>0</v>
      </c>
      <c r="V834" s="84">
        <v>18.893000000000001</v>
      </c>
      <c r="W834" s="84">
        <v>9.4465000000000003</v>
      </c>
      <c r="X834" s="82">
        <v>0.35</v>
      </c>
      <c r="Y834" s="82"/>
      <c r="Z834" s="84">
        <v>9.4465000000000003</v>
      </c>
      <c r="AA834" s="84">
        <v>18.893000000000001</v>
      </c>
      <c r="AB834" s="88" t="e">
        <v>#DIV/0!</v>
      </c>
      <c r="AC834" t="s">
        <v>4082</v>
      </c>
    </row>
    <row r="835" spans="3:29">
      <c r="C835" t="s">
        <v>4083</v>
      </c>
      <c r="D835" t="s">
        <v>4075</v>
      </c>
      <c r="E835" s="84">
        <v>30.99</v>
      </c>
      <c r="F835" s="84">
        <v>15.494999999999999</v>
      </c>
      <c r="G835" t="s">
        <v>3901</v>
      </c>
      <c r="H835" t="s">
        <v>4084</v>
      </c>
      <c r="I835" t="s">
        <v>456</v>
      </c>
      <c r="J835" t="s">
        <v>4085</v>
      </c>
      <c r="K835" t="s">
        <v>4068</v>
      </c>
      <c r="L835" t="s">
        <v>670</v>
      </c>
      <c r="N835">
        <v>9</v>
      </c>
      <c r="O835">
        <v>8</v>
      </c>
      <c r="P835">
        <v>6.4800000000000003E-4</v>
      </c>
      <c r="Q835" s="84" t="e">
        <v>#REF!</v>
      </c>
      <c r="R835" s="85"/>
      <c r="S835" s="85"/>
      <c r="T835" s="86">
        <v>0</v>
      </c>
      <c r="U835" s="84">
        <v>0</v>
      </c>
      <c r="V835" s="84">
        <v>21.693000000000001</v>
      </c>
      <c r="W835" s="84">
        <v>10.846500000000001</v>
      </c>
      <c r="X835" s="82">
        <v>0.35</v>
      </c>
      <c r="Y835" s="82"/>
      <c r="Z835" s="84">
        <v>10.846500000000001</v>
      </c>
      <c r="AA835" s="84">
        <v>21.693000000000001</v>
      </c>
      <c r="AB835" s="88" t="e">
        <v>#DIV/0!</v>
      </c>
      <c r="AC835" t="s">
        <v>4086</v>
      </c>
    </row>
    <row r="836" spans="3:29">
      <c r="C836" t="s">
        <v>4087</v>
      </c>
      <c r="D836" t="s">
        <v>4088</v>
      </c>
      <c r="E836" s="84">
        <v>39.99</v>
      </c>
      <c r="F836" s="84">
        <v>19.995000000000001</v>
      </c>
      <c r="G836" t="s">
        <v>3901</v>
      </c>
      <c r="H836" t="s">
        <v>4089</v>
      </c>
      <c r="I836" t="s">
        <v>398</v>
      </c>
      <c r="J836" t="s">
        <v>4090</v>
      </c>
      <c r="K836" t="s">
        <v>3905</v>
      </c>
      <c r="L836" t="s">
        <v>670</v>
      </c>
      <c r="N836">
        <v>8.5</v>
      </c>
      <c r="O836">
        <v>11</v>
      </c>
      <c r="P836">
        <v>7.9474999999999999E-4</v>
      </c>
      <c r="Q836" s="84" t="e">
        <v>#REF!</v>
      </c>
      <c r="R836" s="85"/>
      <c r="S836" s="85"/>
      <c r="T836" s="86">
        <v>0</v>
      </c>
      <c r="U836" s="84">
        <v>0</v>
      </c>
      <c r="V836" s="84">
        <v>27.992999999999999</v>
      </c>
      <c r="W836" s="84">
        <v>13.996499999999999</v>
      </c>
      <c r="X836" s="82">
        <v>0.35</v>
      </c>
      <c r="Y836" s="82"/>
      <c r="Z836" s="84">
        <v>13.996499999999999</v>
      </c>
      <c r="AA836" s="84">
        <v>27.992999999999999</v>
      </c>
      <c r="AB836" s="88" t="e">
        <v>#DIV/0!</v>
      </c>
      <c r="AC836" t="s">
        <v>4091</v>
      </c>
    </row>
    <row r="837" spans="3:29">
      <c r="C837" t="s">
        <v>4092</v>
      </c>
      <c r="D837" t="s">
        <v>4088</v>
      </c>
      <c r="E837" s="84">
        <v>41.99</v>
      </c>
      <c r="F837" s="84">
        <v>20.995000000000001</v>
      </c>
      <c r="G837" t="s">
        <v>3901</v>
      </c>
      <c r="H837" t="s">
        <v>4093</v>
      </c>
      <c r="I837" t="s">
        <v>398</v>
      </c>
      <c r="J837" t="s">
        <v>4094</v>
      </c>
      <c r="K837" t="s">
        <v>3905</v>
      </c>
      <c r="L837" t="s">
        <v>670</v>
      </c>
      <c r="N837">
        <v>8.5</v>
      </c>
      <c r="O837">
        <v>15</v>
      </c>
      <c r="P837">
        <v>1.0837500000000001E-3</v>
      </c>
      <c r="Q837" s="84" t="e">
        <v>#REF!</v>
      </c>
      <c r="R837" s="85"/>
      <c r="S837" s="85"/>
      <c r="T837" s="86">
        <v>0</v>
      </c>
      <c r="U837" s="84">
        <v>0</v>
      </c>
      <c r="V837" s="84">
        <v>29.393000000000001</v>
      </c>
      <c r="W837" s="84">
        <v>14.6965</v>
      </c>
      <c r="X837" s="82">
        <v>0.35</v>
      </c>
      <c r="Y837" s="82"/>
      <c r="Z837" s="84">
        <v>14.6965</v>
      </c>
      <c r="AA837" s="84">
        <v>29.393000000000001</v>
      </c>
      <c r="AB837" s="88" t="e">
        <v>#DIV/0!</v>
      </c>
      <c r="AC837" t="s">
        <v>4091</v>
      </c>
    </row>
    <row r="838" spans="3:29">
      <c r="C838" t="s">
        <v>4095</v>
      </c>
      <c r="D838" t="s">
        <v>4088</v>
      </c>
      <c r="E838" s="84">
        <v>32.99</v>
      </c>
      <c r="F838" s="84">
        <v>16.495000000000001</v>
      </c>
      <c r="G838" t="s">
        <v>3901</v>
      </c>
      <c r="H838" t="s">
        <v>4096</v>
      </c>
      <c r="I838" t="s">
        <v>398</v>
      </c>
      <c r="J838" t="s">
        <v>4097</v>
      </c>
      <c r="K838" t="s">
        <v>3905</v>
      </c>
      <c r="L838" t="s">
        <v>670</v>
      </c>
      <c r="N838">
        <v>7</v>
      </c>
      <c r="O838">
        <v>17</v>
      </c>
      <c r="P838">
        <v>8.3299999999999997E-4</v>
      </c>
      <c r="Q838" s="84" t="e">
        <v>#REF!</v>
      </c>
      <c r="R838" s="85"/>
      <c r="S838" s="85"/>
      <c r="T838" s="86">
        <v>0</v>
      </c>
      <c r="U838" s="84">
        <v>0</v>
      </c>
      <c r="V838" s="84">
        <v>23.093</v>
      </c>
      <c r="W838" s="84">
        <v>11.5465</v>
      </c>
      <c r="X838" s="82">
        <v>0.35</v>
      </c>
      <c r="Y838" s="82"/>
      <c r="Z838" s="84">
        <v>11.5465</v>
      </c>
      <c r="AA838" s="84">
        <v>23.093</v>
      </c>
      <c r="AB838" s="88" t="e">
        <v>#DIV/0!</v>
      </c>
      <c r="AC838" t="s">
        <v>4098</v>
      </c>
    </row>
    <row r="839" spans="3:29">
      <c r="C839" t="s">
        <v>4099</v>
      </c>
      <c r="D839" t="s">
        <v>4088</v>
      </c>
      <c r="E839" s="84">
        <v>41.99</v>
      </c>
      <c r="F839" s="84">
        <v>20.995000000000001</v>
      </c>
      <c r="G839" t="s">
        <v>3901</v>
      </c>
      <c r="H839" t="s">
        <v>4100</v>
      </c>
      <c r="I839" t="s">
        <v>398</v>
      </c>
      <c r="J839" t="s">
        <v>4101</v>
      </c>
      <c r="K839" t="s">
        <v>3905</v>
      </c>
      <c r="L839" t="s">
        <v>670</v>
      </c>
      <c r="N839">
        <v>7</v>
      </c>
      <c r="O839">
        <v>19</v>
      </c>
      <c r="P839">
        <v>9.3099999999999997E-4</v>
      </c>
      <c r="Q839" s="84" t="e">
        <v>#REF!</v>
      </c>
      <c r="R839" s="85"/>
      <c r="S839" s="85"/>
      <c r="T839" s="86">
        <v>0</v>
      </c>
      <c r="U839" s="84">
        <v>0</v>
      </c>
      <c r="V839" s="84">
        <v>29.393000000000001</v>
      </c>
      <c r="W839" s="84">
        <v>14.6965</v>
      </c>
      <c r="X839" s="82">
        <v>0.35</v>
      </c>
      <c r="Y839" s="82"/>
      <c r="Z839" s="84">
        <v>14.6965</v>
      </c>
      <c r="AA839" s="84">
        <v>29.393000000000001</v>
      </c>
      <c r="AB839" s="88" t="e">
        <v>#DIV/0!</v>
      </c>
      <c r="AC839" t="s">
        <v>4091</v>
      </c>
    </row>
    <row r="840" spans="3:29">
      <c r="C840" t="s">
        <v>4102</v>
      </c>
      <c r="D840" t="s">
        <v>4103</v>
      </c>
      <c r="E840" s="84">
        <v>38.99</v>
      </c>
      <c r="F840" s="84">
        <v>19.495000000000001</v>
      </c>
      <c r="G840" t="s">
        <v>3901</v>
      </c>
      <c r="H840" t="s">
        <v>4104</v>
      </c>
      <c r="I840" t="s">
        <v>4105</v>
      </c>
      <c r="J840" t="s">
        <v>4106</v>
      </c>
      <c r="K840" t="s">
        <v>4107</v>
      </c>
      <c r="L840" t="s">
        <v>670</v>
      </c>
      <c r="N840">
        <v>10</v>
      </c>
      <c r="O840">
        <v>15</v>
      </c>
      <c r="P840">
        <v>1.5E-3</v>
      </c>
      <c r="Q840" s="84" t="e">
        <v>#REF!</v>
      </c>
      <c r="R840" s="85"/>
      <c r="S840" s="85"/>
      <c r="T840" s="86">
        <v>0</v>
      </c>
      <c r="U840" s="84">
        <v>0</v>
      </c>
      <c r="V840" s="84">
        <v>27.292999999999999</v>
      </c>
      <c r="W840" s="84">
        <v>13.6465</v>
      </c>
      <c r="X840" s="82">
        <v>0.35</v>
      </c>
      <c r="Y840" s="82"/>
      <c r="Z840" s="84">
        <v>13.6465</v>
      </c>
      <c r="AA840" s="84">
        <v>27.292999999999999</v>
      </c>
      <c r="AB840" s="88" t="e">
        <v>#DIV/0!</v>
      </c>
      <c r="AC840" t="s">
        <v>4108</v>
      </c>
    </row>
    <row r="841" spans="3:29">
      <c r="C841" t="s">
        <v>4109</v>
      </c>
      <c r="D841" t="s">
        <v>4110</v>
      </c>
      <c r="E841" s="84">
        <v>20.99</v>
      </c>
      <c r="F841" s="84">
        <v>10.494999999999999</v>
      </c>
      <c r="G841" t="s">
        <v>3901</v>
      </c>
      <c r="H841" t="s">
        <v>4111</v>
      </c>
      <c r="I841" t="s">
        <v>561</v>
      </c>
      <c r="J841" t="s">
        <v>4112</v>
      </c>
      <c r="K841" t="s">
        <v>4113</v>
      </c>
      <c r="L841" t="s">
        <v>670</v>
      </c>
      <c r="N841">
        <v>6</v>
      </c>
      <c r="O841">
        <v>6</v>
      </c>
      <c r="P841">
        <v>2.1599999999999999E-4</v>
      </c>
      <c r="Q841" s="84" t="e">
        <v>#REF!</v>
      </c>
      <c r="R841" s="85"/>
      <c r="S841" s="85"/>
      <c r="T841" s="86">
        <v>0</v>
      </c>
      <c r="U841" s="84">
        <v>0</v>
      </c>
      <c r="V841" s="84">
        <v>14.693</v>
      </c>
      <c r="W841" s="84">
        <v>7.3464999999999998</v>
      </c>
      <c r="X841" s="82">
        <v>0.35</v>
      </c>
      <c r="Y841" s="82"/>
      <c r="Z841" s="84">
        <v>7.3464999999999998</v>
      </c>
      <c r="AA841" s="84">
        <v>14.693</v>
      </c>
      <c r="AB841" s="88" t="e">
        <v>#DIV/0!</v>
      </c>
      <c r="AC841" t="s">
        <v>4114</v>
      </c>
    </row>
    <row r="842" spans="3:29">
      <c r="C842" t="s">
        <v>4115</v>
      </c>
      <c r="D842" t="s">
        <v>4110</v>
      </c>
      <c r="E842" s="84">
        <v>21.99</v>
      </c>
      <c r="F842" s="84">
        <v>10.994999999999999</v>
      </c>
      <c r="G842" t="s">
        <v>3901</v>
      </c>
      <c r="H842" t="s">
        <v>4116</v>
      </c>
      <c r="I842" t="s">
        <v>561</v>
      </c>
      <c r="J842" t="s">
        <v>4117</v>
      </c>
      <c r="K842" t="s">
        <v>4113</v>
      </c>
      <c r="L842" t="s">
        <v>670</v>
      </c>
      <c r="N842">
        <v>6</v>
      </c>
      <c r="O842">
        <v>8</v>
      </c>
      <c r="P842">
        <v>2.8800000000000001E-4</v>
      </c>
      <c r="Q842" s="84" t="e">
        <v>#REF!</v>
      </c>
      <c r="R842" s="85"/>
      <c r="S842" s="85"/>
      <c r="T842" s="86">
        <v>0</v>
      </c>
      <c r="U842" s="84">
        <v>0</v>
      </c>
      <c r="V842" s="84">
        <v>15.393000000000001</v>
      </c>
      <c r="W842" s="84">
        <v>7.6965000000000003</v>
      </c>
      <c r="X842" s="82">
        <v>0.35</v>
      </c>
      <c r="Y842" s="82"/>
      <c r="Z842" s="84">
        <v>7.6965000000000003</v>
      </c>
      <c r="AA842" s="84">
        <v>15.393000000000001</v>
      </c>
      <c r="AB842" s="88" t="e">
        <v>#DIV/0!</v>
      </c>
      <c r="AC842" t="s">
        <v>4118</v>
      </c>
    </row>
    <row r="843" spans="3:29">
      <c r="C843" t="s">
        <v>4119</v>
      </c>
      <c r="D843" t="s">
        <v>4110</v>
      </c>
      <c r="E843" s="84">
        <v>22.99</v>
      </c>
      <c r="F843" s="84">
        <v>11.494999999999999</v>
      </c>
      <c r="G843" t="s">
        <v>3901</v>
      </c>
      <c r="H843" t="s">
        <v>4120</v>
      </c>
      <c r="I843" t="s">
        <v>561</v>
      </c>
      <c r="J843" t="s">
        <v>4121</v>
      </c>
      <c r="K843" t="s">
        <v>4113</v>
      </c>
      <c r="L843" t="s">
        <v>670</v>
      </c>
      <c r="N843">
        <v>6</v>
      </c>
      <c r="O843">
        <v>10</v>
      </c>
      <c r="P843">
        <v>3.6000000000000002E-4</v>
      </c>
      <c r="Q843" s="84" t="e">
        <v>#REF!</v>
      </c>
      <c r="R843" s="85"/>
      <c r="S843" s="85"/>
      <c r="T843" s="86">
        <v>0</v>
      </c>
      <c r="U843" s="84">
        <v>0</v>
      </c>
      <c r="V843" s="84">
        <v>16.093</v>
      </c>
      <c r="W843" s="84">
        <v>8.0465</v>
      </c>
      <c r="X843" s="82">
        <v>0.35</v>
      </c>
      <c r="Y843" s="82"/>
      <c r="Z843" s="84">
        <v>8.0465</v>
      </c>
      <c r="AA843" s="84">
        <v>16.093</v>
      </c>
      <c r="AB843" s="88" t="e">
        <v>#DIV/0!</v>
      </c>
      <c r="AC843" t="s">
        <v>4122</v>
      </c>
    </row>
    <row r="844" spans="3:29">
      <c r="C844" t="s">
        <v>4123</v>
      </c>
      <c r="D844" t="s">
        <v>4110</v>
      </c>
      <c r="E844" s="84">
        <v>25.99</v>
      </c>
      <c r="F844" s="84">
        <v>12.994999999999999</v>
      </c>
      <c r="G844" t="s">
        <v>3901</v>
      </c>
      <c r="H844" t="s">
        <v>4124</v>
      </c>
      <c r="I844" t="s">
        <v>561</v>
      </c>
      <c r="J844" t="s">
        <v>4125</v>
      </c>
      <c r="K844" t="s">
        <v>4113</v>
      </c>
      <c r="L844" t="s">
        <v>670</v>
      </c>
      <c r="N844">
        <v>6</v>
      </c>
      <c r="O844">
        <v>11</v>
      </c>
      <c r="P844">
        <v>3.9599999999999998E-4</v>
      </c>
      <c r="Q844" s="84" t="e">
        <v>#REF!</v>
      </c>
      <c r="R844" s="85"/>
      <c r="S844" s="85"/>
      <c r="T844" s="86">
        <v>0</v>
      </c>
      <c r="U844" s="84">
        <v>0</v>
      </c>
      <c r="V844" s="84">
        <v>18.193000000000001</v>
      </c>
      <c r="W844" s="84">
        <v>9.0965000000000007</v>
      </c>
      <c r="X844" s="82">
        <v>0.35</v>
      </c>
      <c r="Y844" s="82"/>
      <c r="Z844" s="84">
        <v>9.0965000000000007</v>
      </c>
      <c r="AA844" s="84">
        <v>18.193000000000001</v>
      </c>
      <c r="AB844" s="88" t="e">
        <v>#DIV/0!</v>
      </c>
      <c r="AC844" t="s">
        <v>4122</v>
      </c>
    </row>
    <row r="845" spans="3:29">
      <c r="C845" t="s">
        <v>4126</v>
      </c>
      <c r="D845" t="s">
        <v>4110</v>
      </c>
      <c r="E845" s="84">
        <v>30.99</v>
      </c>
      <c r="F845" s="84">
        <v>15.494999999999999</v>
      </c>
      <c r="G845" t="s">
        <v>3901</v>
      </c>
      <c r="H845" t="s">
        <v>4127</v>
      </c>
      <c r="I845" t="s">
        <v>561</v>
      </c>
      <c r="J845" t="s">
        <v>4128</v>
      </c>
      <c r="K845" t="s">
        <v>4113</v>
      </c>
      <c r="L845" t="s">
        <v>670</v>
      </c>
      <c r="N845">
        <v>6</v>
      </c>
      <c r="O845">
        <v>14</v>
      </c>
      <c r="P845">
        <v>5.04E-4</v>
      </c>
      <c r="Q845" s="84" t="e">
        <v>#REF!</v>
      </c>
      <c r="R845" s="85"/>
      <c r="S845" s="85"/>
      <c r="T845" s="86">
        <v>0</v>
      </c>
      <c r="U845" s="84">
        <v>0</v>
      </c>
      <c r="V845" s="84">
        <v>21.693000000000001</v>
      </c>
      <c r="W845" s="84">
        <v>10.846500000000001</v>
      </c>
      <c r="X845" s="82">
        <v>0.35</v>
      </c>
      <c r="Y845" s="82"/>
      <c r="Z845" s="84">
        <v>10.846500000000001</v>
      </c>
      <c r="AA845" s="84">
        <v>21.693000000000001</v>
      </c>
      <c r="AB845" s="88" t="e">
        <v>#DIV/0!</v>
      </c>
      <c r="AC845" t="s">
        <v>4129</v>
      </c>
    </row>
    <row r="846" spans="3:29">
      <c r="C846" t="s">
        <v>4130</v>
      </c>
      <c r="D846" t="s">
        <v>4131</v>
      </c>
      <c r="E846" s="84">
        <v>21.99</v>
      </c>
      <c r="F846" s="84">
        <v>10.994999999999999</v>
      </c>
      <c r="G846" t="s">
        <v>3901</v>
      </c>
      <c r="H846" t="s">
        <v>4132</v>
      </c>
      <c r="I846" t="s">
        <v>742</v>
      </c>
      <c r="J846" t="s">
        <v>4133</v>
      </c>
      <c r="K846" t="s">
        <v>3905</v>
      </c>
      <c r="L846" t="s">
        <v>670</v>
      </c>
      <c r="N846">
        <v>5</v>
      </c>
      <c r="O846">
        <v>5</v>
      </c>
      <c r="P846">
        <v>1.25E-4</v>
      </c>
      <c r="Q846" s="84" t="e">
        <v>#REF!</v>
      </c>
      <c r="R846" s="85"/>
      <c r="S846" s="85"/>
      <c r="T846" s="86">
        <v>0</v>
      </c>
      <c r="U846" s="84">
        <v>0</v>
      </c>
      <c r="V846" s="84">
        <v>15.393000000000001</v>
      </c>
      <c r="W846" s="84">
        <v>7.6965000000000003</v>
      </c>
      <c r="X846" s="82">
        <v>0.35</v>
      </c>
      <c r="Y846" s="82"/>
      <c r="Z846" s="84">
        <v>7.6965000000000003</v>
      </c>
      <c r="AA846" s="84">
        <v>15.393000000000001</v>
      </c>
      <c r="AB846" s="88" t="e">
        <v>#DIV/0!</v>
      </c>
      <c r="AC846" t="s">
        <v>4134</v>
      </c>
    </row>
    <row r="847" spans="3:29">
      <c r="C847" t="s">
        <v>4135</v>
      </c>
      <c r="D847" t="s">
        <v>4131</v>
      </c>
      <c r="E847" s="84">
        <v>29.99</v>
      </c>
      <c r="F847" s="84">
        <v>14.994999999999999</v>
      </c>
      <c r="G847" t="s">
        <v>3901</v>
      </c>
      <c r="H847" t="s">
        <v>4136</v>
      </c>
      <c r="I847" t="s">
        <v>742</v>
      </c>
      <c r="J847" t="s">
        <v>4137</v>
      </c>
      <c r="K847" t="s">
        <v>3905</v>
      </c>
      <c r="L847" t="s">
        <v>670</v>
      </c>
      <c r="N847">
        <v>8</v>
      </c>
      <c r="O847">
        <v>8</v>
      </c>
      <c r="P847">
        <v>5.1199999999999998E-4</v>
      </c>
      <c r="Q847" s="84" t="e">
        <v>#REF!</v>
      </c>
      <c r="R847" s="85"/>
      <c r="S847" s="85"/>
      <c r="T847" s="86">
        <v>0</v>
      </c>
      <c r="U847" s="84">
        <v>0</v>
      </c>
      <c r="V847" s="84">
        <v>20.992999999999999</v>
      </c>
      <c r="W847" s="84">
        <v>10.496499999999999</v>
      </c>
      <c r="X847" s="82">
        <v>0.35</v>
      </c>
      <c r="Y847" s="82"/>
      <c r="Z847" s="84">
        <v>10.496499999999999</v>
      </c>
      <c r="AA847" s="84">
        <v>20.992999999999999</v>
      </c>
      <c r="AB847" s="88" t="e">
        <v>#DIV/0!</v>
      </c>
      <c r="AC847" t="s">
        <v>4138</v>
      </c>
    </row>
    <row r="848" spans="3:29">
      <c r="C848" t="s">
        <v>4139</v>
      </c>
      <c r="D848" t="s">
        <v>4131</v>
      </c>
      <c r="E848" s="84">
        <v>24.99</v>
      </c>
      <c r="F848" s="84">
        <v>12.494999999999999</v>
      </c>
      <c r="G848" t="s">
        <v>3901</v>
      </c>
      <c r="H848" t="s">
        <v>4140</v>
      </c>
      <c r="I848" t="s">
        <v>742</v>
      </c>
      <c r="J848" t="s">
        <v>4141</v>
      </c>
      <c r="K848" t="s">
        <v>3905</v>
      </c>
      <c r="L848" t="s">
        <v>670</v>
      </c>
      <c r="N848">
        <v>5</v>
      </c>
      <c r="O848">
        <v>11</v>
      </c>
      <c r="P848">
        <v>2.7500000000000002E-4</v>
      </c>
      <c r="Q848" s="84" t="e">
        <v>#REF!</v>
      </c>
      <c r="R848" s="85"/>
      <c r="S848" s="85"/>
      <c r="T848" s="86">
        <v>0</v>
      </c>
      <c r="U848" s="84">
        <v>0</v>
      </c>
      <c r="V848" s="84">
        <v>17.492999999999999</v>
      </c>
      <c r="W848" s="84">
        <v>8.7464999999999993</v>
      </c>
      <c r="X848" s="82">
        <v>0.35</v>
      </c>
      <c r="Y848" s="82"/>
      <c r="Z848" s="84">
        <v>8.7464999999999993</v>
      </c>
      <c r="AA848" s="84">
        <v>17.492999999999999</v>
      </c>
      <c r="AB848" s="88" t="e">
        <v>#DIV/0!</v>
      </c>
      <c r="AC848" t="s">
        <v>4142</v>
      </c>
    </row>
    <row r="849" spans="3:29">
      <c r="C849" t="s">
        <v>4143</v>
      </c>
      <c r="D849" t="s">
        <v>4131</v>
      </c>
      <c r="E849" s="84">
        <v>33.99</v>
      </c>
      <c r="F849" s="84">
        <v>16.995000000000001</v>
      </c>
      <c r="G849" t="s">
        <v>3901</v>
      </c>
      <c r="H849" t="s">
        <v>4144</v>
      </c>
      <c r="I849" t="s">
        <v>742</v>
      </c>
      <c r="J849" t="s">
        <v>4145</v>
      </c>
      <c r="K849" t="s">
        <v>3905</v>
      </c>
      <c r="L849" t="s">
        <v>670</v>
      </c>
      <c r="N849">
        <v>9</v>
      </c>
      <c r="O849">
        <v>11</v>
      </c>
      <c r="P849">
        <v>8.9099999999999997E-4</v>
      </c>
      <c r="Q849" s="84" t="e">
        <v>#REF!</v>
      </c>
      <c r="R849" s="85"/>
      <c r="S849" s="85"/>
      <c r="T849" s="86">
        <v>0</v>
      </c>
      <c r="U849" s="84">
        <v>0</v>
      </c>
      <c r="V849" s="84">
        <v>23.792999999999999</v>
      </c>
      <c r="W849" s="84">
        <v>11.8965</v>
      </c>
      <c r="X849" s="82">
        <v>0.35</v>
      </c>
      <c r="Y849" s="82"/>
      <c r="Z849" s="84">
        <v>11.8965</v>
      </c>
      <c r="AA849" s="84">
        <v>23.792999999999999</v>
      </c>
      <c r="AB849" s="88" t="e">
        <v>#DIV/0!</v>
      </c>
      <c r="AC849" t="s">
        <v>4142</v>
      </c>
    </row>
    <row r="850" spans="3:29">
      <c r="C850" t="s">
        <v>4146</v>
      </c>
      <c r="D850" t="s">
        <v>4131</v>
      </c>
      <c r="E850" s="84">
        <v>36.99</v>
      </c>
      <c r="F850" s="84">
        <v>18.495000000000001</v>
      </c>
      <c r="G850" t="s">
        <v>3901</v>
      </c>
      <c r="H850" t="s">
        <v>4147</v>
      </c>
      <c r="I850" t="s">
        <v>742</v>
      </c>
      <c r="J850" t="s">
        <v>4148</v>
      </c>
      <c r="K850" t="s">
        <v>3905</v>
      </c>
      <c r="L850" t="s">
        <v>670</v>
      </c>
      <c r="N850">
        <v>9</v>
      </c>
      <c r="O850">
        <v>13</v>
      </c>
      <c r="P850">
        <v>1.0529999999999999E-3</v>
      </c>
      <c r="Q850" s="84" t="e">
        <v>#REF!</v>
      </c>
      <c r="R850" s="85"/>
      <c r="S850" s="85"/>
      <c r="T850" s="86">
        <v>0</v>
      </c>
      <c r="U850" s="84">
        <v>0</v>
      </c>
      <c r="V850" s="84">
        <v>25.893000000000001</v>
      </c>
      <c r="W850" s="84">
        <v>12.9465</v>
      </c>
      <c r="X850" s="82">
        <v>0.35</v>
      </c>
      <c r="Y850" s="82"/>
      <c r="Z850" s="84">
        <v>12.9465</v>
      </c>
      <c r="AA850" s="84">
        <v>25.893000000000001</v>
      </c>
      <c r="AB850" s="88" t="e">
        <v>#DIV/0!</v>
      </c>
      <c r="AC850" t="s">
        <v>4138</v>
      </c>
    </row>
    <row r="851" spans="3:29" ht="45.75">
      <c r="C851" t="s">
        <v>4149</v>
      </c>
      <c r="D851" t="s">
        <v>4150</v>
      </c>
      <c r="E851" s="84"/>
      <c r="F851" s="84">
        <v>0</v>
      </c>
      <c r="G851" t="s">
        <v>3901</v>
      </c>
      <c r="H851" t="s">
        <v>4151</v>
      </c>
      <c r="I851" t="s">
        <v>368</v>
      </c>
      <c r="J851" t="s">
        <v>4152</v>
      </c>
      <c r="K851" s="83" t="s">
        <v>4153</v>
      </c>
      <c r="L851" t="s">
        <v>670</v>
      </c>
      <c r="N851">
        <v>5</v>
      </c>
      <c r="O851">
        <v>55</v>
      </c>
      <c r="P851">
        <v>1.3749999999999999E-3</v>
      </c>
      <c r="Q851" s="84" t="e">
        <v>#REF!</v>
      </c>
      <c r="R851" s="85"/>
      <c r="S851" s="85"/>
      <c r="T851" s="86">
        <v>0</v>
      </c>
      <c r="U851" s="84">
        <v>0</v>
      </c>
      <c r="V851" s="84">
        <v>0</v>
      </c>
      <c r="W851" s="84">
        <v>0</v>
      </c>
      <c r="X851" s="82" t="e">
        <v>#DIV/0!</v>
      </c>
      <c r="Y851" s="82"/>
      <c r="Z851" s="84">
        <v>0</v>
      </c>
      <c r="AA851" s="84">
        <v>0</v>
      </c>
      <c r="AB851" s="88" t="e">
        <v>#DIV/0!</v>
      </c>
      <c r="AC851" t="s">
        <v>4154</v>
      </c>
    </row>
    <row r="852" spans="3:29">
      <c r="C852" t="s">
        <v>4155</v>
      </c>
      <c r="D852" t="s">
        <v>4150</v>
      </c>
      <c r="E852" s="84">
        <v>18.989999999999998</v>
      </c>
      <c r="F852" s="84">
        <v>9.4949999999999992</v>
      </c>
      <c r="G852" t="s">
        <v>3901</v>
      </c>
      <c r="H852" t="s">
        <v>4156</v>
      </c>
      <c r="I852" t="s">
        <v>368</v>
      </c>
      <c r="J852" t="s">
        <v>4157</v>
      </c>
      <c r="K852" t="s">
        <v>3905</v>
      </c>
      <c r="L852" t="s">
        <v>670</v>
      </c>
      <c r="N852">
        <v>6</v>
      </c>
      <c r="O852">
        <v>6</v>
      </c>
      <c r="P852">
        <v>2.1599999999999999E-4</v>
      </c>
      <c r="Q852" s="84" t="e">
        <v>#REF!</v>
      </c>
      <c r="R852" s="85"/>
      <c r="S852" s="85"/>
      <c r="T852" s="86">
        <v>0</v>
      </c>
      <c r="U852" s="84">
        <v>0</v>
      </c>
      <c r="V852" s="84">
        <v>13.292999999999999</v>
      </c>
      <c r="W852" s="84">
        <v>6.6464999999999996</v>
      </c>
      <c r="X852" s="82">
        <v>0.35</v>
      </c>
      <c r="Y852" s="82"/>
      <c r="Z852" s="84">
        <v>6.6464999999999996</v>
      </c>
      <c r="AA852" s="84">
        <v>13.292999999999999</v>
      </c>
      <c r="AB852" s="88" t="e">
        <v>#DIV/0!</v>
      </c>
      <c r="AC852" t="s">
        <v>4154</v>
      </c>
    </row>
    <row r="853" spans="3:29">
      <c r="C853" t="s">
        <v>4158</v>
      </c>
      <c r="D853" t="s">
        <v>4150</v>
      </c>
      <c r="E853" s="84">
        <v>21.99</v>
      </c>
      <c r="F853" s="84">
        <v>10.994999999999999</v>
      </c>
      <c r="G853" t="s">
        <v>3901</v>
      </c>
      <c r="H853" t="s">
        <v>4159</v>
      </c>
      <c r="I853" t="s">
        <v>368</v>
      </c>
      <c r="J853" t="s">
        <v>4160</v>
      </c>
      <c r="K853" t="s">
        <v>3905</v>
      </c>
      <c r="L853" t="s">
        <v>670</v>
      </c>
      <c r="N853">
        <v>8</v>
      </c>
      <c r="O853">
        <v>6</v>
      </c>
      <c r="P853">
        <v>3.8400000000000001E-4</v>
      </c>
      <c r="Q853" s="84" t="e">
        <v>#REF!</v>
      </c>
      <c r="R853" s="85"/>
      <c r="S853" s="85"/>
      <c r="T853" s="86">
        <v>0</v>
      </c>
      <c r="U853" s="84">
        <v>0</v>
      </c>
      <c r="V853" s="84">
        <v>15.393000000000001</v>
      </c>
      <c r="W853" s="84">
        <v>7.6965000000000003</v>
      </c>
      <c r="X853" s="82">
        <v>0.35</v>
      </c>
      <c r="Y853" s="82"/>
      <c r="Z853" s="84">
        <v>7.6965000000000003</v>
      </c>
      <c r="AA853" s="84">
        <v>15.393000000000001</v>
      </c>
      <c r="AB853" s="88" t="e">
        <v>#DIV/0!</v>
      </c>
      <c r="AC853" t="s">
        <v>4161</v>
      </c>
    </row>
    <row r="854" spans="3:29">
      <c r="C854" t="s">
        <v>4162</v>
      </c>
      <c r="D854" t="s">
        <v>4150</v>
      </c>
      <c r="E854" s="84">
        <v>21.99</v>
      </c>
      <c r="F854" s="84">
        <v>10.994999999999999</v>
      </c>
      <c r="G854" t="s">
        <v>3901</v>
      </c>
      <c r="H854" t="s">
        <v>4163</v>
      </c>
      <c r="I854" t="s">
        <v>368</v>
      </c>
      <c r="J854" t="s">
        <v>4164</v>
      </c>
      <c r="K854" t="s">
        <v>3905</v>
      </c>
      <c r="L854" t="s">
        <v>670</v>
      </c>
      <c r="N854">
        <v>6.5</v>
      </c>
      <c r="O854">
        <v>7</v>
      </c>
      <c r="P854">
        <v>2.9575000000000001E-4</v>
      </c>
      <c r="Q854" s="84" t="e">
        <v>#REF!</v>
      </c>
      <c r="R854" s="85"/>
      <c r="S854" s="85"/>
      <c r="T854" s="86">
        <v>0</v>
      </c>
      <c r="U854" s="84">
        <v>0</v>
      </c>
      <c r="V854" s="84">
        <v>15.393000000000001</v>
      </c>
      <c r="W854" s="84">
        <v>7.6965000000000003</v>
      </c>
      <c r="X854" s="82">
        <v>0.35</v>
      </c>
      <c r="Y854" s="82"/>
      <c r="Z854" s="84">
        <v>7.6965000000000003</v>
      </c>
      <c r="AA854" s="84">
        <v>15.393000000000001</v>
      </c>
      <c r="AB854" s="88" t="e">
        <v>#DIV/0!</v>
      </c>
      <c r="AC854" t="s">
        <v>4165</v>
      </c>
    </row>
    <row r="855" spans="3:29">
      <c r="C855" t="s">
        <v>4166</v>
      </c>
      <c r="D855" t="s">
        <v>4150</v>
      </c>
      <c r="E855" s="84">
        <v>24.99</v>
      </c>
      <c r="F855" s="84">
        <v>12.494999999999999</v>
      </c>
      <c r="G855" t="s">
        <v>3901</v>
      </c>
      <c r="H855" t="s">
        <v>4167</v>
      </c>
      <c r="I855" t="s">
        <v>368</v>
      </c>
      <c r="J855" t="s">
        <v>4168</v>
      </c>
      <c r="K855" t="s">
        <v>3905</v>
      </c>
      <c r="L855" t="s">
        <v>670</v>
      </c>
      <c r="N855">
        <v>8</v>
      </c>
      <c r="O855">
        <v>8</v>
      </c>
      <c r="P855">
        <v>5.1199999999999998E-4</v>
      </c>
      <c r="Q855" s="84" t="e">
        <v>#REF!</v>
      </c>
      <c r="R855" s="85"/>
      <c r="S855" s="85"/>
      <c r="T855" s="86">
        <v>0</v>
      </c>
      <c r="U855" s="84">
        <v>0</v>
      </c>
      <c r="V855" s="84">
        <v>17.492999999999999</v>
      </c>
      <c r="W855" s="84">
        <v>8.7464999999999993</v>
      </c>
      <c r="X855" s="82">
        <v>0.35</v>
      </c>
      <c r="Y855" s="82"/>
      <c r="Z855" s="84">
        <v>8.7464999999999993</v>
      </c>
      <c r="AA855" s="84">
        <v>17.492999999999999</v>
      </c>
      <c r="AB855" s="88" t="e">
        <v>#DIV/0!</v>
      </c>
      <c r="AC855" t="s">
        <v>4161</v>
      </c>
    </row>
    <row r="856" spans="3:29">
      <c r="C856" t="s">
        <v>4169</v>
      </c>
      <c r="D856" t="s">
        <v>4150</v>
      </c>
      <c r="E856" s="84">
        <v>20.99</v>
      </c>
      <c r="F856" s="84">
        <v>10.494999999999999</v>
      </c>
      <c r="G856" t="s">
        <v>3901</v>
      </c>
      <c r="H856" t="s">
        <v>4170</v>
      </c>
      <c r="I856" t="s">
        <v>368</v>
      </c>
      <c r="J856" t="s">
        <v>4171</v>
      </c>
      <c r="K856" t="s">
        <v>3905</v>
      </c>
      <c r="L856" t="s">
        <v>670</v>
      </c>
      <c r="N856">
        <v>6.5</v>
      </c>
      <c r="O856">
        <v>10</v>
      </c>
      <c r="P856">
        <v>4.2250000000000002E-4</v>
      </c>
      <c r="Q856" s="84" t="e">
        <v>#REF!</v>
      </c>
      <c r="R856" s="85"/>
      <c r="S856" s="85"/>
      <c r="T856" s="86">
        <v>0</v>
      </c>
      <c r="U856" s="84">
        <v>0</v>
      </c>
      <c r="V856" s="84">
        <v>14.693</v>
      </c>
      <c r="W856" s="84">
        <v>7.3464999999999998</v>
      </c>
      <c r="X856" s="82">
        <v>0.35</v>
      </c>
      <c r="Y856" s="82"/>
      <c r="Z856" s="84">
        <v>7.3464999999999998</v>
      </c>
      <c r="AA856" s="84">
        <v>14.693</v>
      </c>
      <c r="AB856" s="88" t="e">
        <v>#DIV/0!</v>
      </c>
      <c r="AC856" t="s">
        <v>4172</v>
      </c>
    </row>
    <row r="857" spans="3:29">
      <c r="C857" t="s">
        <v>4173</v>
      </c>
      <c r="D857" t="s">
        <v>4150</v>
      </c>
      <c r="E857" s="84">
        <v>25.99</v>
      </c>
      <c r="F857" s="84">
        <v>12.994999999999999</v>
      </c>
      <c r="G857" t="s">
        <v>3901</v>
      </c>
      <c r="H857" t="s">
        <v>4174</v>
      </c>
      <c r="I857" t="s">
        <v>368</v>
      </c>
      <c r="J857" t="s">
        <v>4175</v>
      </c>
      <c r="K857" t="s">
        <v>3905</v>
      </c>
      <c r="L857" t="s">
        <v>670</v>
      </c>
      <c r="N857">
        <v>8</v>
      </c>
      <c r="O857">
        <v>12</v>
      </c>
      <c r="P857">
        <v>7.6800000000000002E-4</v>
      </c>
      <c r="Q857" s="84" t="e">
        <v>#REF!</v>
      </c>
      <c r="R857" s="85"/>
      <c r="S857" s="85"/>
      <c r="T857" s="86">
        <v>0</v>
      </c>
      <c r="U857" s="84">
        <v>0</v>
      </c>
      <c r="V857" s="84">
        <v>18.193000000000001</v>
      </c>
      <c r="W857" s="84">
        <v>9.0965000000000007</v>
      </c>
      <c r="X857" s="82">
        <v>0.35</v>
      </c>
      <c r="Y857" s="82"/>
      <c r="Z857" s="84">
        <v>9.0965000000000007</v>
      </c>
      <c r="AA857" s="84">
        <v>18.193000000000001</v>
      </c>
      <c r="AB857" s="88" t="e">
        <v>#DIV/0!</v>
      </c>
      <c r="AC857" t="s">
        <v>4161</v>
      </c>
    </row>
    <row r="858" spans="3:29">
      <c r="C858" t="s">
        <v>4176</v>
      </c>
      <c r="D858" t="s">
        <v>4150</v>
      </c>
      <c r="E858" s="84">
        <v>27.99</v>
      </c>
      <c r="F858" s="84">
        <v>13.994999999999999</v>
      </c>
      <c r="G858" t="s">
        <v>3901</v>
      </c>
      <c r="H858" t="s">
        <v>4177</v>
      </c>
      <c r="I858" t="s">
        <v>368</v>
      </c>
      <c r="J858" t="s">
        <v>4178</v>
      </c>
      <c r="K858" t="s">
        <v>3905</v>
      </c>
      <c r="L858" t="s">
        <v>670</v>
      </c>
      <c r="N858">
        <v>7</v>
      </c>
      <c r="O858">
        <v>13</v>
      </c>
      <c r="P858">
        <v>6.3699999999999998E-4</v>
      </c>
      <c r="Q858" s="84" t="e">
        <v>#REF!</v>
      </c>
      <c r="R858" s="85"/>
      <c r="S858" s="85"/>
      <c r="T858" s="86">
        <v>0</v>
      </c>
      <c r="U858" s="84">
        <v>0</v>
      </c>
      <c r="V858" s="84">
        <v>19.593</v>
      </c>
      <c r="W858" s="84">
        <v>9.7965</v>
      </c>
      <c r="X858" s="82">
        <v>0.35</v>
      </c>
      <c r="Y858" s="82"/>
      <c r="Z858" s="84">
        <v>9.7965</v>
      </c>
      <c r="AA858" s="84">
        <v>19.593</v>
      </c>
      <c r="AB858" s="88" t="e">
        <v>#DIV/0!</v>
      </c>
      <c r="AC858" t="s">
        <v>4172</v>
      </c>
    </row>
    <row r="859" spans="3:29">
      <c r="C859" t="s">
        <v>4179</v>
      </c>
      <c r="D859" t="s">
        <v>4150</v>
      </c>
      <c r="E859" s="84">
        <v>28.99</v>
      </c>
      <c r="F859" s="84">
        <v>14.494999999999999</v>
      </c>
      <c r="G859" t="s">
        <v>3901</v>
      </c>
      <c r="H859" t="s">
        <v>4180</v>
      </c>
      <c r="I859" t="s">
        <v>368</v>
      </c>
      <c r="J859" t="s">
        <v>4181</v>
      </c>
      <c r="K859" t="s">
        <v>3905</v>
      </c>
      <c r="L859" t="s">
        <v>670</v>
      </c>
      <c r="N859">
        <v>8</v>
      </c>
      <c r="O859">
        <v>16</v>
      </c>
      <c r="P859">
        <v>1.024E-3</v>
      </c>
      <c r="Q859" s="84" t="e">
        <v>#REF!</v>
      </c>
      <c r="R859" s="85"/>
      <c r="S859" s="85"/>
      <c r="T859" s="86">
        <v>0</v>
      </c>
      <c r="U859" s="84">
        <v>0</v>
      </c>
      <c r="V859" s="84">
        <v>20.292999999999999</v>
      </c>
      <c r="W859" s="84">
        <v>10.1465</v>
      </c>
      <c r="X859" s="82">
        <v>0.35</v>
      </c>
      <c r="Y859" s="82"/>
      <c r="Z859" s="84">
        <v>10.1465</v>
      </c>
      <c r="AA859" s="84">
        <v>20.292999999999999</v>
      </c>
      <c r="AB859" s="88" t="e">
        <v>#DIV/0!</v>
      </c>
      <c r="AC859" t="s">
        <v>4165</v>
      </c>
    </row>
    <row r="860" spans="3:29" ht="60.75">
      <c r="C860" t="s">
        <v>4182</v>
      </c>
      <c r="D860" t="s">
        <v>4183</v>
      </c>
      <c r="E860" s="84"/>
      <c r="F860" s="84">
        <v>0</v>
      </c>
      <c r="G860" t="s">
        <v>3901</v>
      </c>
      <c r="H860" t="s">
        <v>4184</v>
      </c>
      <c r="I860" t="s">
        <v>373</v>
      </c>
      <c r="J860" t="s">
        <v>4152</v>
      </c>
      <c r="K860" s="83" t="s">
        <v>4185</v>
      </c>
      <c r="L860" t="s">
        <v>670</v>
      </c>
      <c r="N860">
        <v>5</v>
      </c>
      <c r="O860">
        <v>55</v>
      </c>
      <c r="P860">
        <v>1.3749999999999999E-3</v>
      </c>
      <c r="Q860" s="84" t="e">
        <v>#REF!</v>
      </c>
      <c r="R860" s="85"/>
      <c r="S860" s="85"/>
      <c r="T860" s="86">
        <v>0</v>
      </c>
      <c r="U860" s="84">
        <v>0</v>
      </c>
      <c r="V860" s="84">
        <v>0</v>
      </c>
      <c r="W860" s="84">
        <v>0</v>
      </c>
      <c r="X860" s="82" t="e">
        <v>#DIV/0!</v>
      </c>
      <c r="Y860" s="82"/>
      <c r="Z860" s="84">
        <v>0</v>
      </c>
      <c r="AA860" s="84">
        <v>0</v>
      </c>
      <c r="AB860" s="88" t="e">
        <v>#DIV/0!</v>
      </c>
      <c r="AC860" t="s">
        <v>4186</v>
      </c>
    </row>
    <row r="861" spans="3:29">
      <c r="C861" t="s">
        <v>4187</v>
      </c>
      <c r="D861" t="s">
        <v>4183</v>
      </c>
      <c r="E861" s="84">
        <v>20.99</v>
      </c>
      <c r="F861" s="84">
        <v>10.494999999999999</v>
      </c>
      <c r="G861" t="s">
        <v>3901</v>
      </c>
      <c r="H861" t="s">
        <v>4188</v>
      </c>
      <c r="I861" t="s">
        <v>373</v>
      </c>
      <c r="J861" t="s">
        <v>4157</v>
      </c>
      <c r="K861" t="s">
        <v>4189</v>
      </c>
      <c r="L861" t="s">
        <v>670</v>
      </c>
      <c r="N861">
        <v>6</v>
      </c>
      <c r="O861">
        <v>6</v>
      </c>
      <c r="P861">
        <v>2.1599999999999999E-4</v>
      </c>
      <c r="Q861" s="84" t="e">
        <v>#REF!</v>
      </c>
      <c r="R861" s="85"/>
      <c r="S861" s="85"/>
      <c r="T861" s="86">
        <v>0</v>
      </c>
      <c r="U861" s="84">
        <v>0</v>
      </c>
      <c r="V861" s="84">
        <v>14.693</v>
      </c>
      <c r="W861" s="84">
        <v>7.3464999999999998</v>
      </c>
      <c r="X861" s="82">
        <v>0.35</v>
      </c>
      <c r="Y861" s="82"/>
      <c r="Z861" s="84">
        <v>7.3464999999999998</v>
      </c>
      <c r="AA861" s="84">
        <v>14.693</v>
      </c>
      <c r="AB861" s="88" t="e">
        <v>#DIV/0!</v>
      </c>
      <c r="AC861" t="s">
        <v>4190</v>
      </c>
    </row>
    <row r="862" spans="3:29">
      <c r="C862" t="s">
        <v>4191</v>
      </c>
      <c r="D862" t="s">
        <v>4183</v>
      </c>
      <c r="E862" s="84">
        <v>24.99</v>
      </c>
      <c r="F862" s="84">
        <v>12.494999999999999</v>
      </c>
      <c r="G862" t="s">
        <v>3901</v>
      </c>
      <c r="H862" t="s">
        <v>4192</v>
      </c>
      <c r="I862" t="s">
        <v>373</v>
      </c>
      <c r="J862" t="s">
        <v>4160</v>
      </c>
      <c r="K862" t="s">
        <v>4189</v>
      </c>
      <c r="L862" t="s">
        <v>670</v>
      </c>
      <c r="N862">
        <v>8</v>
      </c>
      <c r="O862">
        <v>6</v>
      </c>
      <c r="P862">
        <v>3.8400000000000001E-4</v>
      </c>
      <c r="Q862" s="84" t="e">
        <v>#REF!</v>
      </c>
      <c r="R862" s="85"/>
      <c r="S862" s="85"/>
      <c r="T862" s="86">
        <v>0</v>
      </c>
      <c r="U862" s="84">
        <v>0</v>
      </c>
      <c r="V862" s="84">
        <v>17.492999999999999</v>
      </c>
      <c r="W862" s="84">
        <v>8.7464999999999993</v>
      </c>
      <c r="X862" s="82">
        <v>0.35</v>
      </c>
      <c r="Y862" s="82"/>
      <c r="Z862" s="84">
        <v>8.7464999999999993</v>
      </c>
      <c r="AA862" s="84">
        <v>17.492999999999999</v>
      </c>
      <c r="AB862" s="88" t="e">
        <v>#DIV/0!</v>
      </c>
      <c r="AC862" t="s">
        <v>4193</v>
      </c>
    </row>
    <row r="863" spans="3:29">
      <c r="C863" t="s">
        <v>4194</v>
      </c>
      <c r="D863" t="s">
        <v>4183</v>
      </c>
      <c r="E863" s="84">
        <v>23.99</v>
      </c>
      <c r="F863" s="84">
        <v>11.994999999999999</v>
      </c>
      <c r="G863" t="s">
        <v>3901</v>
      </c>
      <c r="H863" t="s">
        <v>4195</v>
      </c>
      <c r="I863" t="s">
        <v>373</v>
      </c>
      <c r="J863" t="s">
        <v>4164</v>
      </c>
      <c r="K863" t="s">
        <v>4189</v>
      </c>
      <c r="L863" t="s">
        <v>670</v>
      </c>
      <c r="N863">
        <v>6.5</v>
      </c>
      <c r="O863">
        <v>7</v>
      </c>
      <c r="P863">
        <v>2.9575000000000001E-4</v>
      </c>
      <c r="Q863" s="84" t="e">
        <v>#REF!</v>
      </c>
      <c r="R863" s="85"/>
      <c r="S863" s="85"/>
      <c r="T863" s="86">
        <v>0</v>
      </c>
      <c r="U863" s="84">
        <v>0</v>
      </c>
      <c r="V863" s="84">
        <v>16.792999999999999</v>
      </c>
      <c r="W863" s="84">
        <v>8.3964999999999996</v>
      </c>
      <c r="X863" s="82">
        <v>0.35</v>
      </c>
      <c r="Y863" s="82"/>
      <c r="Z863" s="84">
        <v>8.3964999999999996</v>
      </c>
      <c r="AA863" s="84">
        <v>16.792999999999999</v>
      </c>
      <c r="AB863" s="88" t="e">
        <v>#DIV/0!</v>
      </c>
      <c r="AC863" t="s">
        <v>4196</v>
      </c>
    </row>
    <row r="864" spans="3:29">
      <c r="C864" t="s">
        <v>4197</v>
      </c>
      <c r="D864" t="s">
        <v>4183</v>
      </c>
      <c r="E864" s="84">
        <v>25.99</v>
      </c>
      <c r="F864" s="84">
        <v>12.994999999999999</v>
      </c>
      <c r="G864" t="s">
        <v>3901</v>
      </c>
      <c r="H864" t="s">
        <v>4198</v>
      </c>
      <c r="I864" t="s">
        <v>373</v>
      </c>
      <c r="J864" t="s">
        <v>4168</v>
      </c>
      <c r="K864" t="s">
        <v>4189</v>
      </c>
      <c r="L864" t="s">
        <v>670</v>
      </c>
      <c r="N864">
        <v>8</v>
      </c>
      <c r="O864">
        <v>8</v>
      </c>
      <c r="P864">
        <v>5.1199999999999998E-4</v>
      </c>
      <c r="Q864" s="84" t="e">
        <v>#REF!</v>
      </c>
      <c r="R864" s="85"/>
      <c r="S864" s="85"/>
      <c r="T864" s="86">
        <v>0</v>
      </c>
      <c r="U864" s="84">
        <v>0</v>
      </c>
      <c r="V864" s="84">
        <v>18.193000000000001</v>
      </c>
      <c r="W864" s="84">
        <v>9.0965000000000007</v>
      </c>
      <c r="X864" s="82">
        <v>0.35</v>
      </c>
      <c r="Y864" s="82"/>
      <c r="Z864" s="84">
        <v>9.0965000000000007</v>
      </c>
      <c r="AA864" s="84">
        <v>18.193000000000001</v>
      </c>
      <c r="AB864" s="88" t="e">
        <v>#DIV/0!</v>
      </c>
      <c r="AC864" t="s">
        <v>4193</v>
      </c>
    </row>
    <row r="865" spans="3:29">
      <c r="C865" t="s">
        <v>4199</v>
      </c>
      <c r="D865" t="s">
        <v>4183</v>
      </c>
      <c r="E865" s="84">
        <v>23.99</v>
      </c>
      <c r="F865" s="84">
        <v>11.994999999999999</v>
      </c>
      <c r="G865" t="s">
        <v>3901</v>
      </c>
      <c r="H865" t="s">
        <v>4200</v>
      </c>
      <c r="I865" t="s">
        <v>373</v>
      </c>
      <c r="J865" t="s">
        <v>4171</v>
      </c>
      <c r="K865" t="s">
        <v>4189</v>
      </c>
      <c r="L865" t="s">
        <v>670</v>
      </c>
      <c r="N865">
        <v>6.5</v>
      </c>
      <c r="O865">
        <v>10</v>
      </c>
      <c r="P865">
        <v>4.2250000000000002E-4</v>
      </c>
      <c r="Q865" s="84" t="e">
        <v>#REF!</v>
      </c>
      <c r="R865" s="85"/>
      <c r="S865" s="85"/>
      <c r="T865" s="86">
        <v>0</v>
      </c>
      <c r="U865" s="84">
        <v>0</v>
      </c>
      <c r="V865" s="84">
        <v>16.792999999999999</v>
      </c>
      <c r="W865" s="84">
        <v>8.3964999999999996</v>
      </c>
      <c r="X865" s="82">
        <v>0.35</v>
      </c>
      <c r="Y865" s="82"/>
      <c r="Z865" s="84">
        <v>8.3964999999999996</v>
      </c>
      <c r="AA865" s="84">
        <v>16.792999999999999</v>
      </c>
      <c r="AB865" s="88" t="e">
        <v>#DIV/0!</v>
      </c>
      <c r="AC865" t="s">
        <v>4201</v>
      </c>
    </row>
    <row r="866" spans="3:29">
      <c r="C866" t="s">
        <v>4202</v>
      </c>
      <c r="D866" t="s">
        <v>4183</v>
      </c>
      <c r="E866" s="84">
        <v>27.99</v>
      </c>
      <c r="F866" s="84">
        <v>13.994999999999999</v>
      </c>
      <c r="G866" t="s">
        <v>3901</v>
      </c>
      <c r="H866" t="s">
        <v>4203</v>
      </c>
      <c r="I866" t="s">
        <v>373</v>
      </c>
      <c r="J866" t="s">
        <v>4175</v>
      </c>
      <c r="K866" t="s">
        <v>4189</v>
      </c>
      <c r="L866" t="s">
        <v>670</v>
      </c>
      <c r="N866">
        <v>8</v>
      </c>
      <c r="O866">
        <v>12</v>
      </c>
      <c r="P866">
        <v>7.6800000000000002E-4</v>
      </c>
      <c r="Q866" s="84" t="e">
        <v>#REF!</v>
      </c>
      <c r="R866" s="85"/>
      <c r="S866" s="85"/>
      <c r="T866" s="86">
        <v>0</v>
      </c>
      <c r="U866" s="84">
        <v>0</v>
      </c>
      <c r="V866" s="84">
        <v>19.593</v>
      </c>
      <c r="W866" s="84">
        <v>9.7965</v>
      </c>
      <c r="X866" s="82">
        <v>0.35</v>
      </c>
      <c r="Y866" s="82"/>
      <c r="Z866" s="84">
        <v>9.7965</v>
      </c>
      <c r="AA866" s="84">
        <v>19.593</v>
      </c>
      <c r="AB866" s="88" t="e">
        <v>#DIV/0!</v>
      </c>
      <c r="AC866" t="s">
        <v>4196</v>
      </c>
    </row>
    <row r="867" spans="3:29">
      <c r="C867" t="s">
        <v>4204</v>
      </c>
      <c r="D867" t="s">
        <v>4183</v>
      </c>
      <c r="E867" s="84">
        <v>32.99</v>
      </c>
      <c r="F867" s="84">
        <v>16.495000000000001</v>
      </c>
      <c r="G867" t="s">
        <v>3901</v>
      </c>
      <c r="H867" t="s">
        <v>4205</v>
      </c>
      <c r="I867" t="s">
        <v>373</v>
      </c>
      <c r="J867" t="s">
        <v>4178</v>
      </c>
      <c r="K867" t="s">
        <v>4189</v>
      </c>
      <c r="L867" t="s">
        <v>670</v>
      </c>
      <c r="N867">
        <v>7</v>
      </c>
      <c r="O867">
        <v>13</v>
      </c>
      <c r="P867">
        <v>6.3699999999999998E-4</v>
      </c>
      <c r="Q867" s="84" t="e">
        <v>#REF!</v>
      </c>
      <c r="R867" s="85"/>
      <c r="S867" s="85"/>
      <c r="T867" s="86">
        <v>0</v>
      </c>
      <c r="U867" s="84">
        <v>0</v>
      </c>
      <c r="V867" s="84">
        <v>23.093</v>
      </c>
      <c r="W867" s="84">
        <v>11.5465</v>
      </c>
      <c r="X867" s="82">
        <v>0.35</v>
      </c>
      <c r="Y867" s="82"/>
      <c r="Z867" s="84">
        <v>11.5465</v>
      </c>
      <c r="AA867" s="84">
        <v>23.093</v>
      </c>
      <c r="AB867" s="88" t="e">
        <v>#DIV/0!</v>
      </c>
      <c r="AC867" t="s">
        <v>4193</v>
      </c>
    </row>
    <row r="868" spans="3:29">
      <c r="C868" t="s">
        <v>4206</v>
      </c>
      <c r="D868" t="s">
        <v>4183</v>
      </c>
      <c r="E868" s="84">
        <v>28.99</v>
      </c>
      <c r="F868" s="84">
        <v>14.494999999999999</v>
      </c>
      <c r="G868" t="s">
        <v>3901</v>
      </c>
      <c r="H868" t="s">
        <v>4207</v>
      </c>
      <c r="I868" t="s">
        <v>373</v>
      </c>
      <c r="J868" t="s">
        <v>4181</v>
      </c>
      <c r="K868" t="s">
        <v>4189</v>
      </c>
      <c r="L868" t="s">
        <v>670</v>
      </c>
      <c r="N868">
        <v>8</v>
      </c>
      <c r="O868">
        <v>16</v>
      </c>
      <c r="P868">
        <v>1.024E-3</v>
      </c>
      <c r="Q868" s="84" t="e">
        <v>#REF!</v>
      </c>
      <c r="R868" s="85"/>
      <c r="S868" s="85"/>
      <c r="T868" s="86">
        <v>0</v>
      </c>
      <c r="U868" s="84">
        <v>0</v>
      </c>
      <c r="V868" s="84">
        <v>20.292999999999999</v>
      </c>
      <c r="W868" s="84">
        <v>10.1465</v>
      </c>
      <c r="X868" s="82">
        <v>0.35</v>
      </c>
      <c r="Y868" s="82"/>
      <c r="Z868" s="84">
        <v>10.1465</v>
      </c>
      <c r="AA868" s="84">
        <v>20.292999999999999</v>
      </c>
      <c r="AB868" s="88" t="e">
        <v>#DIV/0!</v>
      </c>
      <c r="AC868" t="s">
        <v>4201</v>
      </c>
    </row>
    <row r="869" spans="3:29" ht="60.75">
      <c r="C869" t="s">
        <v>4208</v>
      </c>
      <c r="D869" t="s">
        <v>4209</v>
      </c>
      <c r="E869" s="84"/>
      <c r="F869" s="84">
        <v>0</v>
      </c>
      <c r="G869" t="s">
        <v>3901</v>
      </c>
      <c r="H869" t="s">
        <v>4210</v>
      </c>
      <c r="I869" t="s">
        <v>377</v>
      </c>
      <c r="J869" t="s">
        <v>4152</v>
      </c>
      <c r="K869" s="83" t="s">
        <v>4211</v>
      </c>
      <c r="L869" t="s">
        <v>670</v>
      </c>
      <c r="N869">
        <v>5</v>
      </c>
      <c r="O869">
        <v>55</v>
      </c>
      <c r="P869">
        <v>1.3749999999999999E-3</v>
      </c>
      <c r="Q869" s="84" t="e">
        <v>#REF!</v>
      </c>
      <c r="R869" s="85"/>
      <c r="S869" s="85"/>
      <c r="T869" s="86">
        <v>0</v>
      </c>
      <c r="U869" s="84">
        <v>0</v>
      </c>
      <c r="V869" s="84">
        <v>0</v>
      </c>
      <c r="W869" s="84">
        <v>0</v>
      </c>
      <c r="X869" s="82" t="e">
        <v>#DIV/0!</v>
      </c>
      <c r="Y869" s="82"/>
      <c r="Z869" s="84">
        <v>0</v>
      </c>
      <c r="AA869" s="84">
        <v>0</v>
      </c>
      <c r="AB869" s="88" t="e">
        <v>#DIV/0!</v>
      </c>
      <c r="AC869" t="s">
        <v>4212</v>
      </c>
    </row>
    <row r="870" spans="3:29">
      <c r="C870" t="s">
        <v>4213</v>
      </c>
      <c r="D870" t="s">
        <v>4209</v>
      </c>
      <c r="E870" s="84">
        <v>23.99</v>
      </c>
      <c r="F870" s="84">
        <v>11.994999999999999</v>
      </c>
      <c r="G870" t="s">
        <v>3901</v>
      </c>
      <c r="H870" t="s">
        <v>4214</v>
      </c>
      <c r="I870" t="s">
        <v>377</v>
      </c>
      <c r="J870" t="s">
        <v>4157</v>
      </c>
      <c r="K870" t="s">
        <v>4059</v>
      </c>
      <c r="L870" t="s">
        <v>670</v>
      </c>
      <c r="N870">
        <v>6</v>
      </c>
      <c r="O870">
        <v>6</v>
      </c>
      <c r="P870">
        <v>2.1599999999999999E-4</v>
      </c>
      <c r="Q870" s="84" t="e">
        <v>#REF!</v>
      </c>
      <c r="R870" s="85"/>
      <c r="S870" s="85"/>
      <c r="T870" s="86">
        <v>0</v>
      </c>
      <c r="U870" s="84">
        <v>0</v>
      </c>
      <c r="V870" s="84">
        <v>16.792999999999999</v>
      </c>
      <c r="W870" s="84">
        <v>8.3964999999999996</v>
      </c>
      <c r="X870" s="82">
        <v>0.35</v>
      </c>
      <c r="Y870" s="82"/>
      <c r="Z870" s="84">
        <v>8.3964999999999996</v>
      </c>
      <c r="AA870" s="84">
        <v>16.792999999999999</v>
      </c>
      <c r="AB870" s="88" t="e">
        <v>#DIV/0!</v>
      </c>
      <c r="AC870" t="s">
        <v>4215</v>
      </c>
    </row>
    <row r="871" spans="3:29">
      <c r="C871" t="s">
        <v>4216</v>
      </c>
      <c r="D871" t="s">
        <v>4209</v>
      </c>
      <c r="E871" s="84">
        <v>26.99</v>
      </c>
      <c r="F871" s="84">
        <v>13.494999999999999</v>
      </c>
      <c r="G871" t="s">
        <v>3901</v>
      </c>
      <c r="H871" t="s">
        <v>4217</v>
      </c>
      <c r="I871" t="s">
        <v>377</v>
      </c>
      <c r="J871" t="s">
        <v>4160</v>
      </c>
      <c r="K871" t="s">
        <v>4059</v>
      </c>
      <c r="L871" t="s">
        <v>670</v>
      </c>
      <c r="N871">
        <v>8</v>
      </c>
      <c r="O871">
        <v>6</v>
      </c>
      <c r="P871">
        <v>3.8400000000000001E-4</v>
      </c>
      <c r="Q871" s="84" t="e">
        <v>#REF!</v>
      </c>
      <c r="R871" s="85"/>
      <c r="S871" s="85"/>
      <c r="T871" s="86">
        <v>0</v>
      </c>
      <c r="U871" s="84">
        <v>0</v>
      </c>
      <c r="V871" s="84">
        <v>18.893000000000001</v>
      </c>
      <c r="W871" s="84">
        <v>9.4465000000000003</v>
      </c>
      <c r="X871" s="82">
        <v>0.35</v>
      </c>
      <c r="Y871" s="82"/>
      <c r="Z871" s="84">
        <v>9.4465000000000003</v>
      </c>
      <c r="AA871" s="84">
        <v>18.893000000000001</v>
      </c>
      <c r="AB871" s="88" t="e">
        <v>#DIV/0!</v>
      </c>
      <c r="AC871" t="s">
        <v>4212</v>
      </c>
    </row>
    <row r="872" spans="3:29">
      <c r="C872" t="s">
        <v>4218</v>
      </c>
      <c r="D872" t="s">
        <v>4209</v>
      </c>
      <c r="E872" s="84">
        <v>24.99</v>
      </c>
      <c r="F872" s="84">
        <v>12.494999999999999</v>
      </c>
      <c r="G872" t="s">
        <v>3901</v>
      </c>
      <c r="H872" t="s">
        <v>4219</v>
      </c>
      <c r="I872" t="s">
        <v>377</v>
      </c>
      <c r="J872" t="s">
        <v>4164</v>
      </c>
      <c r="K872" t="s">
        <v>4059</v>
      </c>
      <c r="L872" t="s">
        <v>670</v>
      </c>
      <c r="N872">
        <v>6.5</v>
      </c>
      <c r="O872">
        <v>7</v>
      </c>
      <c r="P872">
        <v>2.9575000000000001E-4</v>
      </c>
      <c r="Q872" s="84" t="e">
        <v>#REF!</v>
      </c>
      <c r="R872" s="85"/>
      <c r="S872" s="85"/>
      <c r="T872" s="86">
        <v>0</v>
      </c>
      <c r="U872" s="84">
        <v>0</v>
      </c>
      <c r="V872" s="84">
        <v>17.492999999999999</v>
      </c>
      <c r="W872" s="84">
        <v>8.7464999999999993</v>
      </c>
      <c r="X872" s="82">
        <v>0.35</v>
      </c>
      <c r="Y872" s="82"/>
      <c r="Z872" s="84">
        <v>8.7464999999999993</v>
      </c>
      <c r="AA872" s="84">
        <v>17.492999999999999</v>
      </c>
      <c r="AB872" s="88" t="e">
        <v>#DIV/0!</v>
      </c>
      <c r="AC872" t="s">
        <v>4212</v>
      </c>
    </row>
    <row r="873" spans="3:29">
      <c r="C873" t="s">
        <v>4220</v>
      </c>
      <c r="D873" t="s">
        <v>4209</v>
      </c>
      <c r="E873" s="84">
        <v>26.99</v>
      </c>
      <c r="F873" s="84">
        <v>13.494999999999999</v>
      </c>
      <c r="G873" t="s">
        <v>3901</v>
      </c>
      <c r="H873" t="s">
        <v>4221</v>
      </c>
      <c r="I873" t="s">
        <v>377</v>
      </c>
      <c r="J873" t="s">
        <v>4168</v>
      </c>
      <c r="K873" t="s">
        <v>4059</v>
      </c>
      <c r="L873" t="s">
        <v>670</v>
      </c>
      <c r="N873">
        <v>8</v>
      </c>
      <c r="O873">
        <v>8</v>
      </c>
      <c r="P873">
        <v>5.1199999999999998E-4</v>
      </c>
      <c r="Q873" s="84" t="e">
        <v>#REF!</v>
      </c>
      <c r="R873" s="85"/>
      <c r="S873" s="85"/>
      <c r="T873" s="86">
        <v>0</v>
      </c>
      <c r="U873" s="84">
        <v>0</v>
      </c>
      <c r="V873" s="84">
        <v>18.893000000000001</v>
      </c>
      <c r="W873" s="84">
        <v>9.4465000000000003</v>
      </c>
      <c r="X873" s="82">
        <v>0.35</v>
      </c>
      <c r="Y873" s="82"/>
      <c r="Z873" s="84">
        <v>9.4465000000000003</v>
      </c>
      <c r="AA873" s="84">
        <v>18.893000000000001</v>
      </c>
      <c r="AB873" s="88" t="e">
        <v>#DIV/0!</v>
      </c>
      <c r="AC873" t="s">
        <v>4222</v>
      </c>
    </row>
    <row r="874" spans="3:29">
      <c r="C874" t="s">
        <v>4223</v>
      </c>
      <c r="D874" t="s">
        <v>4209</v>
      </c>
      <c r="E874" s="84">
        <v>24.99</v>
      </c>
      <c r="F874" s="84">
        <v>12.494999999999999</v>
      </c>
      <c r="G874" t="s">
        <v>3901</v>
      </c>
      <c r="H874" t="s">
        <v>4224</v>
      </c>
      <c r="I874" t="s">
        <v>377</v>
      </c>
      <c r="J874" t="s">
        <v>4171</v>
      </c>
      <c r="K874" t="s">
        <v>4059</v>
      </c>
      <c r="L874" t="s">
        <v>670</v>
      </c>
      <c r="N874">
        <v>6.5</v>
      </c>
      <c r="O874">
        <v>10</v>
      </c>
      <c r="P874">
        <v>4.2250000000000002E-4</v>
      </c>
      <c r="Q874" s="84" t="e">
        <v>#REF!</v>
      </c>
      <c r="R874" s="85"/>
      <c r="S874" s="85"/>
      <c r="T874" s="86">
        <v>0</v>
      </c>
      <c r="U874" s="84">
        <v>0</v>
      </c>
      <c r="V874" s="84">
        <v>17.492999999999999</v>
      </c>
      <c r="W874" s="84">
        <v>8.7464999999999993</v>
      </c>
      <c r="X874" s="82">
        <v>0.35</v>
      </c>
      <c r="Y874" s="82"/>
      <c r="Z874" s="84">
        <v>8.7464999999999993</v>
      </c>
      <c r="AA874" s="84">
        <v>17.492999999999999</v>
      </c>
      <c r="AB874" s="88" t="e">
        <v>#DIV/0!</v>
      </c>
      <c r="AC874" t="s">
        <v>4222</v>
      </c>
    </row>
    <row r="875" spans="3:29">
      <c r="C875" t="s">
        <v>4225</v>
      </c>
      <c r="D875" t="s">
        <v>4209</v>
      </c>
      <c r="E875" s="84">
        <v>28.99</v>
      </c>
      <c r="F875" s="84">
        <v>14.494999999999999</v>
      </c>
      <c r="G875" t="s">
        <v>3901</v>
      </c>
      <c r="H875" t="s">
        <v>4226</v>
      </c>
      <c r="I875" t="s">
        <v>377</v>
      </c>
      <c r="J875" t="s">
        <v>4175</v>
      </c>
      <c r="K875" t="s">
        <v>4059</v>
      </c>
      <c r="L875" t="s">
        <v>670</v>
      </c>
      <c r="N875">
        <v>8</v>
      </c>
      <c r="O875">
        <v>12</v>
      </c>
      <c r="P875">
        <v>7.6800000000000002E-4</v>
      </c>
      <c r="Q875" s="84" t="e">
        <v>#REF!</v>
      </c>
      <c r="R875" s="85"/>
      <c r="S875" s="85"/>
      <c r="T875" s="86">
        <v>0</v>
      </c>
      <c r="U875" s="84">
        <v>0</v>
      </c>
      <c r="V875" s="84">
        <v>20.292999999999999</v>
      </c>
      <c r="W875" s="84">
        <v>10.1465</v>
      </c>
      <c r="X875" s="82">
        <v>0.35</v>
      </c>
      <c r="Y875" s="82"/>
      <c r="Z875" s="84">
        <v>10.1465</v>
      </c>
      <c r="AA875" s="84">
        <v>20.292999999999999</v>
      </c>
      <c r="AB875" s="88" t="e">
        <v>#DIV/0!</v>
      </c>
      <c r="AC875" t="s">
        <v>4212</v>
      </c>
    </row>
    <row r="876" spans="3:29">
      <c r="C876" t="s">
        <v>4227</v>
      </c>
      <c r="D876" t="s">
        <v>4209</v>
      </c>
      <c r="E876" s="84">
        <v>34.99</v>
      </c>
      <c r="F876" s="84">
        <v>17.495000000000001</v>
      </c>
      <c r="G876" t="s">
        <v>3901</v>
      </c>
      <c r="H876" t="s">
        <v>4228</v>
      </c>
      <c r="I876" t="s">
        <v>377</v>
      </c>
      <c r="J876" t="s">
        <v>4178</v>
      </c>
      <c r="K876" t="s">
        <v>4059</v>
      </c>
      <c r="L876" t="s">
        <v>670</v>
      </c>
      <c r="N876">
        <v>7</v>
      </c>
      <c r="O876">
        <v>13</v>
      </c>
      <c r="P876">
        <v>6.3699999999999998E-4</v>
      </c>
      <c r="Q876" s="84" t="e">
        <v>#REF!</v>
      </c>
      <c r="R876" s="85"/>
      <c r="S876" s="85"/>
      <c r="T876" s="86">
        <v>0</v>
      </c>
      <c r="U876" s="84">
        <v>0</v>
      </c>
      <c r="V876" s="84">
        <v>24.492999999999999</v>
      </c>
      <c r="W876" s="84">
        <v>12.246499999999999</v>
      </c>
      <c r="X876" s="82">
        <v>0.35</v>
      </c>
      <c r="Y876" s="82"/>
      <c r="Z876" s="84">
        <v>12.246499999999999</v>
      </c>
      <c r="AA876" s="84">
        <v>24.492999999999999</v>
      </c>
      <c r="AB876" s="88" t="e">
        <v>#DIV/0!</v>
      </c>
      <c r="AC876" t="s">
        <v>4212</v>
      </c>
    </row>
    <row r="877" spans="3:29">
      <c r="C877" t="s">
        <v>4229</v>
      </c>
      <c r="D877" t="s">
        <v>4209</v>
      </c>
      <c r="E877" s="84">
        <v>31.99</v>
      </c>
      <c r="F877" s="84">
        <v>15.994999999999999</v>
      </c>
      <c r="G877" t="s">
        <v>3901</v>
      </c>
      <c r="H877" t="s">
        <v>4230</v>
      </c>
      <c r="I877" t="s">
        <v>377</v>
      </c>
      <c r="J877" t="s">
        <v>4181</v>
      </c>
      <c r="K877" t="s">
        <v>4059</v>
      </c>
      <c r="L877" t="s">
        <v>670</v>
      </c>
      <c r="N877">
        <v>8</v>
      </c>
      <c r="O877">
        <v>16</v>
      </c>
      <c r="P877">
        <v>1.024E-3</v>
      </c>
      <c r="Q877" s="84" t="e">
        <v>#REF!</v>
      </c>
      <c r="R877" s="85"/>
      <c r="S877" s="85"/>
      <c r="T877" s="86">
        <v>0</v>
      </c>
      <c r="U877" s="84">
        <v>0</v>
      </c>
      <c r="V877" s="84">
        <v>22.393000000000001</v>
      </c>
      <c r="W877" s="84">
        <v>11.1965</v>
      </c>
      <c r="X877" s="82">
        <v>0.35</v>
      </c>
      <c r="Y877" s="82"/>
      <c r="Z877" s="84">
        <v>11.1965</v>
      </c>
      <c r="AA877" s="84">
        <v>22.393000000000001</v>
      </c>
      <c r="AB877" s="88" t="e">
        <v>#DIV/0!</v>
      </c>
      <c r="AC877" t="s">
        <v>4212</v>
      </c>
    </row>
    <row r="878" spans="3:29" ht="60.75">
      <c r="C878" t="s">
        <v>4231</v>
      </c>
      <c r="D878" t="s">
        <v>4232</v>
      </c>
      <c r="E878" s="84"/>
      <c r="F878" s="84">
        <v>0</v>
      </c>
      <c r="G878" t="s">
        <v>3901</v>
      </c>
      <c r="H878" t="s">
        <v>4233</v>
      </c>
      <c r="I878" t="s">
        <v>381</v>
      </c>
      <c r="J878" t="s">
        <v>4152</v>
      </c>
      <c r="K878" s="83" t="s">
        <v>4234</v>
      </c>
      <c r="L878" t="s">
        <v>670</v>
      </c>
      <c r="N878">
        <v>5</v>
      </c>
      <c r="O878">
        <v>55</v>
      </c>
      <c r="P878">
        <v>1.3749999999999999E-3</v>
      </c>
      <c r="Q878" s="84" t="e">
        <v>#REF!</v>
      </c>
      <c r="R878" s="85"/>
      <c r="S878" s="85"/>
      <c r="T878" s="86">
        <v>0</v>
      </c>
      <c r="U878" s="84">
        <v>0</v>
      </c>
      <c r="V878" s="84">
        <v>0</v>
      </c>
      <c r="W878" s="84">
        <v>0</v>
      </c>
      <c r="X878" s="82" t="e">
        <v>#DIV/0!</v>
      </c>
      <c r="Y878" s="82"/>
      <c r="Z878" s="84">
        <v>0</v>
      </c>
      <c r="AA878" s="84">
        <v>0</v>
      </c>
      <c r="AB878" s="88" t="e">
        <v>#DIV/0!</v>
      </c>
      <c r="AC878" t="s">
        <v>4235</v>
      </c>
    </row>
    <row r="879" spans="3:29">
      <c r="C879" t="s">
        <v>4236</v>
      </c>
      <c r="D879" t="s">
        <v>4232</v>
      </c>
      <c r="E879" s="84">
        <v>21.99</v>
      </c>
      <c r="F879" s="84">
        <v>10.994999999999999</v>
      </c>
      <c r="G879" t="s">
        <v>3901</v>
      </c>
      <c r="H879" t="s">
        <v>4237</v>
      </c>
      <c r="I879" t="s">
        <v>381</v>
      </c>
      <c r="J879" t="s">
        <v>4157</v>
      </c>
      <c r="K879" t="s">
        <v>4068</v>
      </c>
      <c r="L879" t="s">
        <v>670</v>
      </c>
      <c r="N879">
        <v>6</v>
      </c>
      <c r="O879">
        <v>6</v>
      </c>
      <c r="P879">
        <v>2.1599999999999999E-4</v>
      </c>
      <c r="Q879" s="84" t="e">
        <v>#REF!</v>
      </c>
      <c r="R879" s="85"/>
      <c r="S879" s="85"/>
      <c r="T879" s="86">
        <v>0</v>
      </c>
      <c r="U879" s="84">
        <v>0</v>
      </c>
      <c r="V879" s="84">
        <v>15.393000000000001</v>
      </c>
      <c r="W879" s="84">
        <v>7.6965000000000003</v>
      </c>
      <c r="X879" s="82">
        <v>0.35</v>
      </c>
      <c r="Y879" s="82"/>
      <c r="Z879" s="84">
        <v>7.6965000000000003</v>
      </c>
      <c r="AA879" s="84">
        <v>15.393000000000001</v>
      </c>
      <c r="AB879" s="88" t="e">
        <v>#DIV/0!</v>
      </c>
      <c r="AC879" t="s">
        <v>4238</v>
      </c>
    </row>
    <row r="880" spans="3:29">
      <c r="C880" t="s">
        <v>4239</v>
      </c>
      <c r="D880" t="s">
        <v>4232</v>
      </c>
      <c r="E880" s="84">
        <v>25.99</v>
      </c>
      <c r="F880" s="84">
        <v>12.994999999999999</v>
      </c>
      <c r="G880" t="s">
        <v>3901</v>
      </c>
      <c r="H880" t="s">
        <v>4240</v>
      </c>
      <c r="I880" t="s">
        <v>381</v>
      </c>
      <c r="J880" t="s">
        <v>4160</v>
      </c>
      <c r="K880" t="s">
        <v>4068</v>
      </c>
      <c r="L880" t="s">
        <v>670</v>
      </c>
      <c r="N880">
        <v>8</v>
      </c>
      <c r="O880">
        <v>6</v>
      </c>
      <c r="P880">
        <v>3.8400000000000001E-4</v>
      </c>
      <c r="Q880" s="84" t="e">
        <v>#REF!</v>
      </c>
      <c r="R880" s="85"/>
      <c r="S880" s="85"/>
      <c r="T880" s="86">
        <v>0</v>
      </c>
      <c r="U880" s="84">
        <v>0</v>
      </c>
      <c r="V880" s="84">
        <v>18.193000000000001</v>
      </c>
      <c r="W880" s="84">
        <v>9.0965000000000007</v>
      </c>
      <c r="X880" s="82">
        <v>0.35</v>
      </c>
      <c r="Y880" s="82"/>
      <c r="Z880" s="84">
        <v>9.0965000000000007</v>
      </c>
      <c r="AA880" s="84">
        <v>18.193000000000001</v>
      </c>
      <c r="AB880" s="88" t="e">
        <v>#DIV/0!</v>
      </c>
      <c r="AC880" t="s">
        <v>4238</v>
      </c>
    </row>
    <row r="881" spans="3:29">
      <c r="C881" t="s">
        <v>4241</v>
      </c>
      <c r="D881" t="s">
        <v>4232</v>
      </c>
      <c r="E881" s="84">
        <v>23.99</v>
      </c>
      <c r="F881" s="84">
        <v>11.994999999999999</v>
      </c>
      <c r="G881" t="s">
        <v>3901</v>
      </c>
      <c r="H881" t="s">
        <v>4242</v>
      </c>
      <c r="I881" t="s">
        <v>381</v>
      </c>
      <c r="J881" t="s">
        <v>4164</v>
      </c>
      <c r="K881" t="s">
        <v>4068</v>
      </c>
      <c r="L881" t="s">
        <v>670</v>
      </c>
      <c r="N881">
        <v>6.5</v>
      </c>
      <c r="O881">
        <v>7</v>
      </c>
      <c r="P881">
        <v>2.9575000000000001E-4</v>
      </c>
      <c r="Q881" s="84" t="e">
        <v>#REF!</v>
      </c>
      <c r="R881" s="85"/>
      <c r="S881" s="85"/>
      <c r="T881" s="86">
        <v>0</v>
      </c>
      <c r="U881" s="84">
        <v>0</v>
      </c>
      <c r="V881" s="84">
        <v>16.792999999999999</v>
      </c>
      <c r="W881" s="84">
        <v>8.3964999999999996</v>
      </c>
      <c r="X881" s="82">
        <v>0.35</v>
      </c>
      <c r="Y881" s="82"/>
      <c r="Z881" s="84">
        <v>8.3964999999999996</v>
      </c>
      <c r="AA881" s="84">
        <v>16.792999999999999</v>
      </c>
      <c r="AB881" s="88" t="e">
        <v>#DIV/0!</v>
      </c>
      <c r="AC881" t="s">
        <v>4243</v>
      </c>
    </row>
    <row r="882" spans="3:29">
      <c r="C882" t="s">
        <v>4244</v>
      </c>
      <c r="D882" t="s">
        <v>4232</v>
      </c>
      <c r="E882" s="84">
        <v>25.99</v>
      </c>
      <c r="F882" s="84">
        <v>12.994999999999999</v>
      </c>
      <c r="G882" t="s">
        <v>3901</v>
      </c>
      <c r="H882" t="s">
        <v>4245</v>
      </c>
      <c r="I882" t="s">
        <v>381</v>
      </c>
      <c r="J882" t="s">
        <v>4168</v>
      </c>
      <c r="K882" t="s">
        <v>4068</v>
      </c>
      <c r="L882" t="s">
        <v>670</v>
      </c>
      <c r="N882">
        <v>8</v>
      </c>
      <c r="O882">
        <v>8</v>
      </c>
      <c r="P882">
        <v>5.1199999999999998E-4</v>
      </c>
      <c r="Q882" s="84" t="e">
        <v>#REF!</v>
      </c>
      <c r="R882" s="85"/>
      <c r="S882" s="85"/>
      <c r="T882" s="86">
        <v>0</v>
      </c>
      <c r="U882" s="84">
        <v>0</v>
      </c>
      <c r="V882" s="84">
        <v>18.193000000000001</v>
      </c>
      <c r="W882" s="84">
        <v>9.0965000000000007</v>
      </c>
      <c r="X882" s="82">
        <v>0.35</v>
      </c>
      <c r="Y882" s="82"/>
      <c r="Z882" s="84">
        <v>9.0965000000000007</v>
      </c>
      <c r="AA882" s="84">
        <v>18.193000000000001</v>
      </c>
      <c r="AB882" s="88" t="e">
        <v>#DIV/0!</v>
      </c>
      <c r="AC882" t="s">
        <v>4235</v>
      </c>
    </row>
    <row r="883" spans="3:29">
      <c r="C883" t="s">
        <v>4246</v>
      </c>
      <c r="D883" t="s">
        <v>4232</v>
      </c>
      <c r="E883" s="84">
        <v>21.99</v>
      </c>
      <c r="F883" s="84">
        <v>10.994999999999999</v>
      </c>
      <c r="G883" t="s">
        <v>3901</v>
      </c>
      <c r="H883" t="s">
        <v>4247</v>
      </c>
      <c r="I883" t="s">
        <v>381</v>
      </c>
      <c r="J883" t="s">
        <v>4171</v>
      </c>
      <c r="K883" t="s">
        <v>4068</v>
      </c>
      <c r="L883" t="s">
        <v>670</v>
      </c>
      <c r="N883">
        <v>6.5</v>
      </c>
      <c r="O883">
        <v>10</v>
      </c>
      <c r="P883">
        <v>4.2250000000000002E-4</v>
      </c>
      <c r="Q883" s="84" t="e">
        <v>#REF!</v>
      </c>
      <c r="R883" s="85"/>
      <c r="S883" s="85"/>
      <c r="T883" s="86">
        <v>0</v>
      </c>
      <c r="U883" s="84">
        <v>0</v>
      </c>
      <c r="V883" s="84">
        <v>15.393000000000001</v>
      </c>
      <c r="W883" s="84">
        <v>7.6965000000000003</v>
      </c>
      <c r="X883" s="82">
        <v>0.35</v>
      </c>
      <c r="Y883" s="82"/>
      <c r="Z883" s="84">
        <v>7.6965000000000003</v>
      </c>
      <c r="AA883" s="84">
        <v>15.393000000000001</v>
      </c>
      <c r="AB883" s="88" t="e">
        <v>#DIV/0!</v>
      </c>
      <c r="AC883" t="s">
        <v>4248</v>
      </c>
    </row>
    <row r="884" spans="3:29">
      <c r="C884" t="s">
        <v>4249</v>
      </c>
      <c r="D884" t="s">
        <v>4232</v>
      </c>
      <c r="E884" s="84">
        <v>27.99</v>
      </c>
      <c r="F884" s="84">
        <v>13.994999999999999</v>
      </c>
      <c r="G884" t="s">
        <v>3901</v>
      </c>
      <c r="H884" t="s">
        <v>4250</v>
      </c>
      <c r="I884" t="s">
        <v>381</v>
      </c>
      <c r="J884" t="s">
        <v>4175</v>
      </c>
      <c r="K884" t="s">
        <v>4068</v>
      </c>
      <c r="L884" t="s">
        <v>670</v>
      </c>
      <c r="N884">
        <v>8</v>
      </c>
      <c r="O884">
        <v>12</v>
      </c>
      <c r="P884">
        <v>7.6800000000000002E-4</v>
      </c>
      <c r="Q884" s="84" t="e">
        <v>#REF!</v>
      </c>
      <c r="R884" s="85"/>
      <c r="S884" s="85"/>
      <c r="T884" s="86">
        <v>0</v>
      </c>
      <c r="U884" s="84">
        <v>0</v>
      </c>
      <c r="V884" s="84">
        <v>19.593</v>
      </c>
      <c r="W884" s="84">
        <v>9.7965</v>
      </c>
      <c r="X884" s="82">
        <v>0.35</v>
      </c>
      <c r="Y884" s="82"/>
      <c r="Z884" s="84">
        <v>9.7965</v>
      </c>
      <c r="AA884" s="84">
        <v>19.593</v>
      </c>
      <c r="AB884" s="88" t="e">
        <v>#DIV/0!</v>
      </c>
      <c r="AC884" t="s">
        <v>4235</v>
      </c>
    </row>
    <row r="885" spans="3:29">
      <c r="C885" t="s">
        <v>4251</v>
      </c>
      <c r="D885" t="s">
        <v>4232</v>
      </c>
      <c r="E885" s="84">
        <v>32.99</v>
      </c>
      <c r="F885" s="84">
        <v>16.495000000000001</v>
      </c>
      <c r="G885" t="s">
        <v>3901</v>
      </c>
      <c r="H885" t="s">
        <v>4252</v>
      </c>
      <c r="I885" t="s">
        <v>381</v>
      </c>
      <c r="J885" t="s">
        <v>4178</v>
      </c>
      <c r="K885" t="s">
        <v>4068</v>
      </c>
      <c r="L885" t="s">
        <v>670</v>
      </c>
      <c r="N885">
        <v>7</v>
      </c>
      <c r="O885">
        <v>13</v>
      </c>
      <c r="P885">
        <v>6.3699999999999998E-4</v>
      </c>
      <c r="Q885" s="84" t="e">
        <v>#REF!</v>
      </c>
      <c r="R885" s="85"/>
      <c r="S885" s="85"/>
      <c r="T885" s="86">
        <v>0</v>
      </c>
      <c r="U885" s="84">
        <v>0</v>
      </c>
      <c r="V885" s="84">
        <v>23.093</v>
      </c>
      <c r="W885" s="84">
        <v>11.5465</v>
      </c>
      <c r="X885" s="82">
        <v>0.35</v>
      </c>
      <c r="Y885" s="82"/>
      <c r="Z885" s="84">
        <v>11.5465</v>
      </c>
      <c r="AA885" s="84">
        <v>23.093</v>
      </c>
      <c r="AB885" s="88" t="e">
        <v>#DIV/0!</v>
      </c>
      <c r="AC885" t="s">
        <v>4238</v>
      </c>
    </row>
    <row r="886" spans="3:29">
      <c r="C886" t="s">
        <v>4253</v>
      </c>
      <c r="D886" t="s">
        <v>4232</v>
      </c>
      <c r="E886" s="84">
        <v>30.99</v>
      </c>
      <c r="F886" s="84">
        <v>15.494999999999999</v>
      </c>
      <c r="G886" t="s">
        <v>3901</v>
      </c>
      <c r="H886" t="s">
        <v>4254</v>
      </c>
      <c r="I886" t="s">
        <v>381</v>
      </c>
      <c r="J886" t="s">
        <v>4181</v>
      </c>
      <c r="K886" t="s">
        <v>4068</v>
      </c>
      <c r="L886" t="s">
        <v>670</v>
      </c>
      <c r="N886">
        <v>8</v>
      </c>
      <c r="O886">
        <v>16</v>
      </c>
      <c r="P886">
        <v>1.024E-3</v>
      </c>
      <c r="Q886" s="84" t="e">
        <v>#REF!</v>
      </c>
      <c r="R886" s="85"/>
      <c r="S886" s="85"/>
      <c r="T886" s="86">
        <v>0</v>
      </c>
      <c r="U886" s="84">
        <v>0</v>
      </c>
      <c r="V886" s="84">
        <v>21.693000000000001</v>
      </c>
      <c r="W886" s="84">
        <v>10.846500000000001</v>
      </c>
      <c r="X886" s="82">
        <v>0.35</v>
      </c>
      <c r="Y886" s="82"/>
      <c r="Z886" s="84">
        <v>10.846500000000001</v>
      </c>
      <c r="AA886" s="84">
        <v>21.693000000000001</v>
      </c>
      <c r="AB886" s="88" t="e">
        <v>#DIV/0!</v>
      </c>
      <c r="AC886" t="s">
        <v>4248</v>
      </c>
    </row>
    <row r="887" spans="3:29" ht="60.75">
      <c r="C887" t="s">
        <v>4255</v>
      </c>
      <c r="D887" t="s">
        <v>4256</v>
      </c>
      <c r="E887" s="84"/>
      <c r="F887" s="84">
        <v>0</v>
      </c>
      <c r="G887" t="s">
        <v>3901</v>
      </c>
      <c r="H887" t="s">
        <v>4257</v>
      </c>
      <c r="I887" t="s">
        <v>385</v>
      </c>
      <c r="J887" t="s">
        <v>4152</v>
      </c>
      <c r="K887" s="83" t="s">
        <v>4258</v>
      </c>
      <c r="L887" t="s">
        <v>670</v>
      </c>
      <c r="N887">
        <v>5</v>
      </c>
      <c r="O887">
        <v>55</v>
      </c>
      <c r="P887">
        <v>1.3749999999999999E-3</v>
      </c>
      <c r="Q887" s="84" t="e">
        <v>#REF!</v>
      </c>
      <c r="R887" s="85"/>
      <c r="S887" s="85"/>
      <c r="T887" s="86">
        <v>0</v>
      </c>
      <c r="U887" s="84">
        <v>0</v>
      </c>
      <c r="V887" s="84">
        <v>0</v>
      </c>
      <c r="W887" s="84">
        <v>0</v>
      </c>
      <c r="X887" s="82" t="e">
        <v>#DIV/0!</v>
      </c>
      <c r="Y887" s="82"/>
      <c r="Z887" s="84">
        <v>0</v>
      </c>
      <c r="AA887" s="84">
        <v>0</v>
      </c>
      <c r="AB887" s="88" t="e">
        <v>#DIV/0!</v>
      </c>
      <c r="AC887" t="s">
        <v>4259</v>
      </c>
    </row>
    <row r="888" spans="3:29">
      <c r="C888" t="s">
        <v>4260</v>
      </c>
      <c r="D888" t="s">
        <v>4256</v>
      </c>
      <c r="E888" s="84">
        <v>24.99</v>
      </c>
      <c r="F888" s="84">
        <v>12.494999999999999</v>
      </c>
      <c r="G888" t="s">
        <v>3901</v>
      </c>
      <c r="H888" t="s">
        <v>4261</v>
      </c>
      <c r="I888" t="s">
        <v>385</v>
      </c>
      <c r="J888" t="s">
        <v>4157</v>
      </c>
      <c r="K888" t="s">
        <v>4262</v>
      </c>
      <c r="L888" t="s">
        <v>670</v>
      </c>
      <c r="N888">
        <v>6</v>
      </c>
      <c r="O888">
        <v>6</v>
      </c>
      <c r="P888">
        <v>2.1599999999999999E-4</v>
      </c>
      <c r="Q888" s="84" t="e">
        <v>#REF!</v>
      </c>
      <c r="R888" s="85"/>
      <c r="S888" s="85"/>
      <c r="T888" s="86">
        <v>0</v>
      </c>
      <c r="U888" s="84">
        <v>0</v>
      </c>
      <c r="V888" s="84">
        <v>17.492999999999999</v>
      </c>
      <c r="W888" s="84">
        <v>8.7464999999999993</v>
      </c>
      <c r="X888" s="82">
        <v>0.35</v>
      </c>
      <c r="Y888" s="82"/>
      <c r="Z888" s="84">
        <v>8.7464999999999993</v>
      </c>
      <c r="AA888" s="84">
        <v>17.492999999999999</v>
      </c>
      <c r="AB888" s="88" t="e">
        <v>#DIV/0!</v>
      </c>
      <c r="AC888" t="s">
        <v>4259</v>
      </c>
    </row>
    <row r="889" spans="3:29">
      <c r="C889" t="s">
        <v>4263</v>
      </c>
      <c r="D889" t="s">
        <v>4256</v>
      </c>
      <c r="E889" s="84">
        <v>29.99</v>
      </c>
      <c r="F889" s="84">
        <v>14.994999999999999</v>
      </c>
      <c r="G889" t="s">
        <v>3901</v>
      </c>
      <c r="H889" t="s">
        <v>4264</v>
      </c>
      <c r="I889" t="s">
        <v>385</v>
      </c>
      <c r="J889" t="s">
        <v>4160</v>
      </c>
      <c r="K889" t="s">
        <v>4262</v>
      </c>
      <c r="L889" t="s">
        <v>670</v>
      </c>
      <c r="N889">
        <v>8</v>
      </c>
      <c r="O889">
        <v>6</v>
      </c>
      <c r="P889">
        <v>3.8400000000000001E-4</v>
      </c>
      <c r="Q889" s="84" t="e">
        <v>#REF!</v>
      </c>
      <c r="R889" s="85"/>
      <c r="S889" s="85"/>
      <c r="T889" s="86">
        <v>0</v>
      </c>
      <c r="U889" s="84">
        <v>0</v>
      </c>
      <c r="V889" s="84">
        <v>20.992999999999999</v>
      </c>
      <c r="W889" s="84">
        <v>10.496499999999999</v>
      </c>
      <c r="X889" s="82">
        <v>0.35</v>
      </c>
      <c r="Y889" s="82"/>
      <c r="Z889" s="84">
        <v>10.496499999999999</v>
      </c>
      <c r="AA889" s="84">
        <v>20.992999999999999</v>
      </c>
      <c r="AB889" s="88" t="e">
        <v>#DIV/0!</v>
      </c>
      <c r="AC889" t="s">
        <v>4265</v>
      </c>
    </row>
    <row r="890" spans="3:29">
      <c r="C890" t="s">
        <v>4266</v>
      </c>
      <c r="D890" t="s">
        <v>4256</v>
      </c>
      <c r="E890" s="84">
        <v>27.99</v>
      </c>
      <c r="F890" s="84">
        <v>13.994999999999999</v>
      </c>
      <c r="G890" t="s">
        <v>3901</v>
      </c>
      <c r="H890" t="s">
        <v>4267</v>
      </c>
      <c r="I890" t="s">
        <v>385</v>
      </c>
      <c r="J890" t="s">
        <v>4164</v>
      </c>
      <c r="K890" t="s">
        <v>4262</v>
      </c>
      <c r="L890" t="s">
        <v>670</v>
      </c>
      <c r="N890">
        <v>6.5</v>
      </c>
      <c r="O890">
        <v>7</v>
      </c>
      <c r="P890">
        <v>2.9575000000000001E-4</v>
      </c>
      <c r="Q890" s="84" t="e">
        <v>#REF!</v>
      </c>
      <c r="R890" s="85"/>
      <c r="S890" s="85"/>
      <c r="T890" s="86">
        <v>0</v>
      </c>
      <c r="U890" s="84">
        <v>0</v>
      </c>
      <c r="V890" s="84">
        <v>19.593</v>
      </c>
      <c r="W890" s="84">
        <v>9.7965</v>
      </c>
      <c r="X890" s="82">
        <v>0.35</v>
      </c>
      <c r="Y890" s="82"/>
      <c r="Z890" s="84">
        <v>9.7965</v>
      </c>
      <c r="AA890" s="84">
        <v>19.593</v>
      </c>
      <c r="AB890" s="88" t="e">
        <v>#DIV/0!</v>
      </c>
      <c r="AC890" t="s">
        <v>4268</v>
      </c>
    </row>
    <row r="891" spans="3:29">
      <c r="C891" t="s">
        <v>4269</v>
      </c>
      <c r="D891" t="s">
        <v>4256</v>
      </c>
      <c r="E891" s="84">
        <v>30.99</v>
      </c>
      <c r="F891" s="84">
        <v>15.494999999999999</v>
      </c>
      <c r="G891" t="s">
        <v>3901</v>
      </c>
      <c r="H891" t="s">
        <v>4270</v>
      </c>
      <c r="I891" t="s">
        <v>385</v>
      </c>
      <c r="J891" t="s">
        <v>4168</v>
      </c>
      <c r="K891" t="s">
        <v>4262</v>
      </c>
      <c r="L891" t="s">
        <v>670</v>
      </c>
      <c r="N891">
        <v>8</v>
      </c>
      <c r="O891">
        <v>8</v>
      </c>
      <c r="P891">
        <v>5.1199999999999998E-4</v>
      </c>
      <c r="Q891" s="84" t="e">
        <v>#REF!</v>
      </c>
      <c r="R891" s="85"/>
      <c r="S891" s="85"/>
      <c r="T891" s="86">
        <v>0</v>
      </c>
      <c r="U891" s="84">
        <v>0</v>
      </c>
      <c r="V891" s="84">
        <v>21.693000000000001</v>
      </c>
      <c r="W891" s="84">
        <v>10.846500000000001</v>
      </c>
      <c r="X891" s="82">
        <v>0.35</v>
      </c>
      <c r="Y891" s="82"/>
      <c r="Z891" s="84">
        <v>10.846500000000001</v>
      </c>
      <c r="AA891" s="84">
        <v>21.693000000000001</v>
      </c>
      <c r="AB891" s="88" t="e">
        <v>#DIV/0!</v>
      </c>
      <c r="AC891" t="s">
        <v>4259</v>
      </c>
    </row>
    <row r="892" spans="3:29">
      <c r="C892" t="s">
        <v>4271</v>
      </c>
      <c r="D892" t="s">
        <v>4256</v>
      </c>
      <c r="E892" s="84">
        <v>27.99</v>
      </c>
      <c r="F892" s="84">
        <v>13.994999999999999</v>
      </c>
      <c r="G892" t="s">
        <v>3901</v>
      </c>
      <c r="H892" t="s">
        <v>4272</v>
      </c>
      <c r="I892" t="s">
        <v>385</v>
      </c>
      <c r="J892" t="s">
        <v>4171</v>
      </c>
      <c r="K892" t="s">
        <v>4262</v>
      </c>
      <c r="L892" t="s">
        <v>670</v>
      </c>
      <c r="N892">
        <v>6.5</v>
      </c>
      <c r="O892">
        <v>10</v>
      </c>
      <c r="P892">
        <v>4.2250000000000002E-4</v>
      </c>
      <c r="Q892" s="84" t="e">
        <v>#REF!</v>
      </c>
      <c r="R892" s="85"/>
      <c r="S892" s="85"/>
      <c r="T892" s="86">
        <v>0</v>
      </c>
      <c r="U892" s="84">
        <v>0</v>
      </c>
      <c r="V892" s="84">
        <v>19.593</v>
      </c>
      <c r="W892" s="84">
        <v>9.7965</v>
      </c>
      <c r="X892" s="82">
        <v>0.35</v>
      </c>
      <c r="Y892" s="82"/>
      <c r="Z892" s="84">
        <v>9.7965</v>
      </c>
      <c r="AA892" s="84">
        <v>19.593</v>
      </c>
      <c r="AB892" s="88" t="e">
        <v>#DIV/0!</v>
      </c>
      <c r="AC892" t="s">
        <v>4265</v>
      </c>
    </row>
    <row r="893" spans="3:29">
      <c r="C893" t="s">
        <v>4273</v>
      </c>
      <c r="D893" t="s">
        <v>4256</v>
      </c>
      <c r="E893" s="84">
        <v>31.99</v>
      </c>
      <c r="F893" s="84">
        <v>15.994999999999999</v>
      </c>
      <c r="G893" t="s">
        <v>3901</v>
      </c>
      <c r="H893" t="s">
        <v>4274</v>
      </c>
      <c r="I893" t="s">
        <v>385</v>
      </c>
      <c r="J893" t="s">
        <v>4175</v>
      </c>
      <c r="K893" t="s">
        <v>4262</v>
      </c>
      <c r="L893" t="s">
        <v>670</v>
      </c>
      <c r="N893">
        <v>8</v>
      </c>
      <c r="O893">
        <v>12</v>
      </c>
      <c r="P893">
        <v>7.6800000000000002E-4</v>
      </c>
      <c r="Q893" s="84" t="e">
        <v>#REF!</v>
      </c>
      <c r="R893" s="85"/>
      <c r="S893" s="85"/>
      <c r="T893" s="86">
        <v>0</v>
      </c>
      <c r="U893" s="84">
        <v>0</v>
      </c>
      <c r="V893" s="84">
        <v>22.393000000000001</v>
      </c>
      <c r="W893" s="84">
        <v>11.1965</v>
      </c>
      <c r="X893" s="82">
        <v>0.35</v>
      </c>
      <c r="Y893" s="82"/>
      <c r="Z893" s="84">
        <v>11.1965</v>
      </c>
      <c r="AA893" s="84">
        <v>22.393000000000001</v>
      </c>
      <c r="AB893" s="88" t="e">
        <v>#DIV/0!</v>
      </c>
      <c r="AC893" t="s">
        <v>4275</v>
      </c>
    </row>
    <row r="894" spans="3:29">
      <c r="C894" t="s">
        <v>4276</v>
      </c>
      <c r="D894" t="s">
        <v>4256</v>
      </c>
      <c r="E894" s="84">
        <v>37.99</v>
      </c>
      <c r="F894" s="84">
        <v>18.995000000000001</v>
      </c>
      <c r="G894" t="s">
        <v>3901</v>
      </c>
      <c r="H894" t="s">
        <v>4277</v>
      </c>
      <c r="I894" t="s">
        <v>385</v>
      </c>
      <c r="J894" t="s">
        <v>4178</v>
      </c>
      <c r="K894" t="s">
        <v>4262</v>
      </c>
      <c r="L894" t="s">
        <v>670</v>
      </c>
      <c r="N894">
        <v>7</v>
      </c>
      <c r="O894">
        <v>13</v>
      </c>
      <c r="P894">
        <v>6.3699999999999998E-4</v>
      </c>
      <c r="Q894" s="84" t="e">
        <v>#REF!</v>
      </c>
      <c r="R894" s="85"/>
      <c r="S894" s="85"/>
      <c r="T894" s="86">
        <v>0</v>
      </c>
      <c r="U894" s="84">
        <v>0</v>
      </c>
      <c r="V894" s="84">
        <v>26.593</v>
      </c>
      <c r="W894" s="84">
        <v>13.2965</v>
      </c>
      <c r="X894" s="82">
        <v>0.35</v>
      </c>
      <c r="Y894" s="82"/>
      <c r="Z894" s="84">
        <v>13.2965</v>
      </c>
      <c r="AA894" s="84">
        <v>26.593</v>
      </c>
      <c r="AB894" s="88" t="e">
        <v>#DIV/0!</v>
      </c>
      <c r="AC894" t="s">
        <v>4268</v>
      </c>
    </row>
    <row r="895" spans="3:29">
      <c r="C895" t="s">
        <v>4278</v>
      </c>
      <c r="D895" t="s">
        <v>4256</v>
      </c>
      <c r="E895" s="84">
        <v>35.99</v>
      </c>
      <c r="F895" s="84">
        <v>17.995000000000001</v>
      </c>
      <c r="G895" t="s">
        <v>3901</v>
      </c>
      <c r="H895" t="s">
        <v>4279</v>
      </c>
      <c r="I895" t="s">
        <v>385</v>
      </c>
      <c r="J895" t="s">
        <v>4181</v>
      </c>
      <c r="K895" t="s">
        <v>4262</v>
      </c>
      <c r="L895" t="s">
        <v>670</v>
      </c>
      <c r="N895">
        <v>8</v>
      </c>
      <c r="O895">
        <v>16</v>
      </c>
      <c r="P895">
        <v>1.024E-3</v>
      </c>
      <c r="Q895" s="84" t="e">
        <v>#REF!</v>
      </c>
      <c r="R895" s="85"/>
      <c r="S895" s="85"/>
      <c r="T895" s="86">
        <v>0</v>
      </c>
      <c r="U895" s="84">
        <v>0</v>
      </c>
      <c r="V895" s="84">
        <v>25.193000000000001</v>
      </c>
      <c r="W895" s="84">
        <v>12.596500000000001</v>
      </c>
      <c r="X895" s="82">
        <v>0.35</v>
      </c>
      <c r="Y895" s="82"/>
      <c r="Z895" s="84">
        <v>12.596500000000001</v>
      </c>
      <c r="AA895" s="84">
        <v>25.193000000000001</v>
      </c>
      <c r="AB895" s="88" t="e">
        <v>#DIV/0!</v>
      </c>
      <c r="AC895" t="s">
        <v>4280</v>
      </c>
    </row>
    <row r="896" spans="3:29" ht="60.75">
      <c r="C896" t="s">
        <v>4281</v>
      </c>
      <c r="D896" t="s">
        <v>4282</v>
      </c>
      <c r="E896" s="84"/>
      <c r="F896" s="84">
        <v>0</v>
      </c>
      <c r="G896" t="s">
        <v>3901</v>
      </c>
      <c r="H896" t="s">
        <v>4257</v>
      </c>
      <c r="I896" t="s">
        <v>394</v>
      </c>
      <c r="J896" t="s">
        <v>4152</v>
      </c>
      <c r="K896" s="83" t="s">
        <v>4283</v>
      </c>
      <c r="L896" t="s">
        <v>670</v>
      </c>
      <c r="N896">
        <v>5</v>
      </c>
      <c r="O896">
        <v>55</v>
      </c>
      <c r="P896">
        <v>1.3749999999999999E-3</v>
      </c>
      <c r="Q896" s="84" t="e">
        <v>#REF!</v>
      </c>
      <c r="R896" s="85"/>
      <c r="S896" s="85"/>
      <c r="T896" s="86">
        <v>0</v>
      </c>
      <c r="U896" s="84">
        <v>0</v>
      </c>
      <c r="V896" s="84">
        <v>0</v>
      </c>
      <c r="W896" s="84">
        <v>0</v>
      </c>
      <c r="X896" s="82" t="e">
        <v>#DIV/0!</v>
      </c>
      <c r="Y896" s="82"/>
      <c r="Z896" s="84">
        <v>0</v>
      </c>
      <c r="AA896" s="84">
        <v>0</v>
      </c>
      <c r="AB896" s="88" t="e">
        <v>#DIV/0!</v>
      </c>
      <c r="AC896" t="s">
        <v>4284</v>
      </c>
    </row>
    <row r="897" spans="3:29">
      <c r="C897" t="s">
        <v>4285</v>
      </c>
      <c r="D897" t="s">
        <v>4282</v>
      </c>
      <c r="E897" s="84">
        <v>29.99</v>
      </c>
      <c r="F897" s="84">
        <v>14.994999999999999</v>
      </c>
      <c r="G897" t="s">
        <v>3901</v>
      </c>
      <c r="H897" t="s">
        <v>4261</v>
      </c>
      <c r="I897" t="s">
        <v>394</v>
      </c>
      <c r="J897" t="s">
        <v>4157</v>
      </c>
      <c r="K897" t="s">
        <v>4286</v>
      </c>
      <c r="L897" t="s">
        <v>670</v>
      </c>
      <c r="N897">
        <v>6</v>
      </c>
      <c r="O897">
        <v>6</v>
      </c>
      <c r="P897">
        <v>2.1599999999999999E-4</v>
      </c>
      <c r="Q897" s="84" t="e">
        <v>#REF!</v>
      </c>
      <c r="R897" s="85"/>
      <c r="S897" s="85"/>
      <c r="T897" s="86">
        <v>0</v>
      </c>
      <c r="U897" s="84">
        <v>0</v>
      </c>
      <c r="V897" s="84">
        <v>20.992999999999999</v>
      </c>
      <c r="W897" s="84">
        <v>10.496499999999999</v>
      </c>
      <c r="X897" s="82">
        <v>0.35</v>
      </c>
      <c r="Y897" s="82"/>
      <c r="Z897" s="84">
        <v>10.496499999999999</v>
      </c>
      <c r="AA897" s="84">
        <v>20.992999999999999</v>
      </c>
      <c r="AB897" s="88" t="e">
        <v>#DIV/0!</v>
      </c>
      <c r="AC897" t="s">
        <v>4287</v>
      </c>
    </row>
    <row r="898" spans="3:29">
      <c r="C898" t="s">
        <v>4288</v>
      </c>
      <c r="D898" t="s">
        <v>4282</v>
      </c>
      <c r="E898" s="84">
        <v>35.99</v>
      </c>
      <c r="F898" s="84">
        <v>17.995000000000001</v>
      </c>
      <c r="G898" t="s">
        <v>3901</v>
      </c>
      <c r="H898" t="s">
        <v>4264</v>
      </c>
      <c r="I898" t="s">
        <v>394</v>
      </c>
      <c r="J898" t="s">
        <v>4160</v>
      </c>
      <c r="K898" t="s">
        <v>4286</v>
      </c>
      <c r="L898" t="s">
        <v>670</v>
      </c>
      <c r="N898">
        <v>8</v>
      </c>
      <c r="O898">
        <v>6</v>
      </c>
      <c r="P898">
        <v>3.8400000000000001E-4</v>
      </c>
      <c r="Q898" s="84" t="e">
        <v>#REF!</v>
      </c>
      <c r="R898" s="85"/>
      <c r="S898" s="85"/>
      <c r="T898" s="86">
        <v>0</v>
      </c>
      <c r="U898" s="84">
        <v>0</v>
      </c>
      <c r="V898" s="84">
        <v>25.193000000000001</v>
      </c>
      <c r="W898" s="84">
        <v>12.596500000000001</v>
      </c>
      <c r="X898" s="82">
        <v>0.35</v>
      </c>
      <c r="Y898" s="82"/>
      <c r="Z898" s="84">
        <v>12.596500000000001</v>
      </c>
      <c r="AA898" s="84">
        <v>25.193000000000001</v>
      </c>
      <c r="AB898" s="88" t="e">
        <v>#DIV/0!</v>
      </c>
      <c r="AC898" t="s">
        <v>4284</v>
      </c>
    </row>
    <row r="899" spans="3:29">
      <c r="C899" t="s">
        <v>4289</v>
      </c>
      <c r="D899" t="s">
        <v>4282</v>
      </c>
      <c r="E899" s="84">
        <v>32.99</v>
      </c>
      <c r="F899" s="84">
        <v>16.495000000000001</v>
      </c>
      <c r="G899" t="s">
        <v>3901</v>
      </c>
      <c r="H899" t="s">
        <v>4267</v>
      </c>
      <c r="I899" t="s">
        <v>394</v>
      </c>
      <c r="J899" t="s">
        <v>4164</v>
      </c>
      <c r="K899" t="s">
        <v>4286</v>
      </c>
      <c r="L899" t="s">
        <v>670</v>
      </c>
      <c r="N899">
        <v>6.5</v>
      </c>
      <c r="O899">
        <v>7</v>
      </c>
      <c r="P899">
        <v>2.9575000000000001E-4</v>
      </c>
      <c r="Q899" s="84" t="e">
        <v>#REF!</v>
      </c>
      <c r="R899" s="85"/>
      <c r="S899" s="85"/>
      <c r="T899" s="86">
        <v>0</v>
      </c>
      <c r="U899" s="84">
        <v>0</v>
      </c>
      <c r="V899" s="84">
        <v>23.093</v>
      </c>
      <c r="W899" s="84">
        <v>11.5465</v>
      </c>
      <c r="X899" s="82">
        <v>0.35</v>
      </c>
      <c r="Y899" s="82"/>
      <c r="Z899" s="84">
        <v>11.5465</v>
      </c>
      <c r="AA899" s="84">
        <v>23.093</v>
      </c>
      <c r="AB899" s="88" t="e">
        <v>#DIV/0!</v>
      </c>
      <c r="AC899" t="s">
        <v>4284</v>
      </c>
    </row>
    <row r="900" spans="3:29">
      <c r="C900" t="s">
        <v>4290</v>
      </c>
      <c r="D900" t="s">
        <v>4282</v>
      </c>
      <c r="E900" s="84">
        <v>36.99</v>
      </c>
      <c r="F900" s="84">
        <v>18.495000000000001</v>
      </c>
      <c r="G900" t="s">
        <v>3901</v>
      </c>
      <c r="H900" t="s">
        <v>4270</v>
      </c>
      <c r="I900" t="s">
        <v>394</v>
      </c>
      <c r="J900" t="s">
        <v>4168</v>
      </c>
      <c r="K900" t="s">
        <v>4286</v>
      </c>
      <c r="L900" t="s">
        <v>670</v>
      </c>
      <c r="N900">
        <v>8</v>
      </c>
      <c r="O900">
        <v>8</v>
      </c>
      <c r="P900">
        <v>5.1199999999999998E-4</v>
      </c>
      <c r="Q900" s="84" t="e">
        <v>#REF!</v>
      </c>
      <c r="R900" s="85"/>
      <c r="S900" s="85"/>
      <c r="T900" s="86">
        <v>0</v>
      </c>
      <c r="U900" s="84">
        <v>0</v>
      </c>
      <c r="V900" s="84">
        <v>25.893000000000001</v>
      </c>
      <c r="W900" s="84">
        <v>12.9465</v>
      </c>
      <c r="X900" s="82">
        <v>0.35</v>
      </c>
      <c r="Y900" s="82"/>
      <c r="Z900" s="84">
        <v>12.9465</v>
      </c>
      <c r="AA900" s="84">
        <v>25.893000000000001</v>
      </c>
      <c r="AB900" s="88" t="e">
        <v>#DIV/0!</v>
      </c>
      <c r="AC900" t="s">
        <v>4284</v>
      </c>
    </row>
    <row r="901" spans="3:29">
      <c r="C901" t="s">
        <v>4291</v>
      </c>
      <c r="D901" t="s">
        <v>4282</v>
      </c>
      <c r="E901" s="84">
        <v>31.99</v>
      </c>
      <c r="F901" s="84">
        <v>15.994999999999999</v>
      </c>
      <c r="G901" t="s">
        <v>3901</v>
      </c>
      <c r="H901" t="s">
        <v>4272</v>
      </c>
      <c r="I901" t="s">
        <v>394</v>
      </c>
      <c r="J901" t="s">
        <v>4171</v>
      </c>
      <c r="K901" t="s">
        <v>4286</v>
      </c>
      <c r="L901" t="s">
        <v>670</v>
      </c>
      <c r="N901">
        <v>6.5</v>
      </c>
      <c r="O901">
        <v>10</v>
      </c>
      <c r="P901">
        <v>4.2250000000000002E-4</v>
      </c>
      <c r="Q901" s="84" t="e">
        <v>#REF!</v>
      </c>
      <c r="R901" s="85"/>
      <c r="S901" s="85"/>
      <c r="T901" s="86">
        <v>0</v>
      </c>
      <c r="U901" s="84">
        <v>0</v>
      </c>
      <c r="V901" s="84">
        <v>22.393000000000001</v>
      </c>
      <c r="W901" s="84">
        <v>11.1965</v>
      </c>
      <c r="X901" s="82">
        <v>0.35</v>
      </c>
      <c r="Y901" s="82"/>
      <c r="Z901" s="84">
        <v>11.1965</v>
      </c>
      <c r="AA901" s="84">
        <v>22.393000000000001</v>
      </c>
      <c r="AB901" s="88" t="e">
        <v>#DIV/0!</v>
      </c>
      <c r="AC901" t="s">
        <v>4292</v>
      </c>
    </row>
    <row r="902" spans="3:29">
      <c r="C902" t="s">
        <v>4293</v>
      </c>
      <c r="D902" t="s">
        <v>4282</v>
      </c>
      <c r="E902" s="84">
        <v>38.99</v>
      </c>
      <c r="F902" s="84">
        <v>19.495000000000001</v>
      </c>
      <c r="G902" t="s">
        <v>3901</v>
      </c>
      <c r="H902" t="s">
        <v>4274</v>
      </c>
      <c r="I902" t="s">
        <v>394</v>
      </c>
      <c r="J902" t="s">
        <v>4175</v>
      </c>
      <c r="K902" t="s">
        <v>4286</v>
      </c>
      <c r="L902" t="s">
        <v>670</v>
      </c>
      <c r="N902">
        <v>8</v>
      </c>
      <c r="O902">
        <v>12</v>
      </c>
      <c r="P902">
        <v>7.6800000000000002E-4</v>
      </c>
      <c r="Q902" s="84" t="e">
        <v>#REF!</v>
      </c>
      <c r="R902" s="85"/>
      <c r="S902" s="85"/>
      <c r="T902" s="86">
        <v>0</v>
      </c>
      <c r="U902" s="84">
        <v>0</v>
      </c>
      <c r="V902" s="84">
        <v>27.292999999999999</v>
      </c>
      <c r="W902" s="84">
        <v>13.6465</v>
      </c>
      <c r="X902" s="82">
        <v>0.35</v>
      </c>
      <c r="Y902" s="82"/>
      <c r="Z902" s="84">
        <v>13.6465</v>
      </c>
      <c r="AA902" s="84">
        <v>27.292999999999999</v>
      </c>
      <c r="AB902" s="88" t="e">
        <v>#DIV/0!</v>
      </c>
      <c r="AC902" t="s">
        <v>4294</v>
      </c>
    </row>
    <row r="903" spans="3:29">
      <c r="C903" t="s">
        <v>4295</v>
      </c>
      <c r="D903" t="s">
        <v>4282</v>
      </c>
      <c r="E903" s="84">
        <v>46.99</v>
      </c>
      <c r="F903" s="84">
        <v>23.495000000000001</v>
      </c>
      <c r="G903" t="s">
        <v>3901</v>
      </c>
      <c r="H903" t="s">
        <v>4277</v>
      </c>
      <c r="I903" t="s">
        <v>394</v>
      </c>
      <c r="J903" t="s">
        <v>4178</v>
      </c>
      <c r="K903" t="s">
        <v>4286</v>
      </c>
      <c r="L903" t="s">
        <v>670</v>
      </c>
      <c r="N903">
        <v>7</v>
      </c>
      <c r="O903">
        <v>13</v>
      </c>
      <c r="P903">
        <v>6.3699999999999998E-4</v>
      </c>
      <c r="Q903" s="84" t="e">
        <v>#REF!</v>
      </c>
      <c r="R903" s="85"/>
      <c r="S903" s="85"/>
      <c r="T903" s="86">
        <v>0</v>
      </c>
      <c r="U903" s="84">
        <v>0</v>
      </c>
      <c r="V903" s="84">
        <v>32.893000000000001</v>
      </c>
      <c r="W903" s="84">
        <v>16.4465</v>
      </c>
      <c r="X903" s="82">
        <v>0.35</v>
      </c>
      <c r="Y903" s="82"/>
      <c r="Z903" s="84">
        <v>16.4465</v>
      </c>
      <c r="AA903" s="84">
        <v>32.893000000000001</v>
      </c>
      <c r="AB903" s="88" t="e">
        <v>#DIV/0!</v>
      </c>
      <c r="AC903" t="s">
        <v>4292</v>
      </c>
    </row>
    <row r="904" spans="3:29">
      <c r="C904" t="s">
        <v>4296</v>
      </c>
      <c r="D904" t="s">
        <v>4282</v>
      </c>
      <c r="E904" s="84">
        <v>42.99</v>
      </c>
      <c r="F904" s="84">
        <v>21.495000000000001</v>
      </c>
      <c r="G904" t="s">
        <v>3901</v>
      </c>
      <c r="H904" t="s">
        <v>4279</v>
      </c>
      <c r="I904" t="s">
        <v>394</v>
      </c>
      <c r="J904" t="s">
        <v>4181</v>
      </c>
      <c r="K904" t="s">
        <v>4286</v>
      </c>
      <c r="L904" t="s">
        <v>670</v>
      </c>
      <c r="N904">
        <v>8</v>
      </c>
      <c r="O904">
        <v>16</v>
      </c>
      <c r="P904">
        <v>1.024E-3</v>
      </c>
      <c r="Q904" s="84" t="e">
        <v>#REF!</v>
      </c>
      <c r="R904" s="85"/>
      <c r="S904" s="85"/>
      <c r="T904" s="86">
        <v>0</v>
      </c>
      <c r="U904" s="84">
        <v>0</v>
      </c>
      <c r="V904" s="84">
        <v>30.093</v>
      </c>
      <c r="W904" s="84">
        <v>15.0465</v>
      </c>
      <c r="X904" s="82">
        <v>0.35</v>
      </c>
      <c r="Y904" s="82"/>
      <c r="Z904" s="84">
        <v>15.0465</v>
      </c>
      <c r="AA904" s="84">
        <v>30.093</v>
      </c>
      <c r="AB904" s="88" t="e">
        <v>#DIV/0!</v>
      </c>
      <c r="AC904" t="s">
        <v>4284</v>
      </c>
    </row>
    <row r="905" spans="3:29" ht="60.75">
      <c r="C905" t="s">
        <v>4297</v>
      </c>
      <c r="D905" t="s">
        <v>4298</v>
      </c>
      <c r="E905" s="84"/>
      <c r="F905" s="84">
        <v>0</v>
      </c>
      <c r="G905" t="s">
        <v>3901</v>
      </c>
      <c r="H905" t="s">
        <v>4257</v>
      </c>
      <c r="I905" t="s">
        <v>391</v>
      </c>
      <c r="J905" t="s">
        <v>4152</v>
      </c>
      <c r="K905" s="83" t="s">
        <v>4299</v>
      </c>
      <c r="L905" t="s">
        <v>670</v>
      </c>
      <c r="N905">
        <v>5</v>
      </c>
      <c r="O905">
        <v>55</v>
      </c>
      <c r="P905">
        <v>1.3749999999999999E-3</v>
      </c>
      <c r="Q905" s="84" t="e">
        <v>#REF!</v>
      </c>
      <c r="R905" s="85"/>
      <c r="S905" s="85"/>
      <c r="T905" s="86">
        <v>0</v>
      </c>
      <c r="U905" s="84">
        <v>0</v>
      </c>
      <c r="V905" s="84">
        <v>0</v>
      </c>
      <c r="W905" s="84">
        <v>0</v>
      </c>
      <c r="X905" s="82" t="e">
        <v>#DIV/0!</v>
      </c>
      <c r="Y905" s="82"/>
      <c r="Z905" s="84">
        <v>0</v>
      </c>
      <c r="AA905" s="84">
        <v>0</v>
      </c>
      <c r="AB905" s="88" t="e">
        <v>#DIV/0!</v>
      </c>
      <c r="AC905" t="s">
        <v>4300</v>
      </c>
    </row>
    <row r="906" spans="3:29">
      <c r="C906" t="s">
        <v>4301</v>
      </c>
      <c r="D906" t="s">
        <v>4298</v>
      </c>
      <c r="E906" s="84">
        <v>26.99</v>
      </c>
      <c r="F906" s="84">
        <v>13.494999999999999</v>
      </c>
      <c r="G906" t="s">
        <v>3901</v>
      </c>
      <c r="H906" t="s">
        <v>4261</v>
      </c>
      <c r="I906" t="s">
        <v>391</v>
      </c>
      <c r="J906" t="s">
        <v>4157</v>
      </c>
      <c r="K906" t="s">
        <v>4302</v>
      </c>
      <c r="L906" t="s">
        <v>670</v>
      </c>
      <c r="N906">
        <v>6</v>
      </c>
      <c r="O906">
        <v>6</v>
      </c>
      <c r="P906">
        <v>2.1599999999999999E-4</v>
      </c>
      <c r="Q906" s="84" t="e">
        <v>#REF!</v>
      </c>
      <c r="R906" s="85"/>
      <c r="S906" s="85"/>
      <c r="T906" s="86">
        <v>0</v>
      </c>
      <c r="U906" s="84">
        <v>0</v>
      </c>
      <c r="V906" s="84">
        <v>18.893000000000001</v>
      </c>
      <c r="W906" s="84">
        <v>9.4465000000000003</v>
      </c>
      <c r="X906" s="82">
        <v>0.35</v>
      </c>
      <c r="Y906" s="82"/>
      <c r="Z906" s="84">
        <v>9.4465000000000003</v>
      </c>
      <c r="AA906" s="84">
        <v>18.893000000000001</v>
      </c>
      <c r="AB906" s="88" t="e">
        <v>#DIV/0!</v>
      </c>
      <c r="AC906" t="s">
        <v>4300</v>
      </c>
    </row>
    <row r="907" spans="3:29">
      <c r="C907" t="s">
        <v>4303</v>
      </c>
      <c r="D907" t="s">
        <v>4298</v>
      </c>
      <c r="E907" s="84">
        <v>32.99</v>
      </c>
      <c r="F907" s="84">
        <v>16.495000000000001</v>
      </c>
      <c r="G907" t="s">
        <v>3901</v>
      </c>
      <c r="H907" t="s">
        <v>4264</v>
      </c>
      <c r="I907" t="s">
        <v>391</v>
      </c>
      <c r="J907" t="s">
        <v>4160</v>
      </c>
      <c r="K907" t="s">
        <v>4302</v>
      </c>
      <c r="L907" t="s">
        <v>670</v>
      </c>
      <c r="N907">
        <v>8</v>
      </c>
      <c r="O907">
        <v>6</v>
      </c>
      <c r="P907">
        <v>3.8400000000000001E-4</v>
      </c>
      <c r="Q907" s="84" t="e">
        <v>#REF!</v>
      </c>
      <c r="R907" s="85"/>
      <c r="S907" s="85"/>
      <c r="T907" s="86">
        <v>0</v>
      </c>
      <c r="U907" s="84">
        <v>0</v>
      </c>
      <c r="V907" s="84">
        <v>23.093</v>
      </c>
      <c r="W907" s="84">
        <v>11.5465</v>
      </c>
      <c r="X907" s="82">
        <v>0.35</v>
      </c>
      <c r="Y907" s="82"/>
      <c r="Z907" s="84">
        <v>11.5465</v>
      </c>
      <c r="AA907" s="84">
        <v>23.093</v>
      </c>
      <c r="AB907" s="88" t="e">
        <v>#DIV/0!</v>
      </c>
      <c r="AC907" t="s">
        <v>4304</v>
      </c>
    </row>
    <row r="908" spans="3:29">
      <c r="C908" t="s">
        <v>4305</v>
      </c>
      <c r="D908" t="s">
        <v>4298</v>
      </c>
      <c r="E908" s="84">
        <v>30.99</v>
      </c>
      <c r="F908" s="84">
        <v>15.494999999999999</v>
      </c>
      <c r="G908" t="s">
        <v>3901</v>
      </c>
      <c r="H908" t="s">
        <v>4267</v>
      </c>
      <c r="I908" t="s">
        <v>391</v>
      </c>
      <c r="J908" t="s">
        <v>4164</v>
      </c>
      <c r="K908" t="s">
        <v>4302</v>
      </c>
      <c r="L908" t="s">
        <v>670</v>
      </c>
      <c r="N908">
        <v>6.5</v>
      </c>
      <c r="O908">
        <v>7</v>
      </c>
      <c r="P908">
        <v>2.9575000000000001E-4</v>
      </c>
      <c r="Q908" s="84" t="e">
        <v>#REF!</v>
      </c>
      <c r="R908" s="85"/>
      <c r="S908" s="85"/>
      <c r="T908" s="86">
        <v>0</v>
      </c>
      <c r="U908" s="84">
        <v>0</v>
      </c>
      <c r="V908" s="84">
        <v>21.693000000000001</v>
      </c>
      <c r="W908" s="84">
        <v>10.846500000000001</v>
      </c>
      <c r="X908" s="82">
        <v>0.35</v>
      </c>
      <c r="Y908" s="82"/>
      <c r="Z908" s="84">
        <v>10.846500000000001</v>
      </c>
      <c r="AA908" s="84">
        <v>21.693000000000001</v>
      </c>
      <c r="AB908" s="88" t="e">
        <v>#DIV/0!</v>
      </c>
      <c r="AC908" t="s">
        <v>4306</v>
      </c>
    </row>
    <row r="909" spans="3:29">
      <c r="C909" t="s">
        <v>4307</v>
      </c>
      <c r="D909" t="s">
        <v>4298</v>
      </c>
      <c r="E909" s="84">
        <v>33.99</v>
      </c>
      <c r="F909" s="84">
        <v>16.995000000000001</v>
      </c>
      <c r="G909" t="s">
        <v>3901</v>
      </c>
      <c r="H909" t="s">
        <v>4270</v>
      </c>
      <c r="I909" t="s">
        <v>391</v>
      </c>
      <c r="J909" t="s">
        <v>4168</v>
      </c>
      <c r="K909" t="s">
        <v>4302</v>
      </c>
      <c r="L909" t="s">
        <v>670</v>
      </c>
      <c r="N909">
        <v>8</v>
      </c>
      <c r="O909">
        <v>8</v>
      </c>
      <c r="P909">
        <v>5.1199999999999998E-4</v>
      </c>
      <c r="Q909" s="84" t="e">
        <v>#REF!</v>
      </c>
      <c r="R909" s="85"/>
      <c r="S909" s="85"/>
      <c r="T909" s="86">
        <v>0</v>
      </c>
      <c r="U909" s="84">
        <v>0</v>
      </c>
      <c r="V909" s="84">
        <v>23.792999999999999</v>
      </c>
      <c r="W909" s="84">
        <v>11.8965</v>
      </c>
      <c r="X909" s="82">
        <v>0.35</v>
      </c>
      <c r="Y909" s="82"/>
      <c r="Z909" s="84">
        <v>11.8965</v>
      </c>
      <c r="AA909" s="84">
        <v>23.792999999999999</v>
      </c>
      <c r="AB909" s="88" t="e">
        <v>#DIV/0!</v>
      </c>
      <c r="AC909" t="s">
        <v>4308</v>
      </c>
    </row>
    <row r="910" spans="3:29">
      <c r="C910" t="s">
        <v>4309</v>
      </c>
      <c r="D910" t="s">
        <v>4298</v>
      </c>
      <c r="E910" s="84">
        <v>30.99</v>
      </c>
      <c r="F910" s="84">
        <v>15.494999999999999</v>
      </c>
      <c r="G910" t="s">
        <v>3901</v>
      </c>
      <c r="H910" t="s">
        <v>4272</v>
      </c>
      <c r="I910" t="s">
        <v>391</v>
      </c>
      <c r="J910" t="s">
        <v>4171</v>
      </c>
      <c r="K910" t="s">
        <v>4302</v>
      </c>
      <c r="L910" t="s">
        <v>670</v>
      </c>
      <c r="N910">
        <v>6.5</v>
      </c>
      <c r="O910">
        <v>10</v>
      </c>
      <c r="P910">
        <v>4.2250000000000002E-4</v>
      </c>
      <c r="Q910" s="84" t="e">
        <v>#REF!</v>
      </c>
      <c r="R910" s="85"/>
      <c r="S910" s="85"/>
      <c r="T910" s="86">
        <v>0</v>
      </c>
      <c r="U910" s="84">
        <v>0</v>
      </c>
      <c r="V910" s="84">
        <v>21.693000000000001</v>
      </c>
      <c r="W910" s="84">
        <v>10.846500000000001</v>
      </c>
      <c r="X910" s="82">
        <v>0.35</v>
      </c>
      <c r="Y910" s="82"/>
      <c r="Z910" s="84">
        <v>10.846500000000001</v>
      </c>
      <c r="AA910" s="84">
        <v>21.693000000000001</v>
      </c>
      <c r="AB910" s="88" t="e">
        <v>#DIV/0!</v>
      </c>
      <c r="AC910" t="s">
        <v>4304</v>
      </c>
    </row>
    <row r="911" spans="3:29">
      <c r="C911" t="s">
        <v>4310</v>
      </c>
      <c r="D911" t="s">
        <v>4298</v>
      </c>
      <c r="E911" s="84">
        <v>35.99</v>
      </c>
      <c r="F911" s="84">
        <v>17.995000000000001</v>
      </c>
      <c r="G911" t="s">
        <v>3901</v>
      </c>
      <c r="H911" t="s">
        <v>4274</v>
      </c>
      <c r="I911" t="s">
        <v>391</v>
      </c>
      <c r="J911" t="s">
        <v>4175</v>
      </c>
      <c r="K911" t="s">
        <v>4302</v>
      </c>
      <c r="L911" t="s">
        <v>670</v>
      </c>
      <c r="N911">
        <v>8</v>
      </c>
      <c r="O911">
        <v>12</v>
      </c>
      <c r="P911">
        <v>7.6800000000000002E-4</v>
      </c>
      <c r="Q911" s="84" t="e">
        <v>#REF!</v>
      </c>
      <c r="R911" s="85"/>
      <c r="S911" s="85"/>
      <c r="T911" s="86">
        <v>0</v>
      </c>
      <c r="U911" s="84">
        <v>0</v>
      </c>
      <c r="V911" s="84">
        <v>25.193000000000001</v>
      </c>
      <c r="W911" s="84">
        <v>12.596500000000001</v>
      </c>
      <c r="X911" s="82">
        <v>0.35</v>
      </c>
      <c r="Y911" s="82"/>
      <c r="Z911" s="84">
        <v>12.596500000000001</v>
      </c>
      <c r="AA911" s="84">
        <v>25.193000000000001</v>
      </c>
      <c r="AB911" s="88" t="e">
        <v>#DIV/0!</v>
      </c>
      <c r="AC911" t="s">
        <v>4308</v>
      </c>
    </row>
    <row r="912" spans="3:29">
      <c r="C912" t="s">
        <v>4311</v>
      </c>
      <c r="D912" t="s">
        <v>4298</v>
      </c>
      <c r="E912" s="84">
        <v>42.99</v>
      </c>
      <c r="F912" s="84">
        <v>21.495000000000001</v>
      </c>
      <c r="G912" t="s">
        <v>3901</v>
      </c>
      <c r="H912" t="s">
        <v>4277</v>
      </c>
      <c r="I912" t="s">
        <v>391</v>
      </c>
      <c r="J912" t="s">
        <v>4178</v>
      </c>
      <c r="K912" t="s">
        <v>4302</v>
      </c>
      <c r="L912" t="s">
        <v>670</v>
      </c>
      <c r="N912">
        <v>7</v>
      </c>
      <c r="O912">
        <v>13</v>
      </c>
      <c r="P912">
        <v>6.3699999999999998E-4</v>
      </c>
      <c r="Q912" s="84" t="e">
        <v>#REF!</v>
      </c>
      <c r="R912" s="85"/>
      <c r="S912" s="85"/>
      <c r="T912" s="86">
        <v>0</v>
      </c>
      <c r="U912" s="84">
        <v>0</v>
      </c>
      <c r="V912" s="84">
        <v>30.093</v>
      </c>
      <c r="W912" s="84">
        <v>15.0465</v>
      </c>
      <c r="X912" s="82">
        <v>0.35</v>
      </c>
      <c r="Y912" s="82"/>
      <c r="Z912" s="84">
        <v>15.0465</v>
      </c>
      <c r="AA912" s="84">
        <v>30.093</v>
      </c>
      <c r="AB912" s="88" t="e">
        <v>#DIV/0!</v>
      </c>
      <c r="AC912" t="s">
        <v>4308</v>
      </c>
    </row>
    <row r="913" spans="3:29">
      <c r="C913" t="s">
        <v>4312</v>
      </c>
      <c r="D913" t="s">
        <v>4298</v>
      </c>
      <c r="E913" s="84">
        <v>38.99</v>
      </c>
      <c r="F913" s="84">
        <v>19.495000000000001</v>
      </c>
      <c r="G913" t="s">
        <v>3901</v>
      </c>
      <c r="H913" t="s">
        <v>4279</v>
      </c>
      <c r="I913" t="s">
        <v>391</v>
      </c>
      <c r="J913" t="s">
        <v>4181</v>
      </c>
      <c r="K913" t="s">
        <v>4302</v>
      </c>
      <c r="L913" t="s">
        <v>670</v>
      </c>
      <c r="N913">
        <v>8</v>
      </c>
      <c r="O913">
        <v>16</v>
      </c>
      <c r="P913">
        <v>1.024E-3</v>
      </c>
      <c r="Q913" s="84" t="e">
        <v>#REF!</v>
      </c>
      <c r="R913" s="85"/>
      <c r="S913" s="85"/>
      <c r="T913" s="86">
        <v>0</v>
      </c>
      <c r="U913" s="84">
        <v>0</v>
      </c>
      <c r="V913" s="84">
        <v>27.292999999999999</v>
      </c>
      <c r="W913" s="84">
        <v>13.6465</v>
      </c>
      <c r="X913" s="82">
        <v>0.35</v>
      </c>
      <c r="Y913" s="82"/>
      <c r="Z913" s="84">
        <v>13.6465</v>
      </c>
      <c r="AA913" s="84">
        <v>27.292999999999999</v>
      </c>
      <c r="AB913" s="88" t="e">
        <v>#DIV/0!</v>
      </c>
      <c r="AC913" t="s">
        <v>4300</v>
      </c>
    </row>
    <row r="914" spans="3:29">
      <c r="C914" t="s">
        <v>4313</v>
      </c>
      <c r="D914" t="s">
        <v>4314</v>
      </c>
      <c r="E914" s="84">
        <v>11.99</v>
      </c>
      <c r="F914" s="84">
        <v>5.9950000000000001</v>
      </c>
      <c r="G914" t="s">
        <v>3901</v>
      </c>
      <c r="H914" t="s">
        <v>4315</v>
      </c>
      <c r="I914" t="s">
        <v>402</v>
      </c>
      <c r="J914" t="s">
        <v>4316</v>
      </c>
      <c r="K914" t="s">
        <v>4317</v>
      </c>
      <c r="L914" t="s">
        <v>670</v>
      </c>
      <c r="N914">
        <v>6</v>
      </c>
      <c r="O914">
        <v>6</v>
      </c>
      <c r="P914">
        <v>2.1599999999999999E-4</v>
      </c>
      <c r="Q914" s="84" t="e">
        <v>#REF!</v>
      </c>
      <c r="R914" s="85"/>
      <c r="S914" s="85"/>
      <c r="T914" s="86">
        <v>0</v>
      </c>
      <c r="U914" s="84">
        <v>0</v>
      </c>
      <c r="V914" s="84">
        <v>8.3930000000000007</v>
      </c>
      <c r="W914" s="84">
        <v>4.1965000000000003</v>
      </c>
      <c r="X914" s="82">
        <v>0.35</v>
      </c>
      <c r="Y914" s="82"/>
      <c r="Z914" s="84">
        <v>4.1965000000000003</v>
      </c>
      <c r="AA914" s="84">
        <v>8.3930000000000007</v>
      </c>
      <c r="AB914" s="88" t="e">
        <v>#DIV/0!</v>
      </c>
      <c r="AC914" t="s">
        <v>4318</v>
      </c>
    </row>
    <row r="915" spans="3:29">
      <c r="C915" t="s">
        <v>4320</v>
      </c>
      <c r="D915" t="s">
        <v>4314</v>
      </c>
      <c r="E915" s="84">
        <v>11.99</v>
      </c>
      <c r="F915" s="84">
        <v>5.9950000000000001</v>
      </c>
      <c r="G915" t="s">
        <v>3901</v>
      </c>
      <c r="H915" t="s">
        <v>4321</v>
      </c>
      <c r="I915" t="s">
        <v>402</v>
      </c>
      <c r="J915" t="s">
        <v>4322</v>
      </c>
      <c r="K915" t="s">
        <v>4317</v>
      </c>
      <c r="L915" t="s">
        <v>670</v>
      </c>
      <c r="N915">
        <v>8</v>
      </c>
      <c r="O915">
        <v>6</v>
      </c>
      <c r="P915">
        <v>3.8400000000000001E-4</v>
      </c>
      <c r="Q915" s="84" t="e">
        <v>#REF!</v>
      </c>
      <c r="R915" s="85">
        <v>92.701319642001195</v>
      </c>
      <c r="S915" s="85">
        <v>104500</v>
      </c>
      <c r="T915" s="86">
        <v>104592.701319642</v>
      </c>
      <c r="U915" s="84">
        <v>6.9728467546428003</v>
      </c>
      <c r="V915" s="84">
        <v>8.3930000000000007</v>
      </c>
      <c r="W915" s="84">
        <v>4.1965000000000003</v>
      </c>
      <c r="X915" s="82">
        <v>0.35</v>
      </c>
      <c r="Y915" s="87">
        <v>13.945693509285601</v>
      </c>
      <c r="Z915" s="84">
        <v>13.945693509285601</v>
      </c>
      <c r="AA915" s="84">
        <v>27.891387018571201</v>
      </c>
      <c r="AB915" s="88">
        <v>2</v>
      </c>
      <c r="AC915" t="s">
        <v>4323</v>
      </c>
    </row>
    <row r="916" spans="3:29">
      <c r="C916" t="s">
        <v>4324</v>
      </c>
      <c r="D916" t="s">
        <v>4314</v>
      </c>
      <c r="E916" s="84">
        <v>11.99</v>
      </c>
      <c r="F916" s="84">
        <v>5.9950000000000001</v>
      </c>
      <c r="G916" t="s">
        <v>3901</v>
      </c>
      <c r="H916" t="s">
        <v>4325</v>
      </c>
      <c r="I916" t="s">
        <v>402</v>
      </c>
      <c r="J916" t="s">
        <v>4326</v>
      </c>
      <c r="K916" t="s">
        <v>4317</v>
      </c>
      <c r="L916" t="s">
        <v>670</v>
      </c>
      <c r="N916">
        <v>9</v>
      </c>
      <c r="O916">
        <v>8</v>
      </c>
      <c r="P916">
        <v>6.4800000000000003E-4</v>
      </c>
      <c r="Q916" s="84" t="e">
        <v>#REF!</v>
      </c>
      <c r="R916" s="85">
        <v>156.43347689599599</v>
      </c>
      <c r="S916" s="85">
        <v>132000</v>
      </c>
      <c r="T916" s="86">
        <v>132156.433476896</v>
      </c>
      <c r="U916" s="84">
        <v>8.8104288984597297</v>
      </c>
      <c r="V916" s="84">
        <v>8.3930000000000007</v>
      </c>
      <c r="W916" s="84">
        <v>4.1965000000000003</v>
      </c>
      <c r="X916" s="82">
        <v>0.35</v>
      </c>
      <c r="Y916" s="87">
        <v>17.620857796919498</v>
      </c>
      <c r="Z916" s="84">
        <v>17.620857796919498</v>
      </c>
      <c r="AA916" s="84">
        <v>35.241715593838897</v>
      </c>
      <c r="AB916" s="88">
        <v>2</v>
      </c>
      <c r="AC916" t="s">
        <v>4318</v>
      </c>
    </row>
    <row r="917" spans="3:29">
      <c r="C917" t="s">
        <v>4327</v>
      </c>
      <c r="D917" t="s">
        <v>4314</v>
      </c>
      <c r="E917" s="84">
        <v>12.99</v>
      </c>
      <c r="F917" s="84">
        <v>6.4950000000000001</v>
      </c>
      <c r="G917" t="s">
        <v>3901</v>
      </c>
      <c r="H917" t="s">
        <v>4328</v>
      </c>
      <c r="I917" t="s">
        <v>402</v>
      </c>
      <c r="J917" t="s">
        <v>4329</v>
      </c>
      <c r="K917" t="s">
        <v>4317</v>
      </c>
      <c r="L917" t="s">
        <v>670</v>
      </c>
      <c r="N917">
        <v>8</v>
      </c>
      <c r="O917">
        <v>12</v>
      </c>
      <c r="P917">
        <v>7.6800000000000002E-4</v>
      </c>
      <c r="Q917" s="84" t="e">
        <v>#REF!</v>
      </c>
      <c r="R917" s="85">
        <v>209.302198254009</v>
      </c>
      <c r="S917" s="85">
        <v>154000</v>
      </c>
      <c r="T917" s="86">
        <v>154209.30219825401</v>
      </c>
      <c r="U917" s="84">
        <v>10.2806201465503</v>
      </c>
      <c r="V917" s="84">
        <v>9.093</v>
      </c>
      <c r="W917" s="84">
        <v>4.5465</v>
      </c>
      <c r="X917" s="82">
        <v>0.35</v>
      </c>
      <c r="Y917" s="87">
        <v>20.5612402931005</v>
      </c>
      <c r="Z917" s="84">
        <v>20.5612402931005</v>
      </c>
      <c r="AA917" s="84">
        <v>41.1224805862011</v>
      </c>
      <c r="AB917" s="88">
        <v>2</v>
      </c>
      <c r="AC917" t="s">
        <v>4330</v>
      </c>
    </row>
    <row r="918" spans="3:29">
      <c r="C918" t="s">
        <v>4331</v>
      </c>
      <c r="D918" t="s">
        <v>4332</v>
      </c>
      <c r="E918" s="84">
        <v>13.99</v>
      </c>
      <c r="F918" s="84">
        <v>6.9950000000000001</v>
      </c>
      <c r="G918" t="s">
        <v>3901</v>
      </c>
      <c r="H918" t="s">
        <v>4333</v>
      </c>
      <c r="I918" t="s">
        <v>363</v>
      </c>
      <c r="J918" t="s">
        <v>4316</v>
      </c>
      <c r="K918" t="s">
        <v>4334</v>
      </c>
      <c r="L918" t="s">
        <v>670</v>
      </c>
      <c r="N918">
        <v>6</v>
      </c>
      <c r="O918">
        <v>6</v>
      </c>
      <c r="P918">
        <v>2.1599999999999999E-4</v>
      </c>
      <c r="Q918" s="84" t="e">
        <v>#REF!</v>
      </c>
      <c r="R918" s="85">
        <v>326.38589623899298</v>
      </c>
      <c r="S918" s="85">
        <v>165000</v>
      </c>
      <c r="T918" s="86">
        <v>165326.38589623899</v>
      </c>
      <c r="U918" s="84">
        <v>11.0217590597493</v>
      </c>
      <c r="V918" s="84">
        <v>9.7929999999999993</v>
      </c>
      <c r="W918" s="84">
        <v>4.8964999999999996</v>
      </c>
      <c r="X918" s="82">
        <v>0.35</v>
      </c>
      <c r="Y918" s="87">
        <v>22.043518119498501</v>
      </c>
      <c r="Z918" s="84">
        <v>22.043518119498501</v>
      </c>
      <c r="AA918" s="84">
        <v>44.087036238997101</v>
      </c>
      <c r="AB918" s="88">
        <v>2</v>
      </c>
      <c r="AC918" t="s">
        <v>4335</v>
      </c>
    </row>
    <row r="919" spans="3:29">
      <c r="C919" t="s">
        <v>4336</v>
      </c>
      <c r="D919" t="s">
        <v>4332</v>
      </c>
      <c r="E919" s="84">
        <v>13.99</v>
      </c>
      <c r="F919" s="84">
        <v>6.9950000000000001</v>
      </c>
      <c r="G919" t="s">
        <v>3901</v>
      </c>
      <c r="H919" t="s">
        <v>4337</v>
      </c>
      <c r="I919" t="s">
        <v>363</v>
      </c>
      <c r="J919" t="s">
        <v>4322</v>
      </c>
      <c r="K919" t="s">
        <v>4334</v>
      </c>
      <c r="L919" t="s">
        <v>670</v>
      </c>
      <c r="N919">
        <v>8</v>
      </c>
      <c r="O919">
        <v>6</v>
      </c>
      <c r="P919">
        <v>3.8400000000000001E-4</v>
      </c>
      <c r="Q919" s="84" t="e">
        <v>#REF!</v>
      </c>
      <c r="R919" s="85">
        <v>92.701319642001195</v>
      </c>
      <c r="S919" s="85">
        <v>114950</v>
      </c>
      <c r="T919" s="86">
        <v>115042.701319642</v>
      </c>
      <c r="U919" s="84">
        <v>7.6695134213094702</v>
      </c>
      <c r="V919" s="84">
        <v>9.7929999999999993</v>
      </c>
      <c r="W919" s="84">
        <v>4.8964999999999996</v>
      </c>
      <c r="X919" s="82">
        <v>0.35</v>
      </c>
      <c r="Y919" s="87">
        <v>15.3390268426189</v>
      </c>
      <c r="Z919" s="84">
        <v>15.3390268426189</v>
      </c>
      <c r="AA919" s="84">
        <v>30.678053685237899</v>
      </c>
      <c r="AB919" s="88">
        <v>2</v>
      </c>
      <c r="AC919" t="s">
        <v>4338</v>
      </c>
    </row>
    <row r="920" spans="3:29">
      <c r="C920" t="s">
        <v>4339</v>
      </c>
      <c r="D920" t="s">
        <v>4332</v>
      </c>
      <c r="E920" s="84">
        <v>13.99</v>
      </c>
      <c r="F920" s="84">
        <v>6.9950000000000001</v>
      </c>
      <c r="G920" t="s">
        <v>3901</v>
      </c>
      <c r="H920" t="s">
        <v>4340</v>
      </c>
      <c r="I920" t="s">
        <v>363</v>
      </c>
      <c r="J920" t="s">
        <v>4326</v>
      </c>
      <c r="K920" t="s">
        <v>4334</v>
      </c>
      <c r="L920" t="s">
        <v>670</v>
      </c>
      <c r="N920">
        <v>9</v>
      </c>
      <c r="O920">
        <v>8</v>
      </c>
      <c r="P920">
        <v>6.4800000000000003E-4</v>
      </c>
      <c r="Q920" s="84" t="e">
        <v>#REF!</v>
      </c>
      <c r="R920" s="85">
        <v>156.43347689599599</v>
      </c>
      <c r="S920" s="85">
        <v>145200</v>
      </c>
      <c r="T920" s="86">
        <v>145356.433476896</v>
      </c>
      <c r="U920" s="84">
        <v>9.6904288984597304</v>
      </c>
      <c r="V920" s="84">
        <v>9.7929999999999993</v>
      </c>
      <c r="W920" s="84">
        <v>4.8964999999999996</v>
      </c>
      <c r="X920" s="82">
        <v>0.35</v>
      </c>
      <c r="Y920" s="87">
        <v>19.3808577969195</v>
      </c>
      <c r="Z920" s="84">
        <v>19.3808577969195</v>
      </c>
      <c r="AA920" s="84">
        <v>38.7617155938389</v>
      </c>
      <c r="AB920" s="88">
        <v>2</v>
      </c>
      <c r="AC920" t="s">
        <v>4338</v>
      </c>
    </row>
    <row r="921" spans="3:29">
      <c r="C921" t="s">
        <v>4341</v>
      </c>
      <c r="D921" t="s">
        <v>4332</v>
      </c>
      <c r="E921" s="84">
        <v>13.99</v>
      </c>
      <c r="F921" s="84">
        <v>6.9950000000000001</v>
      </c>
      <c r="G921" t="s">
        <v>3901</v>
      </c>
      <c r="H921" t="s">
        <v>4342</v>
      </c>
      <c r="I921" t="s">
        <v>363</v>
      </c>
      <c r="J921" t="s">
        <v>4329</v>
      </c>
      <c r="K921" t="s">
        <v>4334</v>
      </c>
      <c r="L921" t="s">
        <v>670</v>
      </c>
      <c r="N921">
        <v>8</v>
      </c>
      <c r="O921">
        <v>12</v>
      </c>
      <c r="P921">
        <v>7.6800000000000002E-4</v>
      </c>
      <c r="Q921" s="84" t="e">
        <v>#REF!</v>
      </c>
      <c r="R921" s="85">
        <v>209.302198254009</v>
      </c>
      <c r="S921" s="85">
        <v>169400</v>
      </c>
      <c r="T921" s="86">
        <v>169609.30219825401</v>
      </c>
      <c r="U921" s="84">
        <v>11.3072868132169</v>
      </c>
      <c r="V921" s="84">
        <v>9.7929999999999993</v>
      </c>
      <c r="W921" s="84">
        <v>4.8964999999999996</v>
      </c>
      <c r="X921" s="82">
        <v>0.35</v>
      </c>
      <c r="Y921" s="87">
        <v>22.614573626433899</v>
      </c>
      <c r="Z921" s="84">
        <v>22.614573626433899</v>
      </c>
      <c r="AA921" s="84">
        <v>45.229147252867698</v>
      </c>
      <c r="AB921" s="88">
        <v>2</v>
      </c>
      <c r="AC921" t="s">
        <v>4343</v>
      </c>
    </row>
    <row r="922" spans="3:29">
      <c r="C922" t="s">
        <v>4344</v>
      </c>
      <c r="D922" t="s">
        <v>4345</v>
      </c>
      <c r="E922" s="84">
        <v>14.99</v>
      </c>
      <c r="F922" s="84">
        <v>7.4950000000000001</v>
      </c>
      <c r="G922" t="s">
        <v>3901</v>
      </c>
      <c r="H922" t="s">
        <v>4321</v>
      </c>
      <c r="I922" t="s">
        <v>413</v>
      </c>
      <c r="J922" t="s">
        <v>4346</v>
      </c>
      <c r="K922" t="s">
        <v>4347</v>
      </c>
      <c r="L922" t="s">
        <v>670</v>
      </c>
      <c r="N922">
        <v>8</v>
      </c>
      <c r="O922">
        <v>6</v>
      </c>
      <c r="P922">
        <v>3.8400000000000001E-4</v>
      </c>
      <c r="Q922" s="84" t="e">
        <v>#REF!</v>
      </c>
      <c r="R922" s="85">
        <v>326.38589623899298</v>
      </c>
      <c r="S922" s="85">
        <v>181500</v>
      </c>
      <c r="T922" s="86">
        <v>181826.38589623899</v>
      </c>
      <c r="U922" s="84">
        <v>12.1217590597493</v>
      </c>
      <c r="V922" s="84">
        <v>10.493</v>
      </c>
      <c r="W922" s="84">
        <v>5.2465000000000002</v>
      </c>
      <c r="X922" s="82">
        <v>0.35</v>
      </c>
      <c r="Y922" s="87">
        <v>24.2435181194985</v>
      </c>
      <c r="Z922" s="84">
        <v>24.2435181194985</v>
      </c>
      <c r="AA922" s="84">
        <v>48.487036238997099</v>
      </c>
      <c r="AB922" s="88">
        <v>2</v>
      </c>
      <c r="AC922" t="s">
        <v>4348</v>
      </c>
    </row>
    <row r="923" spans="3:29">
      <c r="C923" t="s">
        <v>4349</v>
      </c>
      <c r="D923" t="s">
        <v>4345</v>
      </c>
      <c r="E923" s="84">
        <v>15.99</v>
      </c>
      <c r="F923" s="84">
        <v>7.9950000000000001</v>
      </c>
      <c r="G923" t="s">
        <v>3901</v>
      </c>
      <c r="H923" t="s">
        <v>4325</v>
      </c>
      <c r="I923" t="s">
        <v>413</v>
      </c>
      <c r="J923" t="s">
        <v>4326</v>
      </c>
      <c r="K923" t="s">
        <v>4347</v>
      </c>
      <c r="L923" t="s">
        <v>670</v>
      </c>
      <c r="N923">
        <v>9</v>
      </c>
      <c r="O923">
        <v>8</v>
      </c>
      <c r="P923">
        <v>6.4800000000000003E-4</v>
      </c>
      <c r="Q923" s="84" t="e">
        <v>#REF!</v>
      </c>
      <c r="R923" s="85"/>
      <c r="S923" s="85"/>
      <c r="T923" s="86">
        <v>0</v>
      </c>
      <c r="U923" s="84">
        <v>0</v>
      </c>
      <c r="V923" s="84">
        <v>11.193</v>
      </c>
      <c r="W923" s="84">
        <v>5.5964999999999998</v>
      </c>
      <c r="X923" s="82">
        <v>0.35</v>
      </c>
      <c r="Y923" s="82"/>
      <c r="Z923" s="84">
        <v>5.5964999999999998</v>
      </c>
      <c r="AA923" s="84">
        <v>11.193</v>
      </c>
      <c r="AB923" s="88" t="e">
        <v>#DIV/0!</v>
      </c>
      <c r="AC923" t="s">
        <v>4348</v>
      </c>
    </row>
    <row r="924" spans="3:29">
      <c r="C924" t="s">
        <v>4350</v>
      </c>
      <c r="D924" t="s">
        <v>4345</v>
      </c>
      <c r="E924" s="84">
        <v>16.989999999999998</v>
      </c>
      <c r="F924" s="84">
        <v>8.4949999999999992</v>
      </c>
      <c r="G924" t="s">
        <v>3901</v>
      </c>
      <c r="H924" t="s">
        <v>4351</v>
      </c>
      <c r="I924" t="s">
        <v>413</v>
      </c>
      <c r="J924" t="s">
        <v>4352</v>
      </c>
      <c r="K924" t="s">
        <v>4347</v>
      </c>
      <c r="L924" t="s">
        <v>670</v>
      </c>
      <c r="N924">
        <v>8.5</v>
      </c>
      <c r="O924">
        <v>12</v>
      </c>
      <c r="P924">
        <v>8.6700000000000004E-4</v>
      </c>
      <c r="Q924" s="84" t="e">
        <v>#REF!</v>
      </c>
      <c r="R924" s="85"/>
      <c r="S924" s="85"/>
      <c r="T924" s="86">
        <v>0</v>
      </c>
      <c r="U924" s="84">
        <v>0</v>
      </c>
      <c r="V924" s="84">
        <v>11.893000000000001</v>
      </c>
      <c r="W924" s="84">
        <v>5.9465000000000003</v>
      </c>
      <c r="X924" s="82">
        <v>0.35</v>
      </c>
      <c r="Y924" s="82"/>
      <c r="Z924" s="84">
        <v>5.9465000000000003</v>
      </c>
      <c r="AA924" s="84">
        <v>11.893000000000001</v>
      </c>
      <c r="AB924" s="88" t="e">
        <v>#DIV/0!</v>
      </c>
      <c r="AC924" t="s">
        <v>4353</v>
      </c>
    </row>
    <row r="925" spans="3:29">
      <c r="C925" t="s">
        <v>4354</v>
      </c>
      <c r="D925" t="s">
        <v>4345</v>
      </c>
      <c r="E925" s="84">
        <v>18.989999999999998</v>
      </c>
      <c r="F925" s="84">
        <v>9.4949999999999992</v>
      </c>
      <c r="G925" t="s">
        <v>3901</v>
      </c>
      <c r="H925" t="s">
        <v>4355</v>
      </c>
      <c r="I925" t="s">
        <v>413</v>
      </c>
      <c r="J925" t="s">
        <v>4356</v>
      </c>
      <c r="K925" t="s">
        <v>4347</v>
      </c>
      <c r="L925" t="s">
        <v>670</v>
      </c>
      <c r="N925">
        <v>13</v>
      </c>
      <c r="O925">
        <v>8</v>
      </c>
      <c r="P925">
        <v>1.3519999999999999E-3</v>
      </c>
      <c r="Q925" s="84" t="e">
        <v>#REF!</v>
      </c>
      <c r="R925" s="85"/>
      <c r="S925" s="85"/>
      <c r="T925" s="86">
        <v>0</v>
      </c>
      <c r="U925" s="84">
        <v>0</v>
      </c>
      <c r="V925" s="84">
        <v>13.292999999999999</v>
      </c>
      <c r="W925" s="84">
        <v>6.6464999999999996</v>
      </c>
      <c r="X925" s="82">
        <v>0.35</v>
      </c>
      <c r="Y925" s="82"/>
      <c r="Z925" s="84">
        <v>6.6464999999999996</v>
      </c>
      <c r="AA925" s="84">
        <v>13.292999999999999</v>
      </c>
      <c r="AB925" s="88" t="e">
        <v>#DIV/0!</v>
      </c>
      <c r="AC925" t="s">
        <v>4348</v>
      </c>
    </row>
    <row r="926" spans="3:29">
      <c r="C926" t="s">
        <v>4357</v>
      </c>
      <c r="D926" t="s">
        <v>4358</v>
      </c>
      <c r="E926" s="84">
        <v>14.99</v>
      </c>
      <c r="F926" s="84">
        <v>7.4950000000000001</v>
      </c>
      <c r="G926" t="s">
        <v>3901</v>
      </c>
      <c r="H926" t="s">
        <v>4321</v>
      </c>
      <c r="I926" t="s">
        <v>409</v>
      </c>
      <c r="J926" t="s">
        <v>4346</v>
      </c>
      <c r="K926" t="s">
        <v>4347</v>
      </c>
      <c r="L926" t="s">
        <v>670</v>
      </c>
      <c r="N926">
        <v>8</v>
      </c>
      <c r="O926">
        <v>6</v>
      </c>
      <c r="P926">
        <v>3.8400000000000001E-4</v>
      </c>
      <c r="Q926" s="84" t="e">
        <v>#REF!</v>
      </c>
      <c r="R926" s="85"/>
      <c r="S926" s="85"/>
      <c r="T926" s="86">
        <v>0</v>
      </c>
      <c r="U926" s="84">
        <v>0</v>
      </c>
      <c r="V926" s="84">
        <v>10.493</v>
      </c>
      <c r="W926" s="84">
        <v>5.2465000000000002</v>
      </c>
      <c r="X926" s="82">
        <v>0.35</v>
      </c>
      <c r="Y926" s="82"/>
      <c r="Z926" s="84">
        <v>5.2465000000000002</v>
      </c>
      <c r="AA926" s="84">
        <v>10.493</v>
      </c>
      <c r="AB926" s="88" t="e">
        <v>#DIV/0!</v>
      </c>
      <c r="AC926" t="s">
        <v>4359</v>
      </c>
    </row>
    <row r="927" spans="3:29">
      <c r="C927" t="s">
        <v>4360</v>
      </c>
      <c r="D927" t="s">
        <v>4358</v>
      </c>
      <c r="E927" s="84">
        <v>15.99</v>
      </c>
      <c r="F927" s="84">
        <v>7.9950000000000001</v>
      </c>
      <c r="G927" t="s">
        <v>3901</v>
      </c>
      <c r="H927" t="s">
        <v>4325</v>
      </c>
      <c r="I927" t="s">
        <v>409</v>
      </c>
      <c r="J927" t="s">
        <v>4326</v>
      </c>
      <c r="K927" t="s">
        <v>4347</v>
      </c>
      <c r="L927" t="s">
        <v>670</v>
      </c>
      <c r="N927">
        <v>9</v>
      </c>
      <c r="O927">
        <v>8</v>
      </c>
      <c r="P927">
        <v>6.4800000000000003E-4</v>
      </c>
      <c r="Q927" s="84" t="e">
        <v>#REF!</v>
      </c>
      <c r="R927" s="85"/>
      <c r="S927" s="85"/>
      <c r="T927" s="86">
        <v>0</v>
      </c>
      <c r="U927" s="84">
        <v>0</v>
      </c>
      <c r="V927" s="84">
        <v>11.193</v>
      </c>
      <c r="W927" s="84">
        <v>5.5964999999999998</v>
      </c>
      <c r="X927" s="82">
        <v>0.35</v>
      </c>
      <c r="Y927" s="82"/>
      <c r="Z927" s="84">
        <v>5.5964999999999998</v>
      </c>
      <c r="AA927" s="84">
        <v>11.193</v>
      </c>
      <c r="AB927" s="88" t="e">
        <v>#DIV/0!</v>
      </c>
      <c r="AC927" t="s">
        <v>4359</v>
      </c>
    </row>
    <row r="928" spans="3:29">
      <c r="C928" t="s">
        <v>4361</v>
      </c>
      <c r="D928" t="s">
        <v>4358</v>
      </c>
      <c r="E928" s="84">
        <v>16.989999999999998</v>
      </c>
      <c r="F928" s="84">
        <v>8.4949999999999992</v>
      </c>
      <c r="G928" t="s">
        <v>3901</v>
      </c>
      <c r="H928" t="s">
        <v>4351</v>
      </c>
      <c r="I928" t="s">
        <v>409</v>
      </c>
      <c r="J928" t="s">
        <v>4352</v>
      </c>
      <c r="K928" t="s">
        <v>4347</v>
      </c>
      <c r="L928" t="s">
        <v>670</v>
      </c>
      <c r="N928">
        <v>8.5</v>
      </c>
      <c r="O928">
        <v>12</v>
      </c>
      <c r="P928">
        <v>8.6700000000000004E-4</v>
      </c>
      <c r="Q928" s="84" t="e">
        <v>#REF!</v>
      </c>
      <c r="R928" s="85"/>
      <c r="S928" s="85"/>
      <c r="T928" s="86">
        <v>0</v>
      </c>
      <c r="U928" s="84">
        <v>0</v>
      </c>
      <c r="V928" s="84">
        <v>11.893000000000001</v>
      </c>
      <c r="W928" s="84">
        <v>5.9465000000000003</v>
      </c>
      <c r="X928" s="82">
        <v>0.35</v>
      </c>
      <c r="Y928" s="82"/>
      <c r="Z928" s="84">
        <v>5.9465000000000003</v>
      </c>
      <c r="AA928" s="84">
        <v>11.893000000000001</v>
      </c>
      <c r="AB928" s="88" t="e">
        <v>#DIV/0!</v>
      </c>
      <c r="AC928" t="s">
        <v>4353</v>
      </c>
    </row>
    <row r="929" spans="3:29">
      <c r="D929" t="s">
        <v>4358</v>
      </c>
      <c r="E929" s="84">
        <v>18.989999999999998</v>
      </c>
      <c r="F929" s="84">
        <v>9.4949999999999992</v>
      </c>
      <c r="G929" t="s">
        <v>3901</v>
      </c>
      <c r="H929" t="s">
        <v>4355</v>
      </c>
      <c r="I929" t="s">
        <v>409</v>
      </c>
      <c r="J929" t="s">
        <v>4356</v>
      </c>
      <c r="K929" t="s">
        <v>4347</v>
      </c>
      <c r="L929" t="s">
        <v>670</v>
      </c>
      <c r="N929">
        <v>13</v>
      </c>
      <c r="O929">
        <v>8</v>
      </c>
      <c r="P929">
        <v>1.3519999999999999E-3</v>
      </c>
      <c r="Q929" s="84" t="e">
        <v>#REF!</v>
      </c>
      <c r="R929" s="85"/>
      <c r="S929" s="85"/>
      <c r="T929" s="86">
        <v>0</v>
      </c>
      <c r="U929" s="84">
        <v>0</v>
      </c>
      <c r="V929" s="84">
        <v>13.292999999999999</v>
      </c>
      <c r="W929" s="84">
        <v>6.6464999999999996</v>
      </c>
      <c r="X929" s="82">
        <v>0.35</v>
      </c>
      <c r="Y929" s="82"/>
      <c r="Z929" s="84">
        <v>6.6464999999999996</v>
      </c>
      <c r="AA929" s="84">
        <v>13.292999999999999</v>
      </c>
      <c r="AB929" s="88" t="e">
        <v>#DIV/0!</v>
      </c>
      <c r="AC929" t="s">
        <v>4362</v>
      </c>
    </row>
    <row r="930" spans="3:29">
      <c r="C930" t="s">
        <v>4363</v>
      </c>
      <c r="E930" s="84"/>
      <c r="F930" s="82"/>
      <c r="R930" s="85"/>
      <c r="S930" s="85"/>
      <c r="T930" s="86"/>
      <c r="V930" s="84">
        <v>0</v>
      </c>
      <c r="W930" s="84">
        <v>0</v>
      </c>
      <c r="X930" s="82" t="e">
        <v>#DIV/0!</v>
      </c>
      <c r="Y930" s="82">
        <v>0</v>
      </c>
      <c r="Z930" s="82"/>
      <c r="AA930" s="82"/>
      <c r="AB930" s="88" t="e">
        <v>#DIV/0!</v>
      </c>
    </row>
    <row r="931" spans="3:29">
      <c r="C931" t="s">
        <v>4364</v>
      </c>
      <c r="D931" t="s">
        <v>4365</v>
      </c>
      <c r="E931" s="84">
        <v>55.99</v>
      </c>
      <c r="F931" s="84">
        <v>27.995000000000001</v>
      </c>
      <c r="G931" t="s">
        <v>4366</v>
      </c>
      <c r="H931" t="s">
        <v>4367</v>
      </c>
      <c r="I931" t="s">
        <v>866</v>
      </c>
      <c r="J931" t="s">
        <v>4368</v>
      </c>
      <c r="K931" t="s">
        <v>2564</v>
      </c>
      <c r="L931" t="s">
        <v>670</v>
      </c>
      <c r="N931">
        <v>11</v>
      </c>
      <c r="O931">
        <v>30</v>
      </c>
      <c r="P931">
        <v>3.63E-3</v>
      </c>
      <c r="Q931" s="84" t="e">
        <v>#REF!</v>
      </c>
      <c r="R931" s="85"/>
      <c r="S931" s="85"/>
      <c r="T931" s="86">
        <v>0</v>
      </c>
      <c r="U931" s="84">
        <v>0</v>
      </c>
      <c r="V931" s="84">
        <v>39.192999999999998</v>
      </c>
      <c r="W931" s="84">
        <v>19.596499999999999</v>
      </c>
      <c r="X931" s="82">
        <v>0.35</v>
      </c>
      <c r="Y931" s="82"/>
      <c r="Z931" s="84">
        <v>19.596499999999999</v>
      </c>
      <c r="AA931" s="84">
        <v>39.192999999999998</v>
      </c>
      <c r="AB931" s="88" t="e">
        <v>#DIV/0!</v>
      </c>
      <c r="AC931" t="s">
        <v>4369</v>
      </c>
    </row>
    <row r="932" spans="3:29">
      <c r="C932" t="s">
        <v>4371</v>
      </c>
      <c r="D932" t="s">
        <v>4365</v>
      </c>
      <c r="E932" s="84">
        <v>62.99</v>
      </c>
      <c r="F932" s="84">
        <v>31.495000000000001</v>
      </c>
      <c r="G932" t="s">
        <v>4366</v>
      </c>
      <c r="H932" t="s">
        <v>4372</v>
      </c>
      <c r="I932" t="s">
        <v>866</v>
      </c>
      <c r="J932" t="s">
        <v>4368</v>
      </c>
      <c r="K932" t="s">
        <v>4373</v>
      </c>
      <c r="L932" t="s">
        <v>670</v>
      </c>
      <c r="N932">
        <v>11</v>
      </c>
      <c r="O932">
        <v>30</v>
      </c>
      <c r="P932">
        <v>3.63E-3</v>
      </c>
      <c r="Q932" s="84" t="e">
        <v>#REF!</v>
      </c>
      <c r="R932" s="85"/>
      <c r="S932" s="85"/>
      <c r="T932" s="86">
        <v>0</v>
      </c>
      <c r="U932" s="84">
        <v>0</v>
      </c>
      <c r="V932" s="84">
        <v>44.093000000000004</v>
      </c>
      <c r="W932" s="84">
        <v>22.046500000000002</v>
      </c>
      <c r="X932" s="82">
        <v>0.35</v>
      </c>
      <c r="Y932" s="82"/>
      <c r="Z932" s="84">
        <v>22.046500000000002</v>
      </c>
      <c r="AA932" s="84">
        <v>44.093000000000004</v>
      </c>
      <c r="AB932" s="88" t="e">
        <v>#DIV/0!</v>
      </c>
      <c r="AC932" t="s">
        <v>4374</v>
      </c>
    </row>
    <row r="933" spans="3:29">
      <c r="C933" t="s">
        <v>4375</v>
      </c>
      <c r="D933" t="s">
        <v>4376</v>
      </c>
      <c r="E933" s="84">
        <v>95.99</v>
      </c>
      <c r="F933" s="84">
        <v>47.994999999999997</v>
      </c>
      <c r="G933" t="s">
        <v>4366</v>
      </c>
      <c r="H933" t="s">
        <v>4377</v>
      </c>
      <c r="I933" t="s">
        <v>304</v>
      </c>
      <c r="J933" t="s">
        <v>4378</v>
      </c>
      <c r="K933" t="s">
        <v>2564</v>
      </c>
      <c r="L933" t="s">
        <v>670</v>
      </c>
      <c r="N933">
        <v>24</v>
      </c>
      <c r="O933">
        <v>35</v>
      </c>
      <c r="P933">
        <v>2.0160000000000001E-2</v>
      </c>
      <c r="Q933" s="84" t="e">
        <v>#REF!</v>
      </c>
      <c r="R933" s="85"/>
      <c r="S933" s="85"/>
      <c r="T933" s="86">
        <v>0</v>
      </c>
      <c r="U933" s="84">
        <v>0</v>
      </c>
      <c r="V933" s="84">
        <v>67.192999999999998</v>
      </c>
      <c r="W933" s="84">
        <v>33.596499999999999</v>
      </c>
      <c r="X933" s="82">
        <v>0.35</v>
      </c>
      <c r="Y933" s="82"/>
      <c r="Z933" s="84">
        <v>33.596499999999999</v>
      </c>
      <c r="AA933" s="84">
        <v>67.192999999999998</v>
      </c>
      <c r="AB933" s="88" t="e">
        <v>#DIV/0!</v>
      </c>
      <c r="AC933" t="s">
        <v>4379</v>
      </c>
    </row>
    <row r="934" spans="3:29">
      <c r="C934" t="s">
        <v>4380</v>
      </c>
      <c r="D934" t="s">
        <v>4376</v>
      </c>
      <c r="E934" s="84">
        <v>118.99</v>
      </c>
      <c r="F934" s="84">
        <v>59.494999999999997</v>
      </c>
      <c r="G934" t="s">
        <v>4366</v>
      </c>
      <c r="H934" t="s">
        <v>4381</v>
      </c>
      <c r="I934" t="s">
        <v>304</v>
      </c>
      <c r="J934" t="s">
        <v>4382</v>
      </c>
      <c r="K934" t="s">
        <v>2564</v>
      </c>
      <c r="L934" t="s">
        <v>670</v>
      </c>
      <c r="N934">
        <v>24</v>
      </c>
      <c r="O934">
        <v>50</v>
      </c>
      <c r="P934">
        <v>2.8799999999999999E-2</v>
      </c>
      <c r="Q934" s="84" t="e">
        <v>#REF!</v>
      </c>
      <c r="R934" s="85"/>
      <c r="S934" s="85"/>
      <c r="T934" s="86">
        <v>0</v>
      </c>
      <c r="U934" s="84">
        <v>0</v>
      </c>
      <c r="V934" s="84">
        <v>83.293000000000006</v>
      </c>
      <c r="W934" s="84">
        <v>41.646500000000003</v>
      </c>
      <c r="X934" s="82">
        <v>0.35</v>
      </c>
      <c r="Y934" s="82"/>
      <c r="Z934" s="84">
        <v>41.646500000000003</v>
      </c>
      <c r="AA934" s="84">
        <v>83.293000000000006</v>
      </c>
      <c r="AB934" s="88" t="e">
        <v>#DIV/0!</v>
      </c>
      <c r="AC934" t="s">
        <v>4383</v>
      </c>
    </row>
    <row r="935" spans="3:29">
      <c r="C935" t="s">
        <v>4384</v>
      </c>
      <c r="D935" t="s">
        <v>4376</v>
      </c>
      <c r="E935" s="84">
        <v>98.99</v>
      </c>
      <c r="F935" s="84">
        <v>49.494999999999997</v>
      </c>
      <c r="G935" t="s">
        <v>4366</v>
      </c>
      <c r="H935" t="s">
        <v>4385</v>
      </c>
      <c r="I935" t="s">
        <v>304</v>
      </c>
      <c r="J935" t="s">
        <v>4386</v>
      </c>
      <c r="K935" t="s">
        <v>2564</v>
      </c>
      <c r="L935" t="s">
        <v>670</v>
      </c>
      <c r="N935">
        <v>18</v>
      </c>
      <c r="O935">
        <v>52</v>
      </c>
      <c r="P935">
        <v>1.6847999999999998E-2</v>
      </c>
      <c r="Q935" s="84" t="e">
        <v>#REF!</v>
      </c>
      <c r="R935" s="85"/>
      <c r="S935" s="85"/>
      <c r="T935" s="86">
        <v>0</v>
      </c>
      <c r="U935" s="84">
        <v>0</v>
      </c>
      <c r="V935" s="84">
        <v>69.293000000000006</v>
      </c>
      <c r="W935" s="84">
        <v>34.646500000000003</v>
      </c>
      <c r="X935" s="82">
        <v>0.35</v>
      </c>
      <c r="Y935" s="82"/>
      <c r="Z935" s="84">
        <v>34.646500000000003</v>
      </c>
      <c r="AA935" s="84">
        <v>69.293000000000006</v>
      </c>
      <c r="AB935" s="88" t="e">
        <v>#DIV/0!</v>
      </c>
      <c r="AC935" t="s">
        <v>4387</v>
      </c>
    </row>
    <row r="936" spans="3:29">
      <c r="C936" t="s">
        <v>4388</v>
      </c>
      <c r="D936" t="s">
        <v>4376</v>
      </c>
      <c r="E936" s="84">
        <v>133.99</v>
      </c>
      <c r="F936" s="84">
        <v>66.995000000000005</v>
      </c>
      <c r="G936" t="s">
        <v>4366</v>
      </c>
      <c r="H936" t="s">
        <v>4389</v>
      </c>
      <c r="I936" t="s">
        <v>315</v>
      </c>
      <c r="J936" t="s">
        <v>4378</v>
      </c>
      <c r="K936" t="s">
        <v>2564</v>
      </c>
      <c r="L936" t="s">
        <v>670</v>
      </c>
      <c r="N936">
        <v>24</v>
      </c>
      <c r="O936">
        <v>35</v>
      </c>
      <c r="P936">
        <v>2.0160000000000001E-2</v>
      </c>
      <c r="Q936" s="84" t="e">
        <v>#REF!</v>
      </c>
      <c r="R936" s="85"/>
      <c r="S936" s="85"/>
      <c r="T936" s="86">
        <v>0</v>
      </c>
      <c r="U936" s="84">
        <v>0</v>
      </c>
      <c r="V936" s="84">
        <v>93.793000000000006</v>
      </c>
      <c r="W936" s="84">
        <v>46.896500000000003</v>
      </c>
      <c r="X936" s="82">
        <v>0.35</v>
      </c>
      <c r="Y936" s="82"/>
      <c r="Z936" s="84">
        <v>46.896500000000003</v>
      </c>
      <c r="AA936" s="84">
        <v>93.793000000000006</v>
      </c>
      <c r="AB936" s="88" t="e">
        <v>#DIV/0!</v>
      </c>
      <c r="AC936" t="s">
        <v>4383</v>
      </c>
    </row>
    <row r="937" spans="3:29">
      <c r="C937" t="s">
        <v>4390</v>
      </c>
      <c r="D937" t="s">
        <v>4376</v>
      </c>
      <c r="E937" s="84">
        <v>165.99</v>
      </c>
      <c r="F937" s="84">
        <v>82.995000000000005</v>
      </c>
      <c r="G937" t="s">
        <v>4366</v>
      </c>
      <c r="H937" t="s">
        <v>4391</v>
      </c>
      <c r="I937" t="s">
        <v>315</v>
      </c>
      <c r="J937" t="s">
        <v>4392</v>
      </c>
      <c r="K937" t="s">
        <v>2564</v>
      </c>
      <c r="L937" t="s">
        <v>670</v>
      </c>
      <c r="N937">
        <v>24</v>
      </c>
      <c r="O937">
        <v>50</v>
      </c>
      <c r="P937">
        <v>2.8799999999999999E-2</v>
      </c>
      <c r="Q937" s="84" t="e">
        <v>#REF!</v>
      </c>
      <c r="R937" s="85"/>
      <c r="S937" s="85"/>
      <c r="T937" s="86">
        <v>0</v>
      </c>
      <c r="U937" s="84">
        <v>0</v>
      </c>
      <c r="V937" s="84">
        <v>116.193</v>
      </c>
      <c r="W937" s="84">
        <v>58.096499999999999</v>
      </c>
      <c r="X937" s="82">
        <v>0.35</v>
      </c>
      <c r="Y937" s="82"/>
      <c r="Z937" s="84">
        <v>58.096499999999999</v>
      </c>
      <c r="AA937" s="84">
        <v>116.193</v>
      </c>
      <c r="AB937" s="88" t="e">
        <v>#DIV/0!</v>
      </c>
      <c r="AC937" t="s">
        <v>4393</v>
      </c>
    </row>
    <row r="938" spans="3:29">
      <c r="C938" t="s">
        <v>4394</v>
      </c>
      <c r="D938" t="s">
        <v>4376</v>
      </c>
      <c r="E938" s="84">
        <v>137.99</v>
      </c>
      <c r="F938" s="84">
        <v>68.995000000000005</v>
      </c>
      <c r="G938" t="s">
        <v>4366</v>
      </c>
      <c r="H938" t="s">
        <v>4395</v>
      </c>
      <c r="I938" t="s">
        <v>315</v>
      </c>
      <c r="J938" t="s">
        <v>4396</v>
      </c>
      <c r="K938" t="s">
        <v>2564</v>
      </c>
      <c r="L938" t="s">
        <v>670</v>
      </c>
      <c r="N938">
        <v>18</v>
      </c>
      <c r="O938">
        <v>52</v>
      </c>
      <c r="P938">
        <v>1.6847999999999998E-2</v>
      </c>
      <c r="Q938" s="84" t="e">
        <v>#REF!</v>
      </c>
      <c r="R938" s="85"/>
      <c r="S938" s="85"/>
      <c r="T938" s="86">
        <v>0</v>
      </c>
      <c r="U938" s="84">
        <v>0</v>
      </c>
      <c r="V938" s="84">
        <v>96.593000000000004</v>
      </c>
      <c r="W938" s="84">
        <v>48.296500000000002</v>
      </c>
      <c r="X938" s="82">
        <v>0.35</v>
      </c>
      <c r="Y938" s="82"/>
      <c r="Z938" s="84">
        <v>48.296500000000002</v>
      </c>
      <c r="AA938" s="84">
        <v>96.593000000000004</v>
      </c>
      <c r="AB938" s="88" t="e">
        <v>#DIV/0!</v>
      </c>
      <c r="AC938" t="s">
        <v>4383</v>
      </c>
    </row>
    <row r="939" spans="3:29">
      <c r="C939" t="s">
        <v>4397</v>
      </c>
      <c r="D939" t="s">
        <v>4398</v>
      </c>
      <c r="E939" s="84">
        <v>55.99</v>
      </c>
      <c r="F939" s="84">
        <v>27.995000000000001</v>
      </c>
      <c r="G939" t="s">
        <v>4366</v>
      </c>
      <c r="H939" t="s">
        <v>4399</v>
      </c>
      <c r="I939" t="s">
        <v>311</v>
      </c>
      <c r="J939" t="s">
        <v>4400</v>
      </c>
      <c r="K939" t="s">
        <v>2564</v>
      </c>
      <c r="L939" t="s">
        <v>670</v>
      </c>
      <c r="N939">
        <v>12</v>
      </c>
      <c r="O939">
        <v>30</v>
      </c>
      <c r="P939">
        <v>4.3200000000000001E-3</v>
      </c>
      <c r="Q939" s="84" t="e">
        <v>#REF!</v>
      </c>
      <c r="R939" s="85"/>
      <c r="S939" s="85"/>
      <c r="T939" s="86">
        <v>0</v>
      </c>
      <c r="U939" s="84">
        <v>0</v>
      </c>
      <c r="V939" s="84">
        <v>39.192999999999998</v>
      </c>
      <c r="W939" s="84">
        <v>19.596499999999999</v>
      </c>
      <c r="X939" s="82">
        <v>0.35</v>
      </c>
      <c r="Y939" s="82"/>
      <c r="Z939" s="84">
        <v>19.596499999999999</v>
      </c>
      <c r="AA939" s="84">
        <v>39.192999999999998</v>
      </c>
      <c r="AB939" s="88" t="e">
        <v>#DIV/0!</v>
      </c>
      <c r="AC939" t="s">
        <v>4401</v>
      </c>
    </row>
    <row r="940" spans="3:29">
      <c r="C940" t="s">
        <v>4402</v>
      </c>
      <c r="D940" t="s">
        <v>4403</v>
      </c>
      <c r="E940" s="84">
        <v>51.99</v>
      </c>
      <c r="F940" s="84">
        <v>25.995000000000001</v>
      </c>
      <c r="G940" t="s">
        <v>4366</v>
      </c>
      <c r="H940" t="s">
        <v>4404</v>
      </c>
      <c r="I940" t="s">
        <v>311</v>
      </c>
      <c r="J940" t="s">
        <v>4405</v>
      </c>
      <c r="K940" t="s">
        <v>2564</v>
      </c>
      <c r="L940" t="s">
        <v>670</v>
      </c>
      <c r="N940">
        <v>12</v>
      </c>
      <c r="O940">
        <v>27</v>
      </c>
      <c r="P940">
        <v>3.888E-3</v>
      </c>
      <c r="Q940" s="84" t="e">
        <v>#REF!</v>
      </c>
      <c r="R940" s="85"/>
      <c r="S940" s="85"/>
      <c r="T940" s="86">
        <v>0</v>
      </c>
      <c r="U940" s="84">
        <v>0</v>
      </c>
      <c r="V940" s="84">
        <v>36.393000000000001</v>
      </c>
      <c r="W940" s="84">
        <v>18.1965</v>
      </c>
      <c r="X940" s="82">
        <v>0.35</v>
      </c>
      <c r="Y940" s="82"/>
      <c r="Z940" s="84">
        <v>18.1965</v>
      </c>
      <c r="AA940" s="84">
        <v>36.393000000000001</v>
      </c>
      <c r="AB940" s="88" t="e">
        <v>#DIV/0!</v>
      </c>
      <c r="AC940" t="s">
        <v>4406</v>
      </c>
    </row>
    <row r="941" spans="3:29">
      <c r="C941" t="s">
        <v>4407</v>
      </c>
      <c r="D941" t="s">
        <v>4408</v>
      </c>
      <c r="E941" s="84">
        <v>92.99</v>
      </c>
      <c r="F941" s="84">
        <v>46.494999999999997</v>
      </c>
      <c r="G941" t="s">
        <v>4366</v>
      </c>
      <c r="H941" t="s">
        <v>4409</v>
      </c>
      <c r="I941" t="s">
        <v>342</v>
      </c>
      <c r="J941" t="s">
        <v>4410</v>
      </c>
      <c r="K941" t="s">
        <v>2564</v>
      </c>
      <c r="L941" t="s">
        <v>670</v>
      </c>
      <c r="N941">
        <v>12</v>
      </c>
      <c r="O941">
        <v>30</v>
      </c>
      <c r="P941">
        <v>4.3200000000000001E-3</v>
      </c>
      <c r="Q941" s="84" t="e">
        <v>#REF!</v>
      </c>
      <c r="R941" s="85"/>
      <c r="S941" s="85"/>
      <c r="T941" s="86">
        <v>0</v>
      </c>
      <c r="U941" s="84">
        <v>0</v>
      </c>
      <c r="V941" s="84">
        <v>65.093000000000004</v>
      </c>
      <c r="W941" s="84">
        <v>32.546500000000002</v>
      </c>
      <c r="X941" s="82">
        <v>0.35</v>
      </c>
      <c r="Y941" s="82"/>
      <c r="Z941" s="84">
        <v>32.546500000000002</v>
      </c>
      <c r="AA941" s="84">
        <v>65.093000000000004</v>
      </c>
      <c r="AB941" s="88" t="e">
        <v>#DIV/0!</v>
      </c>
      <c r="AC941" t="s">
        <v>4411</v>
      </c>
    </row>
    <row r="942" spans="3:29">
      <c r="C942" t="s">
        <v>4412</v>
      </c>
      <c r="D942" t="s">
        <v>4408</v>
      </c>
      <c r="E942" s="84">
        <v>84.99</v>
      </c>
      <c r="F942" s="84">
        <v>42.494999999999997</v>
      </c>
      <c r="G942" t="s">
        <v>4366</v>
      </c>
      <c r="H942" t="s">
        <v>4413</v>
      </c>
      <c r="I942" t="s">
        <v>342</v>
      </c>
      <c r="J942" t="s">
        <v>4410</v>
      </c>
      <c r="K942" t="s">
        <v>2564</v>
      </c>
      <c r="L942" t="s">
        <v>670</v>
      </c>
      <c r="N942">
        <v>12</v>
      </c>
      <c r="O942">
        <v>30</v>
      </c>
      <c r="P942">
        <v>4.3200000000000001E-3</v>
      </c>
      <c r="Q942" s="84" t="e">
        <v>#REF!</v>
      </c>
      <c r="R942" s="85"/>
      <c r="S942" s="85"/>
      <c r="T942" s="86">
        <v>0</v>
      </c>
      <c r="U942" s="84">
        <v>0</v>
      </c>
      <c r="V942" s="84">
        <v>59.493000000000002</v>
      </c>
      <c r="W942" s="84">
        <v>29.746500000000001</v>
      </c>
      <c r="X942" s="82">
        <v>0.35</v>
      </c>
      <c r="Y942" s="82"/>
      <c r="Z942" s="84">
        <v>29.746500000000001</v>
      </c>
      <c r="AA942" s="84">
        <v>59.493000000000002</v>
      </c>
      <c r="AB942" s="88" t="e">
        <v>#DIV/0!</v>
      </c>
      <c r="AC942" t="s">
        <v>4414</v>
      </c>
    </row>
    <row r="943" spans="3:29">
      <c r="C943" t="s">
        <v>4415</v>
      </c>
      <c r="D943" t="s">
        <v>4416</v>
      </c>
      <c r="E943" s="84">
        <v>39.99</v>
      </c>
      <c r="F943" s="84">
        <v>19.995000000000001</v>
      </c>
      <c r="G943" t="s">
        <v>4366</v>
      </c>
      <c r="H943" t="s">
        <v>4417</v>
      </c>
      <c r="I943" t="s">
        <v>109</v>
      </c>
      <c r="J943" t="s">
        <v>4418</v>
      </c>
      <c r="K943" t="s">
        <v>2564</v>
      </c>
      <c r="L943" t="s">
        <v>670</v>
      </c>
      <c r="N943">
        <v>17</v>
      </c>
      <c r="O943">
        <v>12</v>
      </c>
      <c r="P943">
        <v>3.4680000000000002E-3</v>
      </c>
      <c r="Q943" s="84" t="e">
        <v>#REF!</v>
      </c>
      <c r="R943" s="85"/>
      <c r="S943" s="85"/>
      <c r="T943" s="86">
        <v>0</v>
      </c>
      <c r="U943" s="84">
        <v>0</v>
      </c>
      <c r="V943" s="84">
        <v>27.992999999999999</v>
      </c>
      <c r="W943" s="84">
        <v>13.996499999999999</v>
      </c>
      <c r="X943" s="82">
        <v>0.35</v>
      </c>
      <c r="Y943" s="82"/>
      <c r="Z943" s="84">
        <v>13.996499999999999</v>
      </c>
      <c r="AA943" s="84">
        <v>27.992999999999999</v>
      </c>
      <c r="AB943" s="88" t="e">
        <v>#DIV/0!</v>
      </c>
      <c r="AC943" t="s">
        <v>4419</v>
      </c>
    </row>
    <row r="944" spans="3:29">
      <c r="C944" t="s">
        <v>4420</v>
      </c>
      <c r="D944" t="s">
        <v>4416</v>
      </c>
      <c r="E944" s="84">
        <v>52.99</v>
      </c>
      <c r="F944" s="84">
        <v>26.495000000000001</v>
      </c>
      <c r="G944" t="s">
        <v>4366</v>
      </c>
      <c r="H944" t="s">
        <v>4421</v>
      </c>
      <c r="I944" t="s">
        <v>109</v>
      </c>
      <c r="J944" t="s">
        <v>4422</v>
      </c>
      <c r="K944" t="s">
        <v>2564</v>
      </c>
      <c r="L944" t="s">
        <v>670</v>
      </c>
      <c r="N944">
        <v>16</v>
      </c>
      <c r="O944">
        <v>18</v>
      </c>
      <c r="P944">
        <v>4.6080000000000001E-3</v>
      </c>
      <c r="Q944" s="84" t="e">
        <v>#REF!</v>
      </c>
      <c r="R944" s="85"/>
      <c r="S944" s="85"/>
      <c r="T944" s="86">
        <v>0</v>
      </c>
      <c r="U944" s="84">
        <v>0</v>
      </c>
      <c r="V944" s="84">
        <v>37.093000000000004</v>
      </c>
      <c r="W944" s="84">
        <v>18.546500000000002</v>
      </c>
      <c r="X944" s="82">
        <v>0.35</v>
      </c>
      <c r="Y944" s="82"/>
      <c r="Z944" s="84">
        <v>18.546500000000002</v>
      </c>
      <c r="AA944" s="84">
        <v>37.093000000000004</v>
      </c>
      <c r="AB944" s="88" t="e">
        <v>#DIV/0!</v>
      </c>
      <c r="AC944" t="s">
        <v>4423</v>
      </c>
    </row>
    <row r="945" spans="3:29">
      <c r="C945" t="s">
        <v>4424</v>
      </c>
      <c r="D945" t="s">
        <v>4416</v>
      </c>
      <c r="E945" s="84">
        <v>71.989999999999995</v>
      </c>
      <c r="F945" s="84">
        <v>35.994999999999997</v>
      </c>
      <c r="G945" t="s">
        <v>4366</v>
      </c>
      <c r="H945" t="s">
        <v>4421</v>
      </c>
      <c r="I945" t="s">
        <v>109</v>
      </c>
      <c r="J945" t="s">
        <v>4425</v>
      </c>
      <c r="K945" t="s">
        <v>2564</v>
      </c>
      <c r="L945" t="s">
        <v>670</v>
      </c>
      <c r="N945">
        <v>16</v>
      </c>
      <c r="O945">
        <v>18</v>
      </c>
      <c r="P945">
        <v>4.6080000000000001E-3</v>
      </c>
      <c r="Q945" s="84" t="e">
        <v>#REF!</v>
      </c>
      <c r="R945" s="85"/>
      <c r="S945" s="85"/>
      <c r="T945" s="86">
        <v>0</v>
      </c>
      <c r="U945" s="84">
        <v>0</v>
      </c>
      <c r="V945" s="84">
        <v>50.393000000000001</v>
      </c>
      <c r="W945" s="84">
        <v>25.1965</v>
      </c>
      <c r="X945" s="82">
        <v>0.35</v>
      </c>
      <c r="Y945" s="82"/>
      <c r="Z945" s="84">
        <v>25.1965</v>
      </c>
      <c r="AA945" s="84">
        <v>50.393000000000001</v>
      </c>
      <c r="AB945" s="88" t="e">
        <v>#DIV/0!</v>
      </c>
      <c r="AC945" t="s">
        <v>4426</v>
      </c>
    </row>
    <row r="946" spans="3:29">
      <c r="C946" t="s">
        <v>2721</v>
      </c>
      <c r="D946" t="s">
        <v>2722</v>
      </c>
      <c r="E946" s="84">
        <v>36.99</v>
      </c>
      <c r="F946" s="84">
        <v>18.495000000000001</v>
      </c>
      <c r="G946" t="s">
        <v>4366</v>
      </c>
      <c r="H946" t="s">
        <v>4427</v>
      </c>
      <c r="I946" t="s">
        <v>469</v>
      </c>
      <c r="J946" t="s">
        <v>2724</v>
      </c>
      <c r="K946" t="s">
        <v>2564</v>
      </c>
      <c r="L946" t="s">
        <v>670</v>
      </c>
      <c r="N946">
        <v>9</v>
      </c>
      <c r="O946">
        <v>22</v>
      </c>
      <c r="P946">
        <v>1.7819999999999999E-3</v>
      </c>
      <c r="Q946" s="84" t="e">
        <v>#REF!</v>
      </c>
      <c r="R946" s="85"/>
      <c r="S946" s="85"/>
      <c r="T946" s="86">
        <v>0</v>
      </c>
      <c r="U946" s="84">
        <v>0</v>
      </c>
      <c r="V946" s="84">
        <v>25.893000000000001</v>
      </c>
      <c r="W946" s="84">
        <v>12.9465</v>
      </c>
      <c r="X946" s="82">
        <v>0.35</v>
      </c>
      <c r="Y946" s="82"/>
      <c r="Z946" s="84">
        <v>12.9465</v>
      </c>
      <c r="AA946" s="84">
        <v>25.893000000000001</v>
      </c>
      <c r="AB946" s="88" t="e">
        <v>#DIV/0!</v>
      </c>
      <c r="AC946" t="s">
        <v>4428</v>
      </c>
    </row>
    <row r="947" spans="3:29">
      <c r="C947" t="s">
        <v>2726</v>
      </c>
      <c r="D947" t="s">
        <v>2722</v>
      </c>
      <c r="E947" s="84">
        <v>43.99</v>
      </c>
      <c r="F947" s="84">
        <v>21.995000000000001</v>
      </c>
      <c r="G947" t="s">
        <v>4366</v>
      </c>
      <c r="H947" t="s">
        <v>4429</v>
      </c>
      <c r="I947" t="s">
        <v>469</v>
      </c>
      <c r="J947" t="s">
        <v>2728</v>
      </c>
      <c r="K947" t="s">
        <v>2564</v>
      </c>
      <c r="L947" t="s">
        <v>670</v>
      </c>
      <c r="N947">
        <v>9</v>
      </c>
      <c r="O947">
        <v>25</v>
      </c>
      <c r="P947">
        <v>2.0249999999999999E-3</v>
      </c>
      <c r="Q947" s="84" t="e">
        <v>#REF!</v>
      </c>
      <c r="R947" s="85"/>
      <c r="S947" s="85"/>
      <c r="T947" s="86">
        <v>0</v>
      </c>
      <c r="U947" s="84">
        <v>0</v>
      </c>
      <c r="V947" s="84">
        <v>30.792999999999999</v>
      </c>
      <c r="W947" s="84">
        <v>15.3965</v>
      </c>
      <c r="X947" s="82">
        <v>0.35</v>
      </c>
      <c r="Y947" s="82"/>
      <c r="Z947" s="84">
        <v>15.3965</v>
      </c>
      <c r="AA947" s="84">
        <v>30.792999999999999</v>
      </c>
      <c r="AB947" s="88" t="e">
        <v>#DIV/0!</v>
      </c>
      <c r="AC947" t="s">
        <v>4430</v>
      </c>
    </row>
    <row r="948" spans="3:29">
      <c r="C948" t="s">
        <v>2730</v>
      </c>
      <c r="D948" t="s">
        <v>2722</v>
      </c>
      <c r="E948" s="84">
        <v>50.99</v>
      </c>
      <c r="F948" s="84">
        <v>25.495000000000001</v>
      </c>
      <c r="G948" t="s">
        <v>4366</v>
      </c>
      <c r="H948" t="s">
        <v>4431</v>
      </c>
      <c r="I948" t="s">
        <v>469</v>
      </c>
      <c r="J948" t="s">
        <v>2732</v>
      </c>
      <c r="K948" t="s">
        <v>2564</v>
      </c>
      <c r="L948" t="s">
        <v>670</v>
      </c>
      <c r="N948">
        <v>9</v>
      </c>
      <c r="O948">
        <v>30</v>
      </c>
      <c r="P948">
        <v>2.4299999999999999E-3</v>
      </c>
      <c r="Q948" s="84" t="e">
        <v>#REF!</v>
      </c>
      <c r="R948" s="85"/>
      <c r="S948" s="85"/>
      <c r="T948" s="86">
        <v>0</v>
      </c>
      <c r="U948" s="84">
        <v>0</v>
      </c>
      <c r="V948" s="84">
        <v>35.692999999999998</v>
      </c>
      <c r="W948" s="84">
        <v>17.846499999999999</v>
      </c>
      <c r="X948" s="82">
        <v>0.35</v>
      </c>
      <c r="Y948" s="82"/>
      <c r="Z948" s="84">
        <v>17.846499999999999</v>
      </c>
      <c r="AA948" s="84">
        <v>35.692999999999998</v>
      </c>
      <c r="AB948" s="88" t="e">
        <v>#DIV/0!</v>
      </c>
      <c r="AC948" t="s">
        <v>4428</v>
      </c>
    </row>
    <row r="949" spans="3:29">
      <c r="C949" t="s">
        <v>4432</v>
      </c>
      <c r="D949" t="s">
        <v>4433</v>
      </c>
      <c r="E949" s="84">
        <v>73.989999999999995</v>
      </c>
      <c r="F949" s="84">
        <v>36.994999999999997</v>
      </c>
      <c r="G949" t="s">
        <v>4366</v>
      </c>
      <c r="H949" t="s">
        <v>4434</v>
      </c>
      <c r="I949" t="s">
        <v>4435</v>
      </c>
      <c r="J949" t="s">
        <v>4436</v>
      </c>
      <c r="K949" t="s">
        <v>2564</v>
      </c>
      <c r="L949" t="s">
        <v>670</v>
      </c>
      <c r="N949">
        <v>19</v>
      </c>
      <c r="O949">
        <v>25</v>
      </c>
      <c r="P949">
        <v>9.025E-3</v>
      </c>
      <c r="Q949" s="84" t="e">
        <v>#REF!</v>
      </c>
      <c r="R949" s="85"/>
      <c r="S949" s="85"/>
      <c r="T949" s="86">
        <v>0</v>
      </c>
      <c r="U949" s="84">
        <v>0</v>
      </c>
      <c r="V949" s="84">
        <v>51.792999999999999</v>
      </c>
      <c r="W949" s="84">
        <v>25.8965</v>
      </c>
      <c r="X949" s="82">
        <v>0.35</v>
      </c>
      <c r="Y949" s="82"/>
      <c r="Z949" s="84">
        <v>25.8965</v>
      </c>
      <c r="AA949" s="84">
        <v>51.792999999999999</v>
      </c>
      <c r="AB949" s="88" t="e">
        <v>#DIV/0!</v>
      </c>
      <c r="AC949" t="s">
        <v>4437</v>
      </c>
    </row>
    <row r="950" spans="3:29">
      <c r="C950" t="s">
        <v>4438</v>
      </c>
      <c r="D950" t="s">
        <v>2689</v>
      </c>
      <c r="E950" s="84">
        <v>97.99</v>
      </c>
      <c r="F950" s="84">
        <v>48.994999999999997</v>
      </c>
      <c r="G950" t="s">
        <v>4366</v>
      </c>
      <c r="H950" t="s">
        <v>4439</v>
      </c>
      <c r="I950" t="s">
        <v>757</v>
      </c>
      <c r="J950" t="s">
        <v>4440</v>
      </c>
      <c r="K950" t="s">
        <v>2564</v>
      </c>
      <c r="L950" t="s">
        <v>670</v>
      </c>
      <c r="N950">
        <v>12</v>
      </c>
      <c r="O950">
        <v>50</v>
      </c>
      <c r="P950">
        <v>7.1999999999999998E-3</v>
      </c>
      <c r="Q950" s="84" t="e">
        <v>#REF!</v>
      </c>
      <c r="R950" s="85"/>
      <c r="S950" s="85"/>
      <c r="T950" s="86">
        <v>0</v>
      </c>
      <c r="U950" s="84">
        <v>0</v>
      </c>
      <c r="V950" s="84">
        <v>68.593000000000004</v>
      </c>
      <c r="W950" s="84">
        <v>34.296500000000002</v>
      </c>
      <c r="X950" s="82">
        <v>0.35</v>
      </c>
      <c r="Y950" s="82"/>
      <c r="Z950" s="84">
        <v>34.296500000000002</v>
      </c>
      <c r="AA950" s="84">
        <v>68.593000000000004</v>
      </c>
      <c r="AB950" s="88" t="e">
        <v>#DIV/0!</v>
      </c>
      <c r="AC950" t="s">
        <v>4441</v>
      </c>
    </row>
    <row r="951" spans="3:29">
      <c r="C951" t="s">
        <v>2688</v>
      </c>
      <c r="D951" t="s">
        <v>2689</v>
      </c>
      <c r="E951" s="84">
        <v>88.99</v>
      </c>
      <c r="F951" s="84">
        <v>44.494999999999997</v>
      </c>
      <c r="G951" t="s">
        <v>4366</v>
      </c>
      <c r="H951" t="s">
        <v>4442</v>
      </c>
      <c r="I951" t="s">
        <v>757</v>
      </c>
      <c r="J951" t="s">
        <v>2692</v>
      </c>
      <c r="K951" t="s">
        <v>2564</v>
      </c>
      <c r="L951" t="s">
        <v>670</v>
      </c>
      <c r="N951">
        <v>12</v>
      </c>
      <c r="O951">
        <v>45</v>
      </c>
      <c r="P951">
        <v>6.4799999999999996E-3</v>
      </c>
      <c r="Q951" s="84" t="e">
        <v>#REF!</v>
      </c>
      <c r="R951" s="85"/>
      <c r="S951" s="85"/>
      <c r="T951" s="86">
        <v>0</v>
      </c>
      <c r="U951" s="84">
        <v>0</v>
      </c>
      <c r="V951" s="84">
        <v>62.292999999999999</v>
      </c>
      <c r="W951" s="84">
        <v>31.1465</v>
      </c>
      <c r="X951" s="82">
        <v>0.35</v>
      </c>
      <c r="Y951" s="82"/>
      <c r="Z951" s="84">
        <v>31.1465</v>
      </c>
      <c r="AA951" s="84">
        <v>62.292999999999999</v>
      </c>
      <c r="AB951" s="88" t="e">
        <v>#DIV/0!</v>
      </c>
      <c r="AC951" t="s">
        <v>4443</v>
      </c>
    </row>
    <row r="952" spans="3:29">
      <c r="C952" t="s">
        <v>4444</v>
      </c>
      <c r="D952" t="s">
        <v>4445</v>
      </c>
      <c r="E952" s="84"/>
      <c r="F952" s="84">
        <v>0</v>
      </c>
      <c r="G952" t="s">
        <v>4366</v>
      </c>
      <c r="H952" t="s">
        <v>4446</v>
      </c>
      <c r="I952" t="s">
        <v>162</v>
      </c>
      <c r="L952" t="s">
        <v>50</v>
      </c>
      <c r="P952">
        <v>0</v>
      </c>
      <c r="Q952" s="84" t="e">
        <v>#REF!</v>
      </c>
      <c r="R952" s="85"/>
      <c r="S952" s="85"/>
      <c r="T952" s="86">
        <v>0</v>
      </c>
      <c r="U952" s="84">
        <v>0</v>
      </c>
      <c r="V952" s="84">
        <v>0</v>
      </c>
      <c r="W952" s="84">
        <v>0</v>
      </c>
      <c r="X952" s="82" t="e">
        <v>#DIV/0!</v>
      </c>
      <c r="Y952" s="82"/>
      <c r="Z952" s="84">
        <v>0</v>
      </c>
      <c r="AA952" s="84">
        <v>0</v>
      </c>
      <c r="AB952" s="88" t="e">
        <v>#DIV/0!</v>
      </c>
      <c r="AC952" t="s">
        <v>4447</v>
      </c>
    </row>
    <row r="953" spans="3:29">
      <c r="C953" t="s">
        <v>4448</v>
      </c>
      <c r="D953" t="s">
        <v>4449</v>
      </c>
      <c r="E953" s="84">
        <v>29.99</v>
      </c>
      <c r="F953" s="84">
        <v>14.994999999999999</v>
      </c>
      <c r="G953" t="s">
        <v>4366</v>
      </c>
      <c r="H953" t="s">
        <v>4450</v>
      </c>
      <c r="I953" t="s">
        <v>950</v>
      </c>
      <c r="J953" t="s">
        <v>4451</v>
      </c>
      <c r="K953" t="s">
        <v>2564</v>
      </c>
      <c r="L953" t="s">
        <v>670</v>
      </c>
      <c r="N953">
        <v>7</v>
      </c>
      <c r="O953">
        <v>13.5</v>
      </c>
      <c r="P953">
        <v>6.6149999999999998E-4</v>
      </c>
      <c r="Q953" s="84" t="e">
        <v>#REF!</v>
      </c>
      <c r="R953" s="85"/>
      <c r="S953" s="85"/>
      <c r="T953" s="86">
        <v>0</v>
      </c>
      <c r="U953" s="84">
        <v>0</v>
      </c>
      <c r="V953" s="84">
        <v>20.992999999999999</v>
      </c>
      <c r="W953" s="84">
        <v>10.496499999999999</v>
      </c>
      <c r="X953" s="82">
        <v>0.35</v>
      </c>
      <c r="Y953" s="82"/>
      <c r="Z953" s="84">
        <v>10.496499999999999</v>
      </c>
      <c r="AA953" s="84">
        <v>20.992999999999999</v>
      </c>
      <c r="AB953" s="88" t="e">
        <v>#DIV/0!</v>
      </c>
      <c r="AC953" t="s">
        <v>4452</v>
      </c>
    </row>
    <row r="954" spans="3:29">
      <c r="C954" t="s">
        <v>4453</v>
      </c>
      <c r="D954" t="s">
        <v>4449</v>
      </c>
      <c r="E954" s="84">
        <v>32.99</v>
      </c>
      <c r="F954" s="84">
        <v>16.495000000000001</v>
      </c>
      <c r="G954" t="s">
        <v>4366</v>
      </c>
      <c r="H954" t="s">
        <v>4454</v>
      </c>
      <c r="I954" t="s">
        <v>950</v>
      </c>
      <c r="J954" t="s">
        <v>4455</v>
      </c>
      <c r="K954" t="s">
        <v>2564</v>
      </c>
      <c r="L954" t="s">
        <v>670</v>
      </c>
      <c r="N954">
        <v>7.5</v>
      </c>
      <c r="O954">
        <v>15</v>
      </c>
      <c r="P954">
        <v>8.4374999999999999E-4</v>
      </c>
      <c r="Q954" s="84" t="e">
        <v>#REF!</v>
      </c>
      <c r="R954" s="85"/>
      <c r="S954" s="85"/>
      <c r="T954" s="86">
        <v>0</v>
      </c>
      <c r="U954" s="84">
        <v>0</v>
      </c>
      <c r="V954" s="84">
        <v>23.093</v>
      </c>
      <c r="W954" s="84">
        <v>11.5465</v>
      </c>
      <c r="X954" s="82">
        <v>0.35</v>
      </c>
      <c r="Y954" s="82"/>
      <c r="Z954" s="84">
        <v>11.5465</v>
      </c>
      <c r="AA954" s="84">
        <v>23.093</v>
      </c>
      <c r="AB954" s="88" t="e">
        <v>#DIV/0!</v>
      </c>
      <c r="AC954" t="s">
        <v>4456</v>
      </c>
    </row>
    <row r="955" spans="3:29">
      <c r="C955" t="s">
        <v>4457</v>
      </c>
      <c r="D955" t="s">
        <v>4449</v>
      </c>
      <c r="E955" s="84">
        <v>39.99</v>
      </c>
      <c r="F955" s="84">
        <v>19.995000000000001</v>
      </c>
      <c r="G955" t="s">
        <v>4366</v>
      </c>
      <c r="H955" t="s">
        <v>4458</v>
      </c>
      <c r="I955" t="s">
        <v>950</v>
      </c>
      <c r="J955" t="s">
        <v>4459</v>
      </c>
      <c r="K955" t="s">
        <v>2564</v>
      </c>
      <c r="L955" t="s">
        <v>670</v>
      </c>
      <c r="N955">
        <v>9</v>
      </c>
      <c r="O955">
        <v>18</v>
      </c>
      <c r="P955">
        <v>1.4580000000000001E-3</v>
      </c>
      <c r="Q955" s="84" t="e">
        <v>#REF!</v>
      </c>
      <c r="R955" s="85"/>
      <c r="S955" s="85"/>
      <c r="T955" s="86">
        <v>0</v>
      </c>
      <c r="U955" s="84">
        <v>0</v>
      </c>
      <c r="V955" s="84">
        <v>27.992999999999999</v>
      </c>
      <c r="W955" s="84">
        <v>13.996499999999999</v>
      </c>
      <c r="X955" s="82">
        <v>0.35</v>
      </c>
      <c r="Y955" s="82"/>
      <c r="Z955" s="84">
        <v>13.996499999999999</v>
      </c>
      <c r="AA955" s="84">
        <v>27.992999999999999</v>
      </c>
      <c r="AB955" s="88" t="e">
        <v>#DIV/0!</v>
      </c>
      <c r="AC955" t="s">
        <v>4460</v>
      </c>
    </row>
    <row r="956" spans="3:29">
      <c r="C956" t="s">
        <v>4461</v>
      </c>
      <c r="D956" t="s">
        <v>4449</v>
      </c>
      <c r="E956" s="84">
        <v>60.99</v>
      </c>
      <c r="F956" s="84">
        <v>30.495000000000001</v>
      </c>
      <c r="G956" t="s">
        <v>4366</v>
      </c>
      <c r="H956" t="s">
        <v>4462</v>
      </c>
      <c r="I956" t="s">
        <v>950</v>
      </c>
      <c r="J956" t="s">
        <v>4463</v>
      </c>
      <c r="K956" t="s">
        <v>2564</v>
      </c>
      <c r="L956" t="s">
        <v>670</v>
      </c>
      <c r="N956">
        <v>12</v>
      </c>
      <c r="O956">
        <v>24</v>
      </c>
      <c r="P956">
        <v>3.4559999999999999E-3</v>
      </c>
      <c r="Q956" s="84" t="e">
        <v>#REF!</v>
      </c>
      <c r="R956" s="85"/>
      <c r="S956" s="85"/>
      <c r="T956" s="86">
        <v>0</v>
      </c>
      <c r="U956" s="84">
        <v>0</v>
      </c>
      <c r="V956" s="84">
        <v>42.692999999999998</v>
      </c>
      <c r="W956" s="84">
        <v>21.346499999999999</v>
      </c>
      <c r="X956" s="82">
        <v>0.35</v>
      </c>
      <c r="Y956" s="82"/>
      <c r="Z956" s="84">
        <v>21.346499999999999</v>
      </c>
      <c r="AA956" s="84">
        <v>42.692999999999998</v>
      </c>
      <c r="AB956" s="88" t="e">
        <v>#DIV/0!</v>
      </c>
      <c r="AC956" t="s">
        <v>4452</v>
      </c>
    </row>
    <row r="957" spans="3:29">
      <c r="C957" t="s">
        <v>4464</v>
      </c>
      <c r="E957" s="84"/>
      <c r="F957" s="82"/>
      <c r="R957" s="85"/>
      <c r="S957" s="85"/>
      <c r="T957" s="86"/>
      <c r="V957" s="84">
        <v>0</v>
      </c>
      <c r="W957" s="84">
        <v>0</v>
      </c>
      <c r="X957" s="82" t="e">
        <v>#DIV/0!</v>
      </c>
      <c r="Y957" s="82">
        <v>0</v>
      </c>
      <c r="Z957" s="82"/>
      <c r="AA957" s="82"/>
      <c r="AB957" s="88" t="e">
        <v>#DIV/0!</v>
      </c>
    </row>
    <row r="958" spans="3:29">
      <c r="C958" t="s">
        <v>4465</v>
      </c>
      <c r="D958" t="s">
        <v>4466</v>
      </c>
      <c r="E958" s="84">
        <v>54.99</v>
      </c>
      <c r="F958" s="84">
        <v>27.495000000000001</v>
      </c>
      <c r="G958" t="s">
        <v>4467</v>
      </c>
      <c r="H958" t="s">
        <v>4468</v>
      </c>
      <c r="I958" t="s">
        <v>4469</v>
      </c>
      <c r="J958" t="s">
        <v>4470</v>
      </c>
      <c r="K958" t="s">
        <v>4471</v>
      </c>
      <c r="L958" t="s">
        <v>670</v>
      </c>
      <c r="N958">
        <v>43</v>
      </c>
      <c r="O958">
        <v>9</v>
      </c>
      <c r="P958">
        <v>1.6641E-2</v>
      </c>
      <c r="Q958" s="84" t="e">
        <v>#REF!</v>
      </c>
      <c r="R958" s="85"/>
      <c r="S958" s="85"/>
      <c r="T958" s="86">
        <v>0</v>
      </c>
      <c r="U958" s="84">
        <v>0</v>
      </c>
      <c r="V958" s="84">
        <v>38.493000000000002</v>
      </c>
      <c r="W958" s="84">
        <v>19.246500000000001</v>
      </c>
      <c r="X958" s="82">
        <v>0.35</v>
      </c>
      <c r="Y958" s="82"/>
      <c r="Z958" s="84">
        <v>19.246500000000001</v>
      </c>
      <c r="AA958" s="84">
        <v>38.493000000000002</v>
      </c>
      <c r="AB958" s="88" t="e">
        <v>#DIV/0!</v>
      </c>
      <c r="AC958" t="s">
        <v>4472</v>
      </c>
    </row>
    <row r="959" spans="3:29">
      <c r="C959" t="s">
        <v>4473</v>
      </c>
      <c r="D959" t="s">
        <v>4474</v>
      </c>
      <c r="E959" s="84">
        <v>44.99</v>
      </c>
      <c r="F959" s="84">
        <v>22.495000000000001</v>
      </c>
      <c r="G959" t="s">
        <v>4467</v>
      </c>
      <c r="H959" t="s">
        <v>4475</v>
      </c>
      <c r="I959" t="s">
        <v>4476</v>
      </c>
      <c r="J959" t="s">
        <v>4477</v>
      </c>
      <c r="K959" t="s">
        <v>4478</v>
      </c>
      <c r="L959" t="s">
        <v>670</v>
      </c>
      <c r="M959">
        <v>15</v>
      </c>
      <c r="N959">
        <v>10</v>
      </c>
      <c r="O959">
        <v>2</v>
      </c>
      <c r="P959">
        <v>2.9999999999999997E-4</v>
      </c>
      <c r="Q959" s="84" t="e">
        <v>#REF!</v>
      </c>
      <c r="R959" s="85"/>
      <c r="S959" s="85"/>
      <c r="T959" s="86">
        <v>0</v>
      </c>
      <c r="U959" s="84">
        <v>0</v>
      </c>
      <c r="V959" s="84">
        <v>31.492999999999999</v>
      </c>
      <c r="W959" s="84">
        <v>15.746499999999999</v>
      </c>
      <c r="X959" s="82">
        <v>0.35</v>
      </c>
      <c r="Y959" s="82"/>
      <c r="Z959" s="84">
        <v>15.746499999999999</v>
      </c>
      <c r="AA959" s="84">
        <v>31.492999999999999</v>
      </c>
      <c r="AB959" s="88" t="e">
        <v>#DIV/0!</v>
      </c>
      <c r="AC959" t="s">
        <v>4479</v>
      </c>
    </row>
    <row r="960" spans="3:29">
      <c r="C960" t="s">
        <v>4480</v>
      </c>
      <c r="D960" t="s">
        <v>4481</v>
      </c>
      <c r="E960" s="84">
        <v>11.99</v>
      </c>
      <c r="F960" s="84">
        <v>5.9950000000000001</v>
      </c>
      <c r="G960" t="s">
        <v>4467</v>
      </c>
      <c r="H960" t="s">
        <v>4482</v>
      </c>
      <c r="I960" t="s">
        <v>982</v>
      </c>
      <c r="J960" t="s">
        <v>4483</v>
      </c>
      <c r="K960" t="s">
        <v>4484</v>
      </c>
      <c r="L960" t="s">
        <v>670</v>
      </c>
      <c r="M960">
        <v>8</v>
      </c>
      <c r="N960">
        <v>12</v>
      </c>
      <c r="O960">
        <v>1</v>
      </c>
      <c r="P960">
        <v>9.6000000000000002E-5</v>
      </c>
      <c r="Q960" s="84" t="e">
        <v>#REF!</v>
      </c>
      <c r="R960" s="85">
        <v>34.762994865701302</v>
      </c>
      <c r="S960" s="85">
        <v>26400</v>
      </c>
      <c r="T960" s="86">
        <v>26434.762994865701</v>
      </c>
      <c r="U960" s="84">
        <v>1.7623175329910501</v>
      </c>
      <c r="V960" s="84">
        <v>8.3930000000000007</v>
      </c>
      <c r="W960" s="84">
        <v>4.1965000000000003</v>
      </c>
      <c r="X960" s="82">
        <v>0.35</v>
      </c>
      <c r="Y960" s="82"/>
      <c r="Z960" s="84">
        <v>4.1965000000000003</v>
      </c>
      <c r="AA960" s="84">
        <v>8.3930000000000007</v>
      </c>
      <c r="AB960" s="88">
        <v>2.3812394312831899</v>
      </c>
      <c r="AC960" t="s">
        <v>4485</v>
      </c>
    </row>
    <row r="961" spans="3:29">
      <c r="C961" t="s">
        <v>4486</v>
      </c>
      <c r="D961" t="s">
        <v>4481</v>
      </c>
      <c r="E961" s="84">
        <v>17.989999999999998</v>
      </c>
      <c r="F961" s="84">
        <v>8.9949999999999992</v>
      </c>
      <c r="G961" t="s">
        <v>4467</v>
      </c>
      <c r="H961" t="s">
        <v>4487</v>
      </c>
      <c r="I961" t="s">
        <v>982</v>
      </c>
      <c r="J961" t="s">
        <v>4488</v>
      </c>
      <c r="K961" t="s">
        <v>4484</v>
      </c>
      <c r="L961" t="s">
        <v>670</v>
      </c>
      <c r="M961">
        <v>12</v>
      </c>
      <c r="N961">
        <v>18</v>
      </c>
      <c r="O961">
        <v>1</v>
      </c>
      <c r="P961">
        <v>2.1599999999999999E-4</v>
      </c>
      <c r="Q961" s="84" t="e">
        <v>#REF!</v>
      </c>
      <c r="R961" s="85">
        <v>104.28898459699801</v>
      </c>
      <c r="S961" s="85">
        <v>37400</v>
      </c>
      <c r="T961" s="86">
        <v>37504.288984596998</v>
      </c>
      <c r="U961" s="84">
        <v>2.5002859323064701</v>
      </c>
      <c r="V961" s="84">
        <v>12.593</v>
      </c>
      <c r="W961" s="84">
        <v>6.2965</v>
      </c>
      <c r="X961" s="82">
        <v>0.35</v>
      </c>
      <c r="Y961" s="82"/>
      <c r="Z961" s="84">
        <v>6.2965</v>
      </c>
      <c r="AA961" s="84">
        <v>12.593</v>
      </c>
      <c r="AB961" s="88">
        <v>2.51831197329963</v>
      </c>
      <c r="AC961" t="s">
        <v>4489</v>
      </c>
    </row>
    <row r="962" spans="3:29">
      <c r="C962" t="s">
        <v>4490</v>
      </c>
      <c r="D962" t="s">
        <v>4481</v>
      </c>
      <c r="E962" s="84">
        <v>26.99</v>
      </c>
      <c r="F962" s="84">
        <v>13.494999999999999</v>
      </c>
      <c r="G962" t="s">
        <v>4467</v>
      </c>
      <c r="H962" t="s">
        <v>4491</v>
      </c>
      <c r="I962" t="s">
        <v>982</v>
      </c>
      <c r="J962" t="s">
        <v>4492</v>
      </c>
      <c r="K962" t="s">
        <v>4484</v>
      </c>
      <c r="L962" t="s">
        <v>670</v>
      </c>
      <c r="M962">
        <v>19</v>
      </c>
      <c r="N962">
        <v>22</v>
      </c>
      <c r="O962">
        <v>1</v>
      </c>
      <c r="P962">
        <v>4.1800000000000002E-4</v>
      </c>
      <c r="Q962" s="84" t="e">
        <v>#REF!</v>
      </c>
      <c r="R962" s="85">
        <v>100.90924898510301</v>
      </c>
      <c r="S962" s="85">
        <v>52250</v>
      </c>
      <c r="T962" s="86">
        <v>52350.909248985103</v>
      </c>
      <c r="U962" s="84">
        <v>3.4900606165990098</v>
      </c>
      <c r="V962" s="84">
        <v>18.893000000000001</v>
      </c>
      <c r="W962" s="84">
        <v>9.4465000000000003</v>
      </c>
      <c r="X962" s="82">
        <v>0.35</v>
      </c>
      <c r="Y962" s="82"/>
      <c r="Z962" s="84">
        <v>9.4465000000000003</v>
      </c>
      <c r="AA962" s="84">
        <v>18.893000000000001</v>
      </c>
      <c r="AB962" s="88">
        <v>2.7066865128564501</v>
      </c>
      <c r="AC962" t="s">
        <v>4493</v>
      </c>
    </row>
    <row r="963" spans="3:29">
      <c r="C963" t="s">
        <v>4494</v>
      </c>
      <c r="D963" t="s">
        <v>4481</v>
      </c>
      <c r="E963" s="84">
        <v>28.99</v>
      </c>
      <c r="F963" s="84">
        <v>14.494999999999999</v>
      </c>
      <c r="G963" t="s">
        <v>4467</v>
      </c>
      <c r="H963" t="s">
        <v>4495</v>
      </c>
      <c r="I963" t="s">
        <v>982</v>
      </c>
      <c r="J963" t="s">
        <v>4496</v>
      </c>
      <c r="K963" t="s">
        <v>4484</v>
      </c>
      <c r="L963" t="s">
        <v>670</v>
      </c>
      <c r="M963">
        <v>20</v>
      </c>
      <c r="N963">
        <v>27</v>
      </c>
      <c r="O963">
        <v>1</v>
      </c>
      <c r="P963">
        <v>5.4000000000000001E-4</v>
      </c>
      <c r="Q963" s="84" t="e">
        <v>#REF!</v>
      </c>
      <c r="R963" s="85">
        <v>130.36123074630399</v>
      </c>
      <c r="S963" s="85">
        <v>74250</v>
      </c>
      <c r="T963" s="86">
        <v>74380.361230746304</v>
      </c>
      <c r="U963" s="84">
        <v>4.9586907487164202</v>
      </c>
      <c r="V963" s="84">
        <v>20.292999999999999</v>
      </c>
      <c r="W963" s="84">
        <v>10.1465</v>
      </c>
      <c r="X963" s="82">
        <v>0.35</v>
      </c>
      <c r="Y963" s="82"/>
      <c r="Z963" s="84">
        <v>10.1465</v>
      </c>
      <c r="AA963" s="84">
        <v>20.292999999999999</v>
      </c>
      <c r="AB963" s="88">
        <v>2.0462054429642502</v>
      </c>
      <c r="AC963" t="s">
        <v>4497</v>
      </c>
    </row>
    <row r="964" spans="3:29">
      <c r="C964" t="s">
        <v>4498</v>
      </c>
      <c r="D964" t="s">
        <v>4481</v>
      </c>
      <c r="E964" s="84">
        <v>39.99</v>
      </c>
      <c r="F964" s="84">
        <v>19.995000000000001</v>
      </c>
      <c r="G964" t="s">
        <v>4467</v>
      </c>
      <c r="H964" t="s">
        <v>4499</v>
      </c>
      <c r="I964" t="s">
        <v>982</v>
      </c>
      <c r="J964" t="s">
        <v>4500</v>
      </c>
      <c r="K964" t="s">
        <v>4484</v>
      </c>
      <c r="L964" t="s">
        <v>670</v>
      </c>
      <c r="M964">
        <v>24</v>
      </c>
      <c r="N964">
        <v>34</v>
      </c>
      <c r="O964">
        <v>1</v>
      </c>
      <c r="P964">
        <v>8.1599999999999999E-4</v>
      </c>
      <c r="Q964" s="84" t="e">
        <v>#REF!</v>
      </c>
      <c r="R964" s="85">
        <v>196.99030423880299</v>
      </c>
      <c r="S964" s="85">
        <v>90750</v>
      </c>
      <c r="T964" s="86">
        <v>90946.990304238803</v>
      </c>
      <c r="U964" s="84">
        <v>6.0631326869492499</v>
      </c>
      <c r="V964" s="84">
        <v>27.992999999999999</v>
      </c>
      <c r="W964" s="84">
        <v>13.996499999999999</v>
      </c>
      <c r="X964" s="82">
        <v>0.35</v>
      </c>
      <c r="Y964" s="82"/>
      <c r="Z964" s="84">
        <v>13.996499999999999</v>
      </c>
      <c r="AA964" s="84">
        <v>27.992999999999999</v>
      </c>
      <c r="AB964" s="88">
        <v>2.3084601183357099</v>
      </c>
      <c r="AC964" t="s">
        <v>4493</v>
      </c>
    </row>
    <row r="965" spans="3:29">
      <c r="C965" t="s">
        <v>4501</v>
      </c>
      <c r="D965" t="s">
        <v>4502</v>
      </c>
      <c r="E965" s="84">
        <v>14.99</v>
      </c>
      <c r="F965" s="84">
        <v>7.4950000000000001</v>
      </c>
      <c r="G965" t="s">
        <v>4467</v>
      </c>
      <c r="H965" t="s">
        <v>4503</v>
      </c>
      <c r="I965" t="s">
        <v>335</v>
      </c>
      <c r="J965" t="s">
        <v>4504</v>
      </c>
      <c r="K965" t="s">
        <v>4484</v>
      </c>
      <c r="L965" t="s">
        <v>670</v>
      </c>
      <c r="N965">
        <v>13</v>
      </c>
      <c r="O965">
        <v>2</v>
      </c>
      <c r="P965">
        <v>3.3799999999999998E-4</v>
      </c>
      <c r="Q965" s="84" t="e">
        <v>#REF!</v>
      </c>
      <c r="R965" s="85">
        <v>81.5964740596974</v>
      </c>
      <c r="S965" s="85">
        <v>33000</v>
      </c>
      <c r="T965" s="86">
        <v>33081.596474059697</v>
      </c>
      <c r="U965" s="84">
        <v>2.2054397649373101</v>
      </c>
      <c r="V965" s="84">
        <v>10.493</v>
      </c>
      <c r="W965" s="84">
        <v>5.2465000000000002</v>
      </c>
      <c r="X965" s="82">
        <v>0.35</v>
      </c>
      <c r="Y965" s="82"/>
      <c r="Z965" s="84">
        <v>5.2465000000000002</v>
      </c>
      <c r="AA965" s="84">
        <v>10.493</v>
      </c>
      <c r="AB965" s="88">
        <v>2.3788906337004998</v>
      </c>
      <c r="AC965" t="s">
        <v>4505</v>
      </c>
    </row>
    <row r="966" spans="3:29">
      <c r="C966" t="s">
        <v>4506</v>
      </c>
      <c r="D966" t="s">
        <v>4502</v>
      </c>
      <c r="E966" s="84">
        <v>16.989999999999998</v>
      </c>
      <c r="F966" s="84">
        <v>8.4949999999999992</v>
      </c>
      <c r="G966" t="s">
        <v>4467</v>
      </c>
      <c r="H966" t="s">
        <v>4507</v>
      </c>
      <c r="I966" t="s">
        <v>335</v>
      </c>
      <c r="J966" t="s">
        <v>4508</v>
      </c>
      <c r="K966" t="s">
        <v>4484</v>
      </c>
      <c r="L966" t="s">
        <v>670</v>
      </c>
      <c r="N966">
        <v>18</v>
      </c>
      <c r="O966">
        <v>2</v>
      </c>
      <c r="P966">
        <v>6.4800000000000003E-4</v>
      </c>
      <c r="Q966" s="84" t="e">
        <v>#REF!</v>
      </c>
      <c r="R966" s="85">
        <v>156.433476895501</v>
      </c>
      <c r="S966" s="85">
        <v>38500</v>
      </c>
      <c r="T966" s="86">
        <v>38656.433476895501</v>
      </c>
      <c r="U966" s="84">
        <v>2.5770955651263701</v>
      </c>
      <c r="V966" s="84">
        <v>11.893000000000001</v>
      </c>
      <c r="W966" s="84">
        <v>5.9465000000000003</v>
      </c>
      <c r="X966" s="82">
        <v>0.35</v>
      </c>
      <c r="Y966" s="82"/>
      <c r="Z966" s="84">
        <v>5.9465000000000003</v>
      </c>
      <c r="AA966" s="84">
        <v>11.893000000000001</v>
      </c>
      <c r="AB966" s="88">
        <v>2.3074425645943801</v>
      </c>
      <c r="AC966" t="s">
        <v>4509</v>
      </c>
    </row>
    <row r="967" spans="3:29">
      <c r="C967" t="s">
        <v>4510</v>
      </c>
      <c r="D967" t="s">
        <v>4502</v>
      </c>
      <c r="E967" s="84">
        <v>21.99</v>
      </c>
      <c r="F967" s="84">
        <v>10.994999999999999</v>
      </c>
      <c r="G967" t="s">
        <v>4467</v>
      </c>
      <c r="H967" t="s">
        <v>4511</v>
      </c>
      <c r="I967" t="s">
        <v>335</v>
      </c>
      <c r="J967" t="s">
        <v>4512</v>
      </c>
      <c r="K967" t="s">
        <v>4484</v>
      </c>
      <c r="L967" t="s">
        <v>670</v>
      </c>
      <c r="N967">
        <v>22</v>
      </c>
      <c r="O967">
        <v>2</v>
      </c>
      <c r="P967">
        <v>9.68E-4</v>
      </c>
      <c r="Q967" s="84" t="e">
        <v>#REF!</v>
      </c>
      <c r="R967" s="85">
        <v>233.68457659699899</v>
      </c>
      <c r="S967" s="85">
        <v>49500</v>
      </c>
      <c r="T967" s="86">
        <v>49733.684576596999</v>
      </c>
      <c r="U967" s="84">
        <v>3.3155789717731299</v>
      </c>
      <c r="V967" s="84">
        <v>15.393000000000001</v>
      </c>
      <c r="W967" s="84">
        <v>7.6965000000000003</v>
      </c>
      <c r="X967" s="82">
        <v>0.35</v>
      </c>
      <c r="Y967" s="82"/>
      <c r="Z967" s="84">
        <v>7.6965000000000003</v>
      </c>
      <c r="AA967" s="84">
        <v>15.393000000000001</v>
      </c>
      <c r="AB967" s="88">
        <v>2.32131403459951</v>
      </c>
      <c r="AC967" t="s">
        <v>4505</v>
      </c>
    </row>
    <row r="968" spans="3:29">
      <c r="C968" t="s">
        <v>4513</v>
      </c>
      <c r="D968" t="s">
        <v>4502</v>
      </c>
      <c r="E968" s="84">
        <v>31.99</v>
      </c>
      <c r="F968" s="84">
        <v>15.994999999999999</v>
      </c>
      <c r="G968" t="s">
        <v>4467</v>
      </c>
      <c r="H968" t="s">
        <v>4514</v>
      </c>
      <c r="I968" t="s">
        <v>335</v>
      </c>
      <c r="J968" t="s">
        <v>4515</v>
      </c>
      <c r="K968" t="s">
        <v>4484</v>
      </c>
      <c r="L968" t="s">
        <v>670</v>
      </c>
      <c r="N968">
        <v>27</v>
      </c>
      <c r="O968">
        <v>2</v>
      </c>
      <c r="P968">
        <v>1.4580000000000001E-3</v>
      </c>
      <c r="Q968" s="84" t="e">
        <v>#REF!</v>
      </c>
      <c r="R968" s="85">
        <v>351.97532301490702</v>
      </c>
      <c r="S968" s="85">
        <v>77000</v>
      </c>
      <c r="T968" s="86">
        <v>77351.975323014907</v>
      </c>
      <c r="U968" s="84">
        <v>5.1567983548676599</v>
      </c>
      <c r="V968" s="84">
        <v>22.393000000000001</v>
      </c>
      <c r="W968" s="84">
        <v>11.1965</v>
      </c>
      <c r="X968" s="82">
        <v>0.35</v>
      </c>
      <c r="Y968" s="82"/>
      <c r="Z968" s="84">
        <v>11.1965</v>
      </c>
      <c r="AA968" s="84">
        <v>22.393000000000001</v>
      </c>
      <c r="AB968" s="88">
        <v>2.1712115210848402</v>
      </c>
      <c r="AC968" t="s">
        <v>4509</v>
      </c>
    </row>
    <row r="969" spans="3:29">
      <c r="C969" t="s">
        <v>4516</v>
      </c>
      <c r="D969" t="s">
        <v>4502</v>
      </c>
      <c r="E969" s="84">
        <v>38.99</v>
      </c>
      <c r="F969" s="84">
        <v>19.495000000000001</v>
      </c>
      <c r="G969" t="s">
        <v>4467</v>
      </c>
      <c r="H969" t="s">
        <v>4517</v>
      </c>
      <c r="I969" t="s">
        <v>335</v>
      </c>
      <c r="J969" t="s">
        <v>4518</v>
      </c>
      <c r="K969" t="s">
        <v>4484</v>
      </c>
      <c r="L969" t="s">
        <v>670</v>
      </c>
      <c r="N969">
        <v>32</v>
      </c>
      <c r="O969">
        <v>2</v>
      </c>
      <c r="P969">
        <v>2.0479999999999999E-3</v>
      </c>
      <c r="Q969" s="84" t="e">
        <v>#REF!</v>
      </c>
      <c r="R969" s="85">
        <v>494.40703808960097</v>
      </c>
      <c r="S969" s="85">
        <v>93500</v>
      </c>
      <c r="T969" s="86">
        <v>93994.407038089601</v>
      </c>
      <c r="U969" s="84">
        <v>6.2662938025393098</v>
      </c>
      <c r="V969" s="84">
        <v>27.292999999999999</v>
      </c>
      <c r="W969" s="84">
        <v>13.6465</v>
      </c>
      <c r="X969" s="82">
        <v>0.35</v>
      </c>
      <c r="Y969" s="82"/>
      <c r="Z969" s="84">
        <v>13.6465</v>
      </c>
      <c r="AA969" s="84">
        <v>27.292999999999999</v>
      </c>
      <c r="AB969" s="88">
        <v>2.17776255471296</v>
      </c>
      <c r="AC969" t="s">
        <v>4505</v>
      </c>
    </row>
    <row r="970" spans="3:29">
      <c r="C970" t="s">
        <v>4519</v>
      </c>
      <c r="D970" t="s">
        <v>4520</v>
      </c>
      <c r="E970" s="84">
        <v>19.989999999999998</v>
      </c>
      <c r="F970" s="84">
        <v>9.9949999999999992</v>
      </c>
      <c r="G970" t="s">
        <v>4467</v>
      </c>
      <c r="H970" t="s">
        <v>4521</v>
      </c>
      <c r="I970" t="s">
        <v>425</v>
      </c>
      <c r="J970" t="s">
        <v>4522</v>
      </c>
      <c r="K970" t="s">
        <v>3413</v>
      </c>
      <c r="L970" t="s">
        <v>670</v>
      </c>
      <c r="M970">
        <v>13.5</v>
      </c>
      <c r="N970">
        <v>17</v>
      </c>
      <c r="O970">
        <v>1</v>
      </c>
      <c r="P970">
        <v>2.2949999999999999E-4</v>
      </c>
      <c r="Q970" s="84" t="e">
        <v>#REF!</v>
      </c>
      <c r="R970" s="85">
        <v>55.403523067201597</v>
      </c>
      <c r="S970" s="85">
        <v>44000</v>
      </c>
      <c r="T970" s="86">
        <v>44055.403523067202</v>
      </c>
      <c r="U970" s="84">
        <v>2.9370269015378101</v>
      </c>
      <c r="V970" s="84">
        <v>13.993</v>
      </c>
      <c r="W970" s="84">
        <v>6.9965000000000002</v>
      </c>
      <c r="X970" s="82">
        <v>0.35</v>
      </c>
      <c r="Y970" s="82"/>
      <c r="Z970" s="84">
        <v>6.9965000000000002</v>
      </c>
      <c r="AA970" s="84">
        <v>13.993</v>
      </c>
      <c r="AB970" s="88">
        <v>2.38217089408908</v>
      </c>
      <c r="AC970" t="s">
        <v>4523</v>
      </c>
    </row>
    <row r="971" spans="3:29">
      <c r="C971" t="s">
        <v>4524</v>
      </c>
      <c r="D971" t="s">
        <v>4520</v>
      </c>
      <c r="E971" s="84">
        <v>29.99</v>
      </c>
      <c r="F971" s="84">
        <v>14.994999999999999</v>
      </c>
      <c r="G971" t="s">
        <v>4467</v>
      </c>
      <c r="H971" t="s">
        <v>4525</v>
      </c>
      <c r="I971" t="s">
        <v>425</v>
      </c>
      <c r="J971" t="s">
        <v>4526</v>
      </c>
      <c r="K971" t="s">
        <v>3413</v>
      </c>
      <c r="L971" t="s">
        <v>670</v>
      </c>
      <c r="M971">
        <v>13</v>
      </c>
      <c r="N971">
        <v>23</v>
      </c>
      <c r="O971">
        <v>1</v>
      </c>
      <c r="P971">
        <v>2.99E-4</v>
      </c>
      <c r="Q971" s="84" t="e">
        <v>#REF!</v>
      </c>
      <c r="R971" s="85">
        <v>72.181496283607004</v>
      </c>
      <c r="S971" s="85">
        <v>66000</v>
      </c>
      <c r="T971" s="86">
        <v>66072.181496283607</v>
      </c>
      <c r="U971" s="84">
        <v>4.40481209975224</v>
      </c>
      <c r="V971" s="84">
        <v>20.992999999999999</v>
      </c>
      <c r="W971" s="84">
        <v>10.496499999999999</v>
      </c>
      <c r="X971" s="82">
        <v>0.35</v>
      </c>
      <c r="Y971" s="82"/>
      <c r="Z971" s="84">
        <v>10.496499999999999</v>
      </c>
      <c r="AA971" s="84">
        <v>20.992999999999999</v>
      </c>
      <c r="AB971" s="88">
        <v>2.38296203386074</v>
      </c>
      <c r="AC971" t="s">
        <v>4527</v>
      </c>
    </row>
    <row r="972" spans="3:29">
      <c r="C972" t="s">
        <v>4528</v>
      </c>
      <c r="D972" t="s">
        <v>4520</v>
      </c>
      <c r="E972" s="84">
        <v>60.99</v>
      </c>
      <c r="F972" s="84">
        <v>30.495000000000001</v>
      </c>
      <c r="G972" t="s">
        <v>4467</v>
      </c>
      <c r="H972" t="s">
        <v>4529</v>
      </c>
      <c r="I972" t="s">
        <v>425</v>
      </c>
      <c r="J972" t="s">
        <v>4530</v>
      </c>
      <c r="K972" t="s">
        <v>3413</v>
      </c>
      <c r="L972" t="s">
        <v>670</v>
      </c>
      <c r="M972">
        <v>13</v>
      </c>
      <c r="N972">
        <v>29</v>
      </c>
      <c r="O972">
        <v>1</v>
      </c>
      <c r="P972">
        <v>3.77E-4</v>
      </c>
      <c r="Q972" s="84" t="e">
        <v>#REF!</v>
      </c>
      <c r="R972" s="85">
        <v>91.011451836006003</v>
      </c>
      <c r="S972" s="85">
        <v>137500</v>
      </c>
      <c r="T972" s="86">
        <v>137591.01145183601</v>
      </c>
      <c r="U972" s="84">
        <v>9.1727340967890694</v>
      </c>
      <c r="V972" s="84">
        <v>42.692999999999998</v>
      </c>
      <c r="W972" s="84">
        <v>21.346499999999999</v>
      </c>
      <c r="X972" s="82">
        <v>0.35</v>
      </c>
      <c r="Y972" s="82"/>
      <c r="Z972" s="84">
        <v>21.346499999999999</v>
      </c>
      <c r="AA972" s="84">
        <v>42.692999999999998</v>
      </c>
      <c r="AB972" s="88">
        <v>2.3271687345076701</v>
      </c>
      <c r="AC972" t="s">
        <v>4531</v>
      </c>
    </row>
    <row r="973" spans="3:29">
      <c r="C973" t="s">
        <v>4532</v>
      </c>
      <c r="D973" t="s">
        <v>2914</v>
      </c>
      <c r="E973" s="84">
        <v>21.99</v>
      </c>
      <c r="F973" s="84">
        <v>10.994999999999999</v>
      </c>
      <c r="G973" t="s">
        <v>4467</v>
      </c>
      <c r="H973" t="s">
        <v>4533</v>
      </c>
      <c r="I973" t="s">
        <v>442</v>
      </c>
      <c r="J973" t="s">
        <v>4534</v>
      </c>
      <c r="K973" t="s">
        <v>2866</v>
      </c>
      <c r="L973" t="s">
        <v>670</v>
      </c>
      <c r="N973">
        <v>25</v>
      </c>
      <c r="O973">
        <v>2</v>
      </c>
      <c r="P973">
        <v>1.25E-3</v>
      </c>
      <c r="Q973" s="84" t="e">
        <v>#REF!</v>
      </c>
      <c r="R973" s="85"/>
      <c r="S973" s="85"/>
      <c r="T973" s="86">
        <v>0</v>
      </c>
      <c r="U973" s="84">
        <v>0</v>
      </c>
      <c r="V973" s="84">
        <v>15.393000000000001</v>
      </c>
      <c r="W973" s="84">
        <v>7.6965000000000003</v>
      </c>
      <c r="X973" s="82">
        <v>0.35</v>
      </c>
      <c r="Y973" s="82"/>
      <c r="Z973" s="84">
        <v>7.6965000000000003</v>
      </c>
      <c r="AA973" s="84">
        <v>15.393000000000001</v>
      </c>
      <c r="AB973" s="88" t="e">
        <v>#DIV/0!</v>
      </c>
      <c r="AC973" t="s">
        <v>4535</v>
      </c>
    </row>
    <row r="974" spans="3:29">
      <c r="C974" t="s">
        <v>4536</v>
      </c>
      <c r="D974" t="s">
        <v>2914</v>
      </c>
      <c r="E974" s="84">
        <v>24.99</v>
      </c>
      <c r="F974" s="84">
        <v>12.494999999999999</v>
      </c>
      <c r="G974" t="s">
        <v>4467</v>
      </c>
      <c r="H974" t="s">
        <v>4537</v>
      </c>
      <c r="I974" t="s">
        <v>442</v>
      </c>
      <c r="J974" t="s">
        <v>4538</v>
      </c>
      <c r="K974" t="s">
        <v>2866</v>
      </c>
      <c r="L974" t="s">
        <v>670</v>
      </c>
      <c r="N974">
        <v>30</v>
      </c>
      <c r="O974">
        <v>2</v>
      </c>
      <c r="P974">
        <v>1.8E-3</v>
      </c>
      <c r="Q974" s="84" t="e">
        <v>#REF!</v>
      </c>
      <c r="R974" s="85">
        <v>434.53743582090101</v>
      </c>
      <c r="S974" s="85">
        <v>38500</v>
      </c>
      <c r="T974" s="86">
        <v>38934.537435820901</v>
      </c>
      <c r="U974" s="84">
        <v>2.5956358290547299</v>
      </c>
      <c r="V974" s="84">
        <v>17.492999999999999</v>
      </c>
      <c r="W974" s="84">
        <v>8.7464999999999993</v>
      </c>
      <c r="X974" s="82">
        <v>0.35</v>
      </c>
      <c r="Y974" s="82"/>
      <c r="Z974" s="84">
        <v>8.7464999999999993</v>
      </c>
      <c r="AA974" s="84">
        <v>17.492999999999999</v>
      </c>
      <c r="AB974" s="88">
        <v>3.3696945858484599</v>
      </c>
      <c r="AC974" t="s">
        <v>4539</v>
      </c>
    </row>
    <row r="975" spans="3:29">
      <c r="C975" t="s">
        <v>4540</v>
      </c>
      <c r="D975" t="s">
        <v>2914</v>
      </c>
      <c r="E975" s="84">
        <v>25.99</v>
      </c>
      <c r="F975" s="84">
        <v>12.994999999999999</v>
      </c>
      <c r="G975" t="s">
        <v>4467</v>
      </c>
      <c r="H975" t="s">
        <v>4541</v>
      </c>
      <c r="I975" t="s">
        <v>442</v>
      </c>
      <c r="J975" t="s">
        <v>4542</v>
      </c>
      <c r="K975" t="s">
        <v>2866</v>
      </c>
      <c r="L975" t="s">
        <v>670</v>
      </c>
      <c r="N975">
        <v>32</v>
      </c>
      <c r="O975">
        <v>2</v>
      </c>
      <c r="P975">
        <v>2.0479999999999999E-3</v>
      </c>
      <c r="Q975" s="84" t="e">
        <v>#REF!</v>
      </c>
      <c r="R975" s="85">
        <v>494.40703808960097</v>
      </c>
      <c r="S975" s="85">
        <v>41250</v>
      </c>
      <c r="T975" s="86">
        <v>41744.407038089601</v>
      </c>
      <c r="U975" s="84">
        <v>2.7829604692059702</v>
      </c>
      <c r="V975" s="84">
        <v>18.193000000000001</v>
      </c>
      <c r="W975" s="84">
        <v>9.0965000000000007</v>
      </c>
      <c r="X975" s="82">
        <v>0.35</v>
      </c>
      <c r="Y975" s="82"/>
      <c r="Z975" s="84">
        <v>9.0965000000000007</v>
      </c>
      <c r="AA975" s="84">
        <v>18.193000000000001</v>
      </c>
      <c r="AB975" s="88">
        <v>3.2686414703531099</v>
      </c>
      <c r="AC975" t="s">
        <v>4543</v>
      </c>
    </row>
    <row r="976" spans="3:29">
      <c r="C976" t="s">
        <v>2071</v>
      </c>
      <c r="D976" t="s">
        <v>2072</v>
      </c>
      <c r="E976" s="84">
        <v>11.99</v>
      </c>
      <c r="F976" s="84">
        <v>5.9950000000000001</v>
      </c>
      <c r="G976" t="s">
        <v>4467</v>
      </c>
      <c r="H976" t="s">
        <v>4544</v>
      </c>
      <c r="I976" t="s">
        <v>279</v>
      </c>
      <c r="J976" t="s">
        <v>2075</v>
      </c>
      <c r="K976" t="s">
        <v>2973</v>
      </c>
      <c r="L976" t="s">
        <v>646</v>
      </c>
      <c r="M976">
        <v>12</v>
      </c>
      <c r="N976">
        <v>12</v>
      </c>
      <c r="O976">
        <v>6</v>
      </c>
      <c r="P976">
        <v>8.6399999999999997E-4</v>
      </c>
      <c r="Q976" s="84" t="e">
        <v>#REF!</v>
      </c>
      <c r="R976" s="85"/>
      <c r="S976" s="85"/>
      <c r="T976" s="86">
        <v>0</v>
      </c>
      <c r="U976" s="84">
        <v>0</v>
      </c>
      <c r="V976" s="84">
        <v>8.3930000000000007</v>
      </c>
      <c r="W976" s="84">
        <v>4.1965000000000003</v>
      </c>
      <c r="X976" s="82">
        <v>0.35</v>
      </c>
      <c r="Y976" s="82"/>
      <c r="Z976" s="84">
        <v>4.1965000000000003</v>
      </c>
      <c r="AA976" s="84">
        <v>8.3930000000000007</v>
      </c>
      <c r="AB976" s="88" t="e">
        <v>#DIV/0!</v>
      </c>
      <c r="AC976" t="s">
        <v>4545</v>
      </c>
    </row>
    <row r="977" spans="3:29">
      <c r="C977" t="s">
        <v>2078</v>
      </c>
      <c r="D977" t="s">
        <v>2072</v>
      </c>
      <c r="E977" s="84">
        <v>17.989999999999998</v>
      </c>
      <c r="F977" s="84">
        <v>8.9949999999999992</v>
      </c>
      <c r="G977" t="s">
        <v>4467</v>
      </c>
      <c r="H977" t="s">
        <v>4546</v>
      </c>
      <c r="I977" t="s">
        <v>279</v>
      </c>
      <c r="J977" t="s">
        <v>2081</v>
      </c>
      <c r="K977" t="s">
        <v>2973</v>
      </c>
      <c r="L977" t="s">
        <v>646</v>
      </c>
      <c r="M977">
        <v>18</v>
      </c>
      <c r="N977">
        <v>18</v>
      </c>
      <c r="O977">
        <v>6</v>
      </c>
      <c r="P977">
        <v>1.944E-3</v>
      </c>
      <c r="Q977" s="84" t="e">
        <v>#REF!</v>
      </c>
      <c r="R977" s="85"/>
      <c r="S977" s="85"/>
      <c r="T977" s="86">
        <v>0</v>
      </c>
      <c r="U977" s="84">
        <v>0</v>
      </c>
      <c r="V977" s="84">
        <v>12.593</v>
      </c>
      <c r="W977" s="84">
        <v>6.2965</v>
      </c>
      <c r="X977" s="82">
        <v>0.35</v>
      </c>
      <c r="Y977" s="82"/>
      <c r="Z977" s="84">
        <v>6.2965</v>
      </c>
      <c r="AA977" s="84">
        <v>12.593</v>
      </c>
      <c r="AB977" s="88" t="e">
        <v>#DIV/0!</v>
      </c>
      <c r="AC977" t="s">
        <v>4547</v>
      </c>
    </row>
    <row r="978" spans="3:29">
      <c r="C978" t="s">
        <v>2083</v>
      </c>
      <c r="D978" t="s">
        <v>2072</v>
      </c>
      <c r="E978" s="84">
        <v>44.99</v>
      </c>
      <c r="F978" s="84">
        <v>22.495000000000001</v>
      </c>
      <c r="G978" t="s">
        <v>4467</v>
      </c>
      <c r="H978" t="s">
        <v>4548</v>
      </c>
      <c r="I978" t="s">
        <v>279</v>
      </c>
      <c r="J978" t="s">
        <v>2086</v>
      </c>
      <c r="K978" t="s">
        <v>2973</v>
      </c>
      <c r="L978" t="s">
        <v>646</v>
      </c>
      <c r="M978">
        <v>28</v>
      </c>
      <c r="N978">
        <v>28</v>
      </c>
      <c r="O978">
        <v>6</v>
      </c>
      <c r="P978">
        <v>4.7039999999999998E-3</v>
      </c>
      <c r="Q978" s="84" t="e">
        <v>#REF!</v>
      </c>
      <c r="R978" s="85"/>
      <c r="S978" s="85"/>
      <c r="T978" s="86">
        <v>0</v>
      </c>
      <c r="U978" s="84">
        <v>0</v>
      </c>
      <c r="V978" s="84">
        <v>31.492999999999999</v>
      </c>
      <c r="W978" s="84">
        <v>15.746499999999999</v>
      </c>
      <c r="X978" s="82">
        <v>0.35</v>
      </c>
      <c r="Y978" s="82"/>
      <c r="Z978" s="84">
        <v>15.746499999999999</v>
      </c>
      <c r="AA978" s="84">
        <v>31.492999999999999</v>
      </c>
      <c r="AB978" s="88" t="e">
        <v>#DIV/0!</v>
      </c>
      <c r="AC978" t="s">
        <v>4549</v>
      </c>
    </row>
    <row r="979" spans="3:29">
      <c r="C979" t="s">
        <v>2088</v>
      </c>
      <c r="D979" t="s">
        <v>2089</v>
      </c>
      <c r="E979" s="84">
        <v>29.99</v>
      </c>
      <c r="F979" s="84">
        <v>14.994999999999999</v>
      </c>
      <c r="G979" t="s">
        <v>4467</v>
      </c>
      <c r="H979" t="s">
        <v>4550</v>
      </c>
      <c r="I979" t="s">
        <v>271</v>
      </c>
      <c r="J979" t="s">
        <v>2092</v>
      </c>
      <c r="K979" t="s">
        <v>2973</v>
      </c>
      <c r="L979" t="s">
        <v>646</v>
      </c>
      <c r="M979">
        <v>24</v>
      </c>
      <c r="N979">
        <v>16</v>
      </c>
      <c r="O979">
        <v>6</v>
      </c>
      <c r="P979">
        <v>2.3040000000000001E-3</v>
      </c>
      <c r="Q979" s="84" t="e">
        <v>#REF!</v>
      </c>
      <c r="R979" s="85"/>
      <c r="S979" s="85"/>
      <c r="T979" s="86">
        <v>0</v>
      </c>
      <c r="U979" s="84">
        <v>0</v>
      </c>
      <c r="V979" s="84">
        <v>20.992999999999999</v>
      </c>
      <c r="W979" s="84">
        <v>10.496499999999999</v>
      </c>
      <c r="X979" s="82">
        <v>0.35</v>
      </c>
      <c r="Y979" s="82"/>
      <c r="Z979" s="84">
        <v>10.496499999999999</v>
      </c>
      <c r="AA979" s="84">
        <v>20.992999999999999</v>
      </c>
      <c r="AB979" s="88" t="e">
        <v>#DIV/0!</v>
      </c>
      <c r="AC979" t="s">
        <v>4551</v>
      </c>
    </row>
    <row r="980" spans="3:29">
      <c r="C980" t="s">
        <v>2094</v>
      </c>
      <c r="D980" t="s">
        <v>2089</v>
      </c>
      <c r="E980" s="84">
        <v>58.99</v>
      </c>
      <c r="F980" s="84">
        <v>29.495000000000001</v>
      </c>
      <c r="G980" t="s">
        <v>4467</v>
      </c>
      <c r="H980" t="s">
        <v>4552</v>
      </c>
      <c r="I980" t="s">
        <v>271</v>
      </c>
      <c r="J980" t="s">
        <v>2097</v>
      </c>
      <c r="K980" t="s">
        <v>2973</v>
      </c>
      <c r="L980" t="s">
        <v>646</v>
      </c>
      <c r="M980">
        <v>40</v>
      </c>
      <c r="N980">
        <v>30</v>
      </c>
      <c r="O980">
        <v>6</v>
      </c>
      <c r="P980">
        <v>7.1999999999999998E-3</v>
      </c>
      <c r="Q980" s="84" t="e">
        <v>#REF!</v>
      </c>
      <c r="R980" s="85"/>
      <c r="S980" s="85"/>
      <c r="T980" s="86">
        <v>0</v>
      </c>
      <c r="U980" s="84">
        <v>0</v>
      </c>
      <c r="V980" s="84">
        <v>41.292999999999999</v>
      </c>
      <c r="W980" s="84">
        <v>20.6465</v>
      </c>
      <c r="X980" s="82">
        <v>0.35</v>
      </c>
      <c r="Y980" s="82"/>
      <c r="Z980" s="84">
        <v>20.6465</v>
      </c>
      <c r="AA980" s="84">
        <v>41.292999999999999</v>
      </c>
      <c r="AB980" s="88" t="e">
        <v>#DIV/0!</v>
      </c>
      <c r="AC980" t="s">
        <v>4553</v>
      </c>
    </row>
    <row r="981" spans="3:29">
      <c r="C981" t="s">
        <v>2099</v>
      </c>
      <c r="D981" t="s">
        <v>2089</v>
      </c>
      <c r="E981" s="84">
        <v>76.989999999999995</v>
      </c>
      <c r="F981" s="84">
        <v>38.494999999999997</v>
      </c>
      <c r="G981" t="s">
        <v>4467</v>
      </c>
      <c r="H981" t="s">
        <v>4554</v>
      </c>
      <c r="I981" t="s">
        <v>271</v>
      </c>
      <c r="J981" t="s">
        <v>2102</v>
      </c>
      <c r="K981" t="s">
        <v>2973</v>
      </c>
      <c r="L981" t="s">
        <v>646</v>
      </c>
      <c r="M981">
        <v>60</v>
      </c>
      <c r="N981">
        <v>22</v>
      </c>
      <c r="O981">
        <v>6</v>
      </c>
      <c r="P981">
        <v>7.92E-3</v>
      </c>
      <c r="Q981" s="84" t="e">
        <v>#REF!</v>
      </c>
      <c r="R981" s="85"/>
      <c r="S981" s="85"/>
      <c r="T981" s="86">
        <v>0</v>
      </c>
      <c r="U981" s="84">
        <v>0</v>
      </c>
      <c r="V981" s="84">
        <v>53.893000000000001</v>
      </c>
      <c r="W981" s="84">
        <v>26.9465</v>
      </c>
      <c r="X981" s="82">
        <v>0.35</v>
      </c>
      <c r="Y981" s="82"/>
      <c r="Z981" s="84">
        <v>26.9465</v>
      </c>
      <c r="AA981" s="84">
        <v>53.893000000000001</v>
      </c>
      <c r="AB981" s="88" t="e">
        <v>#DIV/0!</v>
      </c>
      <c r="AC981" t="s">
        <v>4551</v>
      </c>
    </row>
    <row r="982" spans="3:29">
      <c r="C982" t="s">
        <v>2104</v>
      </c>
      <c r="D982" t="s">
        <v>2105</v>
      </c>
      <c r="E982" s="84">
        <v>17.989999999999998</v>
      </c>
      <c r="F982" s="84">
        <v>8.9949999999999992</v>
      </c>
      <c r="G982" t="s">
        <v>4467</v>
      </c>
      <c r="H982" t="s">
        <v>4555</v>
      </c>
      <c r="I982" t="s">
        <v>275</v>
      </c>
      <c r="J982" t="s">
        <v>4556</v>
      </c>
      <c r="K982" t="s">
        <v>2973</v>
      </c>
      <c r="L982" t="s">
        <v>646</v>
      </c>
      <c r="N982">
        <v>18</v>
      </c>
      <c r="O982">
        <v>6</v>
      </c>
      <c r="P982">
        <v>1.944E-3</v>
      </c>
      <c r="Q982" s="84" t="e">
        <v>#REF!</v>
      </c>
      <c r="R982" s="85">
        <v>6799.6504306866</v>
      </c>
      <c r="S982" s="85">
        <v>33000</v>
      </c>
      <c r="T982" s="86">
        <v>39799.650430686597</v>
      </c>
      <c r="U982" s="84">
        <v>2.6533100287124398</v>
      </c>
      <c r="V982" s="84">
        <v>12.593</v>
      </c>
      <c r="W982" s="84">
        <v>6.2965</v>
      </c>
      <c r="X982" s="82">
        <v>0.35</v>
      </c>
      <c r="Y982" s="82"/>
      <c r="Z982" s="84">
        <v>6.2965</v>
      </c>
      <c r="AA982" s="84">
        <v>12.593</v>
      </c>
      <c r="AB982" s="88">
        <v>2.3730736068771701</v>
      </c>
      <c r="AC982" t="s">
        <v>4557</v>
      </c>
    </row>
    <row r="983" spans="3:29">
      <c r="C983" t="s">
        <v>2110</v>
      </c>
      <c r="D983" t="s">
        <v>2105</v>
      </c>
      <c r="E983" s="84">
        <v>36.99</v>
      </c>
      <c r="F983" s="84">
        <v>18.495000000000001</v>
      </c>
      <c r="G983" t="s">
        <v>4467</v>
      </c>
      <c r="H983" t="s">
        <v>4558</v>
      </c>
      <c r="I983" t="s">
        <v>275</v>
      </c>
      <c r="J983" t="s">
        <v>4559</v>
      </c>
      <c r="K983" t="s">
        <v>2973</v>
      </c>
      <c r="L983" t="s">
        <v>646</v>
      </c>
      <c r="N983">
        <v>26</v>
      </c>
      <c r="O983">
        <v>6</v>
      </c>
      <c r="P983">
        <v>4.0559999999999997E-3</v>
      </c>
      <c r="Q983" s="84" t="e">
        <v>#REF!</v>
      </c>
      <c r="R983" s="85">
        <v>14520</v>
      </c>
      <c r="S983" s="85">
        <v>72600</v>
      </c>
      <c r="T983" s="86">
        <v>87120</v>
      </c>
      <c r="U983" s="84">
        <v>5.8079999999999998</v>
      </c>
      <c r="V983" s="84">
        <v>25.893000000000001</v>
      </c>
      <c r="W983" s="84">
        <v>12.9465</v>
      </c>
      <c r="X983" s="82">
        <v>0.35</v>
      </c>
      <c r="Y983" s="87"/>
      <c r="Z983" s="84">
        <v>12.9465</v>
      </c>
      <c r="AA983" s="84">
        <v>25.893000000000001</v>
      </c>
      <c r="AB983" s="88">
        <v>2.2290805785123999</v>
      </c>
      <c r="AC983" t="s">
        <v>4560</v>
      </c>
    </row>
    <row r="984" spans="3:29">
      <c r="C984" t="s">
        <v>4561</v>
      </c>
      <c r="D984" t="s">
        <v>4562</v>
      </c>
      <c r="E984" s="84">
        <v>47.99</v>
      </c>
      <c r="F984" s="84">
        <v>23.995000000000001</v>
      </c>
      <c r="G984" t="s">
        <v>4467</v>
      </c>
      <c r="H984" t="s">
        <v>4563</v>
      </c>
      <c r="I984" t="s">
        <v>4564</v>
      </c>
      <c r="J984" t="s">
        <v>4565</v>
      </c>
      <c r="K984" t="s">
        <v>2407</v>
      </c>
      <c r="L984" t="s">
        <v>646</v>
      </c>
      <c r="M984">
        <v>32</v>
      </c>
      <c r="N984">
        <v>16</v>
      </c>
      <c r="O984">
        <v>5</v>
      </c>
      <c r="P984">
        <v>2.5600000000000002E-3</v>
      </c>
      <c r="Q984" s="84" t="e">
        <v>#REF!</v>
      </c>
      <c r="R984" s="85">
        <v>15083.934897313</v>
      </c>
      <c r="S984" s="85">
        <v>150000</v>
      </c>
      <c r="T984" s="86">
        <v>165083.93489731301</v>
      </c>
      <c r="U984" s="84">
        <v>11.0055956598209</v>
      </c>
      <c r="V984" s="84">
        <v>33.593000000000004</v>
      </c>
      <c r="W984" s="84">
        <v>16.796500000000002</v>
      </c>
      <c r="X984" s="82">
        <v>0.35</v>
      </c>
      <c r="Y984" s="87">
        <v>22.0111913196417</v>
      </c>
      <c r="Z984" s="84">
        <v>22.0111913196417</v>
      </c>
      <c r="AA984" s="84">
        <v>44.022382639283499</v>
      </c>
      <c r="AB984" s="88">
        <v>2</v>
      </c>
      <c r="AC984" t="s">
        <v>4566</v>
      </c>
    </row>
    <row r="985" spans="3:29">
      <c r="C985" t="s">
        <v>4567</v>
      </c>
      <c r="D985" t="s">
        <v>4568</v>
      </c>
      <c r="E985" s="84">
        <v>36.99</v>
      </c>
      <c r="F985" s="84">
        <v>18.495000000000001</v>
      </c>
      <c r="G985" t="s">
        <v>4467</v>
      </c>
      <c r="H985" t="s">
        <v>4569</v>
      </c>
      <c r="I985" t="s">
        <v>873</v>
      </c>
      <c r="J985" t="s">
        <v>4570</v>
      </c>
      <c r="K985" t="s">
        <v>2407</v>
      </c>
      <c r="L985" t="s">
        <v>646</v>
      </c>
      <c r="M985">
        <v>30</v>
      </c>
      <c r="N985">
        <v>20</v>
      </c>
      <c r="O985">
        <v>4</v>
      </c>
      <c r="P985">
        <v>2.3999999999999998E-3</v>
      </c>
      <c r="Q985" s="84" t="e">
        <v>#REF!</v>
      </c>
      <c r="R985" s="85">
        <v>4546.8568502457101</v>
      </c>
      <c r="S985" s="85">
        <v>80000</v>
      </c>
      <c r="T985" s="86">
        <v>84546.856850245706</v>
      </c>
      <c r="U985" s="84">
        <v>5.6364571233497101</v>
      </c>
      <c r="V985" s="84">
        <v>25.893000000000001</v>
      </c>
      <c r="W985" s="84">
        <v>12.9465</v>
      </c>
      <c r="X985" s="82">
        <v>0.35</v>
      </c>
      <c r="Y985" s="82"/>
      <c r="Z985" s="84">
        <v>12.9465</v>
      </c>
      <c r="AA985" s="84">
        <v>25.893000000000001</v>
      </c>
      <c r="AB985" s="88">
        <v>2.2969215797575302</v>
      </c>
      <c r="AC985" t="s">
        <v>4571</v>
      </c>
    </row>
    <row r="986" spans="3:29">
      <c r="C986" t="s">
        <v>4572</v>
      </c>
      <c r="D986" t="s">
        <v>4568</v>
      </c>
      <c r="E986" s="84">
        <v>38.99</v>
      </c>
      <c r="F986" s="84">
        <v>19.495000000000001</v>
      </c>
      <c r="G986" t="s">
        <v>4467</v>
      </c>
      <c r="H986" t="s">
        <v>4573</v>
      </c>
      <c r="I986" t="s">
        <v>873</v>
      </c>
      <c r="J986" t="s">
        <v>4574</v>
      </c>
      <c r="K986" t="s">
        <v>2407</v>
      </c>
      <c r="L986" t="s">
        <v>646</v>
      </c>
      <c r="M986">
        <v>37</v>
      </c>
      <c r="N986">
        <v>20</v>
      </c>
      <c r="O986">
        <v>4</v>
      </c>
      <c r="P986">
        <v>2.96E-3</v>
      </c>
      <c r="Q986" s="84" t="e">
        <v>#REF!</v>
      </c>
      <c r="R986" s="85">
        <v>5507.7060055720904</v>
      </c>
      <c r="S986" s="85">
        <v>90000</v>
      </c>
      <c r="T986" s="86">
        <v>95507.706005572094</v>
      </c>
      <c r="U986" s="84">
        <v>6.3671804003714696</v>
      </c>
      <c r="V986" s="84">
        <v>27.292999999999999</v>
      </c>
      <c r="W986" s="84">
        <v>13.6465</v>
      </c>
      <c r="X986" s="82">
        <v>0.35</v>
      </c>
      <c r="Y986" s="82"/>
      <c r="Z986" s="84">
        <v>13.6465</v>
      </c>
      <c r="AA986" s="84">
        <v>27.292999999999999</v>
      </c>
      <c r="AB986" s="88">
        <v>2.1432563775331102</v>
      </c>
      <c r="AC986" t="s">
        <v>4571</v>
      </c>
    </row>
    <row r="987" spans="3:29">
      <c r="C987" t="s">
        <v>4575</v>
      </c>
      <c r="D987" t="s">
        <v>4568</v>
      </c>
      <c r="E987" s="84">
        <v>88.99</v>
      </c>
      <c r="F987" s="84">
        <v>44.494999999999997</v>
      </c>
      <c r="G987" t="s">
        <v>4467</v>
      </c>
      <c r="H987" t="s">
        <v>4576</v>
      </c>
      <c r="I987" t="s">
        <v>873</v>
      </c>
      <c r="J987" t="s">
        <v>4577</v>
      </c>
      <c r="K987" t="s">
        <v>2407</v>
      </c>
      <c r="L987" t="s">
        <v>646</v>
      </c>
      <c r="M987">
        <v>45</v>
      </c>
      <c r="N987">
        <v>25</v>
      </c>
      <c r="O987">
        <v>4</v>
      </c>
      <c r="P987">
        <v>4.4999999999999997E-3</v>
      </c>
      <c r="Q987" s="84" t="e">
        <v>#REF!</v>
      </c>
      <c r="R987" s="85">
        <v>8520.5935895520106</v>
      </c>
      <c r="S987" s="85">
        <v>150000</v>
      </c>
      <c r="T987" s="86">
        <v>158520.59358955201</v>
      </c>
      <c r="U987" s="84">
        <v>10.568039572636801</v>
      </c>
      <c r="V987" s="84">
        <v>62.292999999999999</v>
      </c>
      <c r="W987" s="84">
        <v>31.1465</v>
      </c>
      <c r="X987" s="82">
        <v>0.35</v>
      </c>
      <c r="Y987" s="82"/>
      <c r="Z987" s="84">
        <v>31.1465</v>
      </c>
      <c r="AA987" s="84">
        <v>62.292999999999999</v>
      </c>
      <c r="AB987" s="88">
        <v>2.9472353681042001</v>
      </c>
      <c r="AC987" t="s">
        <v>4578</v>
      </c>
    </row>
    <row r="988" spans="3:29">
      <c r="C988" t="s">
        <v>4579</v>
      </c>
      <c r="D988" t="s">
        <v>4568</v>
      </c>
      <c r="E988" s="84">
        <v>81.99</v>
      </c>
      <c r="F988" s="84">
        <v>40.994999999999997</v>
      </c>
      <c r="G988" t="s">
        <v>4467</v>
      </c>
      <c r="H988" t="s">
        <v>4580</v>
      </c>
      <c r="I988" t="s">
        <v>873</v>
      </c>
      <c r="J988" t="s">
        <v>4581</v>
      </c>
      <c r="K988" t="s">
        <v>2407</v>
      </c>
      <c r="L988" t="s">
        <v>646</v>
      </c>
      <c r="M988">
        <v>60</v>
      </c>
      <c r="N988">
        <v>25</v>
      </c>
      <c r="O988">
        <v>4</v>
      </c>
      <c r="P988">
        <v>6.0000000000000001E-3</v>
      </c>
      <c r="Q988" s="84" t="e">
        <v>#REF!</v>
      </c>
      <c r="R988" s="85">
        <v>16926.124786069999</v>
      </c>
      <c r="S988" s="85">
        <v>160000</v>
      </c>
      <c r="T988" s="86">
        <v>176926.12478607</v>
      </c>
      <c r="U988" s="84">
        <v>11.795074985737999</v>
      </c>
      <c r="V988" s="84">
        <v>57.393000000000001</v>
      </c>
      <c r="W988" s="84">
        <v>28.6965</v>
      </c>
      <c r="X988" s="82">
        <v>0.35</v>
      </c>
      <c r="Y988" s="82"/>
      <c r="Z988" s="84">
        <v>28.6965</v>
      </c>
      <c r="AA988" s="84">
        <v>57.393000000000001</v>
      </c>
      <c r="AB988" s="88">
        <v>2.43292221835795</v>
      </c>
      <c r="AC988" t="s">
        <v>4582</v>
      </c>
    </row>
    <row r="989" spans="3:29">
      <c r="C989" t="s">
        <v>4583</v>
      </c>
      <c r="D989" t="s">
        <v>4584</v>
      </c>
      <c r="E989" s="84">
        <v>17.989999999999998</v>
      </c>
      <c r="F989" s="84">
        <v>8.9949999999999992</v>
      </c>
      <c r="G989" t="s">
        <v>4467</v>
      </c>
      <c r="H989" t="s">
        <v>4585</v>
      </c>
      <c r="I989" t="s">
        <v>73</v>
      </c>
      <c r="J989" t="s">
        <v>4586</v>
      </c>
      <c r="K989" t="s">
        <v>3227</v>
      </c>
      <c r="L989" t="s">
        <v>646</v>
      </c>
      <c r="M989">
        <v>12</v>
      </c>
      <c r="N989">
        <v>12</v>
      </c>
      <c r="O989">
        <v>10</v>
      </c>
      <c r="P989">
        <v>1.4400000000000001E-3</v>
      </c>
      <c r="Q989" s="84" t="e">
        <v>#REF!</v>
      </c>
      <c r="R989" s="85"/>
      <c r="S989" s="85"/>
      <c r="T989" s="86">
        <v>0</v>
      </c>
      <c r="U989" s="84">
        <v>0</v>
      </c>
      <c r="V989" s="84">
        <v>12.593</v>
      </c>
      <c r="W989" s="84">
        <v>6.2965</v>
      </c>
      <c r="X989" s="82">
        <v>0.35</v>
      </c>
      <c r="Y989" s="82"/>
      <c r="Z989" s="84">
        <v>6.2965</v>
      </c>
      <c r="AA989" s="84">
        <v>12.593</v>
      </c>
      <c r="AB989" s="88" t="e">
        <v>#DIV/0!</v>
      </c>
      <c r="AC989" t="s">
        <v>4587</v>
      </c>
    </row>
    <row r="990" spans="3:29">
      <c r="C990" t="s">
        <v>4588</v>
      </c>
      <c r="D990" t="s">
        <v>4584</v>
      </c>
      <c r="E990" s="84">
        <v>17.989999999999998</v>
      </c>
      <c r="F990" s="84">
        <v>8.9949999999999992</v>
      </c>
      <c r="G990" t="s">
        <v>4467</v>
      </c>
      <c r="H990" t="s">
        <v>4589</v>
      </c>
      <c r="I990" t="s">
        <v>73</v>
      </c>
      <c r="J990" t="s">
        <v>4590</v>
      </c>
      <c r="K990" t="s">
        <v>3227</v>
      </c>
      <c r="L990" t="s">
        <v>646</v>
      </c>
      <c r="M990">
        <v>15</v>
      </c>
      <c r="N990">
        <v>12</v>
      </c>
      <c r="O990">
        <v>10</v>
      </c>
      <c r="P990">
        <v>1.8E-3</v>
      </c>
      <c r="Q990" s="84" t="e">
        <v>#REF!</v>
      </c>
      <c r="R990" s="85"/>
      <c r="S990" s="85"/>
      <c r="T990" s="86">
        <v>0</v>
      </c>
      <c r="U990" s="84">
        <v>0</v>
      </c>
      <c r="V990" s="84">
        <v>12.593</v>
      </c>
      <c r="W990" s="84">
        <v>6.2965</v>
      </c>
      <c r="X990" s="82">
        <v>0.35</v>
      </c>
      <c r="Y990" s="82"/>
      <c r="Z990" s="84">
        <v>6.2965</v>
      </c>
      <c r="AA990" s="84">
        <v>12.593</v>
      </c>
      <c r="AB990" s="88" t="e">
        <v>#DIV/0!</v>
      </c>
      <c r="AC990" t="s">
        <v>4591</v>
      </c>
    </row>
    <row r="991" spans="3:29">
      <c r="C991" t="s">
        <v>4592</v>
      </c>
      <c r="D991" t="s">
        <v>4584</v>
      </c>
      <c r="E991" s="84">
        <v>35.99</v>
      </c>
      <c r="F991" s="84">
        <v>17.995000000000001</v>
      </c>
      <c r="G991" t="s">
        <v>4467</v>
      </c>
      <c r="H991" t="s">
        <v>4593</v>
      </c>
      <c r="I991" t="s">
        <v>73</v>
      </c>
      <c r="J991" t="s">
        <v>4594</v>
      </c>
      <c r="K991" t="s">
        <v>3227</v>
      </c>
      <c r="L991" t="s">
        <v>646</v>
      </c>
      <c r="M991">
        <v>20</v>
      </c>
      <c r="N991">
        <v>12</v>
      </c>
      <c r="O991">
        <v>10</v>
      </c>
      <c r="P991">
        <v>2.3999999999999998E-3</v>
      </c>
      <c r="Q991" s="84" t="e">
        <v>#REF!</v>
      </c>
      <c r="R991" s="85"/>
      <c r="S991" s="85"/>
      <c r="T991" s="86">
        <v>0</v>
      </c>
      <c r="U991" s="84">
        <v>0</v>
      </c>
      <c r="V991" s="84">
        <v>25.193000000000001</v>
      </c>
      <c r="W991" s="84">
        <v>12.596500000000001</v>
      </c>
      <c r="X991" s="82">
        <v>0.35</v>
      </c>
      <c r="Y991" s="82"/>
      <c r="Z991" s="84">
        <v>12.596500000000001</v>
      </c>
      <c r="AA991" s="84">
        <v>25.193000000000001</v>
      </c>
      <c r="AB991" s="88" t="e">
        <v>#DIV/0!</v>
      </c>
      <c r="AC991" t="s">
        <v>4595</v>
      </c>
    </row>
    <row r="992" spans="3:29">
      <c r="C992" t="s">
        <v>4596</v>
      </c>
      <c r="D992" t="s">
        <v>4584</v>
      </c>
      <c r="E992" s="84">
        <v>47.99</v>
      </c>
      <c r="F992" s="84">
        <v>23.995000000000001</v>
      </c>
      <c r="G992" t="s">
        <v>4467</v>
      </c>
      <c r="H992" t="s">
        <v>4597</v>
      </c>
      <c r="I992" t="s">
        <v>73</v>
      </c>
      <c r="J992" t="s">
        <v>4598</v>
      </c>
      <c r="K992" t="s">
        <v>3227</v>
      </c>
      <c r="L992" t="s">
        <v>646</v>
      </c>
      <c r="M992">
        <v>30</v>
      </c>
      <c r="N992">
        <v>12</v>
      </c>
      <c r="O992">
        <v>10</v>
      </c>
      <c r="P992">
        <v>3.5999999999999999E-3</v>
      </c>
      <c r="Q992" s="84" t="e">
        <v>#REF!</v>
      </c>
      <c r="R992" s="85"/>
      <c r="S992" s="85"/>
      <c r="T992" s="86">
        <v>0</v>
      </c>
      <c r="U992" s="84">
        <v>0</v>
      </c>
      <c r="V992" s="84">
        <v>33.593000000000004</v>
      </c>
      <c r="W992" s="84">
        <v>16.796500000000002</v>
      </c>
      <c r="X992" s="82">
        <v>0.35</v>
      </c>
      <c r="Y992" s="82"/>
      <c r="Z992" s="84">
        <v>16.796500000000002</v>
      </c>
      <c r="AA992" s="84">
        <v>33.593000000000004</v>
      </c>
      <c r="AB992" s="88" t="e">
        <v>#DIV/0!</v>
      </c>
      <c r="AC992" t="s">
        <v>4599</v>
      </c>
    </row>
    <row r="993" spans="3:29">
      <c r="C993" t="s">
        <v>4600</v>
      </c>
      <c r="D993" t="s">
        <v>4584</v>
      </c>
      <c r="E993" s="84">
        <v>47.99</v>
      </c>
      <c r="F993" s="84">
        <v>23.995000000000001</v>
      </c>
      <c r="G993" t="s">
        <v>4467</v>
      </c>
      <c r="H993" t="s">
        <v>4601</v>
      </c>
      <c r="I993" t="s">
        <v>73</v>
      </c>
      <c r="J993" t="s">
        <v>4602</v>
      </c>
      <c r="K993" t="s">
        <v>3227</v>
      </c>
      <c r="L993" t="s">
        <v>646</v>
      </c>
      <c r="M993">
        <v>40</v>
      </c>
      <c r="N993">
        <v>12</v>
      </c>
      <c r="O993">
        <v>10</v>
      </c>
      <c r="P993">
        <v>4.7999999999999996E-3</v>
      </c>
      <c r="Q993" s="84" t="e">
        <v>#REF!</v>
      </c>
      <c r="R993" s="85"/>
      <c r="S993" s="85"/>
      <c r="T993" s="86">
        <v>0</v>
      </c>
      <c r="U993" s="84">
        <v>0</v>
      </c>
      <c r="V993" s="84">
        <v>33.593000000000004</v>
      </c>
      <c r="W993" s="84">
        <v>16.796500000000002</v>
      </c>
      <c r="X993" s="82">
        <v>0.35</v>
      </c>
      <c r="Y993" s="82"/>
      <c r="Z993" s="84">
        <v>16.796500000000002</v>
      </c>
      <c r="AA993" s="84">
        <v>33.593000000000004</v>
      </c>
      <c r="AB993" s="88" t="e">
        <v>#DIV/0!</v>
      </c>
      <c r="AC993" t="s">
        <v>4587</v>
      </c>
    </row>
    <row r="994" spans="3:29">
      <c r="C994" t="s">
        <v>4603</v>
      </c>
      <c r="D994" t="s">
        <v>4604</v>
      </c>
      <c r="E994" s="84">
        <v>1.99</v>
      </c>
      <c r="F994" s="84">
        <v>0.995</v>
      </c>
      <c r="G994" t="s">
        <v>4467</v>
      </c>
      <c r="H994" t="s">
        <v>4605</v>
      </c>
      <c r="I994" t="s">
        <v>478</v>
      </c>
      <c r="J994" t="s">
        <v>4606</v>
      </c>
      <c r="K994" t="s">
        <v>2407</v>
      </c>
      <c r="L994" t="s">
        <v>646</v>
      </c>
      <c r="M994">
        <v>8</v>
      </c>
      <c r="N994">
        <v>5</v>
      </c>
      <c r="O994">
        <v>1</v>
      </c>
      <c r="P994">
        <v>4.0000000000000003E-5</v>
      </c>
      <c r="Q994" s="84" t="e">
        <v>#REF!</v>
      </c>
      <c r="R994" s="85"/>
      <c r="S994" s="85"/>
      <c r="T994" s="86">
        <v>0</v>
      </c>
      <c r="U994" s="84">
        <v>0</v>
      </c>
      <c r="V994" s="84">
        <v>1.393</v>
      </c>
      <c r="W994" s="84">
        <v>0.69650000000000001</v>
      </c>
      <c r="X994" s="82">
        <v>0.35</v>
      </c>
      <c r="Y994" s="82"/>
      <c r="Z994" s="84">
        <v>0.69650000000000001</v>
      </c>
      <c r="AA994" s="84">
        <v>1.393</v>
      </c>
      <c r="AB994" s="88" t="e">
        <v>#DIV/0!</v>
      </c>
      <c r="AC994" t="s">
        <v>4607</v>
      </c>
    </row>
    <row r="995" spans="3:29">
      <c r="C995" t="s">
        <v>4608</v>
      </c>
      <c r="D995" t="s">
        <v>4604</v>
      </c>
      <c r="E995" s="84">
        <v>2.99</v>
      </c>
      <c r="F995" s="84">
        <v>1.4950000000000001</v>
      </c>
      <c r="G995" t="s">
        <v>4467</v>
      </c>
      <c r="H995" t="s">
        <v>4609</v>
      </c>
      <c r="I995" t="s">
        <v>478</v>
      </c>
      <c r="J995" t="s">
        <v>4610</v>
      </c>
      <c r="K995" t="s">
        <v>2407</v>
      </c>
      <c r="L995" t="s">
        <v>646</v>
      </c>
      <c r="M995">
        <v>8</v>
      </c>
      <c r="N995">
        <v>7</v>
      </c>
      <c r="O995">
        <v>0.3</v>
      </c>
      <c r="P995">
        <v>1.6799999999999998E-5</v>
      </c>
      <c r="Q995" s="84" t="e">
        <v>#REF!</v>
      </c>
      <c r="R995" s="85"/>
      <c r="S995" s="85"/>
      <c r="T995" s="86">
        <v>0</v>
      </c>
      <c r="U995" s="84">
        <v>0</v>
      </c>
      <c r="V995" s="84">
        <v>2.093</v>
      </c>
      <c r="W995" s="84">
        <v>1.0465</v>
      </c>
      <c r="X995" s="82">
        <v>0.35</v>
      </c>
      <c r="Y995" s="82"/>
      <c r="Z995" s="84">
        <v>1.0465</v>
      </c>
      <c r="AA995" s="84">
        <v>2.093</v>
      </c>
      <c r="AB995" s="88" t="e">
        <v>#DIV/0!</v>
      </c>
      <c r="AC995" t="s">
        <v>4611</v>
      </c>
    </row>
    <row r="996" spans="3:29">
      <c r="C996" t="s">
        <v>4612</v>
      </c>
      <c r="D996" t="s">
        <v>4604</v>
      </c>
      <c r="E996" s="84">
        <v>5.99</v>
      </c>
      <c r="F996" s="84">
        <v>2.9950000000000001</v>
      </c>
      <c r="G996" t="s">
        <v>4467</v>
      </c>
      <c r="H996" t="s">
        <v>4613</v>
      </c>
      <c r="I996" t="s">
        <v>478</v>
      </c>
      <c r="J996" t="s">
        <v>4614</v>
      </c>
      <c r="K996" t="s">
        <v>2407</v>
      </c>
      <c r="L996" t="s">
        <v>646</v>
      </c>
      <c r="M996">
        <v>15</v>
      </c>
      <c r="N996">
        <v>10</v>
      </c>
      <c r="O996">
        <v>0.3</v>
      </c>
      <c r="P996">
        <v>4.5000000000000003E-5</v>
      </c>
      <c r="Q996" s="84" t="e">
        <v>#REF!</v>
      </c>
      <c r="R996" s="85"/>
      <c r="S996" s="85"/>
      <c r="T996" s="86">
        <v>0</v>
      </c>
      <c r="U996" s="84">
        <v>0</v>
      </c>
      <c r="V996" s="84">
        <v>4.1929999999999996</v>
      </c>
      <c r="W996" s="84">
        <v>2.0964999999999998</v>
      </c>
      <c r="X996" s="82">
        <v>0.35</v>
      </c>
      <c r="Y996" s="82"/>
      <c r="Z996" s="84">
        <v>2.0964999999999998</v>
      </c>
      <c r="AA996" s="84">
        <v>4.1929999999999996</v>
      </c>
      <c r="AB996" s="88" t="e">
        <v>#DIV/0!</v>
      </c>
      <c r="AC996" t="s">
        <v>4615</v>
      </c>
    </row>
    <row r="997" spans="3:29">
      <c r="C997" t="s">
        <v>4616</v>
      </c>
      <c r="D997" t="s">
        <v>4604</v>
      </c>
      <c r="E997" s="84">
        <v>27.99</v>
      </c>
      <c r="F997" s="84">
        <v>13.994999999999999</v>
      </c>
      <c r="G997" t="s">
        <v>4467</v>
      </c>
      <c r="H997" t="s">
        <v>4617</v>
      </c>
      <c r="I997" t="s">
        <v>478</v>
      </c>
      <c r="J997" t="s">
        <v>4618</v>
      </c>
      <c r="K997" t="s">
        <v>2407</v>
      </c>
      <c r="L997" t="s">
        <v>646</v>
      </c>
      <c r="M997">
        <v>40</v>
      </c>
      <c r="N997">
        <v>30</v>
      </c>
      <c r="O997">
        <v>0.3</v>
      </c>
      <c r="P997">
        <v>3.6000000000000002E-4</v>
      </c>
      <c r="Q997" s="84" t="e">
        <v>#REF!</v>
      </c>
      <c r="R997" s="85"/>
      <c r="S997" s="85"/>
      <c r="T997" s="86">
        <v>0</v>
      </c>
      <c r="U997" s="84">
        <v>0</v>
      </c>
      <c r="V997" s="84">
        <v>19.593</v>
      </c>
      <c r="W997" s="84">
        <v>9.7965</v>
      </c>
      <c r="X997" s="82">
        <v>0.35</v>
      </c>
      <c r="Y997" s="82"/>
      <c r="Z997" s="84">
        <v>9.7965</v>
      </c>
      <c r="AA997" s="84">
        <v>19.593</v>
      </c>
      <c r="AB997" s="88" t="e">
        <v>#DIV/0!</v>
      </c>
      <c r="AC997" t="s">
        <v>4611</v>
      </c>
    </row>
    <row r="998" spans="3:29">
      <c r="C998" t="s">
        <v>4619</v>
      </c>
      <c r="D998" t="s">
        <v>4620</v>
      </c>
      <c r="E998" s="84">
        <v>11.99</v>
      </c>
      <c r="F998" s="84">
        <v>5.9950000000000001</v>
      </c>
      <c r="G998" t="s">
        <v>4467</v>
      </c>
      <c r="H998" t="s">
        <v>4621</v>
      </c>
      <c r="I998" t="s">
        <v>296</v>
      </c>
      <c r="J998" t="s">
        <v>4622</v>
      </c>
      <c r="K998" t="s">
        <v>2407</v>
      </c>
      <c r="L998" t="s">
        <v>646</v>
      </c>
      <c r="N998">
        <v>18</v>
      </c>
      <c r="O998">
        <v>1</v>
      </c>
      <c r="P998">
        <v>3.2400000000000001E-4</v>
      </c>
      <c r="Q998" s="84" t="e">
        <v>#REF!</v>
      </c>
      <c r="R998" s="85"/>
      <c r="S998" s="85"/>
      <c r="T998" s="86">
        <v>0</v>
      </c>
      <c r="U998" s="84">
        <v>0</v>
      </c>
      <c r="V998" s="84">
        <v>8.3930000000000007</v>
      </c>
      <c r="W998" s="84">
        <v>4.1965000000000003</v>
      </c>
      <c r="X998" s="82">
        <v>0.35</v>
      </c>
      <c r="Y998" s="82"/>
      <c r="Z998" s="84">
        <v>4.1965000000000003</v>
      </c>
      <c r="AA998" s="84">
        <v>8.3930000000000007</v>
      </c>
      <c r="AB998" s="88" t="e">
        <v>#DIV/0!</v>
      </c>
      <c r="AC998" t="s">
        <v>4623</v>
      </c>
    </row>
    <row r="999" spans="3:29">
      <c r="C999" t="s">
        <v>4624</v>
      </c>
      <c r="D999" t="s">
        <v>4620</v>
      </c>
      <c r="E999" s="84">
        <v>14.99</v>
      </c>
      <c r="F999" s="84">
        <v>7.4950000000000001</v>
      </c>
      <c r="G999" t="s">
        <v>4467</v>
      </c>
      <c r="H999" t="s">
        <v>4625</v>
      </c>
      <c r="I999" t="s">
        <v>296</v>
      </c>
      <c r="J999" t="s">
        <v>4626</v>
      </c>
      <c r="K999" t="s">
        <v>2407</v>
      </c>
      <c r="L999" t="s">
        <v>646</v>
      </c>
      <c r="N999">
        <v>24</v>
      </c>
      <c r="O999">
        <v>1</v>
      </c>
      <c r="P999">
        <v>5.7600000000000001E-4</v>
      </c>
      <c r="Q999" s="84" t="e">
        <v>#REF!</v>
      </c>
      <c r="R999" s="85"/>
      <c r="S999" s="85"/>
      <c r="T999" s="86">
        <v>0</v>
      </c>
      <c r="U999" s="84">
        <v>0</v>
      </c>
      <c r="V999" s="84">
        <v>10.493</v>
      </c>
      <c r="W999" s="84">
        <v>5.2465000000000002</v>
      </c>
      <c r="X999" s="82">
        <v>0.35</v>
      </c>
      <c r="Y999" s="82"/>
      <c r="Z999" s="84">
        <v>5.2465000000000002</v>
      </c>
      <c r="AA999" s="84">
        <v>10.493</v>
      </c>
      <c r="AB999" s="88" t="e">
        <v>#DIV/0!</v>
      </c>
      <c r="AC999" t="s">
        <v>4623</v>
      </c>
    </row>
    <row r="1000" spans="3:29">
      <c r="C1000" t="s">
        <v>4627</v>
      </c>
      <c r="D1000" t="s">
        <v>4620</v>
      </c>
      <c r="E1000" s="84">
        <v>17.989999999999998</v>
      </c>
      <c r="F1000" s="84">
        <v>8.9949999999999992</v>
      </c>
      <c r="G1000" t="s">
        <v>4467</v>
      </c>
      <c r="H1000" t="s">
        <v>4628</v>
      </c>
      <c r="I1000" t="s">
        <v>296</v>
      </c>
      <c r="J1000" t="s">
        <v>4629</v>
      </c>
      <c r="K1000" t="s">
        <v>2407</v>
      </c>
      <c r="L1000" t="s">
        <v>646</v>
      </c>
      <c r="N1000">
        <v>27</v>
      </c>
      <c r="O1000">
        <v>1</v>
      </c>
      <c r="P1000">
        <v>7.2900000000000005E-4</v>
      </c>
      <c r="Q1000" s="84" t="e">
        <v>#REF!</v>
      </c>
      <c r="R1000" s="85"/>
      <c r="S1000" s="85"/>
      <c r="T1000" s="86">
        <v>0</v>
      </c>
      <c r="U1000" s="84">
        <v>0</v>
      </c>
      <c r="V1000" s="84">
        <v>12.593</v>
      </c>
      <c r="W1000" s="84">
        <v>6.2965</v>
      </c>
      <c r="X1000" s="82">
        <v>0.35</v>
      </c>
      <c r="Y1000" s="82"/>
      <c r="Z1000" s="84">
        <v>6.2965</v>
      </c>
      <c r="AA1000" s="84">
        <v>12.593</v>
      </c>
      <c r="AB1000" s="88" t="e">
        <v>#DIV/0!</v>
      </c>
      <c r="AC1000" t="s">
        <v>4630</v>
      </c>
    </row>
    <row r="1001" spans="3:29">
      <c r="C1001" t="s">
        <v>4631</v>
      </c>
      <c r="D1001" t="s">
        <v>4620</v>
      </c>
      <c r="E1001" s="84">
        <v>20.99</v>
      </c>
      <c r="F1001" s="84">
        <v>10.494999999999999</v>
      </c>
      <c r="G1001" t="s">
        <v>4467</v>
      </c>
      <c r="H1001" t="s">
        <v>4632</v>
      </c>
      <c r="I1001" t="s">
        <v>296</v>
      </c>
      <c r="J1001" t="s">
        <v>4633</v>
      </c>
      <c r="K1001" t="s">
        <v>2407</v>
      </c>
      <c r="L1001" t="s">
        <v>646</v>
      </c>
      <c r="N1001">
        <v>32</v>
      </c>
      <c r="O1001">
        <v>1</v>
      </c>
      <c r="P1001">
        <v>1.024E-3</v>
      </c>
      <c r="Q1001" s="84" t="e">
        <v>#REF!</v>
      </c>
      <c r="R1001" s="85"/>
      <c r="S1001" s="85"/>
      <c r="T1001" s="86">
        <v>0</v>
      </c>
      <c r="U1001" s="84">
        <v>0</v>
      </c>
      <c r="V1001" s="84">
        <v>14.693</v>
      </c>
      <c r="W1001" s="84">
        <v>7.3464999999999998</v>
      </c>
      <c r="X1001" s="82">
        <v>0.35</v>
      </c>
      <c r="Y1001" s="82"/>
      <c r="Z1001" s="84">
        <v>7.3464999999999998</v>
      </c>
      <c r="AA1001" s="84">
        <v>14.693</v>
      </c>
      <c r="AB1001" s="88" t="e">
        <v>#DIV/0!</v>
      </c>
      <c r="AC1001" t="s">
        <v>4634</v>
      </c>
    </row>
    <row r="1002" spans="3:29">
      <c r="C1002" t="s">
        <v>4635</v>
      </c>
      <c r="D1002" t="s">
        <v>4636</v>
      </c>
      <c r="E1002" s="84">
        <v>4.99</v>
      </c>
      <c r="F1002" s="84">
        <v>2.4950000000000001</v>
      </c>
      <c r="G1002" t="s">
        <v>4467</v>
      </c>
      <c r="H1002" t="s">
        <v>4637</v>
      </c>
      <c r="I1002" t="s">
        <v>4638</v>
      </c>
      <c r="J1002" t="s">
        <v>4639</v>
      </c>
      <c r="K1002" t="s">
        <v>2973</v>
      </c>
      <c r="L1002" t="s">
        <v>646</v>
      </c>
      <c r="N1002">
        <v>14</v>
      </c>
      <c r="O1002">
        <v>2</v>
      </c>
      <c r="P1002">
        <v>3.9199999999999999E-4</v>
      </c>
      <c r="Q1002" s="84" t="e">
        <v>#REF!</v>
      </c>
      <c r="R1002" s="85"/>
      <c r="S1002" s="85"/>
      <c r="T1002" s="86">
        <v>0</v>
      </c>
      <c r="U1002" s="84">
        <v>0</v>
      </c>
      <c r="V1002" s="84">
        <v>3.4929999999999999</v>
      </c>
      <c r="W1002" s="84">
        <v>1.7464999999999999</v>
      </c>
      <c r="X1002" s="82">
        <v>0.35</v>
      </c>
      <c r="Y1002" s="82"/>
      <c r="Z1002" s="84">
        <v>1.7464999999999999</v>
      </c>
      <c r="AA1002" s="84">
        <v>3.4929999999999999</v>
      </c>
      <c r="AB1002" s="88" t="e">
        <v>#DIV/0!</v>
      </c>
      <c r="AC1002" t="s">
        <v>4640</v>
      </c>
    </row>
    <row r="1003" spans="3:29">
      <c r="C1003" t="s">
        <v>4641</v>
      </c>
      <c r="D1003" t="s">
        <v>4642</v>
      </c>
      <c r="E1003" s="84">
        <v>15.99</v>
      </c>
      <c r="F1003" s="84">
        <v>7.9950000000000001</v>
      </c>
      <c r="G1003" t="s">
        <v>4467</v>
      </c>
      <c r="H1003" t="s">
        <v>4643</v>
      </c>
      <c r="I1003" t="s">
        <v>665</v>
      </c>
      <c r="J1003" t="s">
        <v>4644</v>
      </c>
      <c r="K1003" t="s">
        <v>2973</v>
      </c>
      <c r="L1003" t="s">
        <v>646</v>
      </c>
      <c r="M1003">
        <v>25</v>
      </c>
      <c r="N1003">
        <v>20</v>
      </c>
      <c r="O1003">
        <v>4</v>
      </c>
      <c r="P1003">
        <v>2E-3</v>
      </c>
      <c r="Q1003" s="84" t="e">
        <v>#REF!</v>
      </c>
      <c r="R1003" s="85"/>
      <c r="S1003" s="85"/>
      <c r="T1003" s="86">
        <v>0</v>
      </c>
      <c r="U1003" s="84">
        <v>0</v>
      </c>
      <c r="V1003" s="84">
        <v>11.193</v>
      </c>
      <c r="W1003" s="84">
        <v>5.5964999999999998</v>
      </c>
      <c r="X1003" s="82">
        <v>0.35</v>
      </c>
      <c r="Y1003" s="82"/>
      <c r="Z1003" s="84">
        <v>5.5964999999999998</v>
      </c>
      <c r="AA1003" s="84">
        <v>11.193</v>
      </c>
      <c r="AB1003" s="88" t="e">
        <v>#DIV/0!</v>
      </c>
      <c r="AC1003" t="s">
        <v>4645</v>
      </c>
    </row>
    <row r="1004" spans="3:29">
      <c r="C1004" t="s">
        <v>4646</v>
      </c>
      <c r="D1004" t="s">
        <v>4642</v>
      </c>
      <c r="E1004" s="84">
        <v>37.99</v>
      </c>
      <c r="F1004" s="84">
        <v>18.995000000000001</v>
      </c>
      <c r="G1004" t="s">
        <v>4467</v>
      </c>
      <c r="H1004" t="s">
        <v>4647</v>
      </c>
      <c r="I1004" t="s">
        <v>665</v>
      </c>
      <c r="J1004" t="s">
        <v>4648</v>
      </c>
      <c r="K1004" t="s">
        <v>2973</v>
      </c>
      <c r="L1004" t="s">
        <v>646</v>
      </c>
      <c r="M1004">
        <v>40</v>
      </c>
      <c r="N1004">
        <v>30</v>
      </c>
      <c r="O1004">
        <v>4</v>
      </c>
      <c r="P1004">
        <v>4.7999999999999996E-3</v>
      </c>
      <c r="Q1004" s="84" t="e">
        <v>#REF!</v>
      </c>
      <c r="R1004" s="85"/>
      <c r="S1004" s="85"/>
      <c r="T1004" s="86">
        <v>0</v>
      </c>
      <c r="U1004" s="84">
        <v>0</v>
      </c>
      <c r="V1004" s="84">
        <v>26.593</v>
      </c>
      <c r="W1004" s="84">
        <v>13.2965</v>
      </c>
      <c r="X1004" s="82">
        <v>0.35</v>
      </c>
      <c r="Y1004" s="82"/>
      <c r="Z1004" s="84">
        <v>13.2965</v>
      </c>
      <c r="AA1004" s="84">
        <v>26.593</v>
      </c>
      <c r="AB1004" s="88" t="e">
        <v>#DIV/0!</v>
      </c>
      <c r="AC1004" t="s">
        <v>4649</v>
      </c>
    </row>
    <row r="1005" spans="3:29">
      <c r="C1005" t="s">
        <v>4650</v>
      </c>
      <c r="D1005" t="s">
        <v>4651</v>
      </c>
      <c r="E1005" s="84">
        <v>11.99</v>
      </c>
      <c r="F1005" s="84">
        <v>5.9950000000000001</v>
      </c>
      <c r="G1005" t="s">
        <v>4467</v>
      </c>
      <c r="H1005" t="s">
        <v>4652</v>
      </c>
      <c r="I1005" t="s">
        <v>546</v>
      </c>
      <c r="J1005" t="s">
        <v>4653</v>
      </c>
      <c r="K1005" t="s">
        <v>2973</v>
      </c>
      <c r="L1005" t="s">
        <v>646</v>
      </c>
      <c r="M1005">
        <v>30</v>
      </c>
      <c r="N1005">
        <v>5</v>
      </c>
      <c r="O1005">
        <v>5</v>
      </c>
      <c r="P1005">
        <v>7.5000000000000002E-4</v>
      </c>
      <c r="Q1005" s="84" t="e">
        <v>#REF!</v>
      </c>
      <c r="R1005" s="85"/>
      <c r="S1005" s="85"/>
      <c r="T1005" s="86">
        <v>0</v>
      </c>
      <c r="U1005" s="84">
        <v>0</v>
      </c>
      <c r="V1005" s="84">
        <v>8.3930000000000007</v>
      </c>
      <c r="W1005" s="84">
        <v>4.1965000000000003</v>
      </c>
      <c r="X1005" s="82">
        <v>0.35</v>
      </c>
      <c r="Y1005" s="82"/>
      <c r="Z1005" s="84">
        <v>4.1965000000000003</v>
      </c>
      <c r="AA1005" s="84">
        <v>8.3930000000000007</v>
      </c>
      <c r="AB1005" s="88" t="e">
        <v>#DIV/0!</v>
      </c>
      <c r="AC1005" t="s">
        <v>4654</v>
      </c>
    </row>
    <row r="1006" spans="3:29">
      <c r="C1006" t="s">
        <v>4655</v>
      </c>
      <c r="D1006" t="s">
        <v>4651</v>
      </c>
      <c r="E1006" s="84">
        <v>14.99</v>
      </c>
      <c r="F1006" s="84">
        <v>7.4950000000000001</v>
      </c>
      <c r="G1006" t="s">
        <v>4467</v>
      </c>
      <c r="H1006" t="s">
        <v>4656</v>
      </c>
      <c r="I1006" t="s">
        <v>546</v>
      </c>
      <c r="J1006" t="s">
        <v>4657</v>
      </c>
      <c r="K1006" t="s">
        <v>2973</v>
      </c>
      <c r="L1006" t="s">
        <v>646</v>
      </c>
      <c r="M1006">
        <v>30</v>
      </c>
      <c r="N1006">
        <v>15</v>
      </c>
      <c r="O1006">
        <v>10</v>
      </c>
      <c r="P1006">
        <v>4.4999999999999997E-3</v>
      </c>
      <c r="Q1006" s="84" t="e">
        <v>#REF!</v>
      </c>
      <c r="R1006" s="85"/>
      <c r="S1006" s="85"/>
      <c r="T1006" s="86">
        <v>0</v>
      </c>
      <c r="U1006" s="84">
        <v>0</v>
      </c>
      <c r="V1006" s="84">
        <v>10.493</v>
      </c>
      <c r="W1006" s="84">
        <v>5.2465000000000002</v>
      </c>
      <c r="X1006" s="82">
        <v>0.35</v>
      </c>
      <c r="Y1006" s="82"/>
      <c r="Z1006" s="84">
        <v>5.2465000000000002</v>
      </c>
      <c r="AA1006" s="84">
        <v>10.493</v>
      </c>
      <c r="AB1006" s="88" t="e">
        <v>#DIV/0!</v>
      </c>
      <c r="AC1006" t="s">
        <v>4654</v>
      </c>
    </row>
    <row r="1007" spans="3:29">
      <c r="C1007" t="s">
        <v>4658</v>
      </c>
      <c r="D1007" t="s">
        <v>4659</v>
      </c>
      <c r="E1007" s="84">
        <v>35.99</v>
      </c>
      <c r="F1007" s="84">
        <v>17.995000000000001</v>
      </c>
      <c r="G1007" t="s">
        <v>4467</v>
      </c>
      <c r="H1007" t="s">
        <v>4660</v>
      </c>
      <c r="I1007" t="s">
        <v>4661</v>
      </c>
      <c r="J1007" t="s">
        <v>4662</v>
      </c>
      <c r="K1007" t="s">
        <v>2973</v>
      </c>
      <c r="L1007" t="s">
        <v>646</v>
      </c>
      <c r="M1007">
        <v>12</v>
      </c>
      <c r="N1007">
        <v>20</v>
      </c>
      <c r="O1007">
        <v>50</v>
      </c>
      <c r="P1007">
        <v>1.2E-2</v>
      </c>
      <c r="Q1007" s="84" t="e">
        <v>#REF!</v>
      </c>
      <c r="R1007" s="85"/>
      <c r="S1007" s="85"/>
      <c r="T1007" s="86">
        <v>0</v>
      </c>
      <c r="U1007" s="84">
        <v>0</v>
      </c>
      <c r="V1007" s="84">
        <v>25.193000000000001</v>
      </c>
      <c r="W1007" s="84">
        <v>12.596500000000001</v>
      </c>
      <c r="X1007" s="82">
        <v>0.35</v>
      </c>
      <c r="Y1007" s="82"/>
      <c r="Z1007" s="84">
        <v>12.596500000000001</v>
      </c>
      <c r="AA1007" s="84">
        <v>25.193000000000001</v>
      </c>
      <c r="AB1007" s="88" t="e">
        <v>#DIV/0!</v>
      </c>
      <c r="AC1007" t="s">
        <v>4663</v>
      </c>
    </row>
    <row r="1008" spans="3:29">
      <c r="C1008" t="s">
        <v>4664</v>
      </c>
      <c r="D1008" t="s">
        <v>4665</v>
      </c>
      <c r="E1008" s="84">
        <v>35.99</v>
      </c>
      <c r="F1008" s="84">
        <v>17.995000000000001</v>
      </c>
      <c r="G1008" t="s">
        <v>4467</v>
      </c>
      <c r="H1008" t="s">
        <v>4666</v>
      </c>
      <c r="I1008" t="s">
        <v>4667</v>
      </c>
      <c r="J1008" t="s">
        <v>4668</v>
      </c>
      <c r="K1008" t="s">
        <v>2973</v>
      </c>
      <c r="L1008" t="s">
        <v>646</v>
      </c>
      <c r="M1008">
        <v>12</v>
      </c>
      <c r="N1008">
        <v>25</v>
      </c>
      <c r="O1008">
        <v>50</v>
      </c>
      <c r="P1008">
        <v>1.4999999999999999E-2</v>
      </c>
      <c r="Q1008" s="84" t="e">
        <v>#REF!</v>
      </c>
      <c r="R1008" s="85"/>
      <c r="S1008" s="85"/>
      <c r="T1008" s="86">
        <v>0</v>
      </c>
      <c r="U1008" s="84">
        <v>0</v>
      </c>
      <c r="V1008" s="84">
        <v>25.193000000000001</v>
      </c>
      <c r="W1008" s="84">
        <v>12.596500000000001</v>
      </c>
      <c r="X1008" s="82">
        <v>0.35</v>
      </c>
      <c r="Y1008" s="82"/>
      <c r="Z1008" s="84">
        <v>12.596500000000001</v>
      </c>
      <c r="AA1008" s="84">
        <v>25.193000000000001</v>
      </c>
      <c r="AB1008" s="88" t="e">
        <v>#DIV/0!</v>
      </c>
      <c r="AC1008" t="s">
        <v>4669</v>
      </c>
    </row>
    <row r="1009" spans="3:29">
      <c r="C1009" t="s">
        <v>4670</v>
      </c>
      <c r="D1009" t="s">
        <v>4671</v>
      </c>
      <c r="E1009" s="84">
        <v>53.99</v>
      </c>
      <c r="F1009" s="84">
        <v>26.995000000000001</v>
      </c>
      <c r="G1009" t="s">
        <v>4467</v>
      </c>
      <c r="H1009" t="s">
        <v>4672</v>
      </c>
      <c r="I1009" t="s">
        <v>4673</v>
      </c>
      <c r="J1009" t="s">
        <v>4674</v>
      </c>
      <c r="K1009" t="s">
        <v>2973</v>
      </c>
      <c r="L1009" t="s">
        <v>646</v>
      </c>
      <c r="M1009">
        <v>12</v>
      </c>
      <c r="N1009">
        <v>35</v>
      </c>
      <c r="O1009">
        <v>50</v>
      </c>
      <c r="P1009">
        <v>2.1000000000000001E-2</v>
      </c>
      <c r="Q1009" s="84" t="e">
        <v>#REF!</v>
      </c>
      <c r="R1009" s="85"/>
      <c r="S1009" s="85"/>
      <c r="T1009" s="86">
        <v>0</v>
      </c>
      <c r="U1009" s="84">
        <v>0</v>
      </c>
      <c r="V1009" s="84">
        <v>37.792999999999999</v>
      </c>
      <c r="W1009" s="84">
        <v>18.8965</v>
      </c>
      <c r="X1009" s="82">
        <v>0.35</v>
      </c>
      <c r="Y1009" s="82"/>
      <c r="Z1009" s="84">
        <v>18.8965</v>
      </c>
      <c r="AA1009" s="84">
        <v>37.792999999999999</v>
      </c>
      <c r="AB1009" s="88" t="e">
        <v>#DIV/0!</v>
      </c>
      <c r="AC1009" t="s">
        <v>4675</v>
      </c>
    </row>
    <row r="1010" spans="3:29">
      <c r="C1010" t="s">
        <v>4676</v>
      </c>
      <c r="D1010" t="s">
        <v>4677</v>
      </c>
      <c r="E1010" s="84">
        <v>83.99</v>
      </c>
      <c r="F1010" s="84">
        <v>41.994999999999997</v>
      </c>
      <c r="G1010" t="s">
        <v>4467</v>
      </c>
      <c r="H1010" t="s">
        <v>4678</v>
      </c>
      <c r="I1010" t="s">
        <v>4679</v>
      </c>
      <c r="J1010" t="s">
        <v>4680</v>
      </c>
      <c r="K1010" t="s">
        <v>2973</v>
      </c>
      <c r="L1010" t="s">
        <v>646</v>
      </c>
      <c r="M1010">
        <v>12</v>
      </c>
      <c r="N1010">
        <v>50</v>
      </c>
      <c r="O1010">
        <v>50</v>
      </c>
      <c r="P1010">
        <v>0.03</v>
      </c>
      <c r="Q1010" s="84" t="e">
        <v>#REF!</v>
      </c>
      <c r="R1010" s="85"/>
      <c r="S1010" s="85"/>
      <c r="T1010" s="86">
        <v>0</v>
      </c>
      <c r="U1010" s="84">
        <v>0</v>
      </c>
      <c r="V1010" s="84">
        <v>58.792999999999999</v>
      </c>
      <c r="W1010" s="84">
        <v>29.3965</v>
      </c>
      <c r="X1010" s="82">
        <v>0.35</v>
      </c>
      <c r="Y1010" s="82"/>
      <c r="Z1010" s="84">
        <v>29.3965</v>
      </c>
      <c r="AA1010" s="84">
        <v>58.792999999999999</v>
      </c>
      <c r="AB1010" s="88" t="e">
        <v>#DIV/0!</v>
      </c>
      <c r="AC1010" t="s">
        <v>4681</v>
      </c>
    </row>
    <row r="1011" spans="3:29">
      <c r="C1011" t="s">
        <v>4682</v>
      </c>
      <c r="D1011" t="s">
        <v>4683</v>
      </c>
      <c r="E1011" s="84">
        <v>107.99</v>
      </c>
      <c r="F1011" s="84">
        <v>53.994999999999997</v>
      </c>
      <c r="G1011" t="s">
        <v>4467</v>
      </c>
      <c r="H1011" t="s">
        <v>4684</v>
      </c>
      <c r="I1011" t="s">
        <v>4685</v>
      </c>
      <c r="J1011" t="s">
        <v>4686</v>
      </c>
      <c r="K1011" t="s">
        <v>2973</v>
      </c>
      <c r="L1011" t="s">
        <v>646</v>
      </c>
      <c r="M1011">
        <v>12</v>
      </c>
      <c r="N1011">
        <v>70</v>
      </c>
      <c r="O1011">
        <v>50</v>
      </c>
      <c r="P1011">
        <v>4.2000000000000003E-2</v>
      </c>
      <c r="Q1011" s="84" t="e">
        <v>#REF!</v>
      </c>
      <c r="R1011" s="85"/>
      <c r="S1011" s="85"/>
      <c r="T1011" s="86">
        <v>0</v>
      </c>
      <c r="U1011" s="84">
        <v>0</v>
      </c>
      <c r="V1011" s="84">
        <v>75.593000000000004</v>
      </c>
      <c r="W1011" s="84">
        <v>37.796500000000002</v>
      </c>
      <c r="X1011" s="82">
        <v>0.35</v>
      </c>
      <c r="Y1011" s="82"/>
      <c r="Z1011" s="84">
        <v>37.796500000000002</v>
      </c>
      <c r="AA1011" s="84">
        <v>75.593000000000004</v>
      </c>
      <c r="AB1011" s="88" t="e">
        <v>#DIV/0!</v>
      </c>
      <c r="AC1011" t="s">
        <v>4687</v>
      </c>
    </row>
    <row r="1012" spans="3:29">
      <c r="C1012" t="s">
        <v>4688</v>
      </c>
      <c r="D1012" t="s">
        <v>4689</v>
      </c>
      <c r="E1012" s="84">
        <v>25.99</v>
      </c>
      <c r="F1012" s="84">
        <v>12.994999999999999</v>
      </c>
      <c r="G1012" t="s">
        <v>4467</v>
      </c>
      <c r="H1012" t="s">
        <v>4690</v>
      </c>
      <c r="I1012" t="s">
        <v>4691</v>
      </c>
      <c r="J1012" t="s">
        <v>4692</v>
      </c>
      <c r="K1012" t="s">
        <v>4693</v>
      </c>
      <c r="L1012" t="s">
        <v>646</v>
      </c>
      <c r="N1012">
        <v>40</v>
      </c>
      <c r="O1012">
        <v>20</v>
      </c>
      <c r="P1012">
        <v>3.2000000000000001E-2</v>
      </c>
      <c r="Q1012" s="84" t="e">
        <v>#REF!</v>
      </c>
      <c r="R1012" s="85">
        <v>20070.6925558482</v>
      </c>
      <c r="S1012" s="85">
        <v>33000</v>
      </c>
      <c r="T1012" s="86">
        <v>53070.692555848203</v>
      </c>
      <c r="U1012" s="84">
        <v>3.53804617038988</v>
      </c>
      <c r="V1012" s="84">
        <v>18.193000000000001</v>
      </c>
      <c r="W1012" s="84">
        <v>9.0965000000000007</v>
      </c>
      <c r="X1012" s="82">
        <v>0.35</v>
      </c>
      <c r="Y1012" s="82"/>
      <c r="Z1012" s="84">
        <v>9.0965000000000007</v>
      </c>
      <c r="AA1012" s="84">
        <v>18.193000000000001</v>
      </c>
      <c r="AB1012" s="88">
        <v>2.5710518071044799</v>
      </c>
      <c r="AC1012" t="s">
        <v>4694</v>
      </c>
    </row>
    <row r="1013" spans="3:29">
      <c r="C1013" t="s">
        <v>4695</v>
      </c>
      <c r="D1013" t="s">
        <v>4696</v>
      </c>
      <c r="E1013" s="84">
        <v>438.99</v>
      </c>
      <c r="F1013" s="84">
        <v>219.495</v>
      </c>
      <c r="G1013" t="s">
        <v>4467</v>
      </c>
      <c r="H1013" t="s">
        <v>4697</v>
      </c>
      <c r="I1013" t="s">
        <v>4698</v>
      </c>
      <c r="J1013" t="s">
        <v>4699</v>
      </c>
      <c r="K1013" t="s">
        <v>4693</v>
      </c>
      <c r="L1013" t="s">
        <v>646</v>
      </c>
      <c r="M1013">
        <v>25</v>
      </c>
      <c r="N1013">
        <v>60</v>
      </c>
      <c r="O1013">
        <v>25</v>
      </c>
      <c r="P1013">
        <v>3.7499999999999999E-2</v>
      </c>
      <c r="Q1013" s="84" t="e">
        <v>#REF!</v>
      </c>
      <c r="R1013" s="85">
        <v>29182.988460199002</v>
      </c>
      <c r="S1013" s="85">
        <v>900000</v>
      </c>
      <c r="T1013" s="86">
        <v>929182.98846019898</v>
      </c>
      <c r="U1013" s="84">
        <v>61.945532564013298</v>
      </c>
      <c r="V1013" s="84">
        <v>307.29300000000001</v>
      </c>
      <c r="W1013" s="84">
        <v>153.6465</v>
      </c>
      <c r="X1013" s="82">
        <v>0.35</v>
      </c>
      <c r="Y1013" s="82"/>
      <c r="Z1013" s="84">
        <v>153.6465</v>
      </c>
      <c r="AA1013" s="84">
        <v>307.29300000000001</v>
      </c>
      <c r="AB1013" s="88">
        <v>2.4803483583134098</v>
      </c>
      <c r="AC1013" t="s">
        <v>4700</v>
      </c>
    </row>
    <row r="1014" spans="3:29">
      <c r="C1014" t="s">
        <v>4701</v>
      </c>
      <c r="D1014" t="s">
        <v>4702</v>
      </c>
      <c r="E1014" s="84">
        <v>441.99</v>
      </c>
      <c r="F1014" s="84">
        <v>220.995</v>
      </c>
      <c r="G1014" t="s">
        <v>4467</v>
      </c>
      <c r="H1014" t="s">
        <v>4703</v>
      </c>
      <c r="I1014" t="s">
        <v>4704</v>
      </c>
      <c r="J1014" t="s">
        <v>4705</v>
      </c>
      <c r="K1014" t="s">
        <v>4693</v>
      </c>
      <c r="L1014" t="s">
        <v>646</v>
      </c>
      <c r="N1014">
        <v>60</v>
      </c>
      <c r="O1014">
        <v>15</v>
      </c>
      <c r="P1014">
        <v>5.3999999999999999E-2</v>
      </c>
      <c r="Q1014" s="84" t="e">
        <v>#REF!</v>
      </c>
      <c r="R1014" s="85"/>
      <c r="S1014" s="85"/>
      <c r="T1014" s="86">
        <v>0</v>
      </c>
      <c r="U1014" s="84">
        <v>0</v>
      </c>
      <c r="V1014" s="84">
        <v>309.39299999999997</v>
      </c>
      <c r="W1014" s="84">
        <v>154.69649999999999</v>
      </c>
      <c r="X1014" s="82">
        <v>0.35</v>
      </c>
      <c r="Y1014" s="82"/>
      <c r="Z1014" s="84">
        <v>154.69649999999999</v>
      </c>
      <c r="AA1014" s="84">
        <v>309.39299999999997</v>
      </c>
      <c r="AB1014" s="88" t="e">
        <v>#DIV/0!</v>
      </c>
      <c r="AC1014" t="s">
        <v>4706</v>
      </c>
    </row>
    <row r="1015" spans="3:29">
      <c r="C1015" t="s">
        <v>4707</v>
      </c>
      <c r="D1015" t="s">
        <v>4708</v>
      </c>
      <c r="E1015" s="84">
        <v>37.99</v>
      </c>
      <c r="F1015" s="84">
        <v>18.995000000000001</v>
      </c>
      <c r="G1015" t="s">
        <v>4467</v>
      </c>
      <c r="H1015" t="s">
        <v>4709</v>
      </c>
      <c r="I1015" t="s">
        <v>4710</v>
      </c>
      <c r="J1015" t="s">
        <v>4711</v>
      </c>
      <c r="K1015" t="s">
        <v>2973</v>
      </c>
      <c r="L1015" t="s">
        <v>646</v>
      </c>
      <c r="M1015">
        <v>40</v>
      </c>
      <c r="N1015">
        <v>40</v>
      </c>
      <c r="O1015">
        <v>30</v>
      </c>
      <c r="P1015">
        <v>4.8000000000000001E-2</v>
      </c>
      <c r="Q1015" s="84" t="e">
        <v>#REF!</v>
      </c>
      <c r="R1015" s="85"/>
      <c r="S1015" s="85"/>
      <c r="T1015" s="86">
        <v>0</v>
      </c>
      <c r="U1015" s="84">
        <v>0</v>
      </c>
      <c r="V1015" s="84">
        <v>26.593</v>
      </c>
      <c r="W1015" s="84">
        <v>13.2965</v>
      </c>
      <c r="X1015" s="82">
        <v>0.35</v>
      </c>
      <c r="Y1015" s="82"/>
      <c r="Z1015" s="84">
        <v>13.2965</v>
      </c>
      <c r="AA1015" s="84">
        <v>26.593</v>
      </c>
      <c r="AB1015" s="88" t="e">
        <v>#DIV/0!</v>
      </c>
      <c r="AC1015" t="s">
        <v>4712</v>
      </c>
    </row>
    <row r="1016" spans="3:29">
      <c r="C1016">
        <v>33014</v>
      </c>
      <c r="D1016" t="s">
        <v>4713</v>
      </c>
      <c r="E1016" s="84">
        <v>66.989999999999995</v>
      </c>
      <c r="F1016" s="84">
        <v>33.494999999999997</v>
      </c>
      <c r="G1016" t="s">
        <v>4467</v>
      </c>
      <c r="H1016" t="s">
        <v>4714</v>
      </c>
      <c r="I1016" t="s">
        <v>4715</v>
      </c>
      <c r="J1016" t="s">
        <v>4716</v>
      </c>
      <c r="K1016" t="s">
        <v>4717</v>
      </c>
      <c r="L1016" t="s">
        <v>670</v>
      </c>
      <c r="M1016">
        <v>45</v>
      </c>
      <c r="N1016">
        <v>27</v>
      </c>
      <c r="O1016">
        <v>8</v>
      </c>
      <c r="P1016">
        <v>9.7199999999999995E-3</v>
      </c>
      <c r="Q1016" s="84" t="e">
        <v>#REF!</v>
      </c>
      <c r="R1016" s="85">
        <v>2346.5021534329899</v>
      </c>
      <c r="S1016" s="85">
        <v>210000</v>
      </c>
      <c r="T1016" s="86">
        <v>212346.50215343299</v>
      </c>
      <c r="U1016" s="84">
        <v>14.156433476895501</v>
      </c>
      <c r="V1016" s="84">
        <v>46.893000000000001</v>
      </c>
      <c r="W1016" s="84">
        <v>23.4465</v>
      </c>
      <c r="X1016" s="82">
        <v>0.35</v>
      </c>
      <c r="Y1016" s="87">
        <v>28.312866953791101</v>
      </c>
      <c r="Z1016" s="84">
        <v>28.312866953791101</v>
      </c>
      <c r="AA1016" s="84">
        <v>56.625733907582102</v>
      </c>
      <c r="AB1016" s="88">
        <v>2</v>
      </c>
      <c r="AC1016" t="s">
        <v>4718</v>
      </c>
    </row>
    <row r="1017" spans="3:29">
      <c r="C1017" t="s">
        <v>4719</v>
      </c>
      <c r="D1017" t="s">
        <v>4720</v>
      </c>
      <c r="E1017" s="84">
        <v>11.99</v>
      </c>
      <c r="F1017" s="84">
        <v>5.9950000000000001</v>
      </c>
      <c r="G1017" t="s">
        <v>4467</v>
      </c>
      <c r="H1017" t="s">
        <v>4721</v>
      </c>
      <c r="I1017" t="s">
        <v>818</v>
      </c>
      <c r="J1017" t="s">
        <v>4722</v>
      </c>
      <c r="K1017" t="s">
        <v>4723</v>
      </c>
      <c r="L1017" t="s">
        <v>670</v>
      </c>
      <c r="N1017">
        <v>13</v>
      </c>
      <c r="O1017">
        <v>1.5</v>
      </c>
      <c r="P1017">
        <v>2.5349999999999998E-4</v>
      </c>
      <c r="Q1017" s="84" t="e">
        <v>#REF!</v>
      </c>
      <c r="R1017" s="85">
        <v>61.197355544805802</v>
      </c>
      <c r="S1017" s="85">
        <v>88000</v>
      </c>
      <c r="T1017" s="86">
        <v>88061.197355544806</v>
      </c>
      <c r="U1017" s="84">
        <v>5.8707464903696502</v>
      </c>
      <c r="V1017" s="84">
        <v>8.3930000000000007</v>
      </c>
      <c r="W1017" s="84">
        <v>4.1965000000000003</v>
      </c>
      <c r="X1017" s="82">
        <v>0.35</v>
      </c>
      <c r="Y1017" s="87">
        <v>11.7414929807393</v>
      </c>
      <c r="Z1017" s="84">
        <v>11.7414929807393</v>
      </c>
      <c r="AA1017" s="84">
        <v>23.482985961478601</v>
      </c>
      <c r="AB1017" s="88">
        <v>2</v>
      </c>
      <c r="AC1017" t="s">
        <v>4724</v>
      </c>
    </row>
    <row r="1018" spans="3:29">
      <c r="C1018" t="s">
        <v>4725</v>
      </c>
      <c r="D1018" t="s">
        <v>4720</v>
      </c>
      <c r="E1018" s="84">
        <v>15.99</v>
      </c>
      <c r="F1018" s="84">
        <v>7.9950000000000001</v>
      </c>
      <c r="G1018" t="s">
        <v>4467</v>
      </c>
      <c r="H1018" t="s">
        <v>4726</v>
      </c>
      <c r="I1018" t="s">
        <v>818</v>
      </c>
      <c r="J1018" t="s">
        <v>4727</v>
      </c>
      <c r="K1018" t="s">
        <v>4723</v>
      </c>
      <c r="L1018" t="s">
        <v>670</v>
      </c>
      <c r="N1018">
        <v>18</v>
      </c>
      <c r="O1018">
        <v>1.5</v>
      </c>
      <c r="P1018">
        <v>4.86E-4</v>
      </c>
      <c r="Q1018" s="84" t="e">
        <v>#REF!</v>
      </c>
      <c r="R1018" s="85">
        <v>117.32510767199</v>
      </c>
      <c r="S1018" s="85">
        <v>132000</v>
      </c>
      <c r="T1018" s="86">
        <v>132117.32510767199</v>
      </c>
      <c r="U1018" s="84">
        <v>8.8078216738447992</v>
      </c>
      <c r="V1018" s="84">
        <v>11.193</v>
      </c>
      <c r="W1018" s="84">
        <v>5.5964999999999998</v>
      </c>
      <c r="X1018" s="82">
        <v>0.35</v>
      </c>
      <c r="Y1018" s="87">
        <v>17.615643347689598</v>
      </c>
      <c r="Z1018" s="84">
        <v>17.615643347689598</v>
      </c>
      <c r="AA1018" s="84">
        <v>35.231286695379197</v>
      </c>
      <c r="AB1018" s="88">
        <v>2</v>
      </c>
      <c r="AC1018" t="s">
        <v>4728</v>
      </c>
    </row>
    <row r="1019" spans="3:29">
      <c r="C1019" t="s">
        <v>4729</v>
      </c>
      <c r="D1019" t="s">
        <v>4720</v>
      </c>
      <c r="E1019" s="84">
        <v>17.989999999999998</v>
      </c>
      <c r="F1019" s="84">
        <v>8.9949999999999992</v>
      </c>
      <c r="G1019" t="s">
        <v>4467</v>
      </c>
      <c r="H1019" t="s">
        <v>4730</v>
      </c>
      <c r="I1019" t="s">
        <v>818</v>
      </c>
      <c r="J1019" t="s">
        <v>4731</v>
      </c>
      <c r="K1019" t="s">
        <v>4723</v>
      </c>
      <c r="L1019" t="s">
        <v>670</v>
      </c>
      <c r="N1019">
        <v>24</v>
      </c>
      <c r="O1019">
        <v>1.5</v>
      </c>
      <c r="P1019">
        <v>8.6399999999999997E-4</v>
      </c>
      <c r="Q1019" s="84" t="e">
        <v>#REF!</v>
      </c>
      <c r="R1019" s="85">
        <v>208.57796919401201</v>
      </c>
      <c r="S1019" s="85">
        <v>187000</v>
      </c>
      <c r="T1019" s="86">
        <v>187208.57796919401</v>
      </c>
      <c r="U1019" s="84">
        <v>12.4805718646129</v>
      </c>
      <c r="V1019" s="84">
        <v>12.593</v>
      </c>
      <c r="W1019" s="84">
        <v>6.2965</v>
      </c>
      <c r="X1019" s="82">
        <v>0.35</v>
      </c>
      <c r="Y1019" s="87">
        <v>24.961143729225899</v>
      </c>
      <c r="Z1019" s="84">
        <v>24.961143729225899</v>
      </c>
      <c r="AA1019" s="84">
        <v>49.922287458451699</v>
      </c>
      <c r="AB1019" s="88">
        <v>2</v>
      </c>
      <c r="AC1019" t="s">
        <v>4732</v>
      </c>
    </row>
    <row r="1020" spans="3:29">
      <c r="C1020" t="s">
        <v>4733</v>
      </c>
      <c r="D1020" t="s">
        <v>4720</v>
      </c>
      <c r="E1020" s="84">
        <v>23.99</v>
      </c>
      <c r="F1020" s="84">
        <v>11.994999999999999</v>
      </c>
      <c r="G1020" t="s">
        <v>4467</v>
      </c>
      <c r="H1020" t="s">
        <v>4734</v>
      </c>
      <c r="I1020" t="s">
        <v>818</v>
      </c>
      <c r="J1020" t="s">
        <v>4735</v>
      </c>
      <c r="K1020" t="s">
        <v>4723</v>
      </c>
      <c r="L1020" t="s">
        <v>670</v>
      </c>
      <c r="N1020">
        <v>27</v>
      </c>
      <c r="O1020">
        <v>1.5</v>
      </c>
      <c r="P1020">
        <v>1.0935000000000001E-3</v>
      </c>
      <c r="Q1020" s="84" t="e">
        <v>#REF!</v>
      </c>
      <c r="R1020" s="85">
        <v>263.98149226099503</v>
      </c>
      <c r="S1020" s="85">
        <v>220000</v>
      </c>
      <c r="T1020" s="86">
        <v>220263.98149226099</v>
      </c>
      <c r="U1020" s="84">
        <v>14.6842654328174</v>
      </c>
      <c r="V1020" s="84">
        <v>16.792999999999999</v>
      </c>
      <c r="W1020" s="84">
        <v>8.3964999999999996</v>
      </c>
      <c r="X1020" s="82">
        <v>0.35</v>
      </c>
      <c r="Y1020" s="87">
        <v>29.368530865634799</v>
      </c>
      <c r="Z1020" s="84">
        <v>29.368530865634799</v>
      </c>
      <c r="AA1020" s="84">
        <v>58.737061731269598</v>
      </c>
      <c r="AB1020" s="88">
        <v>2</v>
      </c>
      <c r="AC1020" t="s">
        <v>4736</v>
      </c>
    </row>
    <row r="1021" spans="3:29">
      <c r="C1021" t="s">
        <v>4737</v>
      </c>
      <c r="D1021" t="s">
        <v>4720</v>
      </c>
      <c r="E1021" s="84">
        <v>30.99</v>
      </c>
      <c r="F1021" s="84">
        <v>15.494999999999999</v>
      </c>
      <c r="G1021" t="s">
        <v>4467</v>
      </c>
      <c r="H1021" t="s">
        <v>4738</v>
      </c>
      <c r="I1021" t="s">
        <v>818</v>
      </c>
      <c r="J1021" t="s">
        <v>4739</v>
      </c>
      <c r="K1021" t="s">
        <v>4723</v>
      </c>
      <c r="L1021" t="s">
        <v>670</v>
      </c>
      <c r="N1021">
        <v>32</v>
      </c>
      <c r="O1021">
        <v>1.5</v>
      </c>
      <c r="P1021">
        <v>1.536E-3</v>
      </c>
      <c r="Q1021" s="84" t="e">
        <v>#REF!</v>
      </c>
      <c r="R1021" s="85">
        <v>370.80527856701502</v>
      </c>
      <c r="S1021" s="85">
        <v>275000</v>
      </c>
      <c r="T1021" s="86">
        <v>275370.80527856702</v>
      </c>
      <c r="U1021" s="84">
        <v>18.358053685237799</v>
      </c>
      <c r="V1021" s="84">
        <v>21.693000000000001</v>
      </c>
      <c r="W1021" s="84">
        <v>10.846500000000001</v>
      </c>
      <c r="X1021" s="82">
        <v>0.35</v>
      </c>
      <c r="Y1021" s="87">
        <v>36.716107370475598</v>
      </c>
      <c r="Z1021" s="84">
        <v>36.716107370475598</v>
      </c>
      <c r="AA1021" s="84">
        <v>73.432214740951196</v>
      </c>
      <c r="AB1021" s="88">
        <v>2</v>
      </c>
      <c r="AC1021" t="s">
        <v>4732</v>
      </c>
    </row>
    <row r="1022" spans="3:29">
      <c r="C1022" t="s">
        <v>4740</v>
      </c>
      <c r="D1022" t="s">
        <v>4741</v>
      </c>
      <c r="E1022" s="84">
        <v>12.99</v>
      </c>
      <c r="F1022" s="84">
        <v>6.4950000000000001</v>
      </c>
      <c r="G1022" t="s">
        <v>4467</v>
      </c>
      <c r="H1022" t="s">
        <v>4721</v>
      </c>
      <c r="I1022" t="s">
        <v>841</v>
      </c>
      <c r="J1022" t="s">
        <v>4722</v>
      </c>
      <c r="K1022" t="s">
        <v>4723</v>
      </c>
      <c r="L1022" t="s">
        <v>670</v>
      </c>
      <c r="N1022">
        <v>13</v>
      </c>
      <c r="O1022">
        <v>1.5</v>
      </c>
      <c r="P1022">
        <v>2.5349999999999998E-4</v>
      </c>
      <c r="Q1022" s="84" t="e">
        <v>#REF!</v>
      </c>
      <c r="R1022" s="85">
        <v>61.197355544805802</v>
      </c>
      <c r="S1022" s="85">
        <v>88000</v>
      </c>
      <c r="T1022" s="86">
        <v>88061.197355544806</v>
      </c>
      <c r="U1022" s="84">
        <v>5.8707464903696502</v>
      </c>
      <c r="V1022" s="84">
        <v>9.093</v>
      </c>
      <c r="W1022" s="84">
        <v>4.5465</v>
      </c>
      <c r="X1022" s="82">
        <v>0.35</v>
      </c>
      <c r="Y1022" s="87">
        <v>11.7414929807393</v>
      </c>
      <c r="Z1022" s="84">
        <v>11.7414929807393</v>
      </c>
      <c r="AA1022" s="84">
        <v>23.482985961478601</v>
      </c>
      <c r="AB1022" s="88">
        <v>2</v>
      </c>
      <c r="AC1022" t="s">
        <v>4742</v>
      </c>
    </row>
    <row r="1023" spans="3:29">
      <c r="C1023" t="s">
        <v>4743</v>
      </c>
      <c r="D1023" t="s">
        <v>4741</v>
      </c>
      <c r="E1023" s="84">
        <v>16.989999999999998</v>
      </c>
      <c r="F1023" s="84">
        <v>8.4949999999999992</v>
      </c>
      <c r="G1023" t="s">
        <v>4467</v>
      </c>
      <c r="H1023" t="s">
        <v>4726</v>
      </c>
      <c r="I1023" t="s">
        <v>841</v>
      </c>
      <c r="J1023" t="s">
        <v>4727</v>
      </c>
      <c r="K1023" t="s">
        <v>4723</v>
      </c>
      <c r="L1023" t="s">
        <v>670</v>
      </c>
      <c r="N1023">
        <v>18</v>
      </c>
      <c r="O1023">
        <v>1.5</v>
      </c>
      <c r="P1023">
        <v>4.86E-4</v>
      </c>
      <c r="Q1023" s="84" t="e">
        <v>#REF!</v>
      </c>
      <c r="R1023" s="85">
        <v>117.32510767199</v>
      </c>
      <c r="S1023" s="85">
        <v>132000</v>
      </c>
      <c r="T1023" s="86">
        <v>132117.32510767199</v>
      </c>
      <c r="U1023" s="84">
        <v>8.8078216738447992</v>
      </c>
      <c r="V1023" s="84">
        <v>11.893000000000001</v>
      </c>
      <c r="W1023" s="84">
        <v>5.9465000000000003</v>
      </c>
      <c r="X1023" s="82">
        <v>0.35</v>
      </c>
      <c r="Y1023" s="87">
        <v>17.615643347689598</v>
      </c>
      <c r="Z1023" s="84">
        <v>17.615643347689598</v>
      </c>
      <c r="AA1023" s="84">
        <v>35.231286695379197</v>
      </c>
      <c r="AB1023" s="88">
        <v>2</v>
      </c>
      <c r="AC1023" t="s">
        <v>4744</v>
      </c>
    </row>
    <row r="1024" spans="3:29">
      <c r="C1024" t="s">
        <v>4745</v>
      </c>
      <c r="D1024" t="s">
        <v>4741</v>
      </c>
      <c r="E1024" s="84">
        <v>20.99</v>
      </c>
      <c r="F1024" s="84">
        <v>10.494999999999999</v>
      </c>
      <c r="G1024" t="s">
        <v>4467</v>
      </c>
      <c r="H1024" t="s">
        <v>4730</v>
      </c>
      <c r="I1024" t="s">
        <v>841</v>
      </c>
      <c r="J1024" t="s">
        <v>4731</v>
      </c>
      <c r="K1024" t="s">
        <v>4723</v>
      </c>
      <c r="L1024" t="s">
        <v>670</v>
      </c>
      <c r="N1024">
        <v>24</v>
      </c>
      <c r="O1024">
        <v>1.5</v>
      </c>
      <c r="P1024">
        <v>8.6399999999999997E-4</v>
      </c>
      <c r="Q1024" s="84" t="e">
        <v>#REF!</v>
      </c>
      <c r="R1024" s="85">
        <v>208.57796919401201</v>
      </c>
      <c r="S1024" s="85">
        <v>198000</v>
      </c>
      <c r="T1024" s="86">
        <v>198208.57796919401</v>
      </c>
      <c r="U1024" s="84">
        <v>13.2139051979463</v>
      </c>
      <c r="V1024" s="84">
        <v>14.693</v>
      </c>
      <c r="W1024" s="84">
        <v>7.3464999999999998</v>
      </c>
      <c r="X1024" s="82">
        <v>0.35</v>
      </c>
      <c r="Y1024" s="87">
        <v>26.4278103958925</v>
      </c>
      <c r="Z1024" s="84">
        <v>26.4278103958925</v>
      </c>
      <c r="AA1024" s="84">
        <v>52.8556207917851</v>
      </c>
      <c r="AB1024" s="88">
        <v>2</v>
      </c>
      <c r="AC1024" t="s">
        <v>4746</v>
      </c>
    </row>
    <row r="1025" spans="3:29" ht="60.75">
      <c r="C1025" t="s">
        <v>4747</v>
      </c>
      <c r="D1025" t="s">
        <v>4741</v>
      </c>
      <c r="E1025" s="84">
        <v>27.99</v>
      </c>
      <c r="F1025" s="84">
        <v>13.994999999999999</v>
      </c>
      <c r="G1025" t="s">
        <v>4467</v>
      </c>
      <c r="H1025" t="s">
        <v>4748</v>
      </c>
      <c r="I1025" t="s">
        <v>841</v>
      </c>
      <c r="J1025" s="83" t="s">
        <v>4749</v>
      </c>
      <c r="K1025" s="83" t="s">
        <v>4750</v>
      </c>
      <c r="L1025" t="s">
        <v>670</v>
      </c>
      <c r="P1025">
        <v>0</v>
      </c>
      <c r="Q1025" s="84" t="e">
        <v>#REF!</v>
      </c>
      <c r="R1025" s="85">
        <v>263.98149226099503</v>
      </c>
      <c r="S1025" s="85">
        <v>231000</v>
      </c>
      <c r="T1025" s="86">
        <v>231263.98149226099</v>
      </c>
      <c r="U1025" s="84">
        <v>15.4175987661507</v>
      </c>
      <c r="V1025" s="84">
        <v>19.593</v>
      </c>
      <c r="W1025" s="84">
        <v>9.7965</v>
      </c>
      <c r="X1025" s="82">
        <v>0.35</v>
      </c>
      <c r="Y1025" s="87">
        <v>30.8351975323015</v>
      </c>
      <c r="Z1025" s="84">
        <v>30.8351975323015</v>
      </c>
      <c r="AA1025" s="84">
        <v>61.6703950646029</v>
      </c>
      <c r="AB1025" s="88">
        <v>2</v>
      </c>
      <c r="AC1025" t="s">
        <v>4744</v>
      </c>
    </row>
    <row r="1026" spans="3:29">
      <c r="C1026" t="s">
        <v>4751</v>
      </c>
      <c r="D1026" t="s">
        <v>4741</v>
      </c>
      <c r="E1026" s="84">
        <v>31.99</v>
      </c>
      <c r="F1026" s="84">
        <v>15.994999999999999</v>
      </c>
      <c r="G1026" t="s">
        <v>4467</v>
      </c>
      <c r="H1026" t="s">
        <v>4738</v>
      </c>
      <c r="I1026" t="s">
        <v>841</v>
      </c>
      <c r="J1026" t="s">
        <v>4739</v>
      </c>
      <c r="K1026" t="s">
        <v>4723</v>
      </c>
      <c r="L1026" t="s">
        <v>670</v>
      </c>
      <c r="N1026">
        <v>32</v>
      </c>
      <c r="O1026">
        <v>1.5</v>
      </c>
      <c r="P1026">
        <v>1.536E-3</v>
      </c>
      <c r="Q1026" s="84" t="e">
        <v>#REF!</v>
      </c>
      <c r="R1026" s="85">
        <v>370.80527856701502</v>
      </c>
      <c r="S1026" s="85">
        <v>297000</v>
      </c>
      <c r="T1026" s="86">
        <v>297370.80527856702</v>
      </c>
      <c r="U1026" s="84">
        <v>19.824720351904499</v>
      </c>
      <c r="V1026" s="84">
        <v>22.393000000000001</v>
      </c>
      <c r="W1026" s="84">
        <v>11.1965</v>
      </c>
      <c r="X1026" s="82">
        <v>0.35</v>
      </c>
      <c r="Y1026" s="87">
        <v>39.649440703808899</v>
      </c>
      <c r="Z1026" s="84">
        <v>39.649440703808899</v>
      </c>
      <c r="AA1026" s="84">
        <v>79.298881407617898</v>
      </c>
      <c r="AB1026" s="88">
        <v>2</v>
      </c>
      <c r="AC1026" t="s">
        <v>4752</v>
      </c>
    </row>
    <row r="1027" spans="3:29">
      <c r="C1027" t="s">
        <v>4753</v>
      </c>
      <c r="D1027" t="s">
        <v>4754</v>
      </c>
      <c r="E1027" s="84">
        <v>12.99</v>
      </c>
      <c r="F1027" s="84">
        <v>6.4950000000000001</v>
      </c>
      <c r="G1027" t="s">
        <v>4467</v>
      </c>
      <c r="H1027" t="s">
        <v>4755</v>
      </c>
      <c r="I1027" t="s">
        <v>830</v>
      </c>
      <c r="J1027" t="s">
        <v>4756</v>
      </c>
      <c r="K1027" t="s">
        <v>4723</v>
      </c>
      <c r="L1027" t="s">
        <v>670</v>
      </c>
      <c r="N1027">
        <v>13</v>
      </c>
      <c r="O1027">
        <v>3</v>
      </c>
      <c r="P1027">
        <v>5.0699999999999996E-4</v>
      </c>
      <c r="Q1027" s="84" t="e">
        <v>#REF!</v>
      </c>
      <c r="R1027" s="85">
        <v>122.39471109000399</v>
      </c>
      <c r="S1027" s="85">
        <v>110000</v>
      </c>
      <c r="T1027" s="86">
        <v>110122.39471109</v>
      </c>
      <c r="U1027" s="84">
        <v>7.3414929807393303</v>
      </c>
      <c r="V1027" s="84">
        <v>9.093</v>
      </c>
      <c r="W1027" s="84">
        <v>4.5465</v>
      </c>
      <c r="X1027" s="82">
        <v>0.35</v>
      </c>
      <c r="Y1027" s="87">
        <v>14.6829859614787</v>
      </c>
      <c r="Z1027" s="84">
        <v>14.6829859614787</v>
      </c>
      <c r="AA1027" s="84">
        <v>29.3659719229573</v>
      </c>
      <c r="AB1027" s="88">
        <v>2</v>
      </c>
      <c r="AC1027" t="s">
        <v>4757</v>
      </c>
    </row>
    <row r="1028" spans="3:29">
      <c r="C1028" t="s">
        <v>4758</v>
      </c>
      <c r="D1028" t="s">
        <v>4754</v>
      </c>
      <c r="E1028" s="84">
        <v>17.989999999999998</v>
      </c>
      <c r="F1028" s="84">
        <v>8.9949999999999992</v>
      </c>
      <c r="G1028" t="s">
        <v>4467</v>
      </c>
      <c r="H1028" t="s">
        <v>4759</v>
      </c>
      <c r="I1028" t="s">
        <v>830</v>
      </c>
      <c r="J1028" t="s">
        <v>4760</v>
      </c>
      <c r="K1028" t="s">
        <v>4723</v>
      </c>
      <c r="L1028" t="s">
        <v>670</v>
      </c>
      <c r="N1028">
        <v>20</v>
      </c>
      <c r="O1028">
        <v>3</v>
      </c>
      <c r="P1028">
        <v>1.1999999999999999E-3</v>
      </c>
      <c r="Q1028" s="84" t="e">
        <v>#REF!</v>
      </c>
      <c r="R1028" s="85">
        <v>289.69162388099397</v>
      </c>
      <c r="S1028" s="85">
        <v>165000</v>
      </c>
      <c r="T1028" s="86">
        <v>165289.69162388099</v>
      </c>
      <c r="U1028" s="84">
        <v>11.0193127749254</v>
      </c>
      <c r="V1028" s="84">
        <v>12.593</v>
      </c>
      <c r="W1028" s="84">
        <v>6.2965</v>
      </c>
      <c r="X1028" s="82">
        <v>0.35</v>
      </c>
      <c r="Y1028" s="87">
        <v>22.038625549850799</v>
      </c>
      <c r="Z1028" s="84">
        <v>22.038625549850799</v>
      </c>
      <c r="AA1028" s="84">
        <v>44.077251099701598</v>
      </c>
      <c r="AB1028" s="88">
        <v>2</v>
      </c>
      <c r="AC1028" t="s">
        <v>4761</v>
      </c>
    </row>
    <row r="1029" spans="3:29">
      <c r="C1029" t="s">
        <v>4762</v>
      </c>
      <c r="D1029" t="s">
        <v>4754</v>
      </c>
      <c r="E1029" s="84">
        <v>20.99</v>
      </c>
      <c r="F1029" s="84">
        <v>10.494999999999999</v>
      </c>
      <c r="G1029" t="s">
        <v>4467</v>
      </c>
      <c r="H1029" t="s">
        <v>4763</v>
      </c>
      <c r="I1029" t="s">
        <v>830</v>
      </c>
      <c r="J1029" t="s">
        <v>4764</v>
      </c>
      <c r="K1029" t="s">
        <v>4723</v>
      </c>
      <c r="L1029" t="s">
        <v>670</v>
      </c>
      <c r="N1029">
        <v>22</v>
      </c>
      <c r="O1029">
        <v>3</v>
      </c>
      <c r="P1029">
        <v>1.4519999999999999E-3</v>
      </c>
      <c r="Q1029" s="84" t="e">
        <v>#REF!</v>
      </c>
      <c r="R1029" s="85">
        <v>350.52686489600501</v>
      </c>
      <c r="S1029" s="85">
        <v>198000</v>
      </c>
      <c r="T1029" s="86">
        <v>198350.526864896</v>
      </c>
      <c r="U1029" s="84">
        <v>13.223368457659699</v>
      </c>
      <c r="V1029" s="84">
        <v>14.693</v>
      </c>
      <c r="W1029" s="84">
        <v>7.3464999999999998</v>
      </c>
      <c r="X1029" s="82">
        <v>0.35</v>
      </c>
      <c r="Y1029" s="87">
        <v>26.446736915319502</v>
      </c>
      <c r="Z1029" s="84">
        <v>26.446736915319502</v>
      </c>
      <c r="AA1029" s="84">
        <v>52.893473830638897</v>
      </c>
      <c r="AB1029" s="88">
        <v>2</v>
      </c>
      <c r="AC1029" t="s">
        <v>4757</v>
      </c>
    </row>
    <row r="1030" spans="3:29">
      <c r="C1030" t="s">
        <v>4765</v>
      </c>
      <c r="D1030" t="s">
        <v>4754</v>
      </c>
      <c r="E1030" s="84">
        <v>26.99</v>
      </c>
      <c r="F1030" s="84">
        <v>13.494999999999999</v>
      </c>
      <c r="G1030" t="s">
        <v>4467</v>
      </c>
      <c r="H1030" t="s">
        <v>4766</v>
      </c>
      <c r="I1030" t="s">
        <v>830</v>
      </c>
      <c r="J1030" t="s">
        <v>4767</v>
      </c>
      <c r="K1030" t="s">
        <v>4723</v>
      </c>
      <c r="L1030" t="s">
        <v>670</v>
      </c>
      <c r="N1030">
        <v>27</v>
      </c>
      <c r="O1030">
        <v>3</v>
      </c>
      <c r="P1030">
        <v>2.1870000000000001E-3</v>
      </c>
      <c r="Q1030" s="84" t="e">
        <v>#REF!</v>
      </c>
      <c r="R1030" s="85">
        <v>527.96298452199005</v>
      </c>
      <c r="S1030" s="85">
        <v>264000</v>
      </c>
      <c r="T1030" s="86">
        <v>264527.96298452199</v>
      </c>
      <c r="U1030" s="84">
        <v>17.6351975323015</v>
      </c>
      <c r="V1030" s="84">
        <v>18.893000000000001</v>
      </c>
      <c r="W1030" s="84">
        <v>9.4465000000000003</v>
      </c>
      <c r="X1030" s="82">
        <v>0.35</v>
      </c>
      <c r="Y1030" s="87">
        <v>35.270395064602901</v>
      </c>
      <c r="Z1030" s="84">
        <v>35.270395064602901</v>
      </c>
      <c r="AA1030" s="84">
        <v>70.540790129205902</v>
      </c>
      <c r="AB1030" s="88">
        <v>2</v>
      </c>
      <c r="AC1030" t="s">
        <v>4757</v>
      </c>
    </row>
    <row r="1031" spans="3:29">
      <c r="C1031" t="s">
        <v>4768</v>
      </c>
      <c r="D1031" t="s">
        <v>4754</v>
      </c>
      <c r="E1031" s="84">
        <v>32.99</v>
      </c>
      <c r="F1031" s="84">
        <v>16.495000000000001</v>
      </c>
      <c r="G1031" t="s">
        <v>4467</v>
      </c>
      <c r="H1031" t="s">
        <v>4769</v>
      </c>
      <c r="I1031" t="s">
        <v>830</v>
      </c>
      <c r="J1031" t="s">
        <v>4770</v>
      </c>
      <c r="K1031" t="s">
        <v>4723</v>
      </c>
      <c r="L1031" t="s">
        <v>670</v>
      </c>
      <c r="N1031">
        <v>32</v>
      </c>
      <c r="O1031">
        <v>3</v>
      </c>
      <c r="P1031">
        <v>3.0720000000000001E-3</v>
      </c>
      <c r="Q1031" s="84" t="e">
        <v>#REF!</v>
      </c>
      <c r="R1031" s="85">
        <v>741.61055713397195</v>
      </c>
      <c r="S1031" s="85">
        <v>330000</v>
      </c>
      <c r="T1031" s="86">
        <v>330741.61055713397</v>
      </c>
      <c r="U1031" s="84">
        <v>22.049440703808902</v>
      </c>
      <c r="V1031" s="84">
        <v>23.093</v>
      </c>
      <c r="W1031" s="84">
        <v>11.5465</v>
      </c>
      <c r="X1031" s="82">
        <v>0.35</v>
      </c>
      <c r="Y1031" s="87">
        <v>44.098881407617903</v>
      </c>
      <c r="Z1031" s="84">
        <v>44.098881407617903</v>
      </c>
      <c r="AA1031" s="84">
        <v>88.197762815235706</v>
      </c>
      <c r="AB1031" s="88">
        <v>2</v>
      </c>
      <c r="AC1031" t="s">
        <v>4771</v>
      </c>
    </row>
    <row r="1032" spans="3:29">
      <c r="C1032" t="s">
        <v>4772</v>
      </c>
      <c r="D1032" t="s">
        <v>4773</v>
      </c>
      <c r="E1032" s="84">
        <v>11.99</v>
      </c>
      <c r="F1032" s="84">
        <v>5.9950000000000001</v>
      </c>
      <c r="G1032" t="s">
        <v>4467</v>
      </c>
      <c r="H1032" t="s">
        <v>4774</v>
      </c>
      <c r="I1032" t="s">
        <v>810</v>
      </c>
      <c r="J1032" t="s">
        <v>4722</v>
      </c>
      <c r="K1032" t="s">
        <v>4723</v>
      </c>
      <c r="L1032" t="s">
        <v>670</v>
      </c>
      <c r="N1032">
        <v>13</v>
      </c>
      <c r="O1032">
        <v>1.5</v>
      </c>
      <c r="P1032">
        <v>2.5349999999999998E-4</v>
      </c>
      <c r="Q1032" s="84" t="e">
        <v>#REF!</v>
      </c>
      <c r="R1032" s="85">
        <v>61.197355544805802</v>
      </c>
      <c r="S1032" s="85">
        <v>96800</v>
      </c>
      <c r="T1032" s="86">
        <v>96861.197355544806</v>
      </c>
      <c r="U1032" s="84">
        <v>6.4574131570363198</v>
      </c>
      <c r="V1032" s="84">
        <v>8.3930000000000007</v>
      </c>
      <c r="W1032" s="84">
        <v>4.1965000000000003</v>
      </c>
      <c r="X1032" s="82">
        <v>0.35</v>
      </c>
      <c r="Y1032" s="87">
        <v>12.914826314072601</v>
      </c>
      <c r="Z1032" s="84">
        <v>12.914826314072601</v>
      </c>
      <c r="AA1032" s="84">
        <v>25.8296526281453</v>
      </c>
      <c r="AB1032" s="88">
        <v>2</v>
      </c>
      <c r="AC1032" t="s">
        <v>4775</v>
      </c>
    </row>
    <row r="1033" spans="3:29">
      <c r="C1033" t="s">
        <v>4776</v>
      </c>
      <c r="D1033" t="s">
        <v>4773</v>
      </c>
      <c r="E1033" s="84">
        <v>17.989999999999998</v>
      </c>
      <c r="F1033" s="84">
        <v>8.9949999999999992</v>
      </c>
      <c r="G1033" t="s">
        <v>4467</v>
      </c>
      <c r="H1033" t="s">
        <v>4777</v>
      </c>
      <c r="I1033" t="s">
        <v>810</v>
      </c>
      <c r="J1033" t="s">
        <v>4727</v>
      </c>
      <c r="K1033" t="s">
        <v>4723</v>
      </c>
      <c r="L1033" t="s">
        <v>670</v>
      </c>
      <c r="N1033">
        <v>18</v>
      </c>
      <c r="O1033">
        <v>1.5</v>
      </c>
      <c r="P1033">
        <v>4.86E-4</v>
      </c>
      <c r="Q1033" s="84" t="e">
        <v>#REF!</v>
      </c>
      <c r="R1033" s="85">
        <v>117.32510767199</v>
      </c>
      <c r="S1033" s="85">
        <v>145200</v>
      </c>
      <c r="T1033" s="86">
        <v>145317.32510767199</v>
      </c>
      <c r="U1033" s="84">
        <v>9.6878216738448</v>
      </c>
      <c r="V1033" s="84">
        <v>12.593</v>
      </c>
      <c r="W1033" s="84">
        <v>6.2965</v>
      </c>
      <c r="X1033" s="82">
        <v>0.35</v>
      </c>
      <c r="Y1033" s="87">
        <v>19.3756433476896</v>
      </c>
      <c r="Z1033" s="84">
        <v>19.3756433476896</v>
      </c>
      <c r="AA1033" s="84">
        <v>38.7512866953792</v>
      </c>
      <c r="AB1033" s="88">
        <v>2</v>
      </c>
      <c r="AC1033" t="s">
        <v>4778</v>
      </c>
    </row>
    <row r="1034" spans="3:29">
      <c r="C1034" t="s">
        <v>4779</v>
      </c>
      <c r="D1034" t="s">
        <v>4773</v>
      </c>
      <c r="E1034" s="84">
        <v>19.989999999999998</v>
      </c>
      <c r="F1034" s="84">
        <v>9.9949999999999992</v>
      </c>
      <c r="G1034" t="s">
        <v>4467</v>
      </c>
      <c r="H1034" t="s">
        <v>4780</v>
      </c>
      <c r="I1034" t="s">
        <v>810</v>
      </c>
      <c r="J1034" t="s">
        <v>4731</v>
      </c>
      <c r="K1034" t="s">
        <v>4723</v>
      </c>
      <c r="L1034" t="s">
        <v>670</v>
      </c>
      <c r="N1034">
        <v>24</v>
      </c>
      <c r="O1034">
        <v>1.5</v>
      </c>
      <c r="P1034">
        <v>8.6399999999999997E-4</v>
      </c>
      <c r="Q1034" s="84" t="e">
        <v>#REF!</v>
      </c>
      <c r="R1034" s="85">
        <v>208.57796919401201</v>
      </c>
      <c r="S1034" s="85">
        <v>205700</v>
      </c>
      <c r="T1034" s="86">
        <v>205908.57796919401</v>
      </c>
      <c r="U1034" s="84">
        <v>13.7272385312796</v>
      </c>
      <c r="V1034" s="84">
        <v>13.993</v>
      </c>
      <c r="W1034" s="84">
        <v>6.9965000000000002</v>
      </c>
      <c r="X1034" s="82">
        <v>0.35</v>
      </c>
      <c r="Y1034" s="87">
        <v>27.454477062559199</v>
      </c>
      <c r="Z1034" s="84">
        <v>27.454477062559199</v>
      </c>
      <c r="AA1034" s="84">
        <v>54.908954125118399</v>
      </c>
      <c r="AB1034" s="88">
        <v>2</v>
      </c>
      <c r="AC1034" t="s">
        <v>4781</v>
      </c>
    </row>
    <row r="1035" spans="3:29">
      <c r="C1035" t="s">
        <v>4782</v>
      </c>
      <c r="D1035" t="s">
        <v>4773</v>
      </c>
      <c r="E1035" s="84">
        <v>26.99</v>
      </c>
      <c r="F1035" s="84">
        <v>13.494999999999999</v>
      </c>
      <c r="G1035" t="s">
        <v>4467</v>
      </c>
      <c r="H1035" t="s">
        <v>4783</v>
      </c>
      <c r="I1035" t="s">
        <v>810</v>
      </c>
      <c r="J1035" t="s">
        <v>4735</v>
      </c>
      <c r="K1035" t="s">
        <v>4723</v>
      </c>
      <c r="L1035" t="s">
        <v>670</v>
      </c>
      <c r="N1035">
        <v>27</v>
      </c>
      <c r="O1035">
        <v>1.5</v>
      </c>
      <c r="P1035">
        <v>1.0935000000000001E-3</v>
      </c>
      <c r="Q1035" s="84" t="e">
        <v>#REF!</v>
      </c>
      <c r="R1035" s="85">
        <v>263.98149226099503</v>
      </c>
      <c r="S1035" s="85">
        <v>242000</v>
      </c>
      <c r="T1035" s="86">
        <v>242263.98149226099</v>
      </c>
      <c r="U1035" s="84">
        <v>16.150932099484098</v>
      </c>
      <c r="V1035" s="84">
        <v>18.893000000000001</v>
      </c>
      <c r="W1035" s="84">
        <v>9.4465000000000003</v>
      </c>
      <c r="X1035" s="82">
        <v>0.35</v>
      </c>
      <c r="Y1035" s="87">
        <v>32.301864198968097</v>
      </c>
      <c r="Z1035" s="84">
        <v>32.301864198968097</v>
      </c>
      <c r="AA1035" s="84">
        <v>64.603728397936294</v>
      </c>
      <c r="AB1035" s="88">
        <v>2</v>
      </c>
      <c r="AC1035" t="s">
        <v>4778</v>
      </c>
    </row>
    <row r="1036" spans="3:29">
      <c r="C1036" t="s">
        <v>4784</v>
      </c>
      <c r="D1036" t="s">
        <v>4773</v>
      </c>
      <c r="E1036" s="84">
        <v>30.99</v>
      </c>
      <c r="F1036" s="84">
        <v>15.494999999999999</v>
      </c>
      <c r="G1036" t="s">
        <v>4467</v>
      </c>
      <c r="H1036" t="s">
        <v>4785</v>
      </c>
      <c r="I1036" t="s">
        <v>810</v>
      </c>
      <c r="J1036" t="s">
        <v>4739</v>
      </c>
      <c r="K1036" t="s">
        <v>4723</v>
      </c>
      <c r="L1036" t="s">
        <v>670</v>
      </c>
      <c r="N1036">
        <v>32</v>
      </c>
      <c r="O1036">
        <v>1.5</v>
      </c>
      <c r="P1036">
        <v>1.536E-3</v>
      </c>
      <c r="Q1036" s="84" t="e">
        <v>#REF!</v>
      </c>
      <c r="R1036" s="85">
        <v>370.80527856701502</v>
      </c>
      <c r="S1036" s="85">
        <v>302500</v>
      </c>
      <c r="T1036" s="86">
        <v>302870.80527856702</v>
      </c>
      <c r="U1036" s="84">
        <v>20.191387018571099</v>
      </c>
      <c r="V1036" s="84">
        <v>21.693000000000001</v>
      </c>
      <c r="W1036" s="84">
        <v>10.846500000000001</v>
      </c>
      <c r="X1036" s="82">
        <v>0.35</v>
      </c>
      <c r="Y1036" s="87">
        <v>40.382774037142298</v>
      </c>
      <c r="Z1036" s="84">
        <v>40.382774037142298</v>
      </c>
      <c r="AA1036" s="84">
        <v>80.765548074284496</v>
      </c>
      <c r="AB1036" s="88">
        <v>2</v>
      </c>
      <c r="AC1036" t="s">
        <v>4786</v>
      </c>
    </row>
    <row r="1037" spans="3:29">
      <c r="C1037" t="s">
        <v>4787</v>
      </c>
      <c r="D1037" t="s">
        <v>4788</v>
      </c>
      <c r="E1037" s="84">
        <v>12.99</v>
      </c>
      <c r="F1037" s="84">
        <v>6.4950000000000001</v>
      </c>
      <c r="G1037" t="s">
        <v>4467</v>
      </c>
      <c r="H1037" t="s">
        <v>4774</v>
      </c>
      <c r="I1037" t="s">
        <v>834</v>
      </c>
      <c r="J1037" t="s">
        <v>4722</v>
      </c>
      <c r="K1037" t="s">
        <v>4723</v>
      </c>
      <c r="L1037" t="s">
        <v>670</v>
      </c>
      <c r="N1037">
        <v>13</v>
      </c>
      <c r="O1037">
        <v>1.5</v>
      </c>
      <c r="P1037">
        <v>2.5349999999999998E-4</v>
      </c>
      <c r="Q1037" s="84" t="e">
        <v>#REF!</v>
      </c>
      <c r="R1037" s="85">
        <v>61.197355544805802</v>
      </c>
      <c r="S1037" s="85">
        <v>96800</v>
      </c>
      <c r="T1037" s="86">
        <v>96861.197355544806</v>
      </c>
      <c r="U1037" s="84">
        <v>6.4574131570363198</v>
      </c>
      <c r="V1037" s="84">
        <v>9.093</v>
      </c>
      <c r="W1037" s="84">
        <v>4.5465</v>
      </c>
      <c r="X1037" s="82">
        <v>0.35</v>
      </c>
      <c r="Y1037" s="87">
        <v>12.914826314072601</v>
      </c>
      <c r="Z1037" s="84">
        <v>12.914826314072601</v>
      </c>
      <c r="AA1037" s="84">
        <v>25.8296526281453</v>
      </c>
      <c r="AB1037" s="88">
        <v>2</v>
      </c>
      <c r="AC1037" t="s">
        <v>4789</v>
      </c>
    </row>
    <row r="1038" spans="3:29">
      <c r="C1038" t="s">
        <v>4790</v>
      </c>
      <c r="D1038" t="s">
        <v>4788</v>
      </c>
      <c r="E1038" s="84">
        <v>18.989999999999998</v>
      </c>
      <c r="F1038" s="84">
        <v>9.4949999999999992</v>
      </c>
      <c r="G1038" t="s">
        <v>4467</v>
      </c>
      <c r="H1038" t="s">
        <v>4777</v>
      </c>
      <c r="I1038" t="s">
        <v>834</v>
      </c>
      <c r="J1038" t="s">
        <v>4727</v>
      </c>
      <c r="K1038" t="s">
        <v>4723</v>
      </c>
      <c r="L1038" t="s">
        <v>670</v>
      </c>
      <c r="N1038">
        <v>18</v>
      </c>
      <c r="O1038">
        <v>1.5</v>
      </c>
      <c r="P1038">
        <v>4.86E-4</v>
      </c>
      <c r="Q1038" s="84" t="e">
        <v>#REF!</v>
      </c>
      <c r="R1038" s="85">
        <v>117.32510767199</v>
      </c>
      <c r="S1038" s="85">
        <v>145200</v>
      </c>
      <c r="T1038" s="86">
        <v>145317.32510767199</v>
      </c>
      <c r="U1038" s="84">
        <v>9.6878216738448</v>
      </c>
      <c r="V1038" s="84">
        <v>13.292999999999999</v>
      </c>
      <c r="W1038" s="84">
        <v>6.6464999999999996</v>
      </c>
      <c r="X1038" s="82">
        <v>0.35</v>
      </c>
      <c r="Y1038" s="87">
        <v>19.3756433476896</v>
      </c>
      <c r="Z1038" s="84">
        <v>19.3756433476896</v>
      </c>
      <c r="AA1038" s="84">
        <v>38.7512866953792</v>
      </c>
      <c r="AB1038" s="88">
        <v>2</v>
      </c>
      <c r="AC1038" t="s">
        <v>4791</v>
      </c>
    </row>
    <row r="1039" spans="3:29">
      <c r="C1039" t="s">
        <v>4792</v>
      </c>
      <c r="D1039" t="s">
        <v>4788</v>
      </c>
      <c r="E1039" s="84">
        <v>23.99</v>
      </c>
      <c r="F1039" s="84">
        <v>11.994999999999999</v>
      </c>
      <c r="G1039" t="s">
        <v>4467</v>
      </c>
      <c r="H1039" t="s">
        <v>4780</v>
      </c>
      <c r="I1039" t="s">
        <v>834</v>
      </c>
      <c r="J1039" t="s">
        <v>4731</v>
      </c>
      <c r="K1039" t="s">
        <v>4723</v>
      </c>
      <c r="L1039" t="s">
        <v>670</v>
      </c>
      <c r="N1039">
        <v>24</v>
      </c>
      <c r="O1039">
        <v>1.5</v>
      </c>
      <c r="P1039">
        <v>8.6399999999999997E-4</v>
      </c>
      <c r="Q1039" s="84" t="e">
        <v>#REF!</v>
      </c>
      <c r="R1039" s="85">
        <v>208.57796919401201</v>
      </c>
      <c r="S1039" s="85">
        <v>217800</v>
      </c>
      <c r="T1039" s="86">
        <v>218008.57796919401</v>
      </c>
      <c r="U1039" s="84">
        <v>14.5339051979463</v>
      </c>
      <c r="V1039" s="84">
        <v>16.792999999999999</v>
      </c>
      <c r="W1039" s="84">
        <v>8.3964999999999996</v>
      </c>
      <c r="X1039" s="82">
        <v>0.35</v>
      </c>
      <c r="Y1039" s="87">
        <v>29.067810395892501</v>
      </c>
      <c r="Z1039" s="84">
        <v>29.067810395892501</v>
      </c>
      <c r="AA1039" s="84">
        <v>58.135620791785101</v>
      </c>
      <c r="AB1039" s="88">
        <v>2</v>
      </c>
      <c r="AC1039" t="s">
        <v>4793</v>
      </c>
    </row>
    <row r="1040" spans="3:29">
      <c r="C1040" t="s">
        <v>4794</v>
      </c>
      <c r="D1040" t="s">
        <v>4788</v>
      </c>
      <c r="E1040" s="84">
        <v>30.99</v>
      </c>
      <c r="F1040" s="84">
        <v>15.494999999999999</v>
      </c>
      <c r="G1040" t="s">
        <v>4467</v>
      </c>
      <c r="H1040" t="s">
        <v>4783</v>
      </c>
      <c r="I1040" t="s">
        <v>834</v>
      </c>
      <c r="J1040" t="s">
        <v>4735</v>
      </c>
      <c r="K1040" t="s">
        <v>4723</v>
      </c>
      <c r="L1040" t="s">
        <v>670</v>
      </c>
      <c r="N1040">
        <v>27</v>
      </c>
      <c r="O1040">
        <v>1.5</v>
      </c>
      <c r="P1040">
        <v>1.0935000000000001E-3</v>
      </c>
      <c r="Q1040" s="84" t="e">
        <v>#REF!</v>
      </c>
      <c r="R1040" s="85">
        <v>263.98149226099503</v>
      </c>
      <c r="S1040" s="85">
        <v>254100</v>
      </c>
      <c r="T1040" s="86">
        <v>254363.98149226099</v>
      </c>
      <c r="U1040" s="84">
        <v>16.957598766150699</v>
      </c>
      <c r="V1040" s="84">
        <v>21.693000000000001</v>
      </c>
      <c r="W1040" s="84">
        <v>10.846500000000001</v>
      </c>
      <c r="X1040" s="82">
        <v>0.35</v>
      </c>
      <c r="Y1040" s="87">
        <v>33.915197532301498</v>
      </c>
      <c r="Z1040" s="84">
        <v>33.915197532301498</v>
      </c>
      <c r="AA1040" s="84">
        <v>67.830395064602897</v>
      </c>
      <c r="AB1040" s="88">
        <v>2</v>
      </c>
      <c r="AC1040" t="s">
        <v>4795</v>
      </c>
    </row>
    <row r="1041" spans="3:29">
      <c r="C1041" t="s">
        <v>4796</v>
      </c>
      <c r="D1041" t="s">
        <v>4788</v>
      </c>
      <c r="E1041" s="84">
        <v>34.99</v>
      </c>
      <c r="F1041" s="84">
        <v>17.495000000000001</v>
      </c>
      <c r="G1041" t="s">
        <v>4467</v>
      </c>
      <c r="H1041" t="s">
        <v>4785</v>
      </c>
      <c r="I1041" t="s">
        <v>834</v>
      </c>
      <c r="J1041" t="s">
        <v>4739</v>
      </c>
      <c r="K1041" t="s">
        <v>4723</v>
      </c>
      <c r="L1041" t="s">
        <v>670</v>
      </c>
      <c r="N1041">
        <v>32</v>
      </c>
      <c r="O1041">
        <v>1.5</v>
      </c>
      <c r="P1041">
        <v>1.536E-3</v>
      </c>
      <c r="Q1041" s="84" t="e">
        <v>#REF!</v>
      </c>
      <c r="R1041" s="85">
        <v>370.80527856701502</v>
      </c>
      <c r="S1041" s="85">
        <v>326700</v>
      </c>
      <c r="T1041" s="86">
        <v>327070.80527856702</v>
      </c>
      <c r="U1041" s="84">
        <v>21.8047203519045</v>
      </c>
      <c r="V1041" s="84">
        <v>24.492999999999999</v>
      </c>
      <c r="W1041" s="84">
        <v>12.246499999999999</v>
      </c>
      <c r="X1041" s="82">
        <v>0.35</v>
      </c>
      <c r="Y1041" s="87">
        <v>43.6094407038089</v>
      </c>
      <c r="Z1041" s="84">
        <v>43.6094407038089</v>
      </c>
      <c r="AA1041" s="84">
        <v>87.2188814076179</v>
      </c>
      <c r="AB1041" s="88">
        <v>2</v>
      </c>
      <c r="AC1041" t="s">
        <v>4793</v>
      </c>
    </row>
    <row r="1042" spans="3:29">
      <c r="C1042" t="s">
        <v>4797</v>
      </c>
      <c r="D1042" t="s">
        <v>4798</v>
      </c>
      <c r="E1042" s="84">
        <v>12.99</v>
      </c>
      <c r="F1042" s="84">
        <v>6.4950000000000001</v>
      </c>
      <c r="G1042" t="s">
        <v>4467</v>
      </c>
      <c r="H1042" t="s">
        <v>4799</v>
      </c>
      <c r="I1042" t="s">
        <v>824</v>
      </c>
      <c r="J1042" t="s">
        <v>4756</v>
      </c>
      <c r="K1042" t="s">
        <v>4723</v>
      </c>
      <c r="L1042" t="s">
        <v>670</v>
      </c>
      <c r="N1042">
        <v>13</v>
      </c>
      <c r="O1042">
        <v>3</v>
      </c>
      <c r="P1042">
        <v>5.0699999999999996E-4</v>
      </c>
      <c r="Q1042" s="84" t="e">
        <v>#REF!</v>
      </c>
      <c r="R1042" s="85">
        <v>122.39471109000399</v>
      </c>
      <c r="S1042" s="85">
        <v>121000</v>
      </c>
      <c r="T1042" s="86">
        <v>121122.39471109</v>
      </c>
      <c r="U1042" s="84">
        <v>8.0748263140726699</v>
      </c>
      <c r="V1042" s="84">
        <v>9.093</v>
      </c>
      <c r="W1042" s="84">
        <v>4.5465</v>
      </c>
      <c r="X1042" s="82">
        <v>0.35</v>
      </c>
      <c r="Y1042" s="87">
        <v>16.149652628145301</v>
      </c>
      <c r="Z1042" s="84">
        <v>16.149652628145301</v>
      </c>
      <c r="AA1042" s="84">
        <v>32.299305256290701</v>
      </c>
      <c r="AB1042" s="88">
        <v>2</v>
      </c>
      <c r="AC1042" t="s">
        <v>4800</v>
      </c>
    </row>
    <row r="1043" spans="3:29">
      <c r="C1043" t="s">
        <v>4801</v>
      </c>
      <c r="D1043" t="s">
        <v>4798</v>
      </c>
      <c r="E1043" s="84">
        <v>19.989999999999998</v>
      </c>
      <c r="F1043" s="84">
        <v>9.9949999999999992</v>
      </c>
      <c r="G1043" t="s">
        <v>4467</v>
      </c>
      <c r="H1043" t="s">
        <v>4802</v>
      </c>
      <c r="I1043" t="s">
        <v>824</v>
      </c>
      <c r="J1043" t="s">
        <v>4760</v>
      </c>
      <c r="K1043" t="s">
        <v>4723</v>
      </c>
      <c r="L1043" t="s">
        <v>670</v>
      </c>
      <c r="N1043">
        <v>20</v>
      </c>
      <c r="O1043">
        <v>3</v>
      </c>
      <c r="P1043">
        <v>1.1999999999999999E-3</v>
      </c>
      <c r="Q1043" s="84" t="e">
        <v>#REF!</v>
      </c>
      <c r="R1043" s="85">
        <v>289.69162388099397</v>
      </c>
      <c r="S1043" s="85">
        <v>181500</v>
      </c>
      <c r="T1043" s="86">
        <v>181789.69162388099</v>
      </c>
      <c r="U1043" s="84">
        <v>12.119312774925399</v>
      </c>
      <c r="V1043" s="84">
        <v>13.993</v>
      </c>
      <c r="W1043" s="84">
        <v>6.9965000000000002</v>
      </c>
      <c r="X1043" s="82">
        <v>0.35</v>
      </c>
      <c r="Y1043" s="87">
        <v>24.238625549850799</v>
      </c>
      <c r="Z1043" s="84">
        <v>24.238625549850799</v>
      </c>
      <c r="AA1043" s="84">
        <v>48.477251099701597</v>
      </c>
      <c r="AB1043" s="88">
        <v>2</v>
      </c>
      <c r="AC1043" t="s">
        <v>4800</v>
      </c>
    </row>
    <row r="1044" spans="3:29">
      <c r="C1044" t="s">
        <v>4803</v>
      </c>
      <c r="D1044" t="s">
        <v>4798</v>
      </c>
      <c r="E1044" s="84">
        <v>20.99</v>
      </c>
      <c r="F1044" s="84">
        <v>10.494999999999999</v>
      </c>
      <c r="G1044" t="s">
        <v>4467</v>
      </c>
      <c r="H1044" t="s">
        <v>4804</v>
      </c>
      <c r="I1044" t="s">
        <v>824</v>
      </c>
      <c r="J1044" t="s">
        <v>4764</v>
      </c>
      <c r="K1044" t="s">
        <v>4723</v>
      </c>
      <c r="L1044" t="s">
        <v>670</v>
      </c>
      <c r="N1044">
        <v>22</v>
      </c>
      <c r="O1044">
        <v>3</v>
      </c>
      <c r="P1044">
        <v>1.4519999999999999E-3</v>
      </c>
      <c r="Q1044" s="84" t="e">
        <v>#REF!</v>
      </c>
      <c r="R1044" s="85">
        <v>350.52686489600501</v>
      </c>
      <c r="S1044" s="85">
        <v>217800</v>
      </c>
      <c r="T1044" s="86">
        <v>218150.526864896</v>
      </c>
      <c r="U1044" s="84">
        <v>14.5433684576597</v>
      </c>
      <c r="V1044" s="84">
        <v>14.693</v>
      </c>
      <c r="W1044" s="84">
        <v>7.3464999999999998</v>
      </c>
      <c r="X1044" s="82">
        <v>0.35</v>
      </c>
      <c r="Y1044" s="87">
        <v>29.086736915319499</v>
      </c>
      <c r="Z1044" s="84">
        <v>29.086736915319499</v>
      </c>
      <c r="AA1044" s="84">
        <v>58.173473830638898</v>
      </c>
      <c r="AB1044" s="88">
        <v>2</v>
      </c>
      <c r="AC1044" t="s">
        <v>4805</v>
      </c>
    </row>
    <row r="1045" spans="3:29">
      <c r="C1045" t="s">
        <v>4806</v>
      </c>
      <c r="D1045" t="s">
        <v>4798</v>
      </c>
      <c r="E1045" s="84">
        <v>30.99</v>
      </c>
      <c r="F1045" s="84">
        <v>15.494999999999999</v>
      </c>
      <c r="G1045" t="s">
        <v>4467</v>
      </c>
      <c r="H1045" t="s">
        <v>4807</v>
      </c>
      <c r="I1045" t="s">
        <v>824</v>
      </c>
      <c r="J1045" t="s">
        <v>4767</v>
      </c>
      <c r="K1045" t="s">
        <v>4723</v>
      </c>
      <c r="L1045" t="s">
        <v>670</v>
      </c>
      <c r="N1045">
        <v>27</v>
      </c>
      <c r="O1045">
        <v>3</v>
      </c>
      <c r="P1045">
        <v>2.1870000000000001E-3</v>
      </c>
      <c r="Q1045" s="84" t="e">
        <v>#REF!</v>
      </c>
      <c r="R1045" s="85">
        <v>527.96298452199005</v>
      </c>
      <c r="S1045" s="85">
        <v>290400</v>
      </c>
      <c r="T1045" s="86">
        <v>290927.96298452199</v>
      </c>
      <c r="U1045" s="84">
        <v>19.395197532301498</v>
      </c>
      <c r="V1045" s="84">
        <v>21.693000000000001</v>
      </c>
      <c r="W1045" s="84">
        <v>10.846500000000001</v>
      </c>
      <c r="X1045" s="82">
        <v>0.35</v>
      </c>
      <c r="Y1045" s="87">
        <v>38.790395064602897</v>
      </c>
      <c r="Z1045" s="84">
        <v>38.790395064602897</v>
      </c>
      <c r="AA1045" s="84">
        <v>77.580790129205894</v>
      </c>
      <c r="AB1045" s="88">
        <v>2</v>
      </c>
      <c r="AC1045" t="s">
        <v>4808</v>
      </c>
    </row>
    <row r="1046" spans="3:29">
      <c r="C1046" t="s">
        <v>4809</v>
      </c>
      <c r="D1046" t="s">
        <v>4798</v>
      </c>
      <c r="E1046" s="84">
        <v>33.99</v>
      </c>
      <c r="F1046" s="84">
        <v>16.995000000000001</v>
      </c>
      <c r="G1046" t="s">
        <v>4467</v>
      </c>
      <c r="H1046" t="s">
        <v>4810</v>
      </c>
      <c r="I1046" t="s">
        <v>824</v>
      </c>
      <c r="J1046" t="s">
        <v>4770</v>
      </c>
      <c r="K1046" t="s">
        <v>4723</v>
      </c>
      <c r="L1046" t="s">
        <v>670</v>
      </c>
      <c r="N1046">
        <v>32</v>
      </c>
      <c r="O1046">
        <v>3</v>
      </c>
      <c r="P1046">
        <v>3.0720000000000001E-3</v>
      </c>
      <c r="Q1046" s="84" t="e">
        <v>#REF!</v>
      </c>
      <c r="R1046" s="85">
        <v>741.61055713397195</v>
      </c>
      <c r="S1046" s="85">
        <v>363000</v>
      </c>
      <c r="T1046" s="86">
        <v>363741.61055713397</v>
      </c>
      <c r="U1046" s="84">
        <v>24.249440703808901</v>
      </c>
      <c r="V1046" s="84">
        <v>23.792999999999999</v>
      </c>
      <c r="W1046" s="84">
        <v>11.8965</v>
      </c>
      <c r="X1046" s="82">
        <v>0.35</v>
      </c>
      <c r="Y1046" s="87">
        <v>48.498881407617901</v>
      </c>
      <c r="Z1046" s="84">
        <v>48.498881407617901</v>
      </c>
      <c r="AA1046" s="84">
        <v>96.997762815235703</v>
      </c>
      <c r="AB1046" s="88">
        <v>2</v>
      </c>
      <c r="AC1046" t="s">
        <v>4811</v>
      </c>
    </row>
    <row r="1047" spans="3:29">
      <c r="C1047" t="s">
        <v>4812</v>
      </c>
      <c r="D1047" t="s">
        <v>4813</v>
      </c>
      <c r="E1047" s="84">
        <v>11.99</v>
      </c>
      <c r="F1047" s="84">
        <v>5.9950000000000001</v>
      </c>
      <c r="G1047" t="s">
        <v>4467</v>
      </c>
      <c r="H1047" t="s">
        <v>4814</v>
      </c>
      <c r="I1047" t="s">
        <v>356</v>
      </c>
      <c r="J1047" t="s">
        <v>4815</v>
      </c>
      <c r="K1047" t="s">
        <v>4723</v>
      </c>
      <c r="L1047" t="s">
        <v>670</v>
      </c>
      <c r="N1047">
        <v>8</v>
      </c>
      <c r="O1047">
        <v>4</v>
      </c>
      <c r="P1047">
        <v>2.5599999999999999E-4</v>
      </c>
      <c r="Q1047" s="84" t="e">
        <v>#REF!</v>
      </c>
      <c r="R1047" s="85">
        <v>61.800879761198303</v>
      </c>
      <c r="S1047" s="85">
        <v>77000</v>
      </c>
      <c r="T1047" s="86">
        <v>77061.800879761198</v>
      </c>
      <c r="U1047" s="84">
        <v>5.1374533919840797</v>
      </c>
      <c r="V1047" s="84">
        <v>8.3930000000000007</v>
      </c>
      <c r="W1047" s="84">
        <v>4.1965000000000003</v>
      </c>
      <c r="X1047" s="82">
        <v>0.35</v>
      </c>
      <c r="Y1047" s="87">
        <v>10.2749067839682</v>
      </c>
      <c r="Z1047" s="84">
        <v>10.2749067839682</v>
      </c>
      <c r="AA1047" s="84">
        <v>20.549813567936301</v>
      </c>
      <c r="AB1047" s="88">
        <v>2</v>
      </c>
      <c r="AC1047" t="s">
        <v>4816</v>
      </c>
    </row>
    <row r="1048" spans="3:29">
      <c r="C1048" t="s">
        <v>4817</v>
      </c>
      <c r="D1048" t="s">
        <v>4813</v>
      </c>
      <c r="E1048" s="84">
        <v>12.99</v>
      </c>
      <c r="F1048" s="84">
        <v>6.4950000000000001</v>
      </c>
      <c r="G1048" t="s">
        <v>4467</v>
      </c>
      <c r="H1048" t="s">
        <v>4818</v>
      </c>
      <c r="I1048" t="s">
        <v>356</v>
      </c>
      <c r="J1048" t="s">
        <v>4819</v>
      </c>
      <c r="K1048" t="s">
        <v>4723</v>
      </c>
      <c r="L1048" t="s">
        <v>670</v>
      </c>
      <c r="N1048">
        <v>12</v>
      </c>
      <c r="O1048">
        <v>6</v>
      </c>
      <c r="P1048">
        <v>8.6399999999999997E-4</v>
      </c>
      <c r="Q1048" s="84" t="e">
        <v>#REF!</v>
      </c>
      <c r="R1048" s="85">
        <v>208.57796919399701</v>
      </c>
      <c r="S1048" s="85">
        <v>121000</v>
      </c>
      <c r="T1048" s="86">
        <v>121208.577969194</v>
      </c>
      <c r="U1048" s="84">
        <v>8.0805718646129296</v>
      </c>
      <c r="V1048" s="84">
        <v>9.093</v>
      </c>
      <c r="W1048" s="84">
        <v>4.5465</v>
      </c>
      <c r="X1048" s="82">
        <v>0.35</v>
      </c>
      <c r="Y1048" s="87">
        <v>16.161143729225898</v>
      </c>
      <c r="Z1048" s="84">
        <v>16.161143729225898</v>
      </c>
      <c r="AA1048" s="84">
        <v>32.322287458451697</v>
      </c>
      <c r="AB1048" s="88">
        <v>2</v>
      </c>
      <c r="AC1048" t="s">
        <v>4816</v>
      </c>
    </row>
    <row r="1049" spans="3:29">
      <c r="C1049" t="s">
        <v>4820</v>
      </c>
      <c r="D1049" t="s">
        <v>4813</v>
      </c>
      <c r="E1049" s="84">
        <v>12.99</v>
      </c>
      <c r="F1049" s="84">
        <v>6.4950000000000001</v>
      </c>
      <c r="G1049" t="s">
        <v>4467</v>
      </c>
      <c r="H1049" t="s">
        <v>4821</v>
      </c>
      <c r="I1049" t="s">
        <v>356</v>
      </c>
      <c r="J1049" t="s">
        <v>4822</v>
      </c>
      <c r="K1049" t="s">
        <v>4723</v>
      </c>
      <c r="L1049" t="s">
        <v>670</v>
      </c>
      <c r="N1049">
        <v>12</v>
      </c>
      <c r="O1049">
        <v>4</v>
      </c>
      <c r="P1049">
        <v>5.7600000000000001E-4</v>
      </c>
      <c r="Q1049" s="84" t="e">
        <v>#REF!</v>
      </c>
      <c r="R1049" s="85">
        <v>139.05197946299401</v>
      </c>
      <c r="S1049" s="85">
        <v>110000</v>
      </c>
      <c r="T1049" s="86">
        <v>110139.05197946299</v>
      </c>
      <c r="U1049" s="84">
        <v>7.3426034652975298</v>
      </c>
      <c r="V1049" s="84">
        <v>9.093</v>
      </c>
      <c r="W1049" s="84">
        <v>4.5465</v>
      </c>
      <c r="X1049" s="82">
        <v>0.35</v>
      </c>
      <c r="Y1049" s="87">
        <v>14.685206930595101</v>
      </c>
      <c r="Z1049" s="84">
        <v>14.685206930595101</v>
      </c>
      <c r="AA1049" s="84">
        <v>29.370413861190102</v>
      </c>
      <c r="AB1049" s="88">
        <v>2</v>
      </c>
      <c r="AC1049" t="s">
        <v>4816</v>
      </c>
    </row>
    <row r="1050" spans="3:29">
      <c r="C1050" t="s">
        <v>4823</v>
      </c>
      <c r="D1050" t="s">
        <v>4813</v>
      </c>
      <c r="E1050" s="84">
        <v>14.99</v>
      </c>
      <c r="F1050" s="84">
        <v>7.4950000000000001</v>
      </c>
      <c r="G1050" t="s">
        <v>4467</v>
      </c>
      <c r="H1050" t="s">
        <v>4824</v>
      </c>
      <c r="I1050" t="s">
        <v>356</v>
      </c>
      <c r="J1050" t="s">
        <v>4825</v>
      </c>
      <c r="K1050" t="s">
        <v>4723</v>
      </c>
      <c r="L1050" t="s">
        <v>670</v>
      </c>
      <c r="N1050">
        <v>13.5</v>
      </c>
      <c r="O1050">
        <v>5</v>
      </c>
      <c r="P1050">
        <v>9.1124999999999995E-4</v>
      </c>
      <c r="Q1050" s="84" t="e">
        <v>#REF!</v>
      </c>
      <c r="R1050" s="85">
        <v>219.98457688398801</v>
      </c>
      <c r="S1050" s="85">
        <v>137500</v>
      </c>
      <c r="T1050" s="86">
        <v>137719.98457688399</v>
      </c>
      <c r="U1050" s="84">
        <v>9.1813323051256006</v>
      </c>
      <c r="V1050" s="84">
        <v>10.493</v>
      </c>
      <c r="W1050" s="84">
        <v>5.2465000000000002</v>
      </c>
      <c r="X1050" s="82">
        <v>0.35</v>
      </c>
      <c r="Y1050" s="87">
        <v>18.362664610251201</v>
      </c>
      <c r="Z1050" s="84">
        <v>18.362664610251201</v>
      </c>
      <c r="AA1050" s="84">
        <v>36.725329220502402</v>
      </c>
      <c r="AB1050" s="88">
        <v>2</v>
      </c>
      <c r="AC1050" t="s">
        <v>4826</v>
      </c>
    </row>
    <row r="1051" spans="3:29">
      <c r="C1051" t="s">
        <v>4768</v>
      </c>
      <c r="D1051" t="s">
        <v>4813</v>
      </c>
      <c r="E1051" s="84">
        <v>32.99</v>
      </c>
      <c r="F1051" s="84">
        <v>16.495000000000001</v>
      </c>
      <c r="G1051" t="s">
        <v>4467</v>
      </c>
      <c r="H1051" t="s">
        <v>4827</v>
      </c>
      <c r="I1051" t="s">
        <v>356</v>
      </c>
      <c r="J1051" t="s">
        <v>4828</v>
      </c>
      <c r="K1051" t="s">
        <v>4723</v>
      </c>
      <c r="L1051" t="s">
        <v>670</v>
      </c>
      <c r="N1051">
        <v>26</v>
      </c>
      <c r="O1051">
        <v>8</v>
      </c>
      <c r="P1051">
        <v>5.4079999999999996E-3</v>
      </c>
      <c r="Q1051" s="84" t="e">
        <v>#REF!</v>
      </c>
      <c r="R1051" s="85">
        <v>618.00879761201202</v>
      </c>
      <c r="S1051" s="85">
        <v>192500</v>
      </c>
      <c r="T1051" s="86">
        <v>193118.00879761201</v>
      </c>
      <c r="U1051" s="84">
        <v>12.8745339198408</v>
      </c>
      <c r="V1051" s="84">
        <v>23.093</v>
      </c>
      <c r="W1051" s="84">
        <v>11.5465</v>
      </c>
      <c r="X1051" s="82">
        <v>0.35</v>
      </c>
      <c r="Y1051" s="87">
        <v>25.749067839681601</v>
      </c>
      <c r="Z1051" s="84">
        <v>25.749067839681601</v>
      </c>
      <c r="AA1051" s="84">
        <v>51.498135679363202</v>
      </c>
      <c r="AB1051" s="88">
        <v>2</v>
      </c>
      <c r="AC1051" t="s">
        <v>4816</v>
      </c>
    </row>
    <row r="1052" spans="3:29">
      <c r="C1052" t="s">
        <v>4829</v>
      </c>
      <c r="D1052" t="s">
        <v>4813</v>
      </c>
      <c r="E1052" s="84">
        <v>23.99</v>
      </c>
      <c r="F1052" s="84">
        <v>11.994999999999999</v>
      </c>
      <c r="G1052" t="s">
        <v>4467</v>
      </c>
      <c r="H1052" t="s">
        <v>4830</v>
      </c>
      <c r="I1052" t="s">
        <v>356</v>
      </c>
      <c r="J1052" t="s">
        <v>4831</v>
      </c>
      <c r="K1052" t="s">
        <v>4723</v>
      </c>
      <c r="L1052" t="s">
        <v>670</v>
      </c>
      <c r="N1052">
        <v>16</v>
      </c>
      <c r="O1052">
        <v>10</v>
      </c>
      <c r="P1052">
        <v>2.5600000000000002E-3</v>
      </c>
      <c r="Q1052" s="84" t="e">
        <v>#REF!</v>
      </c>
      <c r="R1052" s="85">
        <v>348.83699708999501</v>
      </c>
      <c r="S1052" s="85">
        <v>159500</v>
      </c>
      <c r="T1052" s="86">
        <v>159848.83699708999</v>
      </c>
      <c r="U1052" s="84">
        <v>10.656589133139301</v>
      </c>
      <c r="V1052" s="84">
        <v>16.792999999999999</v>
      </c>
      <c r="W1052" s="84">
        <v>8.3964999999999996</v>
      </c>
      <c r="X1052" s="82">
        <v>0.35</v>
      </c>
      <c r="Y1052" s="87">
        <v>21.313178266278701</v>
      </c>
      <c r="Z1052" s="84">
        <v>21.313178266278701</v>
      </c>
      <c r="AA1052" s="84">
        <v>42.626356532557303</v>
      </c>
      <c r="AB1052" s="88">
        <v>2</v>
      </c>
      <c r="AC1052" t="s">
        <v>4826</v>
      </c>
    </row>
    <row r="1053" spans="3:29">
      <c r="C1053" t="s">
        <v>4832</v>
      </c>
      <c r="D1053" t="s">
        <v>4813</v>
      </c>
      <c r="E1053" s="84">
        <v>26.99</v>
      </c>
      <c r="F1053" s="84">
        <v>13.494999999999999</v>
      </c>
      <c r="G1053" t="s">
        <v>4467</v>
      </c>
      <c r="H1053" t="s">
        <v>4833</v>
      </c>
      <c r="I1053" t="s">
        <v>356</v>
      </c>
      <c r="J1053" t="s">
        <v>4834</v>
      </c>
      <c r="K1053" t="s">
        <v>4723</v>
      </c>
      <c r="L1053" t="s">
        <v>670</v>
      </c>
      <c r="N1053">
        <v>17</v>
      </c>
      <c r="O1053">
        <v>5</v>
      </c>
      <c r="P1053">
        <v>1.4450000000000001E-3</v>
      </c>
      <c r="Q1053" s="84" t="e">
        <v>#REF!</v>
      </c>
      <c r="R1053" s="85">
        <v>482.81937313399999</v>
      </c>
      <c r="S1053" s="85">
        <v>181500</v>
      </c>
      <c r="T1053" s="86">
        <v>181982.819373134</v>
      </c>
      <c r="U1053" s="84">
        <v>12.132187958208901</v>
      </c>
      <c r="V1053" s="84">
        <v>18.893000000000001</v>
      </c>
      <c r="W1053" s="84">
        <v>9.4465000000000003</v>
      </c>
      <c r="X1053" s="82">
        <v>0.35</v>
      </c>
      <c r="Y1053" s="87">
        <v>24.264375916417901</v>
      </c>
      <c r="Z1053" s="84">
        <v>24.264375916417901</v>
      </c>
      <c r="AA1053" s="84">
        <v>48.528751832835702</v>
      </c>
      <c r="AB1053" s="88">
        <v>2</v>
      </c>
      <c r="AC1053" t="s">
        <v>4835</v>
      </c>
    </row>
    <row r="1054" spans="3:29">
      <c r="C1054" t="s">
        <v>4836</v>
      </c>
      <c r="D1054" t="s">
        <v>4813</v>
      </c>
      <c r="E1054" s="84">
        <v>34.99</v>
      </c>
      <c r="F1054" s="84">
        <v>17.495000000000001</v>
      </c>
      <c r="G1054" t="s">
        <v>4467</v>
      </c>
      <c r="H1054" t="s">
        <v>4837</v>
      </c>
      <c r="I1054" t="s">
        <v>356</v>
      </c>
      <c r="J1054" t="s">
        <v>4838</v>
      </c>
      <c r="K1054" t="s">
        <v>4723</v>
      </c>
      <c r="L1054" t="s">
        <v>670</v>
      </c>
      <c r="N1054">
        <v>20</v>
      </c>
      <c r="O1054">
        <v>5</v>
      </c>
      <c r="P1054">
        <v>2E-3</v>
      </c>
      <c r="Q1054" s="84" t="e">
        <v>#REF!</v>
      </c>
      <c r="R1054" s="85">
        <v>772.51099701499299</v>
      </c>
      <c r="S1054" s="85">
        <v>203500</v>
      </c>
      <c r="T1054" s="86">
        <v>204272.51099701499</v>
      </c>
      <c r="U1054" s="84">
        <v>13.618167399801001</v>
      </c>
      <c r="V1054" s="84">
        <v>24.492999999999999</v>
      </c>
      <c r="W1054" s="84">
        <v>12.246499999999999</v>
      </c>
      <c r="X1054" s="82">
        <v>0.35</v>
      </c>
      <c r="Y1054" s="87">
        <v>27.236334799602002</v>
      </c>
      <c r="Z1054" s="84">
        <v>27.236334799602002</v>
      </c>
      <c r="AA1054" s="84">
        <v>54.472669599204004</v>
      </c>
      <c r="AB1054" s="88">
        <v>2</v>
      </c>
      <c r="AC1054" t="s">
        <v>4839</v>
      </c>
    </row>
    <row r="1055" spans="3:29">
      <c r="C1055" t="s">
        <v>4840</v>
      </c>
      <c r="D1055" t="s">
        <v>4813</v>
      </c>
      <c r="E1055" s="84">
        <v>21.99</v>
      </c>
      <c r="F1055" s="84">
        <v>10.994999999999999</v>
      </c>
      <c r="G1055" t="s">
        <v>4467</v>
      </c>
      <c r="H1055" t="s">
        <v>4841</v>
      </c>
      <c r="I1055" t="s">
        <v>356</v>
      </c>
      <c r="J1055" t="s">
        <v>4842</v>
      </c>
      <c r="K1055" t="s">
        <v>4723</v>
      </c>
      <c r="L1055" t="s">
        <v>670</v>
      </c>
      <c r="N1055">
        <v>20</v>
      </c>
      <c r="O1055">
        <v>8</v>
      </c>
      <c r="P1055">
        <v>3.2000000000000002E-3</v>
      </c>
      <c r="Q1055" s="84" t="e">
        <v>#REF!</v>
      </c>
      <c r="R1055" s="85">
        <v>1207.0484328360201</v>
      </c>
      <c r="S1055" s="85">
        <v>275000</v>
      </c>
      <c r="T1055" s="86">
        <v>276207.04843283602</v>
      </c>
      <c r="U1055" s="84">
        <v>18.413803228855699</v>
      </c>
      <c r="V1055" s="84">
        <v>15.393000000000001</v>
      </c>
      <c r="W1055" s="84">
        <v>7.6965000000000003</v>
      </c>
      <c r="X1055" s="82">
        <v>0.35</v>
      </c>
      <c r="Y1055" s="87">
        <v>36.827606457711497</v>
      </c>
      <c r="Z1055" s="84">
        <v>36.827606457711497</v>
      </c>
      <c r="AA1055" s="84">
        <v>73.655212915422894</v>
      </c>
      <c r="AB1055" s="88">
        <v>2</v>
      </c>
      <c r="AC1055" t="s">
        <v>4835</v>
      </c>
    </row>
    <row r="1056" spans="3:29">
      <c r="C1056" t="s">
        <v>4843</v>
      </c>
      <c r="D1056" t="s">
        <v>4813</v>
      </c>
      <c r="E1056" s="84">
        <v>27.99</v>
      </c>
      <c r="F1056" s="84">
        <v>13.994999999999999</v>
      </c>
      <c r="G1056" t="s">
        <v>4467</v>
      </c>
      <c r="H1056" t="s">
        <v>4844</v>
      </c>
      <c r="I1056" t="s">
        <v>356</v>
      </c>
      <c r="J1056" t="s">
        <v>4845</v>
      </c>
      <c r="K1056" t="s">
        <v>4723</v>
      </c>
      <c r="L1056" t="s">
        <v>670</v>
      </c>
      <c r="N1056">
        <v>25</v>
      </c>
      <c r="O1056">
        <v>8</v>
      </c>
      <c r="P1056">
        <v>5.0000000000000001E-3</v>
      </c>
      <c r="Q1056" s="84" t="e">
        <v>#REF!</v>
      </c>
      <c r="R1056" s="85">
        <v>2112.3347574630202</v>
      </c>
      <c r="S1056" s="85">
        <v>330000</v>
      </c>
      <c r="T1056" s="86">
        <v>332112.33475746302</v>
      </c>
      <c r="U1056" s="84">
        <v>22.140822317164201</v>
      </c>
      <c r="V1056" s="84">
        <v>19.593</v>
      </c>
      <c r="W1056" s="84">
        <v>9.7965</v>
      </c>
      <c r="X1056" s="82">
        <v>0.35</v>
      </c>
      <c r="Y1056" s="87">
        <v>44.281644634328401</v>
      </c>
      <c r="Z1056" s="84">
        <v>44.281644634328401</v>
      </c>
      <c r="AA1056" s="84">
        <v>88.563289268656803</v>
      </c>
      <c r="AB1056" s="88">
        <v>2</v>
      </c>
      <c r="AC1056" t="s">
        <v>4846</v>
      </c>
    </row>
    <row r="1057" spans="3:29">
      <c r="C1057" t="s">
        <v>4847</v>
      </c>
      <c r="D1057" t="s">
        <v>4813</v>
      </c>
      <c r="E1057" s="84">
        <v>44.99</v>
      </c>
      <c r="F1057" s="84">
        <v>22.495000000000001</v>
      </c>
      <c r="G1057" t="s">
        <v>4467</v>
      </c>
      <c r="H1057" t="s">
        <v>4848</v>
      </c>
      <c r="I1057" t="s">
        <v>356</v>
      </c>
      <c r="J1057" t="s">
        <v>4849</v>
      </c>
      <c r="K1057" t="s">
        <v>4723</v>
      </c>
      <c r="L1057" t="s">
        <v>670</v>
      </c>
      <c r="N1057">
        <v>25</v>
      </c>
      <c r="O1057">
        <v>14</v>
      </c>
      <c r="P1057">
        <v>8.7500000000000008E-3</v>
      </c>
      <c r="Q1057" s="84" t="e">
        <v>#REF!</v>
      </c>
      <c r="R1057" s="85">
        <v>2232.5567813729899</v>
      </c>
      <c r="S1057" s="85">
        <v>396000</v>
      </c>
      <c r="T1057" s="86">
        <v>398232.55678137299</v>
      </c>
      <c r="U1057" s="84">
        <v>26.5488371187582</v>
      </c>
      <c r="V1057" s="84">
        <v>31.492999999999999</v>
      </c>
      <c r="W1057" s="84">
        <v>15.746499999999999</v>
      </c>
      <c r="X1057" s="82">
        <v>0.35</v>
      </c>
      <c r="Y1057" s="87">
        <v>53.097674237516401</v>
      </c>
      <c r="Z1057" s="84">
        <v>53.097674237516401</v>
      </c>
      <c r="AA1057" s="84">
        <v>106.195348475033</v>
      </c>
      <c r="AB1057" s="88">
        <v>2</v>
      </c>
      <c r="AC1057" t="s">
        <v>4826</v>
      </c>
    </row>
    <row r="1058" spans="3:29">
      <c r="C1058" t="s">
        <v>4850</v>
      </c>
      <c r="D1058" t="s">
        <v>4813</v>
      </c>
      <c r="E1058" s="84">
        <v>44.99</v>
      </c>
      <c r="F1058" s="84">
        <v>22.495000000000001</v>
      </c>
      <c r="G1058" t="s">
        <v>4467</v>
      </c>
      <c r="H1058" t="s">
        <v>4851</v>
      </c>
      <c r="I1058" t="s">
        <v>356</v>
      </c>
      <c r="J1058" t="s">
        <v>4852</v>
      </c>
      <c r="K1058" t="s">
        <v>4723</v>
      </c>
      <c r="L1058" t="s">
        <v>670</v>
      </c>
      <c r="N1058">
        <v>34</v>
      </c>
      <c r="O1058">
        <v>8</v>
      </c>
      <c r="P1058">
        <v>9.2479999999999993E-3</v>
      </c>
      <c r="Q1058" s="84" t="e">
        <v>#REF!</v>
      </c>
      <c r="R1058" s="85"/>
      <c r="S1058" s="85"/>
      <c r="T1058" s="86">
        <v>0</v>
      </c>
      <c r="U1058" s="84">
        <v>0</v>
      </c>
      <c r="V1058" s="84">
        <v>31.492999999999999</v>
      </c>
      <c r="W1058" s="84">
        <v>15.746499999999999</v>
      </c>
      <c r="X1058" s="82">
        <v>0.35</v>
      </c>
      <c r="Y1058" s="82"/>
      <c r="Z1058" s="84">
        <v>15.746499999999999</v>
      </c>
      <c r="AA1058" s="84">
        <v>31.492999999999999</v>
      </c>
      <c r="AB1058" s="88" t="e">
        <v>#DIV/0!</v>
      </c>
      <c r="AC1058" t="s">
        <v>4846</v>
      </c>
    </row>
    <row r="1059" spans="3:29">
      <c r="C1059" t="s">
        <v>4853</v>
      </c>
      <c r="D1059" t="s">
        <v>4854</v>
      </c>
      <c r="E1059" s="84">
        <v>14.99</v>
      </c>
      <c r="F1059" s="84">
        <v>7.4950000000000001</v>
      </c>
      <c r="G1059" t="s">
        <v>4467</v>
      </c>
      <c r="H1059" t="s">
        <v>4855</v>
      </c>
      <c r="I1059" t="s">
        <v>356</v>
      </c>
      <c r="J1059" t="s">
        <v>4856</v>
      </c>
      <c r="K1059" t="s">
        <v>4723</v>
      </c>
      <c r="L1059" t="s">
        <v>670</v>
      </c>
      <c r="N1059">
        <v>13</v>
      </c>
      <c r="O1059">
        <v>6.5</v>
      </c>
      <c r="P1059">
        <v>1.0985000000000001E-3</v>
      </c>
      <c r="Q1059" s="84" t="e">
        <v>#REF!</v>
      </c>
      <c r="R1059" s="85"/>
      <c r="S1059" s="85"/>
      <c r="T1059" s="86">
        <v>0</v>
      </c>
      <c r="U1059" s="84">
        <v>0</v>
      </c>
      <c r="V1059" s="84">
        <v>10.493</v>
      </c>
      <c r="W1059" s="84">
        <v>5.2465000000000002</v>
      </c>
      <c r="X1059" s="82">
        <v>0.35</v>
      </c>
      <c r="Y1059" s="82"/>
      <c r="Z1059" s="84">
        <v>5.2465000000000002</v>
      </c>
      <c r="AA1059" s="84">
        <v>10.493</v>
      </c>
      <c r="AB1059" s="88" t="e">
        <v>#DIV/0!</v>
      </c>
      <c r="AC1059" t="s">
        <v>4846</v>
      </c>
    </row>
    <row r="1060" spans="3:29">
      <c r="C1060" t="s">
        <v>4857</v>
      </c>
      <c r="D1060" t="s">
        <v>4854</v>
      </c>
      <c r="E1060" s="84">
        <v>14.99</v>
      </c>
      <c r="F1060" s="84">
        <v>7.4950000000000001</v>
      </c>
      <c r="G1060" t="s">
        <v>4467</v>
      </c>
      <c r="H1060" t="s">
        <v>4858</v>
      </c>
      <c r="I1060" t="s">
        <v>356</v>
      </c>
      <c r="J1060" t="s">
        <v>4859</v>
      </c>
      <c r="K1060" t="s">
        <v>4723</v>
      </c>
      <c r="L1060" t="s">
        <v>670</v>
      </c>
      <c r="N1060">
        <v>16</v>
      </c>
      <c r="O1060">
        <v>8</v>
      </c>
      <c r="P1060">
        <v>2.0479999999999999E-3</v>
      </c>
      <c r="Q1060" s="84" t="e">
        <v>#REF!</v>
      </c>
      <c r="R1060" s="85"/>
      <c r="S1060" s="85"/>
      <c r="T1060" s="86">
        <v>0</v>
      </c>
      <c r="U1060" s="84">
        <v>0</v>
      </c>
      <c r="V1060" s="84">
        <v>10.493</v>
      </c>
      <c r="W1060" s="84">
        <v>5.2465000000000002</v>
      </c>
      <c r="X1060" s="82">
        <v>0.35</v>
      </c>
      <c r="Y1060" s="82"/>
      <c r="Z1060" s="84">
        <v>5.2465000000000002</v>
      </c>
      <c r="AA1060" s="84">
        <v>10.493</v>
      </c>
      <c r="AB1060" s="88" t="e">
        <v>#DIV/0!</v>
      </c>
      <c r="AC1060" t="s">
        <v>4835</v>
      </c>
    </row>
    <row r="1061" spans="3:29">
      <c r="C1061" t="s">
        <v>4860</v>
      </c>
      <c r="D1061" t="s">
        <v>4854</v>
      </c>
      <c r="E1061" s="84">
        <v>21.99</v>
      </c>
      <c r="F1061" s="84">
        <v>10.994999999999999</v>
      </c>
      <c r="G1061" t="s">
        <v>4467</v>
      </c>
      <c r="H1061" t="s">
        <v>4861</v>
      </c>
      <c r="I1061" t="s">
        <v>356</v>
      </c>
      <c r="J1061" t="s">
        <v>4862</v>
      </c>
      <c r="K1061" t="s">
        <v>4723</v>
      </c>
      <c r="L1061" t="s">
        <v>670</v>
      </c>
      <c r="N1061">
        <v>19.5</v>
      </c>
      <c r="O1061">
        <v>9.5</v>
      </c>
      <c r="P1061">
        <v>3.6123750000000001E-3</v>
      </c>
      <c r="Q1061" s="84" t="e">
        <v>#REF!</v>
      </c>
      <c r="R1061" s="85"/>
      <c r="S1061" s="85"/>
      <c r="T1061" s="86">
        <v>0</v>
      </c>
      <c r="U1061" s="84">
        <v>0</v>
      </c>
      <c r="V1061" s="84">
        <v>15.393000000000001</v>
      </c>
      <c r="W1061" s="84">
        <v>7.6965000000000003</v>
      </c>
      <c r="X1061" s="82">
        <v>0.35</v>
      </c>
      <c r="Y1061" s="82"/>
      <c r="Z1061" s="84">
        <v>7.6965000000000003</v>
      </c>
      <c r="AA1061" s="84">
        <v>15.393000000000001</v>
      </c>
      <c r="AB1061" s="88" t="e">
        <v>#DIV/0!</v>
      </c>
      <c r="AC1061" t="s">
        <v>4839</v>
      </c>
    </row>
    <row r="1062" spans="3:29">
      <c r="C1062" t="s">
        <v>4863</v>
      </c>
      <c r="D1062" t="s">
        <v>4854</v>
      </c>
      <c r="E1062" s="84">
        <v>31.99</v>
      </c>
      <c r="F1062" s="84">
        <v>15.994999999999999</v>
      </c>
      <c r="G1062" t="s">
        <v>4467</v>
      </c>
      <c r="H1062" t="s">
        <v>4864</v>
      </c>
      <c r="I1062" t="s">
        <v>356</v>
      </c>
      <c r="J1062" t="s">
        <v>4865</v>
      </c>
      <c r="K1062" t="s">
        <v>4723</v>
      </c>
      <c r="L1062" t="s">
        <v>670</v>
      </c>
      <c r="N1062">
        <v>26</v>
      </c>
      <c r="O1062">
        <v>13</v>
      </c>
      <c r="P1062">
        <v>8.7880000000000007E-3</v>
      </c>
      <c r="Q1062" s="84" t="e">
        <v>#REF!</v>
      </c>
      <c r="R1062" s="85"/>
      <c r="S1062" s="85"/>
      <c r="T1062" s="86">
        <v>0</v>
      </c>
      <c r="U1062" s="84">
        <v>0</v>
      </c>
      <c r="V1062" s="84">
        <v>22.393000000000001</v>
      </c>
      <c r="W1062" s="84">
        <v>11.1965</v>
      </c>
      <c r="X1062" s="82">
        <v>0.35</v>
      </c>
      <c r="Y1062" s="82"/>
      <c r="Z1062" s="84">
        <v>11.1965</v>
      </c>
      <c r="AA1062" s="84">
        <v>22.393000000000001</v>
      </c>
      <c r="AB1062" s="88" t="e">
        <v>#DIV/0!</v>
      </c>
      <c r="AC1062" t="s">
        <v>4839</v>
      </c>
    </row>
    <row r="1063" spans="3:29">
      <c r="C1063" t="s">
        <v>4866</v>
      </c>
      <c r="D1063" t="s">
        <v>4867</v>
      </c>
      <c r="E1063" s="84">
        <v>10.99</v>
      </c>
      <c r="F1063" s="84">
        <v>5.4950000000000001</v>
      </c>
      <c r="G1063" t="s">
        <v>4467</v>
      </c>
      <c r="H1063" t="s">
        <v>4868</v>
      </c>
      <c r="I1063" t="s">
        <v>991</v>
      </c>
      <c r="J1063" t="s">
        <v>4869</v>
      </c>
      <c r="K1063" t="s">
        <v>4723</v>
      </c>
      <c r="L1063" t="s">
        <v>670</v>
      </c>
      <c r="M1063">
        <v>8</v>
      </c>
      <c r="N1063">
        <v>12</v>
      </c>
      <c r="O1063">
        <v>1.5</v>
      </c>
      <c r="P1063">
        <v>1.44E-4</v>
      </c>
      <c r="Q1063" s="84" t="e">
        <v>#REF!</v>
      </c>
      <c r="R1063" s="85">
        <v>34.762994865697699</v>
      </c>
      <c r="S1063" s="85">
        <v>88000</v>
      </c>
      <c r="T1063" s="86">
        <v>88034.762994865698</v>
      </c>
      <c r="U1063" s="84">
        <v>5.8689841996577101</v>
      </c>
      <c r="V1063" s="84">
        <v>7.6929999999999996</v>
      </c>
      <c r="W1063" s="84">
        <v>3.8464999999999998</v>
      </c>
      <c r="X1063" s="82">
        <v>0.35</v>
      </c>
      <c r="Y1063" s="87">
        <v>11.737968399315401</v>
      </c>
      <c r="Z1063" s="84">
        <v>11.737968399315401</v>
      </c>
      <c r="AA1063" s="84">
        <v>23.475936798630901</v>
      </c>
      <c r="AB1063" s="88">
        <v>2</v>
      </c>
      <c r="AC1063" t="s">
        <v>4870</v>
      </c>
    </row>
    <row r="1064" spans="3:29">
      <c r="C1064" t="s">
        <v>4871</v>
      </c>
      <c r="D1064" t="s">
        <v>4867</v>
      </c>
      <c r="E1064" s="84">
        <v>12.99</v>
      </c>
      <c r="F1064" s="84">
        <v>6.4950000000000001</v>
      </c>
      <c r="G1064" t="s">
        <v>4467</v>
      </c>
      <c r="H1064" t="s">
        <v>4872</v>
      </c>
      <c r="I1064" t="s">
        <v>991</v>
      </c>
      <c r="J1064" t="s">
        <v>4873</v>
      </c>
      <c r="K1064" t="s">
        <v>4723</v>
      </c>
      <c r="L1064" t="s">
        <v>670</v>
      </c>
      <c r="M1064">
        <v>18</v>
      </c>
      <c r="N1064">
        <v>12</v>
      </c>
      <c r="O1064">
        <v>1.5</v>
      </c>
      <c r="P1064">
        <v>3.2400000000000001E-4</v>
      </c>
      <c r="Q1064" s="84" t="e">
        <v>#REF!</v>
      </c>
      <c r="R1064" s="85">
        <v>78.216738448012606</v>
      </c>
      <c r="S1064" s="85">
        <v>132000</v>
      </c>
      <c r="T1064" s="86">
        <v>132078.21673844801</v>
      </c>
      <c r="U1064" s="84">
        <v>8.8052144492298705</v>
      </c>
      <c r="V1064" s="84">
        <v>9.093</v>
      </c>
      <c r="W1064" s="84">
        <v>4.5465</v>
      </c>
      <c r="X1064" s="82">
        <v>0.35</v>
      </c>
      <c r="Y1064" s="87">
        <v>17.610428898459698</v>
      </c>
      <c r="Z1064" s="84">
        <v>17.610428898459698</v>
      </c>
      <c r="AA1064" s="84">
        <v>35.220857796919503</v>
      </c>
      <c r="AB1064" s="88">
        <v>2</v>
      </c>
      <c r="AC1064" t="s">
        <v>4874</v>
      </c>
    </row>
    <row r="1065" spans="3:29">
      <c r="C1065" t="s">
        <v>4875</v>
      </c>
      <c r="D1065" t="s">
        <v>4867</v>
      </c>
      <c r="E1065" s="84">
        <v>18.989999999999998</v>
      </c>
      <c r="F1065" s="84">
        <v>9.4949999999999992</v>
      </c>
      <c r="G1065" t="s">
        <v>4467</v>
      </c>
      <c r="H1065" t="s">
        <v>4876</v>
      </c>
      <c r="I1065" t="s">
        <v>991</v>
      </c>
      <c r="J1065" t="s">
        <v>4877</v>
      </c>
      <c r="K1065" t="s">
        <v>4723</v>
      </c>
      <c r="L1065" t="s">
        <v>670</v>
      </c>
      <c r="M1065">
        <v>27</v>
      </c>
      <c r="N1065">
        <v>20</v>
      </c>
      <c r="O1065">
        <v>1.5</v>
      </c>
      <c r="P1065">
        <v>8.0999999999999996E-4</v>
      </c>
      <c r="Q1065" s="84" t="e">
        <v>#REF!</v>
      </c>
      <c r="R1065" s="85">
        <v>195.541846119013</v>
      </c>
      <c r="S1065" s="85">
        <v>231000</v>
      </c>
      <c r="T1065" s="86">
        <v>231195.54184611901</v>
      </c>
      <c r="U1065" s="84">
        <v>15.413036123074599</v>
      </c>
      <c r="V1065" s="84">
        <v>13.292999999999999</v>
      </c>
      <c r="W1065" s="84">
        <v>6.6464999999999996</v>
      </c>
      <c r="X1065" s="82">
        <v>0.35</v>
      </c>
      <c r="Y1065" s="87">
        <v>30.826072246149199</v>
      </c>
      <c r="Z1065" s="84">
        <v>30.826072246149199</v>
      </c>
      <c r="AA1065" s="84">
        <v>61.652144492298397</v>
      </c>
      <c r="AB1065" s="88">
        <v>2</v>
      </c>
      <c r="AC1065" t="s">
        <v>4874</v>
      </c>
    </row>
    <row r="1066" spans="3:29">
      <c r="C1066" t="s">
        <v>4878</v>
      </c>
      <c r="D1066" t="s">
        <v>4867</v>
      </c>
      <c r="E1066" s="84">
        <v>35.99</v>
      </c>
      <c r="F1066" s="84">
        <v>17.995000000000001</v>
      </c>
      <c r="G1066" t="s">
        <v>4467</v>
      </c>
      <c r="H1066" t="s">
        <v>4879</v>
      </c>
      <c r="I1066" t="s">
        <v>991</v>
      </c>
      <c r="J1066" t="s">
        <v>4880</v>
      </c>
      <c r="K1066" t="s">
        <v>4723</v>
      </c>
      <c r="L1066" t="s">
        <v>670</v>
      </c>
      <c r="M1066">
        <v>34</v>
      </c>
      <c r="N1066">
        <v>24</v>
      </c>
      <c r="O1066">
        <v>1.5</v>
      </c>
      <c r="P1066">
        <v>1.224E-3</v>
      </c>
      <c r="Q1066" s="84" t="e">
        <v>#REF!</v>
      </c>
      <c r="R1066" s="85">
        <v>295.48545635800099</v>
      </c>
      <c r="S1066" s="85">
        <v>330000</v>
      </c>
      <c r="T1066" s="86">
        <v>330295.485456358</v>
      </c>
      <c r="U1066" s="84">
        <v>22.019699030423901</v>
      </c>
      <c r="V1066" s="84">
        <v>25.193000000000001</v>
      </c>
      <c r="W1066" s="84">
        <v>12.596500000000001</v>
      </c>
      <c r="X1066" s="82">
        <v>0.35</v>
      </c>
      <c r="Y1066" s="87">
        <v>44.039398060847702</v>
      </c>
      <c r="Z1066" s="84">
        <v>44.039398060847702</v>
      </c>
      <c r="AA1066" s="84">
        <v>88.078796121695504</v>
      </c>
      <c r="AB1066" s="88">
        <v>2</v>
      </c>
      <c r="AC1066" t="s">
        <v>4881</v>
      </c>
    </row>
    <row r="1067" spans="3:29">
      <c r="C1067" t="s">
        <v>4882</v>
      </c>
      <c r="D1067" t="s">
        <v>4867</v>
      </c>
      <c r="E1067" s="84">
        <v>50.99</v>
      </c>
      <c r="F1067" s="84">
        <v>25.495000000000001</v>
      </c>
      <c r="G1067" t="s">
        <v>4467</v>
      </c>
      <c r="H1067" t="s">
        <v>4883</v>
      </c>
      <c r="I1067" t="s">
        <v>991</v>
      </c>
      <c r="J1067" t="s">
        <v>4884</v>
      </c>
      <c r="K1067" t="s">
        <v>4723</v>
      </c>
      <c r="L1067" t="s">
        <v>670</v>
      </c>
      <c r="M1067">
        <v>42</v>
      </c>
      <c r="N1067">
        <v>27</v>
      </c>
      <c r="O1067">
        <v>1.5</v>
      </c>
      <c r="P1067">
        <v>1.701E-3</v>
      </c>
      <c r="Q1067" s="84" t="e">
        <v>#REF!</v>
      </c>
      <c r="R1067" s="85">
        <v>410.63787685101897</v>
      </c>
      <c r="S1067" s="85">
        <v>440000</v>
      </c>
      <c r="T1067" s="86">
        <v>440410.63787685102</v>
      </c>
      <c r="U1067" s="84">
        <v>29.3607091917901</v>
      </c>
      <c r="V1067" s="84">
        <v>35.692999999999998</v>
      </c>
      <c r="W1067" s="84">
        <v>17.846499999999999</v>
      </c>
      <c r="X1067" s="82">
        <v>0.35</v>
      </c>
      <c r="Y1067" s="87">
        <v>58.721418383580101</v>
      </c>
      <c r="Z1067" s="84">
        <v>58.721418383580101</v>
      </c>
      <c r="AA1067" s="84">
        <v>117.44283676716</v>
      </c>
      <c r="AB1067" s="88">
        <v>2</v>
      </c>
      <c r="AC1067" t="s">
        <v>4881</v>
      </c>
    </row>
    <row r="1068" spans="3:29">
      <c r="C1068" t="s">
        <v>4885</v>
      </c>
      <c r="D1068" t="s">
        <v>4886</v>
      </c>
      <c r="E1068" s="84">
        <v>11.99</v>
      </c>
      <c r="F1068" s="84">
        <v>5.9950000000000001</v>
      </c>
      <c r="G1068" t="s">
        <v>4467</v>
      </c>
      <c r="H1068" t="s">
        <v>4887</v>
      </c>
      <c r="I1068" t="s">
        <v>352</v>
      </c>
      <c r="J1068" t="s">
        <v>4815</v>
      </c>
      <c r="K1068" t="s">
        <v>4723</v>
      </c>
      <c r="L1068" t="s">
        <v>670</v>
      </c>
      <c r="N1068">
        <v>8</v>
      </c>
      <c r="O1068">
        <v>4</v>
      </c>
      <c r="P1068">
        <v>2.5599999999999999E-4</v>
      </c>
      <c r="Q1068" s="84" t="e">
        <v>#REF!</v>
      </c>
      <c r="R1068" s="85">
        <v>61.800879761198303</v>
      </c>
      <c r="S1068" s="85">
        <v>84700</v>
      </c>
      <c r="T1068" s="86">
        <v>84761.800879761198</v>
      </c>
      <c r="U1068" s="84">
        <v>5.6507867253174098</v>
      </c>
      <c r="V1068" s="84">
        <v>8.3930000000000007</v>
      </c>
      <c r="W1068" s="84">
        <v>4.1965000000000003</v>
      </c>
      <c r="X1068" s="82">
        <v>0.35</v>
      </c>
      <c r="Y1068" s="87">
        <v>11.3015734506348</v>
      </c>
      <c r="Z1068" s="84">
        <v>11.3015734506348</v>
      </c>
      <c r="AA1068" s="84">
        <v>22.603146901269699</v>
      </c>
      <c r="AB1068" s="88">
        <v>2</v>
      </c>
      <c r="AC1068" t="s">
        <v>4888</v>
      </c>
    </row>
    <row r="1069" spans="3:29">
      <c r="C1069" t="s">
        <v>4889</v>
      </c>
      <c r="D1069" t="s">
        <v>4886</v>
      </c>
      <c r="E1069" s="84">
        <v>12.99</v>
      </c>
      <c r="F1069" s="84">
        <v>6.4950000000000001</v>
      </c>
      <c r="G1069" t="s">
        <v>4467</v>
      </c>
      <c r="H1069" t="s">
        <v>4890</v>
      </c>
      <c r="I1069" t="s">
        <v>352</v>
      </c>
      <c r="J1069" t="s">
        <v>4819</v>
      </c>
      <c r="K1069" t="s">
        <v>4723</v>
      </c>
      <c r="L1069" t="s">
        <v>670</v>
      </c>
      <c r="N1069">
        <v>12</v>
      </c>
      <c r="O1069">
        <v>6</v>
      </c>
      <c r="P1069">
        <v>8.6399999999999997E-4</v>
      </c>
      <c r="Q1069" s="84" t="e">
        <v>#REF!</v>
      </c>
      <c r="R1069" s="85">
        <v>208.57796919401201</v>
      </c>
      <c r="S1069" s="85">
        <v>133100</v>
      </c>
      <c r="T1069" s="86">
        <v>133308.57796919401</v>
      </c>
      <c r="U1069" s="84">
        <v>8.8872385312795998</v>
      </c>
      <c r="V1069" s="84">
        <v>9.093</v>
      </c>
      <c r="W1069" s="84">
        <v>4.5465</v>
      </c>
      <c r="X1069" s="82">
        <v>0.35</v>
      </c>
      <c r="Y1069" s="87">
        <v>17.7744770625592</v>
      </c>
      <c r="Z1069" s="84">
        <v>17.7744770625592</v>
      </c>
      <c r="AA1069" s="84">
        <v>35.548954125118399</v>
      </c>
      <c r="AB1069" s="88">
        <v>2</v>
      </c>
      <c r="AC1069" t="s">
        <v>4891</v>
      </c>
    </row>
    <row r="1070" spans="3:29">
      <c r="C1070" t="s">
        <v>4892</v>
      </c>
      <c r="D1070" t="s">
        <v>4886</v>
      </c>
      <c r="E1070" s="84">
        <v>14.99</v>
      </c>
      <c r="F1070" s="84">
        <v>7.4950000000000001</v>
      </c>
      <c r="G1070" t="s">
        <v>4467</v>
      </c>
      <c r="H1070" t="s">
        <v>4893</v>
      </c>
      <c r="I1070" t="s">
        <v>352</v>
      </c>
      <c r="J1070" t="s">
        <v>4822</v>
      </c>
      <c r="K1070" t="s">
        <v>4723</v>
      </c>
      <c r="L1070" t="s">
        <v>670</v>
      </c>
      <c r="N1070">
        <v>12</v>
      </c>
      <c r="O1070">
        <v>4</v>
      </c>
      <c r="P1070">
        <v>5.7600000000000001E-4</v>
      </c>
      <c r="Q1070" s="84" t="e">
        <v>#REF!</v>
      </c>
      <c r="R1070" s="85">
        <v>139.05197946299401</v>
      </c>
      <c r="S1070" s="85">
        <v>121000</v>
      </c>
      <c r="T1070" s="86">
        <v>121139.05197946299</v>
      </c>
      <c r="U1070" s="84">
        <v>8.0759367986308703</v>
      </c>
      <c r="V1070" s="84">
        <v>10.493</v>
      </c>
      <c r="W1070" s="84">
        <v>5.2465000000000002</v>
      </c>
      <c r="X1070" s="82">
        <v>0.35</v>
      </c>
      <c r="Y1070" s="87">
        <v>16.151873597261702</v>
      </c>
      <c r="Z1070" s="84">
        <v>16.151873597261702</v>
      </c>
      <c r="AA1070" s="84">
        <v>32.303747194523503</v>
      </c>
      <c r="AB1070" s="88">
        <v>2</v>
      </c>
      <c r="AC1070" t="s">
        <v>4891</v>
      </c>
    </row>
    <row r="1071" spans="3:29">
      <c r="C1071" t="s">
        <v>4894</v>
      </c>
      <c r="D1071" t="s">
        <v>4886</v>
      </c>
      <c r="E1071" s="84">
        <v>13.99</v>
      </c>
      <c r="F1071" s="84">
        <v>6.9950000000000001</v>
      </c>
      <c r="G1071" t="s">
        <v>4467</v>
      </c>
      <c r="H1071" t="s">
        <v>4895</v>
      </c>
      <c r="I1071" t="s">
        <v>352</v>
      </c>
      <c r="J1071" t="s">
        <v>4825</v>
      </c>
      <c r="K1071" t="s">
        <v>4723</v>
      </c>
      <c r="L1071" t="s">
        <v>670</v>
      </c>
      <c r="N1071">
        <v>13.5</v>
      </c>
      <c r="O1071">
        <v>5</v>
      </c>
      <c r="P1071">
        <v>9.1124999999999995E-4</v>
      </c>
      <c r="Q1071" s="84" t="e">
        <v>#REF!</v>
      </c>
      <c r="R1071" s="85">
        <v>219.98457688398801</v>
      </c>
      <c r="S1071" s="85">
        <v>151250</v>
      </c>
      <c r="T1071" s="86">
        <v>151469.98457688399</v>
      </c>
      <c r="U1071" s="84">
        <v>10.0979989717923</v>
      </c>
      <c r="V1071" s="84">
        <v>9.7929999999999993</v>
      </c>
      <c r="W1071" s="84">
        <v>4.8964999999999996</v>
      </c>
      <c r="X1071" s="82">
        <v>0.35</v>
      </c>
      <c r="Y1071" s="87">
        <v>20.195997943584501</v>
      </c>
      <c r="Z1071" s="84">
        <v>20.195997943584501</v>
      </c>
      <c r="AA1071" s="84">
        <v>40.391995887169102</v>
      </c>
      <c r="AB1071" s="88">
        <v>2</v>
      </c>
      <c r="AC1071" t="s">
        <v>4896</v>
      </c>
    </row>
    <row r="1072" spans="3:29">
      <c r="C1072" t="s">
        <v>4897</v>
      </c>
      <c r="D1072" t="s">
        <v>4886</v>
      </c>
      <c r="E1072" s="84">
        <v>15.99</v>
      </c>
      <c r="F1072" s="84">
        <v>7.9950000000000001</v>
      </c>
      <c r="G1072" t="s">
        <v>4467</v>
      </c>
      <c r="H1072" t="s">
        <v>4898</v>
      </c>
      <c r="I1072" t="s">
        <v>352</v>
      </c>
      <c r="J1072" t="s">
        <v>4828</v>
      </c>
      <c r="K1072" t="s">
        <v>4723</v>
      </c>
      <c r="L1072" t="s">
        <v>670</v>
      </c>
      <c r="N1072">
        <v>26</v>
      </c>
      <c r="O1072">
        <v>8</v>
      </c>
      <c r="P1072">
        <v>5.4079999999999996E-3</v>
      </c>
      <c r="Q1072" s="84" t="e">
        <v>#REF!</v>
      </c>
      <c r="R1072" s="85">
        <v>618.00879761201202</v>
      </c>
      <c r="S1072" s="85">
        <v>211750</v>
      </c>
      <c r="T1072" s="86">
        <v>212368.00879761201</v>
      </c>
      <c r="U1072" s="84">
        <v>14.1578672531741</v>
      </c>
      <c r="V1072" s="84">
        <v>11.193</v>
      </c>
      <c r="W1072" s="84">
        <v>5.5964999999999998</v>
      </c>
      <c r="X1072" s="82">
        <v>0.35</v>
      </c>
      <c r="Y1072" s="87">
        <v>28.315734506348299</v>
      </c>
      <c r="Z1072" s="84">
        <v>28.315734506348299</v>
      </c>
      <c r="AA1072" s="84">
        <v>56.631469012696499</v>
      </c>
      <c r="AB1072" s="88">
        <v>2</v>
      </c>
      <c r="AC1072" t="s">
        <v>4888</v>
      </c>
    </row>
    <row r="1073" spans="3:29">
      <c r="C1073" t="s">
        <v>4899</v>
      </c>
      <c r="D1073" t="s">
        <v>4886</v>
      </c>
      <c r="E1073" s="84">
        <v>26.99</v>
      </c>
      <c r="F1073" s="84">
        <v>13.494999999999999</v>
      </c>
      <c r="G1073" t="s">
        <v>4467</v>
      </c>
      <c r="H1073" t="s">
        <v>4900</v>
      </c>
      <c r="I1073" t="s">
        <v>352</v>
      </c>
      <c r="J1073" t="s">
        <v>4831</v>
      </c>
      <c r="K1073" t="s">
        <v>4723</v>
      </c>
      <c r="L1073" t="s">
        <v>670</v>
      </c>
      <c r="N1073">
        <v>16</v>
      </c>
      <c r="O1073">
        <v>10</v>
      </c>
      <c r="P1073">
        <v>2.5600000000000002E-3</v>
      </c>
      <c r="Q1073" s="84" t="e">
        <v>#REF!</v>
      </c>
      <c r="R1073" s="85">
        <v>348.83699708999501</v>
      </c>
      <c r="S1073" s="85">
        <v>175450</v>
      </c>
      <c r="T1073" s="86">
        <v>175798.83699708999</v>
      </c>
      <c r="U1073" s="84">
        <v>11.719922466472701</v>
      </c>
      <c r="V1073" s="84">
        <v>18.893000000000001</v>
      </c>
      <c r="W1073" s="84">
        <v>9.4465000000000003</v>
      </c>
      <c r="X1073" s="82">
        <v>0.35</v>
      </c>
      <c r="Y1073" s="87">
        <v>23.439844932945299</v>
      </c>
      <c r="Z1073" s="84">
        <v>23.439844932945299</v>
      </c>
      <c r="AA1073" s="84">
        <v>46.879689865890697</v>
      </c>
      <c r="AB1073" s="88">
        <v>2</v>
      </c>
      <c r="AC1073" t="s">
        <v>4888</v>
      </c>
    </row>
    <row r="1074" spans="3:29">
      <c r="C1074" t="s">
        <v>4901</v>
      </c>
      <c r="D1074" t="s">
        <v>4886</v>
      </c>
      <c r="E1074" s="84">
        <v>29.99</v>
      </c>
      <c r="F1074" s="84">
        <v>14.994999999999999</v>
      </c>
      <c r="G1074" t="s">
        <v>4467</v>
      </c>
      <c r="H1074" t="s">
        <v>4902</v>
      </c>
      <c r="I1074" t="s">
        <v>352</v>
      </c>
      <c r="J1074" t="s">
        <v>4834</v>
      </c>
      <c r="K1074" t="s">
        <v>4723</v>
      </c>
      <c r="L1074" t="s">
        <v>670</v>
      </c>
      <c r="N1074">
        <v>17</v>
      </c>
      <c r="O1074">
        <v>5</v>
      </c>
      <c r="P1074">
        <v>1.4450000000000001E-3</v>
      </c>
      <c r="Q1074" s="84" t="e">
        <v>#REF!</v>
      </c>
      <c r="R1074" s="85">
        <v>482.81937313399999</v>
      </c>
      <c r="S1074" s="85">
        <v>199650</v>
      </c>
      <c r="T1074" s="86">
        <v>200132.819373134</v>
      </c>
      <c r="U1074" s="84">
        <v>13.3421879582089</v>
      </c>
      <c r="V1074" s="84">
        <v>20.992999999999999</v>
      </c>
      <c r="W1074" s="84">
        <v>10.496499999999999</v>
      </c>
      <c r="X1074" s="82">
        <v>0.35</v>
      </c>
      <c r="Y1074" s="87">
        <v>26.684375916417899</v>
      </c>
      <c r="Z1074" s="84">
        <v>26.684375916417899</v>
      </c>
      <c r="AA1074" s="84">
        <v>53.368751832835699</v>
      </c>
      <c r="AB1074" s="88">
        <v>2</v>
      </c>
      <c r="AC1074" t="s">
        <v>4903</v>
      </c>
    </row>
    <row r="1075" spans="3:29" ht="60.75">
      <c r="C1075" t="s">
        <v>4904</v>
      </c>
      <c r="D1075" t="s">
        <v>4886</v>
      </c>
      <c r="E1075" s="84">
        <v>39.99</v>
      </c>
      <c r="F1075" s="84">
        <v>19.995000000000001</v>
      </c>
      <c r="G1075" t="s">
        <v>4467</v>
      </c>
      <c r="I1075" t="s">
        <v>352</v>
      </c>
      <c r="K1075" s="83" t="s">
        <v>4750</v>
      </c>
      <c r="L1075" t="s">
        <v>670</v>
      </c>
      <c r="P1075">
        <v>0</v>
      </c>
      <c r="Q1075" s="84" t="e">
        <v>#REF!</v>
      </c>
      <c r="R1075" s="85">
        <v>772.51099701499299</v>
      </c>
      <c r="S1075" s="85">
        <v>223850</v>
      </c>
      <c r="T1075" s="86">
        <v>224622.51099701499</v>
      </c>
      <c r="U1075" s="84">
        <v>14.9748340664677</v>
      </c>
      <c r="V1075" s="84">
        <v>27.992999999999999</v>
      </c>
      <c r="W1075" s="84">
        <v>13.996499999999999</v>
      </c>
      <c r="X1075" s="82">
        <v>0.35</v>
      </c>
      <c r="Y1075" s="87">
        <v>29.949668132935301</v>
      </c>
      <c r="Z1075" s="84">
        <v>29.949668132935301</v>
      </c>
      <c r="AA1075" s="84">
        <v>59.899336265870701</v>
      </c>
      <c r="AB1075" s="88">
        <v>2</v>
      </c>
      <c r="AC1075" t="s">
        <v>4891</v>
      </c>
    </row>
    <row r="1076" spans="3:29">
      <c r="C1076" t="s">
        <v>4905</v>
      </c>
      <c r="D1076" t="s">
        <v>4886</v>
      </c>
      <c r="E1076" s="84">
        <v>21.99</v>
      </c>
      <c r="F1076" s="84">
        <v>10.994999999999999</v>
      </c>
      <c r="G1076" t="s">
        <v>4467</v>
      </c>
      <c r="H1076" t="s">
        <v>4906</v>
      </c>
      <c r="I1076" t="s">
        <v>352</v>
      </c>
      <c r="J1076" t="s">
        <v>4842</v>
      </c>
      <c r="K1076" t="s">
        <v>4723</v>
      </c>
      <c r="L1076" t="s">
        <v>670</v>
      </c>
      <c r="N1076">
        <v>20</v>
      </c>
      <c r="O1076">
        <v>8</v>
      </c>
      <c r="P1076">
        <v>3.2000000000000002E-3</v>
      </c>
      <c r="Q1076" s="84" t="e">
        <v>#REF!</v>
      </c>
      <c r="R1076" s="85">
        <v>1207.0484328360201</v>
      </c>
      <c r="S1076" s="85">
        <v>302500</v>
      </c>
      <c r="T1076" s="86">
        <v>303707.04843283602</v>
      </c>
      <c r="U1076" s="84">
        <v>20.247136562189102</v>
      </c>
      <c r="V1076" s="84">
        <v>15.393000000000001</v>
      </c>
      <c r="W1076" s="84">
        <v>7.6965000000000003</v>
      </c>
      <c r="X1076" s="82">
        <v>0.35</v>
      </c>
      <c r="Y1076" s="87">
        <v>40.494273124378097</v>
      </c>
      <c r="Z1076" s="84">
        <v>40.494273124378097</v>
      </c>
      <c r="AA1076" s="84">
        <v>80.988546248756293</v>
      </c>
      <c r="AB1076" s="88">
        <v>2</v>
      </c>
      <c r="AC1076" t="s">
        <v>4888</v>
      </c>
    </row>
    <row r="1077" spans="3:29">
      <c r="C1077" t="s">
        <v>4907</v>
      </c>
      <c r="D1077" t="s">
        <v>4886</v>
      </c>
      <c r="E1077" s="84">
        <v>27.99</v>
      </c>
      <c r="F1077" s="84">
        <v>13.994999999999999</v>
      </c>
      <c r="G1077" t="s">
        <v>4467</v>
      </c>
      <c r="H1077" t="s">
        <v>4908</v>
      </c>
      <c r="I1077" t="s">
        <v>352</v>
      </c>
      <c r="J1077" t="s">
        <v>4845</v>
      </c>
      <c r="K1077" t="s">
        <v>4723</v>
      </c>
      <c r="L1077" t="s">
        <v>670</v>
      </c>
      <c r="N1077">
        <v>25</v>
      </c>
      <c r="O1077">
        <v>8</v>
      </c>
      <c r="P1077">
        <v>5.0000000000000001E-3</v>
      </c>
      <c r="Q1077" s="84" t="e">
        <v>#REF!</v>
      </c>
      <c r="R1077" s="85">
        <v>2112.3347574630202</v>
      </c>
      <c r="S1077" s="85">
        <v>363000</v>
      </c>
      <c r="T1077" s="86">
        <v>365112.33475746302</v>
      </c>
      <c r="U1077" s="84">
        <v>24.3408223171642</v>
      </c>
      <c r="V1077" s="84">
        <v>19.593</v>
      </c>
      <c r="W1077" s="84">
        <v>9.7965</v>
      </c>
      <c r="X1077" s="82">
        <v>0.35</v>
      </c>
      <c r="Y1077" s="87">
        <v>48.6816446343284</v>
      </c>
      <c r="Z1077" s="84">
        <v>48.6816446343284</v>
      </c>
      <c r="AA1077" s="84">
        <v>97.3632892686568</v>
      </c>
      <c r="AB1077" s="88">
        <v>2</v>
      </c>
      <c r="AC1077" t="s">
        <v>4909</v>
      </c>
    </row>
    <row r="1078" spans="3:29">
      <c r="C1078" t="s">
        <v>4910</v>
      </c>
      <c r="D1078" t="s">
        <v>4886</v>
      </c>
      <c r="E1078" s="84">
        <v>50.99</v>
      </c>
      <c r="F1078" s="84">
        <v>25.495000000000001</v>
      </c>
      <c r="G1078" t="s">
        <v>4467</v>
      </c>
      <c r="H1078" t="s">
        <v>4911</v>
      </c>
      <c r="I1078" t="s">
        <v>352</v>
      </c>
      <c r="J1078" t="s">
        <v>4849</v>
      </c>
      <c r="K1078" t="s">
        <v>4723</v>
      </c>
      <c r="L1078" t="s">
        <v>670</v>
      </c>
      <c r="N1078">
        <v>25</v>
      </c>
      <c r="O1078">
        <v>14</v>
      </c>
      <c r="P1078">
        <v>8.7500000000000008E-3</v>
      </c>
      <c r="Q1078" s="84" t="e">
        <v>#REF!</v>
      </c>
      <c r="R1078" s="85">
        <v>2232.5567813729899</v>
      </c>
      <c r="S1078" s="85">
        <v>435600</v>
      </c>
      <c r="T1078" s="86">
        <v>437832.55678137299</v>
      </c>
      <c r="U1078" s="84">
        <v>29.188837118758201</v>
      </c>
      <c r="V1078" s="84">
        <v>35.692999999999998</v>
      </c>
      <c r="W1078" s="84">
        <v>17.846499999999999</v>
      </c>
      <c r="X1078" s="82">
        <v>0.35</v>
      </c>
      <c r="Y1078" s="87">
        <v>58.377674237516402</v>
      </c>
      <c r="Z1078" s="84">
        <v>58.377674237516402</v>
      </c>
      <c r="AA1078" s="84">
        <v>116.755348475033</v>
      </c>
      <c r="AB1078" s="88">
        <v>2</v>
      </c>
      <c r="AC1078" t="s">
        <v>4888</v>
      </c>
    </row>
    <row r="1079" spans="3:29">
      <c r="C1079" t="s">
        <v>4912</v>
      </c>
      <c r="D1079" t="s">
        <v>4886</v>
      </c>
      <c r="E1079" s="84">
        <v>50.99</v>
      </c>
      <c r="F1079" s="84">
        <v>25.495000000000001</v>
      </c>
      <c r="G1079" t="s">
        <v>4467</v>
      </c>
      <c r="H1079" t="s">
        <v>4913</v>
      </c>
      <c r="I1079" t="s">
        <v>352</v>
      </c>
      <c r="J1079" t="s">
        <v>4852</v>
      </c>
      <c r="K1079" t="s">
        <v>4723</v>
      </c>
      <c r="L1079" t="s">
        <v>670</v>
      </c>
      <c r="N1079">
        <v>34</v>
      </c>
      <c r="O1079">
        <v>8</v>
      </c>
      <c r="P1079">
        <v>9.2479999999999993E-3</v>
      </c>
      <c r="Q1079" s="84" t="e">
        <v>#REF!</v>
      </c>
      <c r="R1079" s="85"/>
      <c r="S1079" s="85"/>
      <c r="T1079" s="86">
        <v>0</v>
      </c>
      <c r="U1079" s="84">
        <v>0</v>
      </c>
      <c r="V1079" s="84">
        <v>35.692999999999998</v>
      </c>
      <c r="W1079" s="84">
        <v>17.846499999999999</v>
      </c>
      <c r="X1079" s="82">
        <v>0.35</v>
      </c>
      <c r="Y1079" s="82"/>
      <c r="Z1079" s="84">
        <v>17.846499999999999</v>
      </c>
      <c r="AA1079" s="84">
        <v>35.692999999999998</v>
      </c>
      <c r="AB1079" s="88" t="e">
        <v>#DIV/0!</v>
      </c>
      <c r="AC1079" t="s">
        <v>4891</v>
      </c>
    </row>
    <row r="1080" spans="3:29">
      <c r="C1080" t="s">
        <v>4914</v>
      </c>
      <c r="D1080" t="s">
        <v>4915</v>
      </c>
      <c r="E1080" s="84">
        <v>14.99</v>
      </c>
      <c r="F1080" s="84">
        <v>7.4950000000000001</v>
      </c>
      <c r="G1080" t="s">
        <v>4467</v>
      </c>
      <c r="H1080" t="s">
        <v>4916</v>
      </c>
      <c r="I1080" t="s">
        <v>345</v>
      </c>
      <c r="J1080" t="s">
        <v>4856</v>
      </c>
      <c r="K1080" t="s">
        <v>4723</v>
      </c>
      <c r="L1080" t="s">
        <v>670</v>
      </c>
      <c r="N1080">
        <v>13</v>
      </c>
      <c r="O1080">
        <v>6.5</v>
      </c>
      <c r="P1080">
        <v>1.0985000000000001E-3</v>
      </c>
      <c r="Q1080" s="84" t="e">
        <v>#REF!</v>
      </c>
      <c r="R1080" s="85"/>
      <c r="S1080" s="85"/>
      <c r="T1080" s="86">
        <v>0</v>
      </c>
      <c r="U1080" s="84">
        <v>0</v>
      </c>
      <c r="V1080" s="84">
        <v>10.493</v>
      </c>
      <c r="W1080" s="84">
        <v>5.2465000000000002</v>
      </c>
      <c r="X1080" s="82">
        <v>0.35</v>
      </c>
      <c r="Y1080" s="82"/>
      <c r="Z1080" s="84">
        <v>5.2465000000000002</v>
      </c>
      <c r="AA1080" s="84">
        <v>10.493</v>
      </c>
      <c r="AB1080" s="88" t="e">
        <v>#DIV/0!</v>
      </c>
      <c r="AC1080" t="s">
        <v>4917</v>
      </c>
    </row>
    <row r="1081" spans="3:29">
      <c r="C1081" t="s">
        <v>4918</v>
      </c>
      <c r="D1081" t="s">
        <v>4915</v>
      </c>
      <c r="E1081" s="84">
        <v>14.99</v>
      </c>
      <c r="F1081" s="84">
        <v>7.4950000000000001</v>
      </c>
      <c r="G1081" t="s">
        <v>4467</v>
      </c>
      <c r="H1081" t="s">
        <v>4919</v>
      </c>
      <c r="I1081" t="s">
        <v>345</v>
      </c>
      <c r="J1081" t="s">
        <v>4859</v>
      </c>
      <c r="K1081" t="s">
        <v>4723</v>
      </c>
      <c r="L1081" t="s">
        <v>670</v>
      </c>
      <c r="N1081">
        <v>16</v>
      </c>
      <c r="O1081">
        <v>8</v>
      </c>
      <c r="P1081">
        <v>2.0479999999999999E-3</v>
      </c>
      <c r="Q1081" s="84" t="e">
        <v>#REF!</v>
      </c>
      <c r="R1081" s="85"/>
      <c r="S1081" s="85"/>
      <c r="T1081" s="86">
        <v>0</v>
      </c>
      <c r="U1081" s="84">
        <v>0</v>
      </c>
      <c r="V1081" s="84">
        <v>10.493</v>
      </c>
      <c r="W1081" s="84">
        <v>5.2465000000000002</v>
      </c>
      <c r="X1081" s="82">
        <v>0.35</v>
      </c>
      <c r="Y1081" s="82"/>
      <c r="Z1081" s="84">
        <v>5.2465000000000002</v>
      </c>
      <c r="AA1081" s="84">
        <v>10.493</v>
      </c>
      <c r="AB1081" s="88" t="e">
        <v>#DIV/0!</v>
      </c>
      <c r="AC1081" t="s">
        <v>4917</v>
      </c>
    </row>
    <row r="1082" spans="3:29">
      <c r="C1082" t="s">
        <v>4920</v>
      </c>
      <c r="D1082" t="s">
        <v>4915</v>
      </c>
      <c r="E1082" s="84">
        <v>21.99</v>
      </c>
      <c r="F1082" s="84">
        <v>10.994999999999999</v>
      </c>
      <c r="G1082" t="s">
        <v>4467</v>
      </c>
      <c r="H1082" t="s">
        <v>4921</v>
      </c>
      <c r="I1082" t="s">
        <v>345</v>
      </c>
      <c r="J1082" t="s">
        <v>4862</v>
      </c>
      <c r="K1082" t="s">
        <v>4723</v>
      </c>
      <c r="L1082" t="s">
        <v>670</v>
      </c>
      <c r="N1082">
        <v>19.5</v>
      </c>
      <c r="O1082">
        <v>9.5</v>
      </c>
      <c r="P1082">
        <v>3.6123750000000001E-3</v>
      </c>
      <c r="Q1082" s="84" t="e">
        <v>#REF!</v>
      </c>
      <c r="R1082" s="85"/>
      <c r="S1082" s="85"/>
      <c r="T1082" s="86">
        <v>0</v>
      </c>
      <c r="U1082" s="84">
        <v>0</v>
      </c>
      <c r="V1082" s="84">
        <v>15.393000000000001</v>
      </c>
      <c r="W1082" s="84">
        <v>7.6965000000000003</v>
      </c>
      <c r="X1082" s="82">
        <v>0.35</v>
      </c>
      <c r="Y1082" s="82"/>
      <c r="Z1082" s="84">
        <v>7.6965000000000003</v>
      </c>
      <c r="AA1082" s="84">
        <v>15.393000000000001</v>
      </c>
      <c r="AB1082" s="88" t="e">
        <v>#DIV/0!</v>
      </c>
      <c r="AC1082" t="s">
        <v>4922</v>
      </c>
    </row>
    <row r="1083" spans="3:29">
      <c r="C1083" t="s">
        <v>4923</v>
      </c>
      <c r="D1083" t="s">
        <v>4915</v>
      </c>
      <c r="E1083" s="84">
        <v>31.99</v>
      </c>
      <c r="F1083" s="84">
        <v>15.994999999999999</v>
      </c>
      <c r="G1083" t="s">
        <v>4467</v>
      </c>
      <c r="H1083" t="s">
        <v>4924</v>
      </c>
      <c r="I1083" t="s">
        <v>345</v>
      </c>
      <c r="J1083" t="s">
        <v>4865</v>
      </c>
      <c r="K1083" t="s">
        <v>4723</v>
      </c>
      <c r="L1083" t="s">
        <v>670</v>
      </c>
      <c r="N1083">
        <v>26</v>
      </c>
      <c r="O1083">
        <v>13</v>
      </c>
      <c r="P1083">
        <v>8.7880000000000007E-3</v>
      </c>
      <c r="Q1083" s="84" t="e">
        <v>#REF!</v>
      </c>
      <c r="R1083" s="85"/>
      <c r="S1083" s="85"/>
      <c r="T1083" s="86">
        <v>0</v>
      </c>
      <c r="U1083" s="84">
        <v>0</v>
      </c>
      <c r="V1083" s="84">
        <v>22.393000000000001</v>
      </c>
      <c r="W1083" s="84">
        <v>11.1965</v>
      </c>
      <c r="X1083" s="82">
        <v>0.35</v>
      </c>
      <c r="Y1083" s="82"/>
      <c r="Z1083" s="84">
        <v>11.1965</v>
      </c>
      <c r="AA1083" s="84">
        <v>22.393000000000001</v>
      </c>
      <c r="AB1083" s="88" t="e">
        <v>#DIV/0!</v>
      </c>
      <c r="AC1083" t="s">
        <v>4925</v>
      </c>
    </row>
    <row r="1084" spans="3:29">
      <c r="C1084" t="s">
        <v>4926</v>
      </c>
      <c r="D1084" t="s">
        <v>4927</v>
      </c>
      <c r="E1084" s="84">
        <v>10.99</v>
      </c>
      <c r="F1084" s="84">
        <v>5.4950000000000001</v>
      </c>
      <c r="G1084" t="s">
        <v>4467</v>
      </c>
      <c r="H1084" t="s">
        <v>4928</v>
      </c>
      <c r="I1084" t="s">
        <v>976</v>
      </c>
      <c r="J1084" t="s">
        <v>4869</v>
      </c>
      <c r="K1084" t="s">
        <v>4929</v>
      </c>
      <c r="L1084" t="s">
        <v>670</v>
      </c>
      <c r="M1084">
        <v>8</v>
      </c>
      <c r="N1084">
        <v>12</v>
      </c>
      <c r="O1084">
        <v>1.5</v>
      </c>
      <c r="P1084">
        <v>1.44E-4</v>
      </c>
      <c r="Q1084" s="84" t="e">
        <v>#REF!</v>
      </c>
      <c r="R1084" s="85"/>
      <c r="S1084" s="85"/>
      <c r="T1084" s="86">
        <v>0</v>
      </c>
      <c r="U1084" s="84">
        <v>0</v>
      </c>
      <c r="V1084" s="84">
        <v>7.6929999999999996</v>
      </c>
      <c r="W1084" s="84">
        <v>3.8464999999999998</v>
      </c>
      <c r="X1084" s="82">
        <v>0.35</v>
      </c>
      <c r="Y1084" s="82"/>
      <c r="Z1084" s="84">
        <v>3.8464999999999998</v>
      </c>
      <c r="AA1084" s="84">
        <v>7.6929999999999996</v>
      </c>
      <c r="AB1084" s="88" t="e">
        <v>#DIV/0!</v>
      </c>
      <c r="AC1084" t="s">
        <v>4930</v>
      </c>
    </row>
    <row r="1085" spans="3:29">
      <c r="C1085" t="s">
        <v>4931</v>
      </c>
      <c r="D1085" t="s">
        <v>4927</v>
      </c>
      <c r="E1085" s="84">
        <v>12.99</v>
      </c>
      <c r="F1085" s="84">
        <v>6.4950000000000001</v>
      </c>
      <c r="G1085" t="s">
        <v>4467</v>
      </c>
      <c r="H1085" t="s">
        <v>4932</v>
      </c>
      <c r="I1085" t="s">
        <v>976</v>
      </c>
      <c r="J1085" t="s">
        <v>4873</v>
      </c>
      <c r="K1085" t="s">
        <v>4929</v>
      </c>
      <c r="L1085" t="s">
        <v>670</v>
      </c>
      <c r="M1085">
        <v>18</v>
      </c>
      <c r="N1085">
        <v>12</v>
      </c>
      <c r="O1085">
        <v>1.5</v>
      </c>
      <c r="P1085">
        <v>3.2400000000000001E-4</v>
      </c>
      <c r="Q1085" s="84" t="e">
        <v>#REF!</v>
      </c>
      <c r="R1085" s="85"/>
      <c r="S1085" s="85"/>
      <c r="T1085" s="86">
        <v>0</v>
      </c>
      <c r="U1085" s="84">
        <v>0</v>
      </c>
      <c r="V1085" s="84">
        <v>9.093</v>
      </c>
      <c r="W1085" s="84">
        <v>4.5465</v>
      </c>
      <c r="X1085" s="82">
        <v>0.35</v>
      </c>
      <c r="Y1085" s="82"/>
      <c r="Z1085" s="84">
        <v>4.5465</v>
      </c>
      <c r="AA1085" s="84">
        <v>9.093</v>
      </c>
      <c r="AB1085" s="88" t="e">
        <v>#DIV/0!</v>
      </c>
      <c r="AC1085" t="s">
        <v>4933</v>
      </c>
    </row>
    <row r="1086" spans="3:29">
      <c r="C1086" t="s">
        <v>4934</v>
      </c>
      <c r="D1086" t="s">
        <v>4927</v>
      </c>
      <c r="E1086" s="84">
        <v>18.989999999999998</v>
      </c>
      <c r="F1086" s="84">
        <v>9.4949999999999992</v>
      </c>
      <c r="G1086" t="s">
        <v>4467</v>
      </c>
      <c r="H1086" t="s">
        <v>4935</v>
      </c>
      <c r="I1086" t="s">
        <v>976</v>
      </c>
      <c r="J1086" t="s">
        <v>4877</v>
      </c>
      <c r="K1086" t="s">
        <v>4929</v>
      </c>
      <c r="L1086" t="s">
        <v>670</v>
      </c>
      <c r="M1086">
        <v>27</v>
      </c>
      <c r="N1086">
        <v>20</v>
      </c>
      <c r="O1086">
        <v>1.5</v>
      </c>
      <c r="P1086">
        <v>8.0999999999999996E-4</v>
      </c>
      <c r="Q1086" s="84" t="e">
        <v>#REF!</v>
      </c>
      <c r="R1086" s="85"/>
      <c r="S1086" s="85"/>
      <c r="T1086" s="86">
        <v>0</v>
      </c>
      <c r="U1086" s="84">
        <v>0</v>
      </c>
      <c r="V1086" s="84">
        <v>13.292999999999999</v>
      </c>
      <c r="W1086" s="84">
        <v>6.6464999999999996</v>
      </c>
      <c r="X1086" s="82">
        <v>0.35</v>
      </c>
      <c r="Y1086" s="82"/>
      <c r="Z1086" s="84">
        <v>6.6464999999999996</v>
      </c>
      <c r="AA1086" s="84">
        <v>13.292999999999999</v>
      </c>
      <c r="AB1086" s="88" t="e">
        <v>#DIV/0!</v>
      </c>
      <c r="AC1086" t="s">
        <v>4936</v>
      </c>
    </row>
    <row r="1087" spans="3:29">
      <c r="C1087" t="s">
        <v>4937</v>
      </c>
      <c r="D1087" t="s">
        <v>4927</v>
      </c>
      <c r="E1087" s="84">
        <v>35.99</v>
      </c>
      <c r="F1087" s="84">
        <v>17.995000000000001</v>
      </c>
      <c r="G1087" t="s">
        <v>4467</v>
      </c>
      <c r="H1087" t="s">
        <v>4938</v>
      </c>
      <c r="I1087" t="s">
        <v>976</v>
      </c>
      <c r="J1087" t="s">
        <v>4880</v>
      </c>
      <c r="K1087" t="s">
        <v>4929</v>
      </c>
      <c r="L1087" t="s">
        <v>670</v>
      </c>
      <c r="M1087">
        <v>34</v>
      </c>
      <c r="N1087">
        <v>24</v>
      </c>
      <c r="O1087">
        <v>1.5</v>
      </c>
      <c r="P1087">
        <v>1.224E-3</v>
      </c>
      <c r="Q1087" s="84" t="e">
        <v>#REF!</v>
      </c>
      <c r="R1087" s="85"/>
      <c r="S1087" s="85"/>
      <c r="T1087" s="86">
        <v>0</v>
      </c>
      <c r="U1087" s="84">
        <v>0</v>
      </c>
      <c r="V1087" s="84">
        <v>25.193000000000001</v>
      </c>
      <c r="W1087" s="84">
        <v>12.596500000000001</v>
      </c>
      <c r="X1087" s="82">
        <v>0.35</v>
      </c>
      <c r="Y1087" s="82"/>
      <c r="Z1087" s="84">
        <v>12.596500000000001</v>
      </c>
      <c r="AA1087" s="84">
        <v>25.193000000000001</v>
      </c>
      <c r="AB1087" s="88" t="e">
        <v>#DIV/0!</v>
      </c>
      <c r="AC1087" t="s">
        <v>4930</v>
      </c>
    </row>
    <row r="1088" spans="3:29">
      <c r="C1088" t="s">
        <v>4939</v>
      </c>
      <c r="D1088" t="s">
        <v>4927</v>
      </c>
      <c r="E1088" s="84">
        <v>50.99</v>
      </c>
      <c r="F1088" s="84">
        <v>25.495000000000001</v>
      </c>
      <c r="G1088" t="s">
        <v>4467</v>
      </c>
      <c r="H1088" t="s">
        <v>4940</v>
      </c>
      <c r="I1088" t="s">
        <v>976</v>
      </c>
      <c r="J1088" t="s">
        <v>4884</v>
      </c>
      <c r="K1088" t="s">
        <v>4929</v>
      </c>
      <c r="L1088" t="s">
        <v>670</v>
      </c>
      <c r="M1088">
        <v>42</v>
      </c>
      <c r="N1088">
        <v>27</v>
      </c>
      <c r="O1088">
        <v>1.5</v>
      </c>
      <c r="P1088">
        <v>1.701E-3</v>
      </c>
      <c r="Q1088" s="84" t="e">
        <v>#REF!</v>
      </c>
      <c r="R1088" s="85"/>
      <c r="S1088" s="85"/>
      <c r="T1088" s="86">
        <v>0</v>
      </c>
      <c r="U1088" s="84">
        <v>0</v>
      </c>
      <c r="V1088" s="84">
        <v>35.692999999999998</v>
      </c>
      <c r="W1088" s="84">
        <v>17.846499999999999</v>
      </c>
      <c r="X1088" s="82">
        <v>0.35</v>
      </c>
      <c r="Y1088" s="82"/>
      <c r="Z1088" s="84">
        <v>17.846499999999999</v>
      </c>
      <c r="AA1088" s="84">
        <v>35.692999999999998</v>
      </c>
      <c r="AB1088" s="88" t="e">
        <v>#DIV/0!</v>
      </c>
      <c r="AC1088" t="s">
        <v>4941</v>
      </c>
    </row>
    <row r="1089" spans="3:29">
      <c r="C1089" t="s">
        <v>4942</v>
      </c>
      <c r="D1089" t="s">
        <v>4943</v>
      </c>
      <c r="E1089" s="84">
        <v>21.99</v>
      </c>
      <c r="F1089" s="84">
        <v>10.994999999999999</v>
      </c>
      <c r="G1089" t="s">
        <v>4467</v>
      </c>
      <c r="H1089" t="s">
        <v>4944</v>
      </c>
      <c r="I1089" t="s">
        <v>932</v>
      </c>
      <c r="J1089" t="s">
        <v>4945</v>
      </c>
      <c r="K1089" t="s">
        <v>4946</v>
      </c>
      <c r="L1089" t="s">
        <v>670</v>
      </c>
      <c r="N1089">
        <v>9</v>
      </c>
      <c r="O1089">
        <v>4</v>
      </c>
      <c r="P1089">
        <v>3.2400000000000001E-4</v>
      </c>
      <c r="Q1089" s="84" t="e">
        <v>#REF!</v>
      </c>
      <c r="R1089" s="85"/>
      <c r="S1089" s="85"/>
      <c r="T1089" s="86">
        <v>0</v>
      </c>
      <c r="U1089" s="84">
        <v>0</v>
      </c>
      <c r="V1089" s="84">
        <v>15.393000000000001</v>
      </c>
      <c r="W1089" s="84">
        <v>7.6965000000000003</v>
      </c>
      <c r="X1089" s="82">
        <v>0.35</v>
      </c>
      <c r="Y1089" s="82"/>
      <c r="Z1089" s="84">
        <v>7.6965000000000003</v>
      </c>
      <c r="AA1089" s="84">
        <v>15.393000000000001</v>
      </c>
      <c r="AB1089" s="88" t="e">
        <v>#DIV/0!</v>
      </c>
      <c r="AC1089" t="s">
        <v>4947</v>
      </c>
    </row>
    <row r="1090" spans="3:29">
      <c r="C1090" t="s">
        <v>4948</v>
      </c>
      <c r="D1090" t="s">
        <v>4943</v>
      </c>
      <c r="E1090" s="84">
        <v>26.99</v>
      </c>
      <c r="F1090" s="84">
        <v>13.494999999999999</v>
      </c>
      <c r="G1090" t="s">
        <v>4467</v>
      </c>
      <c r="H1090" t="s">
        <v>4949</v>
      </c>
      <c r="I1090" t="s">
        <v>932</v>
      </c>
      <c r="J1090" t="s">
        <v>4950</v>
      </c>
      <c r="K1090" t="s">
        <v>4946</v>
      </c>
      <c r="L1090" t="s">
        <v>670</v>
      </c>
      <c r="N1090">
        <v>15</v>
      </c>
      <c r="O1090">
        <v>5</v>
      </c>
      <c r="P1090">
        <v>1.1249999999999999E-3</v>
      </c>
      <c r="Q1090" s="84" t="e">
        <v>#REF!</v>
      </c>
      <c r="R1090" s="85"/>
      <c r="S1090" s="85"/>
      <c r="T1090" s="86">
        <v>0</v>
      </c>
      <c r="U1090" s="84">
        <v>0</v>
      </c>
      <c r="V1090" s="84">
        <v>18.893000000000001</v>
      </c>
      <c r="W1090" s="84">
        <v>9.4465000000000003</v>
      </c>
      <c r="X1090" s="82">
        <v>0.35</v>
      </c>
      <c r="Y1090" s="82"/>
      <c r="Z1090" s="84">
        <v>9.4465000000000003</v>
      </c>
      <c r="AA1090" s="84">
        <v>18.893000000000001</v>
      </c>
      <c r="AB1090" s="88" t="e">
        <v>#DIV/0!</v>
      </c>
      <c r="AC1090" t="s">
        <v>4951</v>
      </c>
    </row>
    <row r="1091" spans="3:29">
      <c r="C1091" t="s">
        <v>4952</v>
      </c>
      <c r="D1091" t="s">
        <v>4943</v>
      </c>
      <c r="E1091" s="84">
        <v>33.99</v>
      </c>
      <c r="F1091" s="84">
        <v>16.995000000000001</v>
      </c>
      <c r="G1091" t="s">
        <v>4467</v>
      </c>
      <c r="H1091" t="s">
        <v>4953</v>
      </c>
      <c r="I1091" t="s">
        <v>932</v>
      </c>
      <c r="J1091" t="s">
        <v>4954</v>
      </c>
      <c r="K1091" t="s">
        <v>4946</v>
      </c>
      <c r="L1091" t="s">
        <v>670</v>
      </c>
      <c r="N1091">
        <v>16</v>
      </c>
      <c r="O1091">
        <v>6</v>
      </c>
      <c r="P1091">
        <v>1.536E-3</v>
      </c>
      <c r="Q1091" s="84" t="e">
        <v>#REF!</v>
      </c>
      <c r="R1091" s="85"/>
      <c r="S1091" s="85"/>
      <c r="T1091" s="86">
        <v>0</v>
      </c>
      <c r="U1091" s="84">
        <v>0</v>
      </c>
      <c r="V1091" s="84">
        <v>23.792999999999999</v>
      </c>
      <c r="W1091" s="84">
        <v>11.8965</v>
      </c>
      <c r="X1091" s="82">
        <v>0.35</v>
      </c>
      <c r="Y1091" s="82"/>
      <c r="Z1091" s="84">
        <v>11.8965</v>
      </c>
      <c r="AA1091" s="84">
        <v>23.792999999999999</v>
      </c>
      <c r="AB1091" s="88" t="e">
        <v>#DIV/0!</v>
      </c>
      <c r="AC1091" t="s">
        <v>4955</v>
      </c>
    </row>
    <row r="1092" spans="3:29">
      <c r="C1092" t="s">
        <v>4956</v>
      </c>
      <c r="D1092" t="s">
        <v>4943</v>
      </c>
      <c r="E1092" s="84">
        <v>29.99</v>
      </c>
      <c r="F1092" s="84">
        <v>14.994999999999999</v>
      </c>
      <c r="G1092" t="s">
        <v>4467</v>
      </c>
      <c r="H1092" t="s">
        <v>4957</v>
      </c>
      <c r="I1092" t="s">
        <v>932</v>
      </c>
      <c r="J1092" t="s">
        <v>4834</v>
      </c>
      <c r="K1092" t="s">
        <v>4946</v>
      </c>
      <c r="L1092" t="s">
        <v>670</v>
      </c>
      <c r="N1092">
        <v>17</v>
      </c>
      <c r="O1092">
        <v>5</v>
      </c>
      <c r="P1092">
        <v>1.4450000000000001E-3</v>
      </c>
      <c r="Q1092" s="84" t="e">
        <v>#REF!</v>
      </c>
      <c r="R1092" s="85"/>
      <c r="S1092" s="85"/>
      <c r="T1092" s="86">
        <v>0</v>
      </c>
      <c r="U1092" s="84">
        <v>0</v>
      </c>
      <c r="V1092" s="84">
        <v>20.992999999999999</v>
      </c>
      <c r="W1092" s="84">
        <v>10.496499999999999</v>
      </c>
      <c r="X1092" s="82">
        <v>0.35</v>
      </c>
      <c r="Y1092" s="82"/>
      <c r="Z1092" s="84">
        <v>10.496499999999999</v>
      </c>
      <c r="AA1092" s="84">
        <v>20.992999999999999</v>
      </c>
      <c r="AB1092" s="88" t="e">
        <v>#DIV/0!</v>
      </c>
      <c r="AC1092" t="s">
        <v>4958</v>
      </c>
    </row>
    <row r="1093" spans="3:29">
      <c r="C1093" t="s">
        <v>4959</v>
      </c>
      <c r="D1093" t="s">
        <v>4943</v>
      </c>
      <c r="E1093" s="84">
        <v>41.99</v>
      </c>
      <c r="F1093" s="84">
        <v>20.995000000000001</v>
      </c>
      <c r="G1093" t="s">
        <v>4467</v>
      </c>
      <c r="H1093" t="s">
        <v>4960</v>
      </c>
      <c r="I1093" t="s">
        <v>932</v>
      </c>
      <c r="J1093" t="s">
        <v>4961</v>
      </c>
      <c r="K1093" t="s">
        <v>4946</v>
      </c>
      <c r="L1093" t="s">
        <v>670</v>
      </c>
      <c r="N1093">
        <v>20</v>
      </c>
      <c r="O1093">
        <v>6</v>
      </c>
      <c r="P1093">
        <v>2.3999999999999998E-3</v>
      </c>
      <c r="Q1093" s="84" t="e">
        <v>#REF!</v>
      </c>
      <c r="R1093" s="85"/>
      <c r="S1093" s="85"/>
      <c r="T1093" s="86">
        <v>0</v>
      </c>
      <c r="U1093" s="84">
        <v>0</v>
      </c>
      <c r="V1093" s="84">
        <v>29.393000000000001</v>
      </c>
      <c r="W1093" s="84">
        <v>14.6965</v>
      </c>
      <c r="X1093" s="82">
        <v>0.35</v>
      </c>
      <c r="Y1093" s="82"/>
      <c r="Z1093" s="84">
        <v>14.6965</v>
      </c>
      <c r="AA1093" s="84">
        <v>29.393000000000001</v>
      </c>
      <c r="AB1093" s="88" t="e">
        <v>#DIV/0!</v>
      </c>
      <c r="AC1093" t="s">
        <v>4962</v>
      </c>
    </row>
    <row r="1094" spans="3:29">
      <c r="C1094" t="s">
        <v>4963</v>
      </c>
      <c r="D1094" t="s">
        <v>4943</v>
      </c>
      <c r="E1094" s="84">
        <v>52.99</v>
      </c>
      <c r="F1094" s="84">
        <v>26.495000000000001</v>
      </c>
      <c r="G1094" t="s">
        <v>4467</v>
      </c>
      <c r="H1094" t="s">
        <v>4964</v>
      </c>
      <c r="I1094" t="s">
        <v>932</v>
      </c>
      <c r="J1094" t="s">
        <v>4965</v>
      </c>
      <c r="K1094" t="s">
        <v>4946</v>
      </c>
      <c r="L1094" t="s">
        <v>670</v>
      </c>
      <c r="N1094">
        <v>20</v>
      </c>
      <c r="O1094">
        <v>9</v>
      </c>
      <c r="P1094">
        <v>3.5999999999999999E-3</v>
      </c>
      <c r="Q1094" s="84" t="e">
        <v>#REF!</v>
      </c>
      <c r="R1094" s="85"/>
      <c r="S1094" s="85"/>
      <c r="T1094" s="86">
        <v>0</v>
      </c>
      <c r="U1094" s="84">
        <v>0</v>
      </c>
      <c r="V1094" s="84">
        <v>37.093000000000004</v>
      </c>
      <c r="W1094" s="84">
        <v>18.546500000000002</v>
      </c>
      <c r="X1094" s="82">
        <v>0.35</v>
      </c>
      <c r="Y1094" s="82"/>
      <c r="Z1094" s="84">
        <v>18.546500000000002</v>
      </c>
      <c r="AA1094" s="84">
        <v>37.093000000000004</v>
      </c>
      <c r="AB1094" s="88" t="e">
        <v>#DIV/0!</v>
      </c>
      <c r="AC1094" t="s">
        <v>4951</v>
      </c>
    </row>
    <row r="1095" spans="3:29">
      <c r="C1095" t="s">
        <v>4966</v>
      </c>
      <c r="D1095" t="s">
        <v>4943</v>
      </c>
      <c r="E1095" s="84">
        <v>77.989999999999995</v>
      </c>
      <c r="F1095" s="84">
        <v>38.994999999999997</v>
      </c>
      <c r="G1095" t="s">
        <v>4467</v>
      </c>
      <c r="H1095" t="s">
        <v>4967</v>
      </c>
      <c r="I1095" t="s">
        <v>932</v>
      </c>
      <c r="J1095" t="s">
        <v>4968</v>
      </c>
      <c r="K1095" t="s">
        <v>4946</v>
      </c>
      <c r="L1095" t="s">
        <v>670</v>
      </c>
      <c r="N1095">
        <v>28</v>
      </c>
      <c r="O1095">
        <v>6</v>
      </c>
      <c r="P1095">
        <v>4.7039999999999998E-3</v>
      </c>
      <c r="Q1095" s="84" t="e">
        <v>#REF!</v>
      </c>
      <c r="R1095" s="85"/>
      <c r="S1095" s="85"/>
      <c r="T1095" s="86">
        <v>0</v>
      </c>
      <c r="U1095" s="84">
        <v>0</v>
      </c>
      <c r="V1095" s="84">
        <v>54.593000000000004</v>
      </c>
      <c r="W1095" s="84">
        <v>27.296500000000002</v>
      </c>
      <c r="X1095" s="82">
        <v>0.35</v>
      </c>
      <c r="Y1095" s="82"/>
      <c r="Z1095" s="84">
        <v>27.296500000000002</v>
      </c>
      <c r="AA1095" s="84">
        <v>54.593000000000004</v>
      </c>
      <c r="AB1095" s="88" t="e">
        <v>#DIV/0!</v>
      </c>
      <c r="AC1095" t="s">
        <v>4955</v>
      </c>
    </row>
    <row r="1096" spans="3:29">
      <c r="C1096" t="s">
        <v>4969</v>
      </c>
      <c r="D1096" t="s">
        <v>4943</v>
      </c>
      <c r="E1096" s="84">
        <v>91.99</v>
      </c>
      <c r="F1096" s="84">
        <v>45.994999999999997</v>
      </c>
      <c r="G1096" t="s">
        <v>4467</v>
      </c>
      <c r="H1096" t="s">
        <v>4970</v>
      </c>
      <c r="I1096" t="s">
        <v>932</v>
      </c>
      <c r="J1096" t="s">
        <v>4971</v>
      </c>
      <c r="K1096" t="s">
        <v>4946</v>
      </c>
      <c r="L1096" t="s">
        <v>670</v>
      </c>
      <c r="N1096">
        <v>28</v>
      </c>
      <c r="O1096">
        <v>9</v>
      </c>
      <c r="P1096">
        <v>7.0559999999999998E-3</v>
      </c>
      <c r="Q1096" s="84" t="e">
        <v>#REF!</v>
      </c>
      <c r="R1096" s="85"/>
      <c r="S1096" s="85"/>
      <c r="T1096" s="86">
        <v>0</v>
      </c>
      <c r="U1096" s="84">
        <v>0</v>
      </c>
      <c r="V1096" s="84">
        <v>64.393000000000001</v>
      </c>
      <c r="W1096" s="84">
        <v>32.1965</v>
      </c>
      <c r="X1096" s="82">
        <v>0.35</v>
      </c>
      <c r="Y1096" s="82"/>
      <c r="Z1096" s="84">
        <v>32.1965</v>
      </c>
      <c r="AA1096" s="84">
        <v>64.393000000000001</v>
      </c>
      <c r="AB1096" s="88" t="e">
        <v>#DIV/0!</v>
      </c>
      <c r="AC1096" t="s">
        <v>4951</v>
      </c>
    </row>
    <row r="1097" spans="3:29">
      <c r="C1097" t="s">
        <v>4972</v>
      </c>
      <c r="D1097" t="s">
        <v>4973</v>
      </c>
      <c r="E1097" s="84">
        <v>23.99</v>
      </c>
      <c r="F1097" s="84">
        <v>11.994999999999999</v>
      </c>
      <c r="G1097" t="s">
        <v>4467</v>
      </c>
      <c r="H1097" t="s">
        <v>4944</v>
      </c>
      <c r="I1097" t="s">
        <v>938</v>
      </c>
      <c r="J1097" t="s">
        <v>4945</v>
      </c>
      <c r="K1097" t="s">
        <v>4974</v>
      </c>
      <c r="L1097" t="s">
        <v>670</v>
      </c>
      <c r="N1097">
        <v>9</v>
      </c>
      <c r="O1097">
        <v>4</v>
      </c>
      <c r="P1097">
        <v>3.2400000000000001E-4</v>
      </c>
      <c r="Q1097" s="84" t="e">
        <v>#REF!</v>
      </c>
      <c r="R1097" s="85"/>
      <c r="S1097" s="85"/>
      <c r="T1097" s="86">
        <v>0</v>
      </c>
      <c r="U1097" s="84">
        <v>0</v>
      </c>
      <c r="V1097" s="84">
        <v>16.792999999999999</v>
      </c>
      <c r="W1097" s="84">
        <v>8.3964999999999996</v>
      </c>
      <c r="X1097" s="82">
        <v>0.35</v>
      </c>
      <c r="Y1097" s="82"/>
      <c r="Z1097" s="84">
        <v>8.3964999999999996</v>
      </c>
      <c r="AA1097" s="84">
        <v>16.792999999999999</v>
      </c>
      <c r="AB1097" s="88" t="e">
        <v>#DIV/0!</v>
      </c>
      <c r="AC1097" t="s">
        <v>4975</v>
      </c>
    </row>
    <row r="1098" spans="3:29">
      <c r="C1098" t="s">
        <v>4976</v>
      </c>
      <c r="D1098" t="s">
        <v>4973</v>
      </c>
      <c r="E1098" s="84">
        <v>30.99</v>
      </c>
      <c r="F1098" s="84">
        <v>15.494999999999999</v>
      </c>
      <c r="G1098" t="s">
        <v>4467</v>
      </c>
      <c r="H1098" t="s">
        <v>4949</v>
      </c>
      <c r="I1098" t="s">
        <v>938</v>
      </c>
      <c r="J1098" t="s">
        <v>4977</v>
      </c>
      <c r="K1098" t="s">
        <v>4974</v>
      </c>
      <c r="L1098" t="s">
        <v>670</v>
      </c>
      <c r="N1098">
        <v>15</v>
      </c>
      <c r="O1098">
        <v>5</v>
      </c>
      <c r="P1098">
        <v>1.1249999999999999E-3</v>
      </c>
      <c r="Q1098" s="84" t="e">
        <v>#REF!</v>
      </c>
      <c r="R1098" s="85"/>
      <c r="S1098" s="85"/>
      <c r="T1098" s="86">
        <v>0</v>
      </c>
      <c r="U1098" s="84">
        <v>0</v>
      </c>
      <c r="V1098" s="84">
        <v>21.693000000000001</v>
      </c>
      <c r="W1098" s="84">
        <v>10.846500000000001</v>
      </c>
      <c r="X1098" s="82">
        <v>0.35</v>
      </c>
      <c r="Y1098" s="82"/>
      <c r="Z1098" s="84">
        <v>10.846500000000001</v>
      </c>
      <c r="AA1098" s="84">
        <v>21.693000000000001</v>
      </c>
      <c r="AB1098" s="88" t="e">
        <v>#DIV/0!</v>
      </c>
      <c r="AC1098" t="s">
        <v>4978</v>
      </c>
    </row>
    <row r="1099" spans="3:29">
      <c r="C1099" t="s">
        <v>4979</v>
      </c>
      <c r="D1099" t="s">
        <v>10</v>
      </c>
      <c r="E1099" s="84">
        <v>34.99</v>
      </c>
      <c r="F1099" s="84">
        <v>17.495000000000001</v>
      </c>
      <c r="G1099" t="s">
        <v>4467</v>
      </c>
      <c r="H1099" t="s">
        <v>4957</v>
      </c>
      <c r="I1099" t="s">
        <v>938</v>
      </c>
      <c r="J1099" t="s">
        <v>4834</v>
      </c>
      <c r="K1099" t="s">
        <v>4974</v>
      </c>
      <c r="L1099" t="s">
        <v>670</v>
      </c>
      <c r="N1099">
        <v>17</v>
      </c>
      <c r="O1099">
        <v>5</v>
      </c>
      <c r="P1099">
        <v>1.4450000000000001E-3</v>
      </c>
      <c r="Q1099" s="84" t="e">
        <v>#REF!</v>
      </c>
      <c r="R1099" s="85"/>
      <c r="S1099" s="85"/>
      <c r="T1099" s="86">
        <v>0</v>
      </c>
      <c r="U1099" s="84">
        <v>0</v>
      </c>
      <c r="V1099" s="84">
        <v>24.492999999999999</v>
      </c>
      <c r="W1099" s="84">
        <v>12.246499999999999</v>
      </c>
      <c r="X1099" s="82">
        <v>0.35</v>
      </c>
      <c r="Y1099" s="82"/>
      <c r="Z1099" s="84">
        <v>12.246499999999999</v>
      </c>
      <c r="AA1099" s="84">
        <v>24.492999999999999</v>
      </c>
      <c r="AB1099" s="88" t="e">
        <v>#DIV/0!</v>
      </c>
      <c r="AC1099" t="s">
        <v>4980</v>
      </c>
    </row>
    <row r="1100" spans="3:29">
      <c r="C1100" t="s">
        <v>4981</v>
      </c>
      <c r="D1100" t="s">
        <v>4973</v>
      </c>
      <c r="E1100" s="84">
        <v>38.99</v>
      </c>
      <c r="F1100" s="84">
        <v>19.495000000000001</v>
      </c>
      <c r="G1100" t="s">
        <v>4467</v>
      </c>
      <c r="H1100" t="s">
        <v>4953</v>
      </c>
      <c r="I1100" t="s">
        <v>938</v>
      </c>
      <c r="J1100" t="s">
        <v>4982</v>
      </c>
      <c r="K1100" t="s">
        <v>4974</v>
      </c>
      <c r="L1100" t="s">
        <v>670</v>
      </c>
      <c r="N1100">
        <v>16</v>
      </c>
      <c r="O1100">
        <v>6</v>
      </c>
      <c r="P1100">
        <v>1.536E-3</v>
      </c>
      <c r="Q1100" s="84" t="e">
        <v>#REF!</v>
      </c>
      <c r="R1100" s="85"/>
      <c r="S1100" s="85"/>
      <c r="T1100" s="86">
        <v>0</v>
      </c>
      <c r="U1100" s="84">
        <v>0</v>
      </c>
      <c r="V1100" s="84">
        <v>27.292999999999999</v>
      </c>
      <c r="W1100" s="84">
        <v>13.6465</v>
      </c>
      <c r="X1100" s="82">
        <v>0.35</v>
      </c>
      <c r="Y1100" s="82"/>
      <c r="Z1100" s="84">
        <v>13.6465</v>
      </c>
      <c r="AA1100" s="84">
        <v>27.292999999999999</v>
      </c>
      <c r="AB1100" s="88" t="e">
        <v>#DIV/0!</v>
      </c>
      <c r="AC1100" t="s">
        <v>4983</v>
      </c>
    </row>
    <row r="1101" spans="3:29">
      <c r="C1101" t="s">
        <v>4984</v>
      </c>
      <c r="D1101" t="s">
        <v>4973</v>
      </c>
      <c r="E1101" s="84">
        <v>49.99</v>
      </c>
      <c r="F1101" s="84">
        <v>24.995000000000001</v>
      </c>
      <c r="G1101" t="s">
        <v>4467</v>
      </c>
      <c r="H1101" t="s">
        <v>4960</v>
      </c>
      <c r="I1101" t="s">
        <v>938</v>
      </c>
      <c r="J1101" t="s">
        <v>4961</v>
      </c>
      <c r="K1101" t="s">
        <v>4974</v>
      </c>
      <c r="L1101" t="s">
        <v>670</v>
      </c>
      <c r="N1101">
        <v>20</v>
      </c>
      <c r="O1101">
        <v>6</v>
      </c>
      <c r="P1101">
        <v>2.3999999999999998E-3</v>
      </c>
      <c r="Q1101" s="84" t="e">
        <v>#REF!</v>
      </c>
      <c r="R1101" s="85"/>
      <c r="S1101" s="85"/>
      <c r="T1101" s="86">
        <v>0</v>
      </c>
      <c r="U1101" s="84">
        <v>0</v>
      </c>
      <c r="V1101" s="84">
        <v>34.993000000000002</v>
      </c>
      <c r="W1101" s="84">
        <v>17.496500000000001</v>
      </c>
      <c r="X1101" s="82">
        <v>0.35</v>
      </c>
      <c r="Y1101" s="82"/>
      <c r="Z1101" s="84">
        <v>17.496500000000001</v>
      </c>
      <c r="AA1101" s="84">
        <v>34.993000000000002</v>
      </c>
      <c r="AB1101" s="88" t="e">
        <v>#DIV/0!</v>
      </c>
      <c r="AC1101" t="s">
        <v>4978</v>
      </c>
    </row>
    <row r="1102" spans="3:29">
      <c r="C1102" t="s">
        <v>4985</v>
      </c>
      <c r="D1102" t="s">
        <v>4986</v>
      </c>
      <c r="E1102" s="84">
        <v>29.99</v>
      </c>
      <c r="F1102" s="84">
        <v>14.994999999999999</v>
      </c>
      <c r="G1102" t="s">
        <v>4467</v>
      </c>
      <c r="H1102" t="s">
        <v>4987</v>
      </c>
      <c r="I1102" t="s">
        <v>941</v>
      </c>
      <c r="J1102" t="s">
        <v>4945</v>
      </c>
      <c r="K1102" t="s">
        <v>4988</v>
      </c>
      <c r="L1102" t="s">
        <v>670</v>
      </c>
      <c r="N1102">
        <v>9</v>
      </c>
      <c r="O1102">
        <v>4</v>
      </c>
      <c r="P1102">
        <v>3.2400000000000001E-4</v>
      </c>
      <c r="Q1102" s="84" t="e">
        <v>#REF!</v>
      </c>
      <c r="R1102" s="85"/>
      <c r="S1102" s="85"/>
      <c r="T1102" s="86">
        <v>0</v>
      </c>
      <c r="U1102" s="84">
        <v>0</v>
      </c>
      <c r="V1102" s="84">
        <v>20.992999999999999</v>
      </c>
      <c r="W1102" s="84">
        <v>10.496499999999999</v>
      </c>
      <c r="X1102" s="82">
        <v>0.35</v>
      </c>
      <c r="Y1102" s="82"/>
      <c r="Z1102" s="84">
        <v>10.496499999999999</v>
      </c>
      <c r="AA1102" s="84">
        <v>20.992999999999999</v>
      </c>
      <c r="AB1102" s="88" t="e">
        <v>#DIV/0!</v>
      </c>
      <c r="AC1102" t="s">
        <v>4989</v>
      </c>
    </row>
    <row r="1103" spans="3:29">
      <c r="C1103" t="s">
        <v>4990</v>
      </c>
      <c r="D1103" t="s">
        <v>4986</v>
      </c>
      <c r="E1103" s="84">
        <v>36.99</v>
      </c>
      <c r="F1103" s="84">
        <v>18.495000000000001</v>
      </c>
      <c r="G1103" t="s">
        <v>4467</v>
      </c>
      <c r="H1103" t="s">
        <v>4991</v>
      </c>
      <c r="I1103" t="s">
        <v>941</v>
      </c>
      <c r="J1103" t="s">
        <v>4977</v>
      </c>
      <c r="K1103" t="s">
        <v>4988</v>
      </c>
      <c r="L1103" t="s">
        <v>670</v>
      </c>
      <c r="N1103">
        <v>15</v>
      </c>
      <c r="O1103">
        <v>5</v>
      </c>
      <c r="P1103">
        <v>1.1249999999999999E-3</v>
      </c>
      <c r="Q1103" s="84" t="e">
        <v>#REF!</v>
      </c>
      <c r="R1103" s="85"/>
      <c r="S1103" s="85"/>
      <c r="T1103" s="86">
        <v>0</v>
      </c>
      <c r="U1103" s="84">
        <v>0</v>
      </c>
      <c r="V1103" s="84">
        <v>25.893000000000001</v>
      </c>
      <c r="W1103" s="84">
        <v>12.9465</v>
      </c>
      <c r="X1103" s="82">
        <v>0.35</v>
      </c>
      <c r="Y1103" s="82"/>
      <c r="Z1103" s="84">
        <v>12.9465</v>
      </c>
      <c r="AA1103" s="84">
        <v>25.893000000000001</v>
      </c>
      <c r="AB1103" s="88" t="e">
        <v>#DIV/0!</v>
      </c>
      <c r="AC1103" t="s">
        <v>4992</v>
      </c>
    </row>
    <row r="1104" spans="3:29">
      <c r="C1104" t="s">
        <v>4993</v>
      </c>
      <c r="D1104" t="s">
        <v>4986</v>
      </c>
      <c r="E1104" s="84">
        <v>41.99</v>
      </c>
      <c r="F1104" s="84">
        <v>20.995000000000001</v>
      </c>
      <c r="G1104" t="s">
        <v>4467</v>
      </c>
      <c r="H1104" t="s">
        <v>4994</v>
      </c>
      <c r="I1104" t="s">
        <v>941</v>
      </c>
      <c r="J1104" t="s">
        <v>4834</v>
      </c>
      <c r="K1104" t="s">
        <v>4988</v>
      </c>
      <c r="L1104" t="s">
        <v>670</v>
      </c>
      <c r="N1104">
        <v>17</v>
      </c>
      <c r="O1104">
        <v>5</v>
      </c>
      <c r="P1104">
        <v>1.4450000000000001E-3</v>
      </c>
      <c r="Q1104" s="84" t="e">
        <v>#REF!</v>
      </c>
      <c r="R1104" s="85"/>
      <c r="S1104" s="85"/>
      <c r="T1104" s="86">
        <v>0</v>
      </c>
      <c r="U1104" s="84">
        <v>0</v>
      </c>
      <c r="V1104" s="84">
        <v>29.393000000000001</v>
      </c>
      <c r="W1104" s="84">
        <v>14.6965</v>
      </c>
      <c r="X1104" s="82">
        <v>0.35</v>
      </c>
      <c r="Y1104" s="82"/>
      <c r="Z1104" s="84">
        <v>14.6965</v>
      </c>
      <c r="AA1104" s="84">
        <v>29.393000000000001</v>
      </c>
      <c r="AB1104" s="88" t="e">
        <v>#DIV/0!</v>
      </c>
      <c r="AC1104" t="s">
        <v>4992</v>
      </c>
    </row>
    <row r="1105" spans="3:29">
      <c r="C1105" t="s">
        <v>4995</v>
      </c>
      <c r="D1105" t="s">
        <v>4996</v>
      </c>
      <c r="E1105" s="84">
        <v>32.99</v>
      </c>
      <c r="F1105" s="84">
        <v>16.495000000000001</v>
      </c>
      <c r="G1105" t="s">
        <v>4467</v>
      </c>
      <c r="H1105" t="s">
        <v>4997</v>
      </c>
      <c r="I1105" t="s">
        <v>947</v>
      </c>
      <c r="J1105" t="s">
        <v>4945</v>
      </c>
      <c r="K1105" t="s">
        <v>4998</v>
      </c>
      <c r="L1105" t="s">
        <v>670</v>
      </c>
      <c r="N1105">
        <v>9</v>
      </c>
      <c r="O1105">
        <v>4</v>
      </c>
      <c r="P1105">
        <v>3.2400000000000001E-4</v>
      </c>
      <c r="Q1105" s="84" t="e">
        <v>#REF!</v>
      </c>
      <c r="R1105" s="85"/>
      <c r="S1105" s="85"/>
      <c r="T1105" s="86">
        <v>0</v>
      </c>
      <c r="U1105" s="84">
        <v>0</v>
      </c>
      <c r="V1105" s="84">
        <v>23.093</v>
      </c>
      <c r="W1105" s="84">
        <v>11.5465</v>
      </c>
      <c r="X1105" s="82">
        <v>0.35</v>
      </c>
      <c r="Y1105" s="82"/>
      <c r="Z1105" s="84">
        <v>11.5465</v>
      </c>
      <c r="AA1105" s="84">
        <v>23.093</v>
      </c>
      <c r="AB1105" s="88" t="e">
        <v>#DIV/0!</v>
      </c>
      <c r="AC1105" t="s">
        <v>4999</v>
      </c>
    </row>
    <row r="1106" spans="3:29">
      <c r="C1106" t="s">
        <v>5000</v>
      </c>
      <c r="D1106" t="s">
        <v>4996</v>
      </c>
      <c r="E1106" s="84">
        <v>41.99</v>
      </c>
      <c r="F1106" s="84">
        <v>20.995000000000001</v>
      </c>
      <c r="G1106" t="s">
        <v>4467</v>
      </c>
      <c r="H1106" t="s">
        <v>5001</v>
      </c>
      <c r="I1106" t="s">
        <v>947</v>
      </c>
      <c r="J1106" t="s">
        <v>4950</v>
      </c>
      <c r="K1106" t="s">
        <v>4998</v>
      </c>
      <c r="L1106" t="s">
        <v>670</v>
      </c>
      <c r="N1106">
        <v>15</v>
      </c>
      <c r="O1106">
        <v>5</v>
      </c>
      <c r="P1106">
        <v>1.1249999999999999E-3</v>
      </c>
      <c r="Q1106" s="84" t="e">
        <v>#REF!</v>
      </c>
      <c r="R1106" s="85"/>
      <c r="S1106" s="85"/>
      <c r="T1106" s="86">
        <v>0</v>
      </c>
      <c r="U1106" s="84">
        <v>0</v>
      </c>
      <c r="V1106" s="84">
        <v>29.393000000000001</v>
      </c>
      <c r="W1106" s="84">
        <v>14.6965</v>
      </c>
      <c r="X1106" s="82">
        <v>0.35</v>
      </c>
      <c r="Y1106" s="82"/>
      <c r="Z1106" s="84">
        <v>14.6965</v>
      </c>
      <c r="AA1106" s="84">
        <v>29.393000000000001</v>
      </c>
      <c r="AB1106" s="88" t="e">
        <v>#DIV/0!</v>
      </c>
      <c r="AC1106" t="s">
        <v>5002</v>
      </c>
    </row>
    <row r="1107" spans="3:29">
      <c r="C1107" t="s">
        <v>5003</v>
      </c>
      <c r="D1107" t="s">
        <v>4996</v>
      </c>
      <c r="E1107" s="84">
        <v>51.99</v>
      </c>
      <c r="F1107" s="84">
        <v>25.995000000000001</v>
      </c>
      <c r="G1107" t="s">
        <v>4467</v>
      </c>
      <c r="H1107" t="s">
        <v>5004</v>
      </c>
      <c r="I1107" t="s">
        <v>947</v>
      </c>
      <c r="J1107" t="s">
        <v>4982</v>
      </c>
      <c r="K1107" t="s">
        <v>4998</v>
      </c>
      <c r="L1107" t="s">
        <v>670</v>
      </c>
      <c r="N1107">
        <v>16</v>
      </c>
      <c r="O1107">
        <v>6</v>
      </c>
      <c r="P1107">
        <v>1.536E-3</v>
      </c>
      <c r="Q1107" s="84" t="e">
        <v>#REF!</v>
      </c>
      <c r="R1107" s="85"/>
      <c r="S1107" s="85"/>
      <c r="T1107" s="86">
        <v>0</v>
      </c>
      <c r="U1107" s="84">
        <v>0</v>
      </c>
      <c r="V1107" s="84">
        <v>36.393000000000001</v>
      </c>
      <c r="W1107" s="84">
        <v>18.1965</v>
      </c>
      <c r="X1107" s="82">
        <v>0.35</v>
      </c>
      <c r="Y1107" s="82"/>
      <c r="Z1107" s="84">
        <v>18.1965</v>
      </c>
      <c r="AA1107" s="84">
        <v>36.393000000000001</v>
      </c>
      <c r="AB1107" s="88" t="e">
        <v>#DIV/0!</v>
      </c>
      <c r="AC1107" t="s">
        <v>5005</v>
      </c>
    </row>
    <row r="1108" spans="3:29">
      <c r="C1108" t="s">
        <v>5006</v>
      </c>
      <c r="D1108" t="s">
        <v>4996</v>
      </c>
      <c r="E1108" s="84">
        <v>46.99</v>
      </c>
      <c r="F1108" s="84">
        <v>23.495000000000001</v>
      </c>
      <c r="G1108" t="s">
        <v>4467</v>
      </c>
      <c r="H1108" t="s">
        <v>5007</v>
      </c>
      <c r="I1108" t="s">
        <v>947</v>
      </c>
      <c r="J1108" t="s">
        <v>4834</v>
      </c>
      <c r="K1108" t="s">
        <v>4998</v>
      </c>
      <c r="L1108" t="s">
        <v>670</v>
      </c>
      <c r="N1108">
        <v>17</v>
      </c>
      <c r="O1108">
        <v>5</v>
      </c>
      <c r="P1108">
        <v>1.4450000000000001E-3</v>
      </c>
      <c r="Q1108" s="84" t="e">
        <v>#REF!</v>
      </c>
      <c r="R1108" s="85"/>
      <c r="S1108" s="85"/>
      <c r="T1108" s="86">
        <v>0</v>
      </c>
      <c r="U1108" s="84">
        <v>0</v>
      </c>
      <c r="V1108" s="84">
        <v>32.893000000000001</v>
      </c>
      <c r="W1108" s="84">
        <v>16.4465</v>
      </c>
      <c r="X1108" s="82">
        <v>0.35</v>
      </c>
      <c r="Y1108" s="82"/>
      <c r="Z1108" s="84">
        <v>16.4465</v>
      </c>
      <c r="AA1108" s="84">
        <v>32.893000000000001</v>
      </c>
      <c r="AB1108" s="88" t="e">
        <v>#DIV/0!</v>
      </c>
      <c r="AC1108" t="s">
        <v>5008</v>
      </c>
    </row>
    <row r="1109" spans="3:29">
      <c r="C1109" t="s">
        <v>5009</v>
      </c>
      <c r="D1109" t="s">
        <v>4996</v>
      </c>
      <c r="E1109" s="84">
        <v>64.989999999999995</v>
      </c>
      <c r="F1109" s="84">
        <v>32.494999999999997</v>
      </c>
      <c r="G1109" t="s">
        <v>4467</v>
      </c>
      <c r="H1109" t="s">
        <v>5010</v>
      </c>
      <c r="I1109" t="s">
        <v>947</v>
      </c>
      <c r="J1109" t="s">
        <v>4961</v>
      </c>
      <c r="K1109" t="s">
        <v>4998</v>
      </c>
      <c r="L1109" t="s">
        <v>670</v>
      </c>
      <c r="N1109">
        <v>20</v>
      </c>
      <c r="O1109">
        <v>6</v>
      </c>
      <c r="P1109">
        <v>2.3999999999999998E-3</v>
      </c>
      <c r="Q1109" s="84" t="e">
        <v>#REF!</v>
      </c>
      <c r="R1109" s="85"/>
      <c r="S1109" s="85"/>
      <c r="T1109" s="86">
        <v>0</v>
      </c>
      <c r="U1109" s="84">
        <v>0</v>
      </c>
      <c r="V1109" s="84">
        <v>45.493000000000002</v>
      </c>
      <c r="W1109" s="84">
        <v>22.746500000000001</v>
      </c>
      <c r="X1109" s="82">
        <v>0.35</v>
      </c>
      <c r="Y1109" s="82"/>
      <c r="Z1109" s="84">
        <v>22.746500000000001</v>
      </c>
      <c r="AA1109" s="84">
        <v>45.493000000000002</v>
      </c>
      <c r="AB1109" s="88" t="e">
        <v>#DIV/0!</v>
      </c>
      <c r="AC1109" t="s">
        <v>5008</v>
      </c>
    </row>
    <row r="1110" spans="3:29">
      <c r="C1110" t="s">
        <v>5011</v>
      </c>
      <c r="D1110" t="s">
        <v>4996</v>
      </c>
      <c r="E1110" s="84">
        <v>141.99</v>
      </c>
      <c r="F1110" s="84">
        <v>70.995000000000005</v>
      </c>
      <c r="G1110" t="s">
        <v>4467</v>
      </c>
      <c r="H1110" t="s">
        <v>5012</v>
      </c>
      <c r="I1110" t="s">
        <v>947</v>
      </c>
      <c r="J1110" t="s">
        <v>4971</v>
      </c>
      <c r="K1110" t="s">
        <v>4998</v>
      </c>
      <c r="L1110" t="s">
        <v>670</v>
      </c>
      <c r="N1110">
        <v>28</v>
      </c>
      <c r="O1110">
        <v>9</v>
      </c>
      <c r="P1110">
        <v>7.0559999999999998E-3</v>
      </c>
      <c r="Q1110" s="84" t="e">
        <v>#REF!</v>
      </c>
      <c r="R1110" s="85"/>
      <c r="S1110" s="85"/>
      <c r="T1110" s="86">
        <v>0</v>
      </c>
      <c r="U1110" s="84">
        <v>0</v>
      </c>
      <c r="V1110" s="84">
        <v>99.393000000000001</v>
      </c>
      <c r="W1110" s="84">
        <v>49.6965</v>
      </c>
      <c r="X1110" s="82">
        <v>0.35</v>
      </c>
      <c r="Y1110" s="82"/>
      <c r="Z1110" s="84">
        <v>49.6965</v>
      </c>
      <c r="AA1110" s="84">
        <v>99.393000000000001</v>
      </c>
      <c r="AB1110" s="88" t="e">
        <v>#DIV/0!</v>
      </c>
      <c r="AC1110" t="s">
        <v>5013</v>
      </c>
    </row>
    <row r="1111" spans="3:29">
      <c r="C1111" t="s">
        <v>2699</v>
      </c>
      <c r="D1111" t="s">
        <v>5014</v>
      </c>
      <c r="E1111" s="84">
        <v>269.99</v>
      </c>
      <c r="F1111" s="84">
        <v>134.995</v>
      </c>
      <c r="G1111" t="s">
        <v>4467</v>
      </c>
      <c r="H1111" t="s">
        <v>5015</v>
      </c>
      <c r="I1111" t="s">
        <v>639</v>
      </c>
      <c r="J1111" t="s">
        <v>2702</v>
      </c>
      <c r="K1111" t="s">
        <v>2564</v>
      </c>
      <c r="L1111" t="s">
        <v>670</v>
      </c>
      <c r="N1111">
        <v>25</v>
      </c>
      <c r="O1111">
        <v>30</v>
      </c>
      <c r="P1111">
        <v>1.8749999999999999E-2</v>
      </c>
      <c r="Q1111" s="84" t="e">
        <v>#REF!</v>
      </c>
      <c r="R1111" s="85"/>
      <c r="S1111" s="85"/>
      <c r="T1111" s="86">
        <v>0</v>
      </c>
      <c r="U1111" s="84">
        <v>0</v>
      </c>
      <c r="V1111" s="84">
        <v>188.99299999999999</v>
      </c>
      <c r="W1111" s="84">
        <v>94.496499999999997</v>
      </c>
      <c r="X1111" s="82">
        <v>0.35</v>
      </c>
      <c r="Y1111" s="82"/>
      <c r="Z1111" s="84">
        <v>94.496499999999997</v>
      </c>
      <c r="AA1111" s="84">
        <v>188.99299999999999</v>
      </c>
      <c r="AB1111" s="88" t="e">
        <v>#DIV/0!</v>
      </c>
      <c r="AC1111" t="s">
        <v>5016</v>
      </c>
    </row>
    <row r="1112" spans="3:29">
      <c r="C1112" t="s">
        <v>5017</v>
      </c>
      <c r="D1112" t="s">
        <v>5014</v>
      </c>
      <c r="E1112" s="84">
        <v>364.99</v>
      </c>
      <c r="F1112" s="84">
        <v>182.495</v>
      </c>
      <c r="G1112" t="s">
        <v>4467</v>
      </c>
      <c r="H1112" t="s">
        <v>5018</v>
      </c>
      <c r="I1112" t="s">
        <v>639</v>
      </c>
      <c r="J1112" t="s">
        <v>2706</v>
      </c>
      <c r="K1112" t="s">
        <v>2564</v>
      </c>
      <c r="L1112" t="s">
        <v>670</v>
      </c>
      <c r="N1112">
        <v>30</v>
      </c>
      <c r="O1112">
        <v>35</v>
      </c>
      <c r="P1112">
        <v>3.15E-2</v>
      </c>
      <c r="Q1112" s="84" t="e">
        <v>#REF!</v>
      </c>
      <c r="R1112" s="85"/>
      <c r="S1112" s="85"/>
      <c r="T1112" s="86">
        <v>0</v>
      </c>
      <c r="U1112" s="84">
        <v>0</v>
      </c>
      <c r="V1112" s="84">
        <v>255.49299999999999</v>
      </c>
      <c r="W1112" s="84">
        <v>127.7465</v>
      </c>
      <c r="X1112" s="82">
        <v>0.35</v>
      </c>
      <c r="Y1112" s="82"/>
      <c r="Z1112" s="84">
        <v>127.7465</v>
      </c>
      <c r="AA1112" s="84">
        <v>255.49299999999999</v>
      </c>
      <c r="AB1112" s="88" t="e">
        <v>#DIV/0!</v>
      </c>
      <c r="AC1112" t="s">
        <v>5019</v>
      </c>
    </row>
    <row r="1113" spans="3:29">
      <c r="C1113" t="s">
        <v>5020</v>
      </c>
      <c r="D1113" t="s">
        <v>5021</v>
      </c>
      <c r="E1113" s="84">
        <v>119.99</v>
      </c>
      <c r="F1113" s="84">
        <v>59.994999999999997</v>
      </c>
      <c r="G1113" t="s">
        <v>4467</v>
      </c>
      <c r="H1113" t="s">
        <v>5022</v>
      </c>
      <c r="I1113" t="s">
        <v>5023</v>
      </c>
      <c r="J1113" t="s">
        <v>2764</v>
      </c>
      <c r="K1113" t="s">
        <v>2564</v>
      </c>
      <c r="L1113" t="s">
        <v>670</v>
      </c>
      <c r="N1113">
        <v>30</v>
      </c>
      <c r="O1113">
        <v>30</v>
      </c>
      <c r="P1113">
        <v>2.7E-2</v>
      </c>
      <c r="Q1113" s="84" t="e">
        <v>#REF!</v>
      </c>
      <c r="R1113" s="85"/>
      <c r="S1113" s="85"/>
      <c r="T1113" s="86">
        <v>0</v>
      </c>
      <c r="U1113" s="84">
        <v>0</v>
      </c>
      <c r="V1113" s="84">
        <v>83.992999999999995</v>
      </c>
      <c r="W1113" s="84">
        <v>41.996499999999997</v>
      </c>
      <c r="X1113" s="82">
        <v>0.35</v>
      </c>
      <c r="Y1113" s="82"/>
      <c r="Z1113" s="84">
        <v>41.996499999999997</v>
      </c>
      <c r="AA1113" s="84">
        <v>83.992999999999995</v>
      </c>
      <c r="AB1113" s="88" t="e">
        <v>#DIV/0!</v>
      </c>
      <c r="AC1113" t="s">
        <v>5024</v>
      </c>
    </row>
    <row r="1114" spans="3:29">
      <c r="C1114" t="s">
        <v>5025</v>
      </c>
      <c r="D1114" t="s">
        <v>5026</v>
      </c>
      <c r="E1114" s="84">
        <v>34.99</v>
      </c>
      <c r="F1114" s="84">
        <v>17.495000000000001</v>
      </c>
      <c r="G1114" t="s">
        <v>4467</v>
      </c>
      <c r="H1114" t="s">
        <v>5027</v>
      </c>
      <c r="I1114" t="s">
        <v>437</v>
      </c>
      <c r="J1114" t="s">
        <v>5028</v>
      </c>
      <c r="K1114" t="s">
        <v>4946</v>
      </c>
      <c r="L1114" t="s">
        <v>670</v>
      </c>
      <c r="N1114">
        <v>12</v>
      </c>
      <c r="O1114">
        <v>7</v>
      </c>
      <c r="P1114">
        <v>1.008E-3</v>
      </c>
      <c r="Q1114" s="84" t="e">
        <v>#REF!</v>
      </c>
      <c r="R1114" s="85"/>
      <c r="S1114" s="85"/>
      <c r="T1114" s="86">
        <v>0</v>
      </c>
      <c r="U1114" s="84">
        <v>0</v>
      </c>
      <c r="V1114" s="84">
        <v>24.492999999999999</v>
      </c>
      <c r="W1114" s="84">
        <v>12.246499999999999</v>
      </c>
      <c r="X1114" s="82">
        <v>0.35</v>
      </c>
      <c r="Y1114" s="82"/>
      <c r="Z1114" s="84">
        <v>12.246499999999999</v>
      </c>
      <c r="AA1114" s="84">
        <v>24.492999999999999</v>
      </c>
      <c r="AB1114" s="88" t="e">
        <v>#DIV/0!</v>
      </c>
      <c r="AC1114" t="s">
        <v>5029</v>
      </c>
    </row>
    <row r="1115" spans="3:29">
      <c r="C1115" t="s">
        <v>5030</v>
      </c>
      <c r="D1115" t="s">
        <v>5026</v>
      </c>
      <c r="E1115" s="84">
        <v>43.99</v>
      </c>
      <c r="F1115" s="84">
        <v>21.995000000000001</v>
      </c>
      <c r="G1115" t="s">
        <v>4467</v>
      </c>
      <c r="H1115" t="s">
        <v>5031</v>
      </c>
      <c r="I1115" t="s">
        <v>437</v>
      </c>
      <c r="J1115" t="s">
        <v>5032</v>
      </c>
      <c r="K1115" t="s">
        <v>4946</v>
      </c>
      <c r="L1115" t="s">
        <v>670</v>
      </c>
      <c r="N1115">
        <v>15</v>
      </c>
      <c r="O1115">
        <v>8</v>
      </c>
      <c r="P1115">
        <v>1.8E-3</v>
      </c>
      <c r="Q1115" s="84" t="e">
        <v>#REF!</v>
      </c>
      <c r="R1115" s="85"/>
      <c r="S1115" s="85"/>
      <c r="T1115" s="86">
        <v>0</v>
      </c>
      <c r="U1115" s="84">
        <v>0</v>
      </c>
      <c r="V1115" s="84">
        <v>30.792999999999999</v>
      </c>
      <c r="W1115" s="84">
        <v>15.3965</v>
      </c>
      <c r="X1115" s="82">
        <v>0.35</v>
      </c>
      <c r="Y1115" s="82"/>
      <c r="Z1115" s="84">
        <v>15.3965</v>
      </c>
      <c r="AA1115" s="84">
        <v>30.792999999999999</v>
      </c>
      <c r="AB1115" s="88" t="e">
        <v>#DIV/0!</v>
      </c>
      <c r="AC1115" t="s">
        <v>5033</v>
      </c>
    </row>
    <row r="1116" spans="3:29">
      <c r="C1116" t="s">
        <v>5034</v>
      </c>
      <c r="D1116" t="s">
        <v>5026</v>
      </c>
      <c r="E1116" s="84">
        <v>58.99</v>
      </c>
      <c r="F1116" s="84">
        <v>29.495000000000001</v>
      </c>
      <c r="G1116" t="s">
        <v>4467</v>
      </c>
      <c r="H1116" t="s">
        <v>5035</v>
      </c>
      <c r="I1116" t="s">
        <v>437</v>
      </c>
      <c r="J1116" t="s">
        <v>5036</v>
      </c>
      <c r="K1116" t="s">
        <v>4946</v>
      </c>
      <c r="L1116" t="s">
        <v>670</v>
      </c>
      <c r="N1116">
        <v>20</v>
      </c>
      <c r="O1116">
        <v>11</v>
      </c>
      <c r="P1116">
        <v>4.4000000000000003E-3</v>
      </c>
      <c r="Q1116" s="84" t="e">
        <v>#REF!</v>
      </c>
      <c r="R1116" s="85"/>
      <c r="S1116" s="85"/>
      <c r="T1116" s="86">
        <v>0</v>
      </c>
      <c r="U1116" s="84">
        <v>0</v>
      </c>
      <c r="V1116" s="84">
        <v>41.292999999999999</v>
      </c>
      <c r="W1116" s="84">
        <v>20.6465</v>
      </c>
      <c r="X1116" s="82">
        <v>0.35</v>
      </c>
      <c r="Y1116" s="82"/>
      <c r="Z1116" s="84">
        <v>20.6465</v>
      </c>
      <c r="AA1116" s="84">
        <v>41.292999999999999</v>
      </c>
      <c r="AB1116" s="88" t="e">
        <v>#DIV/0!</v>
      </c>
      <c r="AC1116" t="s">
        <v>5029</v>
      </c>
    </row>
    <row r="1117" spans="3:29">
      <c r="C1117" t="s">
        <v>5037</v>
      </c>
      <c r="D1117" t="s">
        <v>5026</v>
      </c>
      <c r="E1117" s="84">
        <v>89.99</v>
      </c>
      <c r="F1117" s="84">
        <v>44.994999999999997</v>
      </c>
      <c r="G1117" t="s">
        <v>4467</v>
      </c>
      <c r="H1117" t="s">
        <v>5038</v>
      </c>
      <c r="I1117" t="s">
        <v>437</v>
      </c>
      <c r="J1117" t="s">
        <v>5039</v>
      </c>
      <c r="K1117" t="s">
        <v>4946</v>
      </c>
      <c r="L1117" t="s">
        <v>670</v>
      </c>
      <c r="N1117">
        <v>27</v>
      </c>
      <c r="O1117">
        <v>15</v>
      </c>
      <c r="P1117">
        <v>1.0935E-2</v>
      </c>
      <c r="Q1117" s="84" t="e">
        <v>#REF!</v>
      </c>
      <c r="R1117" s="85"/>
      <c r="S1117" s="85"/>
      <c r="T1117" s="86">
        <v>0</v>
      </c>
      <c r="U1117" s="84">
        <v>0</v>
      </c>
      <c r="V1117" s="84">
        <v>62.993000000000002</v>
      </c>
      <c r="W1117" s="84">
        <v>31.496500000000001</v>
      </c>
      <c r="X1117" s="82">
        <v>0.35</v>
      </c>
      <c r="Y1117" s="82"/>
      <c r="Z1117" s="84">
        <v>31.496500000000001</v>
      </c>
      <c r="AA1117" s="84">
        <v>62.993000000000002</v>
      </c>
      <c r="AB1117" s="88" t="e">
        <v>#DIV/0!</v>
      </c>
      <c r="AC1117" t="s">
        <v>5040</v>
      </c>
    </row>
    <row r="1118" spans="3:29">
      <c r="C1118" t="s">
        <v>5041</v>
      </c>
      <c r="D1118" t="s">
        <v>5042</v>
      </c>
      <c r="E1118" s="84">
        <v>33.99</v>
      </c>
      <c r="F1118" s="84">
        <v>16.995000000000001</v>
      </c>
      <c r="G1118" t="s">
        <v>4467</v>
      </c>
      <c r="H1118" t="s">
        <v>5043</v>
      </c>
      <c r="I1118" t="s">
        <v>204</v>
      </c>
      <c r="J1118" t="s">
        <v>5044</v>
      </c>
      <c r="K1118" t="s">
        <v>2564</v>
      </c>
      <c r="L1118" t="s">
        <v>670</v>
      </c>
      <c r="N1118">
        <v>14</v>
      </c>
      <c r="O1118">
        <v>4</v>
      </c>
      <c r="P1118">
        <v>7.8399999999999997E-4</v>
      </c>
      <c r="Q1118" s="84" t="e">
        <v>#REF!</v>
      </c>
      <c r="R1118" s="85"/>
      <c r="S1118" s="85"/>
      <c r="T1118" s="86">
        <v>0</v>
      </c>
      <c r="U1118" s="84">
        <v>0</v>
      </c>
      <c r="V1118" s="84">
        <v>23.792999999999999</v>
      </c>
      <c r="W1118" s="84">
        <v>11.8965</v>
      </c>
      <c r="X1118" s="82">
        <v>0.35</v>
      </c>
      <c r="Y1118" s="82"/>
      <c r="Z1118" s="84">
        <v>11.8965</v>
      </c>
      <c r="AA1118" s="84">
        <v>23.792999999999999</v>
      </c>
      <c r="AB1118" s="88" t="e">
        <v>#DIV/0!</v>
      </c>
      <c r="AC1118" t="s">
        <v>5045</v>
      </c>
    </row>
    <row r="1119" spans="3:29">
      <c r="C1119" t="s">
        <v>5046</v>
      </c>
      <c r="D1119" t="s">
        <v>5042</v>
      </c>
      <c r="E1119" s="84">
        <v>34.99</v>
      </c>
      <c r="F1119" s="84">
        <v>17.495000000000001</v>
      </c>
      <c r="G1119" t="s">
        <v>4467</v>
      </c>
      <c r="H1119" t="s">
        <v>5047</v>
      </c>
      <c r="I1119" t="s">
        <v>204</v>
      </c>
      <c r="J1119" t="s">
        <v>5048</v>
      </c>
      <c r="K1119" t="s">
        <v>2564</v>
      </c>
      <c r="L1119" t="s">
        <v>670</v>
      </c>
      <c r="N1119">
        <v>17</v>
      </c>
      <c r="O1119">
        <v>5</v>
      </c>
      <c r="P1119">
        <v>1.4450000000000001E-3</v>
      </c>
      <c r="Q1119" s="84" t="e">
        <v>#REF!</v>
      </c>
      <c r="R1119" s="85"/>
      <c r="S1119" s="85"/>
      <c r="T1119" s="86">
        <v>0</v>
      </c>
      <c r="U1119" s="84">
        <v>0</v>
      </c>
      <c r="V1119" s="84">
        <v>24.492999999999999</v>
      </c>
      <c r="W1119" s="84">
        <v>12.246499999999999</v>
      </c>
      <c r="X1119" s="82">
        <v>0.35</v>
      </c>
      <c r="Y1119" s="82"/>
      <c r="Z1119" s="84">
        <v>12.246499999999999</v>
      </c>
      <c r="AA1119" s="84">
        <v>24.492999999999999</v>
      </c>
      <c r="AB1119" s="88" t="e">
        <v>#DIV/0!</v>
      </c>
      <c r="AC1119" t="s">
        <v>5049</v>
      </c>
    </row>
    <row r="1120" spans="3:29">
      <c r="C1120" t="s">
        <v>5050</v>
      </c>
      <c r="D1120" t="s">
        <v>5042</v>
      </c>
      <c r="E1120" s="84">
        <v>40.99</v>
      </c>
      <c r="F1120" s="84">
        <v>20.495000000000001</v>
      </c>
      <c r="G1120" t="s">
        <v>4467</v>
      </c>
      <c r="H1120" t="s">
        <v>5051</v>
      </c>
      <c r="I1120" t="s">
        <v>204</v>
      </c>
      <c r="J1120" t="s">
        <v>5052</v>
      </c>
      <c r="K1120" t="s">
        <v>2564</v>
      </c>
      <c r="L1120" t="s">
        <v>670</v>
      </c>
      <c r="N1120">
        <v>18</v>
      </c>
      <c r="O1120">
        <v>5</v>
      </c>
      <c r="P1120">
        <v>1.6199999999999999E-3</v>
      </c>
      <c r="Q1120" s="84" t="e">
        <v>#REF!</v>
      </c>
      <c r="R1120" s="85"/>
      <c r="S1120" s="85"/>
      <c r="T1120" s="86">
        <v>0</v>
      </c>
      <c r="U1120" s="84">
        <v>0</v>
      </c>
      <c r="V1120" s="84">
        <v>28.693000000000001</v>
      </c>
      <c r="W1120" s="84">
        <v>14.346500000000001</v>
      </c>
      <c r="X1120" s="82">
        <v>0.35</v>
      </c>
      <c r="Y1120" s="82"/>
      <c r="Z1120" s="84">
        <v>14.346500000000001</v>
      </c>
      <c r="AA1120" s="84">
        <v>28.693000000000001</v>
      </c>
      <c r="AB1120" s="88" t="e">
        <v>#DIV/0!</v>
      </c>
      <c r="AC1120" t="s">
        <v>5049</v>
      </c>
    </row>
    <row r="1121" spans="3:29">
      <c r="C1121" t="s">
        <v>5053</v>
      </c>
      <c r="D1121" t="s">
        <v>5054</v>
      </c>
      <c r="E1121" s="84">
        <v>23.99</v>
      </c>
      <c r="F1121" s="84">
        <v>11.994999999999999</v>
      </c>
      <c r="G1121" t="s">
        <v>4467</v>
      </c>
      <c r="H1121" t="s">
        <v>5055</v>
      </c>
      <c r="I1121" t="s">
        <v>602</v>
      </c>
      <c r="J1121" t="s">
        <v>5056</v>
      </c>
      <c r="K1121" t="s">
        <v>4946</v>
      </c>
      <c r="L1121" t="s">
        <v>670</v>
      </c>
      <c r="N1121">
        <v>12</v>
      </c>
      <c r="O1121">
        <v>8</v>
      </c>
      <c r="P1121">
        <v>1.152E-3</v>
      </c>
      <c r="Q1121" s="84" t="e">
        <v>#REF!</v>
      </c>
      <c r="R1121" s="85"/>
      <c r="S1121" s="85"/>
      <c r="T1121" s="86">
        <v>0</v>
      </c>
      <c r="U1121" s="84">
        <v>0</v>
      </c>
      <c r="V1121" s="84">
        <v>16.792999999999999</v>
      </c>
      <c r="W1121" s="84">
        <v>8.3964999999999996</v>
      </c>
      <c r="X1121" s="82">
        <v>0.35</v>
      </c>
      <c r="Y1121" s="82"/>
      <c r="Z1121" s="84">
        <v>8.3964999999999996</v>
      </c>
      <c r="AA1121" s="84">
        <v>16.792999999999999</v>
      </c>
      <c r="AB1121" s="88" t="e">
        <v>#DIV/0!</v>
      </c>
      <c r="AC1121" t="s">
        <v>5057</v>
      </c>
    </row>
    <row r="1122" spans="3:29">
      <c r="C1122" t="s">
        <v>5058</v>
      </c>
      <c r="D1122" t="s">
        <v>5054</v>
      </c>
      <c r="E1122" s="84">
        <v>32.99</v>
      </c>
      <c r="F1122" s="84">
        <v>16.495000000000001</v>
      </c>
      <c r="G1122" t="s">
        <v>4467</v>
      </c>
      <c r="H1122" t="s">
        <v>5059</v>
      </c>
      <c r="I1122" t="s">
        <v>602</v>
      </c>
      <c r="J1122" t="s">
        <v>5056</v>
      </c>
      <c r="K1122" t="s">
        <v>4988</v>
      </c>
      <c r="L1122" t="s">
        <v>670</v>
      </c>
      <c r="N1122">
        <v>12</v>
      </c>
      <c r="O1122">
        <v>8</v>
      </c>
      <c r="P1122">
        <v>1.152E-3</v>
      </c>
      <c r="Q1122" s="84" t="e">
        <v>#REF!</v>
      </c>
      <c r="R1122" s="85"/>
      <c r="S1122" s="85"/>
      <c r="T1122" s="86">
        <v>0</v>
      </c>
      <c r="U1122" s="84">
        <v>0</v>
      </c>
      <c r="V1122" s="84">
        <v>23.093</v>
      </c>
      <c r="W1122" s="84">
        <v>11.5465</v>
      </c>
      <c r="X1122" s="82">
        <v>0.35</v>
      </c>
      <c r="Y1122" s="82"/>
      <c r="Z1122" s="84">
        <v>11.5465</v>
      </c>
      <c r="AA1122" s="84">
        <v>23.093</v>
      </c>
      <c r="AB1122" s="88" t="e">
        <v>#DIV/0!</v>
      </c>
      <c r="AC1122" t="s">
        <v>5060</v>
      </c>
    </row>
    <row r="1123" spans="3:29">
      <c r="C1123" t="s">
        <v>5061</v>
      </c>
      <c r="D1123" t="s">
        <v>5062</v>
      </c>
      <c r="E1123" s="84">
        <v>39.99</v>
      </c>
      <c r="F1123" s="84">
        <v>19.995000000000001</v>
      </c>
      <c r="G1123" t="s">
        <v>4467</v>
      </c>
      <c r="H1123" t="s">
        <v>5063</v>
      </c>
      <c r="I1123" t="s">
        <v>849</v>
      </c>
      <c r="J1123" t="s">
        <v>5064</v>
      </c>
      <c r="K1123" t="s">
        <v>4946</v>
      </c>
      <c r="L1123" t="s">
        <v>670</v>
      </c>
      <c r="N1123">
        <v>8</v>
      </c>
      <c r="O1123">
        <v>9.5</v>
      </c>
      <c r="P1123">
        <v>6.0800000000000003E-4</v>
      </c>
      <c r="Q1123" s="84" t="e">
        <v>#REF!</v>
      </c>
      <c r="R1123" s="85"/>
      <c r="S1123" s="85"/>
      <c r="T1123" s="86">
        <v>0</v>
      </c>
      <c r="U1123" s="84">
        <v>0</v>
      </c>
      <c r="V1123" s="84">
        <v>27.992999999999999</v>
      </c>
      <c r="W1123" s="84">
        <v>13.996499999999999</v>
      </c>
      <c r="X1123" s="82">
        <v>0.35</v>
      </c>
      <c r="Y1123" s="82"/>
      <c r="Z1123" s="84">
        <v>13.996499999999999</v>
      </c>
      <c r="AA1123" s="84">
        <v>27.992999999999999</v>
      </c>
      <c r="AB1123" s="88" t="e">
        <v>#DIV/0!</v>
      </c>
      <c r="AC1123" t="s">
        <v>5065</v>
      </c>
    </row>
    <row r="1124" spans="3:29">
      <c r="C1124" t="s">
        <v>5066</v>
      </c>
      <c r="D1124" t="s">
        <v>5062</v>
      </c>
      <c r="E1124" s="84">
        <v>52.99</v>
      </c>
      <c r="F1124" s="84">
        <v>26.495000000000001</v>
      </c>
      <c r="G1124" t="s">
        <v>4467</v>
      </c>
      <c r="H1124" t="s">
        <v>5063</v>
      </c>
      <c r="I1124" t="s">
        <v>849</v>
      </c>
      <c r="J1124" t="s">
        <v>5064</v>
      </c>
      <c r="K1124" t="s">
        <v>4988</v>
      </c>
      <c r="L1124" t="s">
        <v>670</v>
      </c>
      <c r="N1124">
        <v>8</v>
      </c>
      <c r="O1124">
        <v>9.5</v>
      </c>
      <c r="P1124">
        <v>6.0800000000000003E-4</v>
      </c>
      <c r="Q1124" s="84" t="e">
        <v>#REF!</v>
      </c>
      <c r="R1124" s="85"/>
      <c r="S1124" s="85"/>
      <c r="T1124" s="86">
        <v>0</v>
      </c>
      <c r="U1124" s="84">
        <v>0</v>
      </c>
      <c r="V1124" s="84">
        <v>37.093000000000004</v>
      </c>
      <c r="W1124" s="84">
        <v>18.546500000000002</v>
      </c>
      <c r="X1124" s="82">
        <v>0.35</v>
      </c>
      <c r="Y1124" s="82"/>
      <c r="Z1124" s="84">
        <v>18.546500000000002</v>
      </c>
      <c r="AA1124" s="84">
        <v>37.093000000000004</v>
      </c>
      <c r="AB1124" s="88" t="e">
        <v>#DIV/0!</v>
      </c>
      <c r="AC1124" t="s">
        <v>5067</v>
      </c>
    </row>
    <row r="1125" spans="3:29">
      <c r="C1125" t="s">
        <v>5068</v>
      </c>
      <c r="D1125" t="s">
        <v>5069</v>
      </c>
      <c r="E1125" s="84">
        <v>49.99</v>
      </c>
      <c r="F1125" s="84">
        <v>24.995000000000001</v>
      </c>
      <c r="G1125" t="s">
        <v>4467</v>
      </c>
      <c r="H1125" t="s">
        <v>5070</v>
      </c>
      <c r="I1125" t="s">
        <v>861</v>
      </c>
      <c r="J1125" t="s">
        <v>5071</v>
      </c>
      <c r="K1125" t="s">
        <v>2564</v>
      </c>
      <c r="L1125" t="s">
        <v>670</v>
      </c>
      <c r="N1125">
        <v>11.5</v>
      </c>
      <c r="O1125">
        <v>8.5</v>
      </c>
      <c r="P1125">
        <v>1.1241249999999999E-3</v>
      </c>
      <c r="Q1125" s="84" t="e">
        <v>#REF!</v>
      </c>
      <c r="R1125" s="85"/>
      <c r="S1125" s="85"/>
      <c r="T1125" s="86">
        <v>0</v>
      </c>
      <c r="U1125" s="84">
        <v>0</v>
      </c>
      <c r="V1125" s="84">
        <v>34.993000000000002</v>
      </c>
      <c r="W1125" s="84">
        <v>17.496500000000001</v>
      </c>
      <c r="X1125" s="82">
        <v>0.35</v>
      </c>
      <c r="Y1125" s="82"/>
      <c r="Z1125" s="84">
        <v>17.496500000000001</v>
      </c>
      <c r="AA1125" s="84">
        <v>34.993000000000002</v>
      </c>
      <c r="AB1125" s="88" t="e">
        <v>#DIV/0!</v>
      </c>
      <c r="AC1125" t="s">
        <v>5072</v>
      </c>
    </row>
    <row r="1126" spans="3:29">
      <c r="C1126" t="s">
        <v>5073</v>
      </c>
      <c r="D1126" t="s">
        <v>5069</v>
      </c>
      <c r="E1126" s="84">
        <v>57.99</v>
      </c>
      <c r="F1126" s="84">
        <v>28.995000000000001</v>
      </c>
      <c r="G1126" t="s">
        <v>4467</v>
      </c>
      <c r="H1126" t="s">
        <v>5074</v>
      </c>
      <c r="I1126" t="s">
        <v>861</v>
      </c>
      <c r="J1126" t="s">
        <v>5075</v>
      </c>
      <c r="K1126" t="s">
        <v>2564</v>
      </c>
      <c r="L1126" t="s">
        <v>670</v>
      </c>
      <c r="N1126">
        <v>16.5</v>
      </c>
      <c r="O1126">
        <v>8.5</v>
      </c>
      <c r="P1126">
        <v>2.3141250000000002E-3</v>
      </c>
      <c r="Q1126" s="84" t="e">
        <v>#REF!</v>
      </c>
      <c r="R1126" s="85"/>
      <c r="S1126" s="85"/>
      <c r="T1126" s="86">
        <v>0</v>
      </c>
      <c r="U1126" s="84">
        <v>0</v>
      </c>
      <c r="V1126" s="84">
        <v>40.593000000000004</v>
      </c>
      <c r="W1126" s="84">
        <v>20.296500000000002</v>
      </c>
      <c r="X1126" s="82">
        <v>0.35</v>
      </c>
      <c r="Y1126" s="82"/>
      <c r="Z1126" s="84">
        <v>20.296500000000002</v>
      </c>
      <c r="AA1126" s="84">
        <v>40.593000000000004</v>
      </c>
      <c r="AB1126" s="88" t="e">
        <v>#DIV/0!</v>
      </c>
      <c r="AC1126" t="s">
        <v>5076</v>
      </c>
    </row>
    <row r="1127" spans="3:29">
      <c r="C1127" t="s">
        <v>5077</v>
      </c>
      <c r="D1127" t="s">
        <v>5069</v>
      </c>
      <c r="E1127" s="84">
        <v>93.99</v>
      </c>
      <c r="F1127" s="84">
        <v>46.994999999999997</v>
      </c>
      <c r="G1127" t="s">
        <v>4467</v>
      </c>
      <c r="H1127" t="s">
        <v>5078</v>
      </c>
      <c r="I1127" t="s">
        <v>861</v>
      </c>
      <c r="J1127" t="s">
        <v>5079</v>
      </c>
      <c r="K1127" t="s">
        <v>2564</v>
      </c>
      <c r="L1127" t="s">
        <v>670</v>
      </c>
      <c r="N1127">
        <v>29</v>
      </c>
      <c r="O1127">
        <v>8.5</v>
      </c>
      <c r="P1127">
        <v>7.1485000000000003E-3</v>
      </c>
      <c r="Q1127" s="84" t="e">
        <v>#REF!</v>
      </c>
      <c r="R1127" s="85"/>
      <c r="S1127" s="85"/>
      <c r="T1127" s="86">
        <v>0</v>
      </c>
      <c r="U1127" s="84">
        <v>0</v>
      </c>
      <c r="V1127" s="84">
        <v>65.793000000000006</v>
      </c>
      <c r="W1127" s="84">
        <v>32.896500000000003</v>
      </c>
      <c r="X1127" s="82">
        <v>0.35</v>
      </c>
      <c r="Y1127" s="82"/>
      <c r="Z1127" s="84">
        <v>32.896500000000003</v>
      </c>
      <c r="AA1127" s="84">
        <v>65.793000000000006</v>
      </c>
      <c r="AB1127" s="88" t="e">
        <v>#DIV/0!</v>
      </c>
      <c r="AC1127" t="s">
        <v>5080</v>
      </c>
    </row>
    <row r="1128" spans="3:29">
      <c r="C1128" t="s">
        <v>5081</v>
      </c>
      <c r="D1128" t="s">
        <v>5082</v>
      </c>
      <c r="E1128" s="84">
        <v>58.99</v>
      </c>
      <c r="F1128" s="84">
        <v>29.495000000000001</v>
      </c>
      <c r="G1128" t="s">
        <v>4467</v>
      </c>
      <c r="H1128" t="s">
        <v>5083</v>
      </c>
      <c r="I1128" t="s">
        <v>855</v>
      </c>
      <c r="J1128" t="s">
        <v>5084</v>
      </c>
      <c r="K1128" t="s">
        <v>2564</v>
      </c>
      <c r="L1128" t="s">
        <v>670</v>
      </c>
      <c r="N1128">
        <v>15</v>
      </c>
      <c r="O1128">
        <v>15</v>
      </c>
      <c r="P1128">
        <v>3.375E-3</v>
      </c>
      <c r="Q1128" s="84" t="e">
        <v>#REF!</v>
      </c>
      <c r="R1128" s="85"/>
      <c r="S1128" s="85"/>
      <c r="T1128" s="86">
        <v>0</v>
      </c>
      <c r="U1128" s="84">
        <v>0</v>
      </c>
      <c r="V1128" s="84">
        <v>41.292999999999999</v>
      </c>
      <c r="W1128" s="84">
        <v>20.6465</v>
      </c>
      <c r="X1128" s="82">
        <v>0.35</v>
      </c>
      <c r="Y1128" s="82"/>
      <c r="Z1128" s="84">
        <v>20.6465</v>
      </c>
      <c r="AA1128" s="84">
        <v>41.292999999999999</v>
      </c>
      <c r="AB1128" s="88" t="e">
        <v>#DIV/0!</v>
      </c>
      <c r="AC1128" t="s">
        <v>5085</v>
      </c>
    </row>
    <row r="1129" spans="3:29">
      <c r="C1129" t="s">
        <v>5086</v>
      </c>
      <c r="D1129" t="s">
        <v>5082</v>
      </c>
      <c r="E1129" s="84">
        <v>64.989999999999995</v>
      </c>
      <c r="F1129" s="84">
        <v>32.494999999999997</v>
      </c>
      <c r="G1129" t="s">
        <v>4467</v>
      </c>
      <c r="H1129" t="s">
        <v>5087</v>
      </c>
      <c r="I1129" t="s">
        <v>855</v>
      </c>
      <c r="J1129" t="s">
        <v>5088</v>
      </c>
      <c r="K1129" t="s">
        <v>2564</v>
      </c>
      <c r="L1129" t="s">
        <v>670</v>
      </c>
      <c r="N1129">
        <v>15</v>
      </c>
      <c r="O1129">
        <v>19</v>
      </c>
      <c r="P1129">
        <v>4.2750000000000002E-3</v>
      </c>
      <c r="Q1129" s="84" t="e">
        <v>#REF!</v>
      </c>
      <c r="R1129" s="85"/>
      <c r="S1129" s="85"/>
      <c r="T1129" s="86">
        <v>0</v>
      </c>
      <c r="U1129" s="84">
        <v>0</v>
      </c>
      <c r="V1129" s="84">
        <v>45.493000000000002</v>
      </c>
      <c r="W1129" s="84">
        <v>22.746500000000001</v>
      </c>
      <c r="X1129" s="82">
        <v>0.35</v>
      </c>
      <c r="Y1129" s="82"/>
      <c r="Z1129" s="84">
        <v>22.746500000000001</v>
      </c>
      <c r="AA1129" s="84">
        <v>45.493000000000002</v>
      </c>
      <c r="AB1129" s="88" t="e">
        <v>#DIV/0!</v>
      </c>
      <c r="AC1129" t="s">
        <v>5085</v>
      </c>
    </row>
    <row r="1130" spans="3:29">
      <c r="C1130" t="s">
        <v>5089</v>
      </c>
      <c r="D1130" t="s">
        <v>5082</v>
      </c>
      <c r="E1130" s="84">
        <v>82.99</v>
      </c>
      <c r="F1130" s="84">
        <v>41.494999999999997</v>
      </c>
      <c r="G1130" t="s">
        <v>4467</v>
      </c>
      <c r="H1130" t="s">
        <v>5090</v>
      </c>
      <c r="I1130" t="s">
        <v>855</v>
      </c>
      <c r="J1130" t="s">
        <v>5091</v>
      </c>
      <c r="K1130" t="s">
        <v>2564</v>
      </c>
      <c r="L1130" t="s">
        <v>670</v>
      </c>
      <c r="N1130">
        <v>15</v>
      </c>
      <c r="O1130">
        <v>25</v>
      </c>
      <c r="P1130">
        <v>5.6249999999999998E-3</v>
      </c>
      <c r="Q1130" s="84" t="e">
        <v>#REF!</v>
      </c>
      <c r="R1130" s="85"/>
      <c r="S1130" s="85"/>
      <c r="T1130" s="86">
        <v>0</v>
      </c>
      <c r="U1130" s="84">
        <v>0</v>
      </c>
      <c r="V1130" s="84">
        <v>58.093000000000004</v>
      </c>
      <c r="W1130" s="84">
        <v>29.046500000000002</v>
      </c>
      <c r="X1130" s="82">
        <v>0.35</v>
      </c>
      <c r="Y1130" s="82"/>
      <c r="Z1130" s="84">
        <v>29.046500000000002</v>
      </c>
      <c r="AA1130" s="84">
        <v>58.093000000000004</v>
      </c>
      <c r="AB1130" s="88" t="e">
        <v>#DIV/0!</v>
      </c>
      <c r="AC1130" t="s">
        <v>5092</v>
      </c>
    </row>
    <row r="1131" spans="3:29">
      <c r="C1131" t="s">
        <v>5093</v>
      </c>
      <c r="D1131" t="s">
        <v>5082</v>
      </c>
      <c r="E1131" s="84">
        <v>83.99</v>
      </c>
      <c r="F1131" s="84">
        <v>41.994999999999997</v>
      </c>
      <c r="G1131" t="s">
        <v>4467</v>
      </c>
      <c r="H1131" t="s">
        <v>5094</v>
      </c>
      <c r="I1131" t="s">
        <v>855</v>
      </c>
      <c r="J1131" t="s">
        <v>5095</v>
      </c>
      <c r="K1131" t="s">
        <v>2564</v>
      </c>
      <c r="L1131" t="s">
        <v>670</v>
      </c>
      <c r="N1131">
        <v>15</v>
      </c>
      <c r="O1131">
        <v>29</v>
      </c>
      <c r="P1131">
        <v>6.5250000000000004E-3</v>
      </c>
      <c r="Q1131" s="84" t="e">
        <v>#REF!</v>
      </c>
      <c r="R1131" s="85"/>
      <c r="S1131" s="85"/>
      <c r="T1131" s="86">
        <v>0</v>
      </c>
      <c r="U1131" s="84">
        <v>0</v>
      </c>
      <c r="V1131" s="84">
        <v>58.792999999999999</v>
      </c>
      <c r="W1131" s="84">
        <v>29.3965</v>
      </c>
      <c r="X1131" s="82">
        <v>0.35</v>
      </c>
      <c r="Y1131" s="82"/>
      <c r="Z1131" s="84">
        <v>29.3965</v>
      </c>
      <c r="AA1131" s="84">
        <v>58.792999999999999</v>
      </c>
      <c r="AB1131" s="88" t="e">
        <v>#DIV/0!</v>
      </c>
      <c r="AC1131" t="s">
        <v>5096</v>
      </c>
    </row>
    <row r="1132" spans="3:29">
      <c r="C1132" t="s">
        <v>5097</v>
      </c>
      <c r="E1132" s="84"/>
      <c r="F1132" s="84">
        <v>0</v>
      </c>
      <c r="R1132" s="85"/>
      <c r="S1132" s="85"/>
      <c r="T1132" s="86"/>
      <c r="V1132" s="84">
        <v>0</v>
      </c>
      <c r="W1132" s="84">
        <v>0</v>
      </c>
      <c r="X1132" s="82" t="e">
        <v>#DIV/0!</v>
      </c>
      <c r="Y1132" s="82">
        <v>0</v>
      </c>
      <c r="Z1132" s="82"/>
      <c r="AA1132" s="82"/>
      <c r="AB1132" s="88" t="e">
        <v>#DIV/0!</v>
      </c>
    </row>
    <row r="1133" spans="3:29" ht="30.75">
      <c r="C1133" t="s">
        <v>5098</v>
      </c>
      <c r="D1133" t="s">
        <v>5099</v>
      </c>
      <c r="E1133" s="84"/>
      <c r="F1133" s="84">
        <v>0</v>
      </c>
      <c r="G1133" t="s">
        <v>5100</v>
      </c>
      <c r="H1133" t="s">
        <v>5101</v>
      </c>
      <c r="I1133" t="s">
        <v>5102</v>
      </c>
      <c r="J1133" t="s">
        <v>5103</v>
      </c>
      <c r="K1133" s="83" t="s">
        <v>5104</v>
      </c>
      <c r="L1133" t="s">
        <v>670</v>
      </c>
      <c r="N1133">
        <v>3</v>
      </c>
      <c r="O1133">
        <v>12</v>
      </c>
      <c r="P1133">
        <v>1.08E-4</v>
      </c>
      <c r="Q1133" s="84" t="e">
        <v>#REF!</v>
      </c>
      <c r="R1133" s="85"/>
      <c r="S1133" s="85"/>
      <c r="T1133" s="86">
        <v>0</v>
      </c>
      <c r="U1133" s="84">
        <v>0</v>
      </c>
      <c r="V1133" s="84">
        <v>0</v>
      </c>
      <c r="W1133" s="84">
        <v>0</v>
      </c>
      <c r="X1133" s="82" t="e">
        <v>#DIV/0!</v>
      </c>
      <c r="Y1133" s="82"/>
      <c r="Z1133" s="84">
        <v>0</v>
      </c>
      <c r="AA1133" s="84">
        <v>0</v>
      </c>
      <c r="AB1133" s="88" t="e">
        <v>#DIV/0!</v>
      </c>
      <c r="AC1133" t="s">
        <v>5105</v>
      </c>
    </row>
    <row r="1134" spans="3:29">
      <c r="C1134" t="s">
        <v>5107</v>
      </c>
      <c r="D1134" t="s">
        <v>5108</v>
      </c>
      <c r="E1134" s="84">
        <v>4.99</v>
      </c>
      <c r="F1134" s="84">
        <v>2.4950000000000001</v>
      </c>
      <c r="G1134" t="s">
        <v>5100</v>
      </c>
      <c r="H1134" t="s">
        <v>5109</v>
      </c>
      <c r="I1134" t="s">
        <v>5110</v>
      </c>
      <c r="J1134" t="s">
        <v>5111</v>
      </c>
      <c r="K1134" t="s">
        <v>2407</v>
      </c>
      <c r="L1134" t="s">
        <v>670</v>
      </c>
      <c r="N1134">
        <v>3.5</v>
      </c>
      <c r="O1134">
        <v>15.5</v>
      </c>
      <c r="P1134">
        <v>1.8987499999999999E-4</v>
      </c>
      <c r="Q1134" s="84" t="e">
        <v>#REF!</v>
      </c>
      <c r="R1134" s="85"/>
      <c r="S1134" s="85"/>
      <c r="T1134" s="86">
        <v>0</v>
      </c>
      <c r="U1134" s="84">
        <v>0</v>
      </c>
      <c r="V1134" s="84">
        <v>3.4929999999999999</v>
      </c>
      <c r="W1134" s="84">
        <v>1.7464999999999999</v>
      </c>
      <c r="X1134" s="82">
        <v>0.35</v>
      </c>
      <c r="Y1134" s="82"/>
      <c r="Z1134" s="84">
        <v>1.7464999999999999</v>
      </c>
      <c r="AA1134" s="84">
        <v>3.4929999999999999</v>
      </c>
      <c r="AB1134" s="88" t="e">
        <v>#DIV/0!</v>
      </c>
      <c r="AC1134" t="s">
        <v>5112</v>
      </c>
    </row>
    <row r="1135" spans="3:29">
      <c r="C1135" t="s">
        <v>5113</v>
      </c>
      <c r="D1135" t="s">
        <v>5114</v>
      </c>
      <c r="E1135" s="84">
        <v>23.99</v>
      </c>
      <c r="F1135" s="84">
        <v>11.994999999999999</v>
      </c>
      <c r="G1135" t="s">
        <v>5100</v>
      </c>
      <c r="H1135" t="s">
        <v>5115</v>
      </c>
      <c r="I1135" t="s">
        <v>5116</v>
      </c>
      <c r="J1135" t="s">
        <v>5117</v>
      </c>
      <c r="K1135" t="s">
        <v>2407</v>
      </c>
      <c r="L1135" t="s">
        <v>646</v>
      </c>
      <c r="N1135">
        <v>17</v>
      </c>
      <c r="O1135">
        <v>10</v>
      </c>
      <c r="P1135">
        <v>2.8900000000000002E-3</v>
      </c>
      <c r="Q1135" s="84" t="e">
        <v>#REF!</v>
      </c>
      <c r="R1135" s="85">
        <v>19237.0380267408</v>
      </c>
      <c r="S1135" s="85">
        <v>60500</v>
      </c>
      <c r="T1135" s="86">
        <v>79737.038026740804</v>
      </c>
      <c r="U1135" s="84">
        <v>5.3158025351160498</v>
      </c>
      <c r="V1135" s="84">
        <v>16.792999999999999</v>
      </c>
      <c r="W1135" s="84">
        <v>8.3964999999999996</v>
      </c>
      <c r="X1135" s="82">
        <v>0.35</v>
      </c>
      <c r="Y1135" s="87">
        <v>10.6316050702321</v>
      </c>
      <c r="Z1135" s="84">
        <v>10.6316050702321</v>
      </c>
      <c r="AA1135" s="84">
        <v>21.263210140464199</v>
      </c>
      <c r="AB1135" s="88">
        <v>2</v>
      </c>
      <c r="AC1135" t="s">
        <v>5118</v>
      </c>
    </row>
    <row r="1136" spans="3:29">
      <c r="C1136" t="s">
        <v>5119</v>
      </c>
      <c r="D1136" t="s">
        <v>5120</v>
      </c>
      <c r="E1136" s="84">
        <v>15.99</v>
      </c>
      <c r="F1136" s="84">
        <v>7.9950000000000001</v>
      </c>
      <c r="G1136" t="s">
        <v>5100</v>
      </c>
      <c r="H1136" t="s">
        <v>5121</v>
      </c>
      <c r="I1136" t="s">
        <v>5122</v>
      </c>
      <c r="J1136" t="s">
        <v>5123</v>
      </c>
      <c r="K1136" t="s">
        <v>2407</v>
      </c>
      <c r="L1136" t="s">
        <v>646</v>
      </c>
      <c r="N1136">
        <v>12</v>
      </c>
      <c r="O1136">
        <v>10</v>
      </c>
      <c r="P1136">
        <v>1.4400000000000001E-3</v>
      </c>
      <c r="Q1136" s="84" t="e">
        <v>#REF!</v>
      </c>
      <c r="R1136" s="85">
        <v>13500</v>
      </c>
      <c r="S1136" s="85">
        <v>45000</v>
      </c>
      <c r="T1136" s="86">
        <v>58500</v>
      </c>
      <c r="U1136" s="84">
        <v>3.9</v>
      </c>
      <c r="V1136" s="84">
        <v>11.193</v>
      </c>
      <c r="W1136" s="84">
        <v>5.5964999999999998</v>
      </c>
      <c r="X1136" s="82">
        <v>0.35</v>
      </c>
      <c r="Y1136" s="87">
        <v>7.8</v>
      </c>
      <c r="Z1136" s="84">
        <v>7.8</v>
      </c>
      <c r="AA1136" s="84">
        <v>15.6</v>
      </c>
      <c r="AB1136" s="88">
        <v>2</v>
      </c>
      <c r="AC1136" t="s">
        <v>5124</v>
      </c>
    </row>
    <row r="1137" spans="3:29">
      <c r="C1137" t="s">
        <v>5125</v>
      </c>
      <c r="D1137" t="s">
        <v>5126</v>
      </c>
      <c r="E1137" s="84">
        <v>32.99</v>
      </c>
      <c r="F1137" s="84">
        <v>16.495000000000001</v>
      </c>
      <c r="G1137" t="s">
        <v>5100</v>
      </c>
      <c r="H1137" t="s">
        <v>5127</v>
      </c>
      <c r="I1137" t="s">
        <v>5128</v>
      </c>
      <c r="J1137" t="s">
        <v>5117</v>
      </c>
      <c r="K1137" t="s">
        <v>2407</v>
      </c>
      <c r="L1137" t="s">
        <v>646</v>
      </c>
      <c r="N1137">
        <v>17</v>
      </c>
      <c r="O1137">
        <v>10</v>
      </c>
      <c r="P1137">
        <v>2.8900000000000002E-3</v>
      </c>
      <c r="Q1137" s="84" t="e">
        <v>#REF!</v>
      </c>
      <c r="R1137" s="85">
        <v>19943.912089417201</v>
      </c>
      <c r="S1137" s="85">
        <v>65000</v>
      </c>
      <c r="T1137" s="86">
        <v>84943.912089417194</v>
      </c>
      <c r="U1137" s="84">
        <v>5.6629274726278096</v>
      </c>
      <c r="V1137" s="84">
        <v>23.093</v>
      </c>
      <c r="W1137" s="84">
        <v>11.5465</v>
      </c>
      <c r="X1137" s="82">
        <v>0.35</v>
      </c>
      <c r="Y1137" s="82"/>
      <c r="Z1137" s="84">
        <v>11.5465</v>
      </c>
      <c r="AA1137" s="84">
        <v>23.093</v>
      </c>
      <c r="AB1137" s="88">
        <v>2.0389630726882699</v>
      </c>
      <c r="AC1137" t="s">
        <v>5129</v>
      </c>
    </row>
    <row r="1138" spans="3:29">
      <c r="C1138" t="s">
        <v>5130</v>
      </c>
      <c r="D1138" t="s">
        <v>5131</v>
      </c>
      <c r="E1138" s="84">
        <v>38.99</v>
      </c>
      <c r="F1138" s="84">
        <v>19.495000000000001</v>
      </c>
      <c r="G1138" t="s">
        <v>5100</v>
      </c>
      <c r="H1138" t="s">
        <v>5132</v>
      </c>
      <c r="I1138" t="s">
        <v>5133</v>
      </c>
      <c r="J1138" t="s">
        <v>5134</v>
      </c>
      <c r="K1138" t="s">
        <v>2983</v>
      </c>
      <c r="L1138" t="s">
        <v>670</v>
      </c>
      <c r="N1138">
        <v>4.5</v>
      </c>
      <c r="O1138">
        <v>16</v>
      </c>
      <c r="P1138">
        <v>3.2400000000000001E-4</v>
      </c>
      <c r="Q1138" s="84" t="e">
        <v>#REF!</v>
      </c>
      <c r="R1138" s="85">
        <v>78.216738447794299</v>
      </c>
      <c r="S1138" s="85">
        <v>82500</v>
      </c>
      <c r="T1138" s="86">
        <v>82578.216738447794</v>
      </c>
      <c r="U1138" s="84">
        <v>5.5052144492298503</v>
      </c>
      <c r="V1138" s="84">
        <v>27.292999999999999</v>
      </c>
      <c r="W1138" s="84">
        <v>13.6465</v>
      </c>
      <c r="X1138" s="82">
        <v>0.35</v>
      </c>
      <c r="Y1138" s="82"/>
      <c r="Z1138" s="84">
        <v>13.6465</v>
      </c>
      <c r="AA1138" s="84">
        <v>27.292999999999999</v>
      </c>
      <c r="AB1138" s="88">
        <v>2.4788316832796702</v>
      </c>
      <c r="AC1138" t="s">
        <v>5135</v>
      </c>
    </row>
    <row r="1139" spans="3:29">
      <c r="C1139" t="s">
        <v>5136</v>
      </c>
      <c r="D1139" t="s">
        <v>5137</v>
      </c>
      <c r="E1139" s="84">
        <v>28.99</v>
      </c>
      <c r="F1139" s="84">
        <v>14.494999999999999</v>
      </c>
      <c r="G1139" t="s">
        <v>5100</v>
      </c>
      <c r="H1139" t="s">
        <v>5138</v>
      </c>
      <c r="I1139" t="s">
        <v>5139</v>
      </c>
      <c r="J1139" t="s">
        <v>5140</v>
      </c>
      <c r="K1139" t="s">
        <v>2983</v>
      </c>
      <c r="L1139" t="s">
        <v>670</v>
      </c>
      <c r="N1139">
        <v>3.5</v>
      </c>
      <c r="O1139">
        <v>16</v>
      </c>
      <c r="P1139">
        <v>1.9599999999999999E-4</v>
      </c>
      <c r="Q1139" s="84" t="e">
        <v>#REF!</v>
      </c>
      <c r="R1139" s="85"/>
      <c r="S1139" s="85"/>
      <c r="T1139" s="86">
        <v>0</v>
      </c>
      <c r="U1139" s="84">
        <v>0</v>
      </c>
      <c r="V1139" s="84">
        <v>20.292999999999999</v>
      </c>
      <c r="W1139" s="84">
        <v>10.1465</v>
      </c>
      <c r="X1139" s="82">
        <v>0.35</v>
      </c>
      <c r="Y1139" s="82"/>
      <c r="Z1139" s="84">
        <v>10.1465</v>
      </c>
      <c r="AA1139" s="84">
        <v>20.292999999999999</v>
      </c>
      <c r="AB1139" s="88" t="e">
        <v>#DIV/0!</v>
      </c>
      <c r="AC1139" t="s">
        <v>5141</v>
      </c>
    </row>
    <row r="1140" spans="3:29">
      <c r="C1140" t="s">
        <v>5142</v>
      </c>
      <c r="D1140" t="s">
        <v>5143</v>
      </c>
      <c r="E1140" s="84">
        <v>82.99</v>
      </c>
      <c r="F1140" s="84">
        <v>41.494999999999997</v>
      </c>
      <c r="G1140" t="s">
        <v>5100</v>
      </c>
      <c r="H1140" t="s">
        <v>5144</v>
      </c>
      <c r="I1140" t="s">
        <v>5145</v>
      </c>
      <c r="J1140" t="s">
        <v>5146</v>
      </c>
      <c r="K1140" t="s">
        <v>2983</v>
      </c>
      <c r="L1140" t="s">
        <v>670</v>
      </c>
      <c r="N1140">
        <v>17</v>
      </c>
      <c r="O1140">
        <v>10</v>
      </c>
      <c r="P1140">
        <v>2.8900000000000002E-3</v>
      </c>
      <c r="Q1140" s="84" t="e">
        <v>#REF!</v>
      </c>
      <c r="R1140" s="85">
        <v>697.67399417900003</v>
      </c>
      <c r="S1140" s="85">
        <v>275000</v>
      </c>
      <c r="T1140" s="86">
        <v>275697.673994179</v>
      </c>
      <c r="U1140" s="84">
        <v>18.3798449329453</v>
      </c>
      <c r="V1140" s="84">
        <v>58.093000000000004</v>
      </c>
      <c r="W1140" s="84">
        <v>29.046500000000002</v>
      </c>
      <c r="X1140" s="82">
        <v>0.35</v>
      </c>
      <c r="Y1140" s="87">
        <v>36.7596898658905</v>
      </c>
      <c r="Z1140" s="84">
        <v>36.7596898658905</v>
      </c>
      <c r="AA1140" s="84">
        <v>73.5193797317811</v>
      </c>
      <c r="AB1140" s="88">
        <v>2</v>
      </c>
      <c r="AC1140" t="s">
        <v>5147</v>
      </c>
    </row>
    <row r="1141" spans="3:29">
      <c r="C1141" t="s">
        <v>5148</v>
      </c>
      <c r="D1141" t="s">
        <v>5149</v>
      </c>
      <c r="E1141" s="84">
        <v>67.989999999999995</v>
      </c>
      <c r="F1141" s="84">
        <v>33.994999999999997</v>
      </c>
      <c r="G1141" t="s">
        <v>5100</v>
      </c>
      <c r="H1141" t="s">
        <v>5150</v>
      </c>
      <c r="I1141" t="s">
        <v>5151</v>
      </c>
      <c r="J1141" t="s">
        <v>5028</v>
      </c>
      <c r="K1141" t="s">
        <v>2983</v>
      </c>
      <c r="L1141" t="s">
        <v>670</v>
      </c>
      <c r="N1141">
        <v>12</v>
      </c>
      <c r="O1141">
        <v>7</v>
      </c>
      <c r="P1141">
        <v>1.008E-3</v>
      </c>
      <c r="Q1141" s="84" t="e">
        <v>#REF!</v>
      </c>
      <c r="R1141" s="85"/>
      <c r="S1141" s="85"/>
      <c r="T1141" s="86">
        <v>0</v>
      </c>
      <c r="U1141" s="84">
        <v>0</v>
      </c>
      <c r="V1141" s="84">
        <v>47.593000000000004</v>
      </c>
      <c r="W1141" s="84">
        <v>23.796500000000002</v>
      </c>
      <c r="X1141" s="82">
        <v>0.35</v>
      </c>
      <c r="Y1141" s="82"/>
      <c r="Z1141" s="84">
        <v>23.796500000000002</v>
      </c>
      <c r="AA1141" s="84">
        <v>47.593000000000004</v>
      </c>
      <c r="AB1141" s="88" t="e">
        <v>#DIV/0!</v>
      </c>
      <c r="AC1141" t="s">
        <v>5152</v>
      </c>
    </row>
    <row r="1142" spans="3:29">
      <c r="C1142" t="s">
        <v>5153</v>
      </c>
      <c r="D1142" t="s">
        <v>5154</v>
      </c>
      <c r="E1142" s="84">
        <v>82.99</v>
      </c>
      <c r="F1142" s="84">
        <v>41.494999999999997</v>
      </c>
      <c r="G1142" t="s">
        <v>5100</v>
      </c>
      <c r="H1142" t="s">
        <v>5155</v>
      </c>
      <c r="I1142" t="s">
        <v>5156</v>
      </c>
      <c r="J1142" t="s">
        <v>5117</v>
      </c>
      <c r="K1142" t="s">
        <v>2983</v>
      </c>
      <c r="L1142" t="s">
        <v>670</v>
      </c>
      <c r="N1142">
        <v>17</v>
      </c>
      <c r="O1142">
        <v>10</v>
      </c>
      <c r="P1142">
        <v>2.8900000000000002E-3</v>
      </c>
      <c r="Q1142" s="84" t="e">
        <v>#REF!</v>
      </c>
      <c r="R1142" s="85"/>
      <c r="S1142" s="85"/>
      <c r="T1142" s="86">
        <v>0</v>
      </c>
      <c r="U1142" s="84">
        <v>0</v>
      </c>
      <c r="V1142" s="84">
        <v>58.093000000000004</v>
      </c>
      <c r="W1142" s="84">
        <v>29.046500000000002</v>
      </c>
      <c r="X1142" s="82">
        <v>0.35</v>
      </c>
      <c r="Y1142" s="82"/>
      <c r="Z1142" s="84">
        <v>29.046500000000002</v>
      </c>
      <c r="AA1142" s="84">
        <v>58.093000000000004</v>
      </c>
      <c r="AB1142" s="88" t="e">
        <v>#DIV/0!</v>
      </c>
      <c r="AC1142" t="s">
        <v>5157</v>
      </c>
    </row>
    <row r="1143" spans="3:29">
      <c r="C1143" t="s">
        <v>5158</v>
      </c>
      <c r="D1143" t="s">
        <v>5159</v>
      </c>
      <c r="E1143" s="84">
        <v>17.989999999999998</v>
      </c>
      <c r="F1143" s="84">
        <v>8.9949999999999992</v>
      </c>
      <c r="G1143" t="s">
        <v>5100</v>
      </c>
      <c r="H1143" t="s">
        <v>5160</v>
      </c>
      <c r="I1143" t="s">
        <v>581</v>
      </c>
      <c r="J1143" t="s">
        <v>5161</v>
      </c>
      <c r="K1143" t="s">
        <v>3413</v>
      </c>
      <c r="L1143" t="s">
        <v>670</v>
      </c>
      <c r="M1143">
        <v>13</v>
      </c>
      <c r="N1143">
        <v>13</v>
      </c>
      <c r="O1143">
        <v>7</v>
      </c>
      <c r="P1143">
        <v>1.183E-3</v>
      </c>
      <c r="Q1143" s="84" t="e">
        <v>#REF!</v>
      </c>
      <c r="R1143" s="85"/>
      <c r="S1143" s="85"/>
      <c r="T1143" s="86">
        <v>0</v>
      </c>
      <c r="U1143" s="84">
        <v>0</v>
      </c>
      <c r="V1143" s="84">
        <v>12.593</v>
      </c>
      <c r="W1143" s="84">
        <v>6.2965</v>
      </c>
      <c r="X1143" s="82">
        <v>0.35</v>
      </c>
      <c r="Y1143" s="82"/>
      <c r="Z1143" s="84">
        <v>6.2965</v>
      </c>
      <c r="AA1143" s="84">
        <v>12.593</v>
      </c>
      <c r="AB1143" s="88" t="e">
        <v>#DIV/0!</v>
      </c>
      <c r="AC1143" t="s">
        <v>5162</v>
      </c>
    </row>
    <row r="1144" spans="3:29">
      <c r="C1144" t="s">
        <v>5163</v>
      </c>
      <c r="D1144" t="s">
        <v>5159</v>
      </c>
      <c r="E1144" s="84">
        <v>31.99</v>
      </c>
      <c r="F1144" s="84">
        <v>15.994999999999999</v>
      </c>
      <c r="G1144" t="s">
        <v>5100</v>
      </c>
      <c r="H1144" t="s">
        <v>5164</v>
      </c>
      <c r="I1144" t="s">
        <v>581</v>
      </c>
      <c r="J1144" t="s">
        <v>5165</v>
      </c>
      <c r="K1144" t="s">
        <v>3413</v>
      </c>
      <c r="L1144" t="s">
        <v>670</v>
      </c>
      <c r="M1144">
        <v>17</v>
      </c>
      <c r="N1144">
        <v>17</v>
      </c>
      <c r="O1144">
        <v>7</v>
      </c>
      <c r="P1144">
        <v>2.0230000000000001E-3</v>
      </c>
      <c r="Q1144" s="84" t="e">
        <v>#REF!</v>
      </c>
      <c r="R1144" s="85"/>
      <c r="S1144" s="85"/>
      <c r="T1144" s="86">
        <v>0</v>
      </c>
      <c r="U1144" s="84">
        <v>0</v>
      </c>
      <c r="V1144" s="84">
        <v>22.393000000000001</v>
      </c>
      <c r="W1144" s="84">
        <v>11.1965</v>
      </c>
      <c r="X1144" s="82">
        <v>0.35</v>
      </c>
      <c r="Y1144" s="82"/>
      <c r="Z1144" s="84">
        <v>11.1965</v>
      </c>
      <c r="AA1144" s="84">
        <v>22.393000000000001</v>
      </c>
      <c r="AB1144" s="88" t="e">
        <v>#DIV/0!</v>
      </c>
      <c r="AC1144" t="s">
        <v>5166</v>
      </c>
    </row>
    <row r="1145" spans="3:29">
      <c r="C1145" t="s">
        <v>5167</v>
      </c>
      <c r="D1145" t="s">
        <v>5168</v>
      </c>
      <c r="E1145" s="84">
        <v>9.99</v>
      </c>
      <c r="F1145" s="84">
        <v>4.9950000000000001</v>
      </c>
      <c r="G1145" t="s">
        <v>5100</v>
      </c>
      <c r="H1145" t="s">
        <v>5169</v>
      </c>
      <c r="I1145" t="s">
        <v>5170</v>
      </c>
      <c r="J1145" t="s">
        <v>5171</v>
      </c>
      <c r="K1145" t="s">
        <v>5172</v>
      </c>
      <c r="L1145" t="s">
        <v>670</v>
      </c>
      <c r="M1145">
        <v>6.5</v>
      </c>
      <c r="N1145">
        <v>5</v>
      </c>
      <c r="O1145">
        <v>5</v>
      </c>
      <c r="P1145">
        <v>1.6249999999999999E-4</v>
      </c>
      <c r="Q1145" s="84" t="e">
        <v>#REF!</v>
      </c>
      <c r="R1145" s="85"/>
      <c r="S1145" s="85"/>
      <c r="T1145" s="86">
        <v>0</v>
      </c>
      <c r="U1145" s="84">
        <v>0</v>
      </c>
      <c r="V1145" s="84">
        <v>6.9930000000000003</v>
      </c>
      <c r="W1145" s="84">
        <v>3.4965000000000002</v>
      </c>
      <c r="X1145" s="82">
        <v>0.35</v>
      </c>
      <c r="Y1145" s="82"/>
      <c r="Z1145" s="84">
        <v>3.4965000000000002</v>
      </c>
      <c r="AA1145" s="84">
        <v>6.9930000000000003</v>
      </c>
      <c r="AB1145" s="88" t="e">
        <v>#DIV/0!</v>
      </c>
      <c r="AC1145" t="s">
        <v>5173</v>
      </c>
    </row>
    <row r="1146" spans="3:29">
      <c r="C1146" t="s">
        <v>2170</v>
      </c>
      <c r="D1146" t="s">
        <v>5174</v>
      </c>
      <c r="E1146" s="84">
        <v>12.99</v>
      </c>
      <c r="F1146" s="84">
        <v>6.4950000000000001</v>
      </c>
      <c r="G1146" t="s">
        <v>5100</v>
      </c>
      <c r="H1146" t="s">
        <v>5175</v>
      </c>
      <c r="I1146" t="s">
        <v>729</v>
      </c>
      <c r="J1146" t="s">
        <v>2174</v>
      </c>
      <c r="K1146" t="s">
        <v>2866</v>
      </c>
      <c r="L1146" t="s">
        <v>670</v>
      </c>
      <c r="M1146">
        <v>11</v>
      </c>
      <c r="N1146">
        <v>11</v>
      </c>
      <c r="O1146">
        <v>5</v>
      </c>
      <c r="P1146">
        <v>6.0499999999999996E-4</v>
      </c>
      <c r="Q1146" s="84" t="e">
        <v>#REF!</v>
      </c>
      <c r="R1146" s="85"/>
      <c r="S1146" s="85"/>
      <c r="T1146" s="86">
        <v>0</v>
      </c>
      <c r="U1146" s="84">
        <v>0</v>
      </c>
      <c r="V1146" s="84">
        <v>9.093</v>
      </c>
      <c r="W1146" s="84">
        <v>4.5465</v>
      </c>
      <c r="X1146" s="82">
        <v>0.35</v>
      </c>
      <c r="Y1146" s="82"/>
      <c r="Z1146" s="84">
        <v>4.5465</v>
      </c>
      <c r="AA1146" s="84">
        <v>9.093</v>
      </c>
      <c r="AB1146" s="88" t="e">
        <v>#DIV/0!</v>
      </c>
      <c r="AC1146" t="s">
        <v>5176</v>
      </c>
    </row>
    <row r="1147" spans="3:29">
      <c r="C1147" t="s">
        <v>2177</v>
      </c>
      <c r="D1147" t="s">
        <v>5174</v>
      </c>
      <c r="E1147" s="84">
        <v>20.99</v>
      </c>
      <c r="F1147" s="84">
        <v>10.494999999999999</v>
      </c>
      <c r="G1147" t="s">
        <v>5100</v>
      </c>
      <c r="H1147" t="s">
        <v>5177</v>
      </c>
      <c r="I1147" t="s">
        <v>729</v>
      </c>
      <c r="J1147" t="s">
        <v>2180</v>
      </c>
      <c r="K1147" t="s">
        <v>2866</v>
      </c>
      <c r="L1147" t="s">
        <v>670</v>
      </c>
      <c r="M1147">
        <v>14</v>
      </c>
      <c r="N1147">
        <v>14</v>
      </c>
      <c r="O1147">
        <v>5</v>
      </c>
      <c r="P1147">
        <v>9.7999999999999997E-4</v>
      </c>
      <c r="Q1147" s="84" t="e">
        <v>#REF!</v>
      </c>
      <c r="R1147" s="85"/>
      <c r="S1147" s="85"/>
      <c r="T1147" s="86">
        <v>0</v>
      </c>
      <c r="U1147" s="84">
        <v>0</v>
      </c>
      <c r="V1147" s="84">
        <v>14.693</v>
      </c>
      <c r="W1147" s="84">
        <v>7.3464999999999998</v>
      </c>
      <c r="X1147" s="82">
        <v>0.35</v>
      </c>
      <c r="Y1147" s="82"/>
      <c r="Z1147" s="84">
        <v>7.3464999999999998</v>
      </c>
      <c r="AA1147" s="84">
        <v>14.693</v>
      </c>
      <c r="AB1147" s="88" t="e">
        <v>#DIV/0!</v>
      </c>
      <c r="AC1147" t="s">
        <v>5178</v>
      </c>
    </row>
    <row r="1148" spans="3:29">
      <c r="C1148" t="s">
        <v>2182</v>
      </c>
      <c r="D1148" t="s">
        <v>5174</v>
      </c>
      <c r="E1148" s="84">
        <v>31.99</v>
      </c>
      <c r="F1148" s="84">
        <v>15.994999999999999</v>
      </c>
      <c r="G1148" t="s">
        <v>5100</v>
      </c>
      <c r="H1148" t="s">
        <v>5179</v>
      </c>
      <c r="I1148" t="s">
        <v>729</v>
      </c>
      <c r="J1148" t="s">
        <v>5180</v>
      </c>
      <c r="K1148" t="s">
        <v>2866</v>
      </c>
      <c r="L1148" t="s">
        <v>670</v>
      </c>
      <c r="M1148">
        <v>20</v>
      </c>
      <c r="N1148">
        <v>20</v>
      </c>
      <c r="O1148">
        <v>5</v>
      </c>
      <c r="P1148">
        <v>2E-3</v>
      </c>
      <c r="Q1148" s="84" t="e">
        <v>#REF!</v>
      </c>
      <c r="R1148" s="85"/>
      <c r="S1148" s="85"/>
      <c r="T1148" s="86">
        <v>0</v>
      </c>
      <c r="U1148" s="84">
        <v>0</v>
      </c>
      <c r="V1148" s="84">
        <v>22.393000000000001</v>
      </c>
      <c r="W1148" s="84">
        <v>11.1965</v>
      </c>
      <c r="X1148" s="82">
        <v>0.35</v>
      </c>
      <c r="Y1148" s="82"/>
      <c r="Z1148" s="84">
        <v>11.1965</v>
      </c>
      <c r="AA1148" s="84">
        <v>22.393000000000001</v>
      </c>
      <c r="AB1148" s="88" t="e">
        <v>#DIV/0!</v>
      </c>
      <c r="AC1148" t="s">
        <v>5181</v>
      </c>
    </row>
    <row r="1149" spans="3:29">
      <c r="C1149" t="s">
        <v>5182</v>
      </c>
      <c r="D1149" t="s">
        <v>5183</v>
      </c>
      <c r="E1149" s="84">
        <v>9.99</v>
      </c>
      <c r="F1149" s="84">
        <v>4.9950000000000001</v>
      </c>
      <c r="G1149" t="s">
        <v>5100</v>
      </c>
      <c r="H1149" t="s">
        <v>5184</v>
      </c>
      <c r="I1149" t="s">
        <v>5185</v>
      </c>
      <c r="J1149" t="s">
        <v>5186</v>
      </c>
      <c r="K1149" t="s">
        <v>4484</v>
      </c>
      <c r="L1149" t="s">
        <v>670</v>
      </c>
      <c r="N1149">
        <v>2.5</v>
      </c>
      <c r="O1149">
        <v>2</v>
      </c>
      <c r="P1149">
        <v>1.2500000000000001E-5</v>
      </c>
      <c r="Q1149" s="84" t="e">
        <v>#REF!</v>
      </c>
      <c r="R1149" s="85">
        <v>3.0176210821009599</v>
      </c>
      <c r="S1149" s="85">
        <v>16500</v>
      </c>
      <c r="T1149" s="86">
        <v>16503.017621082101</v>
      </c>
      <c r="U1149" s="84">
        <v>1.1002011747388101</v>
      </c>
      <c r="V1149" s="84">
        <v>6.9930000000000003</v>
      </c>
      <c r="W1149" s="84">
        <v>3.4965000000000002</v>
      </c>
      <c r="X1149" s="82">
        <v>0.35</v>
      </c>
      <c r="Y1149" s="82"/>
      <c r="Z1149" s="84">
        <v>3.4965000000000002</v>
      </c>
      <c r="AA1149" s="84">
        <v>6.9930000000000003</v>
      </c>
      <c r="AB1149" s="88">
        <v>3.17805514144273</v>
      </c>
      <c r="AC1149" t="s">
        <v>5187</v>
      </c>
    </row>
    <row r="1150" spans="3:29">
      <c r="C1150" t="s">
        <v>5188</v>
      </c>
      <c r="D1150" t="s">
        <v>5189</v>
      </c>
      <c r="E1150" s="84">
        <v>14.99</v>
      </c>
      <c r="F1150" s="84">
        <v>7.4950000000000001</v>
      </c>
      <c r="G1150" t="s">
        <v>5100</v>
      </c>
      <c r="H1150" t="s">
        <v>5190</v>
      </c>
      <c r="I1150" t="s">
        <v>5191</v>
      </c>
      <c r="J1150" t="s">
        <v>5192</v>
      </c>
      <c r="K1150" t="s">
        <v>5193</v>
      </c>
      <c r="L1150" t="s">
        <v>670</v>
      </c>
      <c r="N1150">
        <v>10</v>
      </c>
      <c r="O1150">
        <v>4.5</v>
      </c>
      <c r="P1150">
        <v>4.4999999999999999E-4</v>
      </c>
      <c r="Q1150" s="84" t="e">
        <v>#REF!</v>
      </c>
      <c r="R1150" s="85">
        <v>108.6343589552</v>
      </c>
      <c r="S1150" s="85">
        <v>11000</v>
      </c>
      <c r="T1150" s="86">
        <v>11108.6343589552</v>
      </c>
      <c r="U1150" s="84">
        <v>0.74057562393034704</v>
      </c>
      <c r="V1150" s="84">
        <v>10.493</v>
      </c>
      <c r="W1150" s="84">
        <v>5.2465000000000002</v>
      </c>
      <c r="X1150" s="82">
        <v>0.35</v>
      </c>
      <c r="Y1150" s="82"/>
      <c r="Z1150" s="84">
        <v>5.2465000000000002</v>
      </c>
      <c r="AA1150" s="84">
        <v>10.493</v>
      </c>
      <c r="AB1150" s="88">
        <v>7.0843541570488497</v>
      </c>
      <c r="AC1150" t="s">
        <v>5194</v>
      </c>
    </row>
    <row r="1151" spans="3:29">
      <c r="C1151" t="s">
        <v>5196</v>
      </c>
      <c r="D1151" t="s">
        <v>5197</v>
      </c>
      <c r="E1151" s="84">
        <v>29.99</v>
      </c>
      <c r="F1151" s="84">
        <v>14.994999999999999</v>
      </c>
      <c r="G1151" t="s">
        <v>5100</v>
      </c>
      <c r="H1151" t="s">
        <v>5198</v>
      </c>
      <c r="I1151" t="s">
        <v>5199</v>
      </c>
      <c r="J1151" t="s">
        <v>5200</v>
      </c>
      <c r="K1151" t="s">
        <v>4484</v>
      </c>
      <c r="L1151" t="s">
        <v>670</v>
      </c>
      <c r="N1151">
        <v>11</v>
      </c>
      <c r="O1151">
        <v>1.5</v>
      </c>
      <c r="P1151">
        <v>1.8149999999999999E-4</v>
      </c>
      <c r="Q1151" s="84" t="e">
        <v>#REF!</v>
      </c>
      <c r="R1151" s="85"/>
      <c r="S1151" s="85"/>
      <c r="T1151" s="86">
        <v>0</v>
      </c>
      <c r="U1151" s="84">
        <v>0</v>
      </c>
      <c r="V1151" s="84">
        <v>20.992999999999999</v>
      </c>
      <c r="W1151" s="84">
        <v>10.496499999999999</v>
      </c>
      <c r="X1151" s="82">
        <v>0.35</v>
      </c>
      <c r="Y1151" s="82"/>
      <c r="Z1151" s="84">
        <v>10.496499999999999</v>
      </c>
      <c r="AA1151" s="84">
        <v>20.992999999999999</v>
      </c>
      <c r="AB1151" s="88" t="e">
        <v>#DIV/0!</v>
      </c>
      <c r="AC1151" t="s">
        <v>5201</v>
      </c>
    </row>
    <row r="1152" spans="3:29">
      <c r="C1152" t="s">
        <v>5202</v>
      </c>
      <c r="D1152" t="s">
        <v>5203</v>
      </c>
      <c r="E1152" s="84">
        <v>19.989999999999998</v>
      </c>
      <c r="F1152" s="84">
        <v>9.9949999999999992</v>
      </c>
      <c r="G1152" t="s">
        <v>5100</v>
      </c>
      <c r="H1152" t="s">
        <v>5204</v>
      </c>
      <c r="I1152" t="s">
        <v>5205</v>
      </c>
      <c r="J1152" t="s">
        <v>5206</v>
      </c>
      <c r="K1152" t="s">
        <v>5207</v>
      </c>
      <c r="L1152" t="s">
        <v>670</v>
      </c>
      <c r="N1152">
        <v>8</v>
      </c>
      <c r="O1152">
        <v>8</v>
      </c>
      <c r="P1152">
        <v>5.1199999999999998E-4</v>
      </c>
      <c r="Q1152" s="84" t="e">
        <v>#REF!</v>
      </c>
      <c r="R1152" s="85"/>
      <c r="S1152" s="85"/>
      <c r="T1152" s="86">
        <v>0</v>
      </c>
      <c r="U1152" s="84">
        <v>0</v>
      </c>
      <c r="V1152" s="84">
        <v>13.993</v>
      </c>
      <c r="W1152" s="84">
        <v>6.9965000000000002</v>
      </c>
      <c r="X1152" s="82">
        <v>0.35</v>
      </c>
      <c r="Y1152" s="82"/>
      <c r="Z1152" s="84">
        <v>6.9965000000000002</v>
      </c>
      <c r="AA1152" s="84">
        <v>13.993</v>
      </c>
      <c r="AB1152" s="88" t="e">
        <v>#DIV/0!</v>
      </c>
      <c r="AC1152" t="s">
        <v>5208</v>
      </c>
    </row>
    <row r="1153" spans="3:29">
      <c r="C1153">
        <v>33020</v>
      </c>
      <c r="D1153" t="s">
        <v>5209</v>
      </c>
      <c r="E1153" s="84">
        <v>77.989999999999995</v>
      </c>
      <c r="F1153" s="84">
        <v>38.994999999999997</v>
      </c>
      <c r="G1153" t="s">
        <v>5100</v>
      </c>
      <c r="H1153" t="s">
        <v>5210</v>
      </c>
      <c r="I1153" t="s">
        <v>5211</v>
      </c>
      <c r="J1153" t="s">
        <v>2764</v>
      </c>
      <c r="K1153" t="s">
        <v>3075</v>
      </c>
      <c r="L1153" t="s">
        <v>670</v>
      </c>
      <c r="N1153">
        <v>30</v>
      </c>
      <c r="O1153">
        <v>30</v>
      </c>
      <c r="P1153">
        <v>2.7E-2</v>
      </c>
      <c r="Q1153" s="84" t="e">
        <v>#REF!</v>
      </c>
      <c r="R1153" s="85"/>
      <c r="S1153" s="85"/>
      <c r="T1153" s="86">
        <v>0</v>
      </c>
      <c r="U1153" s="84">
        <v>0</v>
      </c>
      <c r="V1153" s="84">
        <v>54.593000000000004</v>
      </c>
      <c r="W1153" s="84">
        <v>27.296500000000002</v>
      </c>
      <c r="X1153" s="82">
        <v>0.35</v>
      </c>
      <c r="Y1153" s="82"/>
      <c r="Z1153" s="84">
        <v>27.296500000000002</v>
      </c>
      <c r="AA1153" s="84">
        <v>54.593000000000004</v>
      </c>
      <c r="AB1153" s="88" t="e">
        <v>#DIV/0!</v>
      </c>
      <c r="AC1153" t="s">
        <v>5212</v>
      </c>
    </row>
    <row r="1154" spans="3:29">
      <c r="C1154" t="s">
        <v>3018</v>
      </c>
      <c r="D1154" t="s">
        <v>5213</v>
      </c>
      <c r="E1154" s="84">
        <v>44.99</v>
      </c>
      <c r="F1154" s="84">
        <v>22.495000000000001</v>
      </c>
      <c r="G1154" t="s">
        <v>5100</v>
      </c>
      <c r="H1154" t="s">
        <v>5214</v>
      </c>
      <c r="I1154" t="s">
        <v>5215</v>
      </c>
      <c r="J1154" t="s">
        <v>5216</v>
      </c>
      <c r="K1154" t="s">
        <v>2407</v>
      </c>
      <c r="L1154" t="s">
        <v>646</v>
      </c>
      <c r="N1154">
        <v>11</v>
      </c>
      <c r="O1154">
        <v>1.5</v>
      </c>
      <c r="P1154">
        <v>1.8149999999999999E-4</v>
      </c>
      <c r="Q1154" s="84" t="e">
        <v>#REF!</v>
      </c>
      <c r="R1154" s="85"/>
      <c r="S1154" s="85"/>
      <c r="T1154" s="86">
        <v>0</v>
      </c>
      <c r="U1154" s="84">
        <v>0</v>
      </c>
      <c r="V1154" s="84">
        <v>31.492999999999999</v>
      </c>
      <c r="W1154" s="84">
        <v>15.746499999999999</v>
      </c>
      <c r="X1154" s="82">
        <v>0.35</v>
      </c>
      <c r="Y1154" s="82"/>
      <c r="Z1154" s="84">
        <v>15.746499999999999</v>
      </c>
      <c r="AA1154" s="84">
        <v>31.492999999999999</v>
      </c>
      <c r="AB1154" s="88" t="e">
        <v>#DIV/0!</v>
      </c>
      <c r="AC1154" t="s">
        <v>5217</v>
      </c>
    </row>
    <row r="1155" spans="3:29">
      <c r="C1155">
        <v>33022</v>
      </c>
      <c r="D1155" t="s">
        <v>5218</v>
      </c>
      <c r="E1155" s="84">
        <v>20.99</v>
      </c>
      <c r="F1155" s="84">
        <v>10.494999999999999</v>
      </c>
      <c r="G1155" t="s">
        <v>5100</v>
      </c>
      <c r="H1155" t="s">
        <v>5219</v>
      </c>
      <c r="I1155" t="s">
        <v>5220</v>
      </c>
      <c r="J1155" t="s">
        <v>5221</v>
      </c>
      <c r="K1155" t="s">
        <v>5222</v>
      </c>
      <c r="L1155" t="s">
        <v>670</v>
      </c>
      <c r="N1155">
        <v>37</v>
      </c>
      <c r="O1155">
        <v>3</v>
      </c>
      <c r="P1155">
        <v>4.1070000000000004E-3</v>
      </c>
      <c r="Q1155" s="84" t="e">
        <v>#REF!</v>
      </c>
      <c r="R1155" s="85">
        <v>991.46958273129701</v>
      </c>
      <c r="S1155" s="85">
        <v>63800</v>
      </c>
      <c r="T1155" s="86">
        <v>64791.469582731297</v>
      </c>
      <c r="U1155" s="84">
        <v>4.3194313055154199</v>
      </c>
      <c r="V1155" s="84">
        <v>14.693</v>
      </c>
      <c r="W1155" s="84">
        <v>7.3464999999999998</v>
      </c>
      <c r="X1155" s="82">
        <v>0.35</v>
      </c>
      <c r="Y1155" s="87">
        <v>8.6388626110308397</v>
      </c>
      <c r="Z1155" s="84">
        <v>8.6388626110308397</v>
      </c>
      <c r="AA1155" s="84">
        <v>17.277725222061701</v>
      </c>
      <c r="AB1155" s="88">
        <v>2</v>
      </c>
      <c r="AC1155" t="s">
        <v>5223</v>
      </c>
    </row>
    <row r="1156" spans="3:29">
      <c r="C1156">
        <v>33023</v>
      </c>
      <c r="D1156" t="s">
        <v>5224</v>
      </c>
      <c r="E1156" s="84">
        <v>19.989999999999998</v>
      </c>
      <c r="F1156" s="84">
        <v>9.9949999999999992</v>
      </c>
      <c r="G1156" t="s">
        <v>5100</v>
      </c>
      <c r="H1156" t="s">
        <v>5225</v>
      </c>
      <c r="I1156" t="s">
        <v>5226</v>
      </c>
      <c r="J1156" t="s">
        <v>5227</v>
      </c>
      <c r="K1156" t="s">
        <v>5222</v>
      </c>
      <c r="L1156" t="s">
        <v>670</v>
      </c>
      <c r="N1156">
        <v>11</v>
      </c>
      <c r="O1156">
        <v>3</v>
      </c>
      <c r="P1156">
        <v>3.6299999999999999E-4</v>
      </c>
      <c r="Q1156" s="84" t="e">
        <v>#REF!</v>
      </c>
      <c r="R1156" s="85">
        <v>87.631716223797397</v>
      </c>
      <c r="S1156" s="85">
        <v>38500</v>
      </c>
      <c r="T1156" s="86">
        <v>38587.631716223797</v>
      </c>
      <c r="U1156" s="84">
        <v>2.5725087810815901</v>
      </c>
      <c r="V1156" s="84">
        <v>13.993</v>
      </c>
      <c r="W1156" s="84">
        <v>6.9965000000000002</v>
      </c>
      <c r="X1156" s="82">
        <v>0.35</v>
      </c>
      <c r="Y1156" s="82"/>
      <c r="Z1156" s="84">
        <v>6.9965000000000002</v>
      </c>
      <c r="AA1156" s="84">
        <v>13.993</v>
      </c>
      <c r="AB1156" s="88">
        <v>2.7197186075525801</v>
      </c>
      <c r="AC1156" t="s">
        <v>5228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3f55b1-b49d-4f1d-ba51-b4f02481b45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DA25E3C579A64EA7F7AC4758B19422" ma:contentTypeVersion="13" ma:contentTypeDescription="Create a new document." ma:contentTypeScope="" ma:versionID="714df08f806ceaff7391ad5bb5e75229">
  <xsd:schema xmlns:xsd="http://www.w3.org/2001/XMLSchema" xmlns:xs="http://www.w3.org/2001/XMLSchema" xmlns:p="http://schemas.microsoft.com/office/2006/metadata/properties" xmlns:ns2="7a3f55b1-b49d-4f1d-ba51-b4f02481b45b" xmlns:ns3="79a56112-a732-4163-873b-26d050f8a975" targetNamespace="http://schemas.microsoft.com/office/2006/metadata/properties" ma:root="true" ma:fieldsID="55c580a6391fd151ffe2467fd3ec2aba" ns2:_="" ns3:_="">
    <xsd:import namespace="7a3f55b1-b49d-4f1d-ba51-b4f02481b45b"/>
    <xsd:import namespace="79a56112-a732-4163-873b-26d050f8a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3f55b1-b49d-4f1d-ba51-b4f02481b4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9ef71d64-64e4-400c-bf63-3edb33d1c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a56112-a732-4163-873b-26d050f8a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B9ECF5-FB08-4199-85E7-13D8FD908413}"/>
</file>

<file path=customXml/itemProps2.xml><?xml version="1.0" encoding="utf-8"?>
<ds:datastoreItem xmlns:ds="http://schemas.openxmlformats.org/officeDocument/2006/customXml" ds:itemID="{2087D5B2-D92D-445A-B5ED-CEB67455E45A}"/>
</file>

<file path=customXml/itemProps3.xml><?xml version="1.0" encoding="utf-8"?>
<ds:datastoreItem xmlns:ds="http://schemas.openxmlformats.org/officeDocument/2006/customXml" ds:itemID="{27415111-A2CB-4077-AF59-2779BAE76C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Aldy | hamesha.studio</dc:creator>
  <cp:keywords/>
  <dc:description/>
  <cp:lastModifiedBy/>
  <cp:revision/>
  <dcterms:created xsi:type="dcterms:W3CDTF">2023-12-10T23:03:20Z</dcterms:created>
  <dcterms:modified xsi:type="dcterms:W3CDTF">2024-02-22T03:51:16Z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0x010100B0DA25E3C579A64EA7F7AC4758B19422</vt:lpwstr>
  </property>
  <property fmtid="{D5CDD505-2E9C-101B-9397-08002B2CF9AE}" pid="3" name="MediaServiceImageTags">
    <vt:lpwstr/>
  </property>
</Properties>
</file>