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theme/themeOverride16.xml" ContentType="application/vnd.openxmlformats-officedocument.themeOverride+xml"/>
  <Override PartName="/xl/charts/chart19.xml" ContentType="application/vnd.openxmlformats-officedocument.drawingml.chart+xml"/>
  <Override PartName="/xl/theme/themeOverride17.xml" ContentType="application/vnd.openxmlformats-officedocument.themeOverrid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theme/themeOverride18.xml" ContentType="application/vnd.openxmlformats-officedocument.themeOverride+xml"/>
  <Override PartName="/xl/charts/chart21.xml" ContentType="application/vnd.openxmlformats-officedocument.drawingml.chart+xml"/>
  <Override PartName="/xl/theme/themeOverride19.xml" ContentType="application/vnd.openxmlformats-officedocument.themeOverride+xml"/>
  <Override PartName="/xl/charts/chart22.xml" ContentType="application/vnd.openxmlformats-officedocument.drawingml.chart+xml"/>
  <Override PartName="/xl/theme/themeOverride20.xml" ContentType="application/vnd.openxmlformats-officedocument.themeOverrid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theme/themeOverride2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  <Override PartName="/xl/charts/colors20.xml" ContentType="application/vnd.ms-office.chartcolorstyle+xml"/>
  <Override PartName="/xl/charts/style20.xml" ContentType="application/vnd.ms-office.chartstyle+xml"/>
  <Override PartName="/xl/charts/colors21.xml" ContentType="application/vnd.ms-office.chartcolorstyle+xml"/>
  <Override PartName="/xl/charts/style21.xml" ContentType="application/vnd.ms-office.chartstyle+xml"/>
  <Override PartName="/xl/charts/colors22.xml" ContentType="application/vnd.ms-office.chartcolorstyle+xml"/>
  <Override PartName="/xl/charts/style2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Table captions" sheetId="14" r:id="rId1"/>
    <sheet name="JNK1" sheetId="2" r:id="rId2"/>
    <sheet name="CDK2" sheetId="1" r:id="rId3"/>
    <sheet name="Thrombin" sheetId="3" r:id="rId4"/>
    <sheet name="TYK2" sheetId="4" r:id="rId5"/>
    <sheet name="PDE4" sheetId="5" r:id="rId6"/>
    <sheet name="PDE5" sheetId="6" r:id="rId7"/>
    <sheet name="PDE9" sheetId="7" r:id="rId8"/>
    <sheet name="PDE10" sheetId="8" r:id="rId9"/>
    <sheet name="CDK2-30" sheetId="10" r:id="rId10"/>
    <sheet name="CDK2-28" sheetId="11" r:id="rId11"/>
    <sheet name="CDK2-1oiy" sheetId="13" r:id="rId12"/>
  </sheet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2" i="6"/>
  <c r="J3" i="7"/>
  <c r="J4" i="7"/>
  <c r="J5" i="7"/>
  <c r="J6" i="7"/>
  <c r="J7" i="7"/>
  <c r="J8" i="7"/>
  <c r="J2" i="7"/>
  <c r="I3" i="8"/>
  <c r="I4" i="8"/>
  <c r="I5" i="8"/>
  <c r="I6" i="8"/>
  <c r="I7" i="8"/>
  <c r="I8" i="8"/>
  <c r="I9" i="8"/>
  <c r="I10" i="8"/>
  <c r="I11" i="8"/>
  <c r="I2" i="8"/>
  <c r="E2" i="1" l="1"/>
  <c r="E3" i="1"/>
  <c r="E4" i="1"/>
  <c r="E5" i="1"/>
  <c r="E6" i="1"/>
  <c r="E7" i="1"/>
  <c r="E8" i="1"/>
  <c r="E9" i="1"/>
  <c r="E10" i="1"/>
  <c r="E11" i="1"/>
  <c r="C2" i="8" l="1"/>
  <c r="E2" i="8" s="1"/>
  <c r="F2" i="8" s="1"/>
  <c r="G2" i="8" s="1"/>
  <c r="C11" i="8"/>
  <c r="E11" i="8" s="1"/>
  <c r="F11" i="8" s="1"/>
  <c r="G11" i="8" s="1"/>
  <c r="C8" i="8"/>
  <c r="E8" i="8" s="1"/>
  <c r="F8" i="8" s="1"/>
  <c r="G8" i="8" s="1"/>
  <c r="C7" i="8"/>
  <c r="E7" i="8" s="1"/>
  <c r="F7" i="8" s="1"/>
  <c r="G7" i="8" s="1"/>
  <c r="C9" i="8"/>
  <c r="E9" i="8" s="1"/>
  <c r="F9" i="8" s="1"/>
  <c r="G9" i="8" s="1"/>
  <c r="C5" i="8"/>
  <c r="E5" i="8" s="1"/>
  <c r="F5" i="8" s="1"/>
  <c r="G5" i="8" s="1"/>
  <c r="C10" i="8"/>
  <c r="E10" i="8" s="1"/>
  <c r="F10" i="8" s="1"/>
  <c r="G10" i="8" s="1"/>
  <c r="C6" i="8"/>
  <c r="E6" i="8" s="1"/>
  <c r="F6" i="8" s="1"/>
  <c r="G6" i="8" s="1"/>
  <c r="C4" i="8"/>
  <c r="E4" i="8" s="1"/>
  <c r="F4" i="8" s="1"/>
  <c r="G4" i="8" s="1"/>
  <c r="C3" i="8"/>
  <c r="E3" i="8" s="1"/>
  <c r="F3" i="8" s="1"/>
  <c r="G3" i="8" s="1"/>
  <c r="H2" i="8" l="1"/>
  <c r="D17" i="7" l="1"/>
  <c r="D21" i="7" s="1"/>
  <c r="I8" i="7"/>
  <c r="I7" i="7"/>
  <c r="I6" i="7"/>
  <c r="I5" i="7"/>
  <c r="I4" i="7"/>
  <c r="I3" i="7"/>
  <c r="I2" i="7"/>
  <c r="D21" i="6"/>
  <c r="D25" i="6" s="1"/>
  <c r="I12" i="6"/>
  <c r="I11" i="6"/>
  <c r="I10" i="6"/>
  <c r="I9" i="6"/>
  <c r="I8" i="6"/>
  <c r="I7" i="6"/>
  <c r="I6" i="6"/>
  <c r="I5" i="6"/>
  <c r="I4" i="6"/>
  <c r="I3" i="6"/>
  <c r="I2" i="6"/>
  <c r="Q12" i="6"/>
  <c r="R12" i="6" s="1"/>
  <c r="S12" i="6" s="1"/>
  <c r="L12" i="6"/>
  <c r="M12" i="6" s="1"/>
  <c r="N12" i="6" s="1"/>
  <c r="E12" i="6"/>
  <c r="F12" i="6" s="1"/>
  <c r="G12" i="6" s="1"/>
  <c r="D30" i="5"/>
  <c r="D19" i="7" l="1"/>
  <c r="D15" i="7"/>
  <c r="D13" i="7"/>
  <c r="D19" i="6"/>
  <c r="D23" i="6"/>
  <c r="D17" i="6"/>
  <c r="D34" i="5" l="1"/>
  <c r="I17" i="5"/>
  <c r="I3" i="5"/>
  <c r="I2" i="5"/>
  <c r="I13" i="5"/>
  <c r="I7" i="5"/>
  <c r="I19" i="5"/>
  <c r="I18" i="5"/>
  <c r="I11" i="5"/>
  <c r="I6" i="5"/>
  <c r="I16" i="5"/>
  <c r="I14" i="5"/>
  <c r="I8" i="5"/>
  <c r="I21" i="5"/>
  <c r="I20" i="5"/>
  <c r="I15" i="5"/>
  <c r="I12" i="5"/>
  <c r="I10" i="5"/>
  <c r="I5" i="5"/>
  <c r="I9" i="5"/>
  <c r="I4" i="5"/>
  <c r="D26" i="4"/>
  <c r="D28" i="4" s="1"/>
  <c r="D20" i="3"/>
  <c r="D24" i="3" s="1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1" i="3"/>
  <c r="I10" i="3"/>
  <c r="I9" i="3"/>
  <c r="I8" i="3"/>
  <c r="I7" i="3"/>
  <c r="I6" i="3"/>
  <c r="I5" i="3"/>
  <c r="I4" i="3"/>
  <c r="I3" i="3"/>
  <c r="I2" i="3"/>
  <c r="D31" i="2"/>
  <c r="D35" i="2" s="1"/>
  <c r="D26" i="1"/>
  <c r="D22" i="1" s="1"/>
  <c r="I18" i="2"/>
  <c r="I19" i="2"/>
  <c r="I20" i="2"/>
  <c r="I21" i="2"/>
  <c r="I22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D28" i="5" l="1"/>
  <c r="D32" i="5"/>
  <c r="D26" i="5"/>
  <c r="D22" i="4"/>
  <c r="D30" i="4"/>
  <c r="D24" i="4"/>
  <c r="D18" i="3"/>
  <c r="D22" i="3"/>
  <c r="D16" i="3"/>
  <c r="D29" i="2"/>
  <c r="D33" i="2"/>
  <c r="D27" i="2"/>
  <c r="D28" i="1"/>
  <c r="D30" i="1"/>
  <c r="D24" i="1"/>
  <c r="Q3" i="7"/>
  <c r="R3" i="7" s="1"/>
  <c r="S3" i="7" s="1"/>
  <c r="Q4" i="7"/>
  <c r="R4" i="7" s="1"/>
  <c r="S4" i="7" s="1"/>
  <c r="Q5" i="7"/>
  <c r="R5" i="7" s="1"/>
  <c r="S5" i="7" s="1"/>
  <c r="Q6" i="7"/>
  <c r="R6" i="7" s="1"/>
  <c r="S6" i="7" s="1"/>
  <c r="Q7" i="7"/>
  <c r="R7" i="7" s="1"/>
  <c r="S7" i="7" s="1"/>
  <c r="Q8" i="7"/>
  <c r="R8" i="7" s="1"/>
  <c r="S8" i="7" s="1"/>
  <c r="Q2" i="7"/>
  <c r="R2" i="7" s="1"/>
  <c r="S2" i="7" s="1"/>
  <c r="L3" i="7"/>
  <c r="M3" i="7" s="1"/>
  <c r="N3" i="7" s="1"/>
  <c r="L4" i="7"/>
  <c r="M4" i="7" s="1"/>
  <c r="N4" i="7" s="1"/>
  <c r="L5" i="7"/>
  <c r="M5" i="7" s="1"/>
  <c r="N5" i="7" s="1"/>
  <c r="L6" i="7"/>
  <c r="M6" i="7" s="1"/>
  <c r="N6" i="7" s="1"/>
  <c r="L7" i="7"/>
  <c r="M7" i="7" s="1"/>
  <c r="N7" i="7" s="1"/>
  <c r="L8" i="7"/>
  <c r="M8" i="7" s="1"/>
  <c r="N8" i="7" s="1"/>
  <c r="L2" i="7"/>
  <c r="M2" i="7" s="1"/>
  <c r="N2" i="7" s="1"/>
  <c r="Q3" i="6"/>
  <c r="R3" i="6" s="1"/>
  <c r="S3" i="6" s="1"/>
  <c r="Q4" i="6"/>
  <c r="R4" i="6" s="1"/>
  <c r="S4" i="6" s="1"/>
  <c r="Q5" i="6"/>
  <c r="R5" i="6" s="1"/>
  <c r="S5" i="6" s="1"/>
  <c r="Q6" i="6"/>
  <c r="R6" i="6" s="1"/>
  <c r="S6" i="6" s="1"/>
  <c r="Q7" i="6"/>
  <c r="R7" i="6" s="1"/>
  <c r="S7" i="6" s="1"/>
  <c r="Q8" i="6"/>
  <c r="R8" i="6" s="1"/>
  <c r="S8" i="6" s="1"/>
  <c r="Q9" i="6"/>
  <c r="R9" i="6" s="1"/>
  <c r="S9" i="6" s="1"/>
  <c r="Q10" i="6"/>
  <c r="R10" i="6" s="1"/>
  <c r="S10" i="6" s="1"/>
  <c r="Q11" i="6"/>
  <c r="R11" i="6" s="1"/>
  <c r="S11" i="6" s="1"/>
  <c r="Q2" i="6"/>
  <c r="R2" i="6" s="1"/>
  <c r="S2" i="6" s="1"/>
  <c r="L3" i="6"/>
  <c r="M3" i="6" s="1"/>
  <c r="N3" i="6" s="1"/>
  <c r="L4" i="6"/>
  <c r="M4" i="6" s="1"/>
  <c r="N4" i="6" s="1"/>
  <c r="L5" i="6"/>
  <c r="M5" i="6" s="1"/>
  <c r="N5" i="6" s="1"/>
  <c r="L6" i="6"/>
  <c r="M6" i="6" s="1"/>
  <c r="N6" i="6" s="1"/>
  <c r="L7" i="6"/>
  <c r="M7" i="6" s="1"/>
  <c r="N7" i="6" s="1"/>
  <c r="L8" i="6"/>
  <c r="M8" i="6" s="1"/>
  <c r="N8" i="6" s="1"/>
  <c r="L9" i="6"/>
  <c r="M9" i="6" s="1"/>
  <c r="N9" i="6" s="1"/>
  <c r="L10" i="6"/>
  <c r="M10" i="6" s="1"/>
  <c r="N10" i="6" s="1"/>
  <c r="L11" i="6"/>
  <c r="M11" i="6" s="1"/>
  <c r="N11" i="6" s="1"/>
  <c r="L2" i="6"/>
  <c r="M2" i="6" s="1"/>
  <c r="N2" i="6" s="1"/>
  <c r="P9" i="5"/>
  <c r="Q9" i="5" s="1"/>
  <c r="R9" i="5" s="1"/>
  <c r="P5" i="5"/>
  <c r="Q5" i="5" s="1"/>
  <c r="R5" i="5" s="1"/>
  <c r="P10" i="5"/>
  <c r="Q10" i="5" s="1"/>
  <c r="R10" i="5" s="1"/>
  <c r="P12" i="5"/>
  <c r="Q12" i="5" s="1"/>
  <c r="R12" i="5" s="1"/>
  <c r="P15" i="5"/>
  <c r="Q15" i="5" s="1"/>
  <c r="R15" i="5" s="1"/>
  <c r="P20" i="5"/>
  <c r="Q20" i="5" s="1"/>
  <c r="R20" i="5" s="1"/>
  <c r="P21" i="5"/>
  <c r="Q21" i="5" s="1"/>
  <c r="R21" i="5" s="1"/>
  <c r="P8" i="5"/>
  <c r="Q8" i="5" s="1"/>
  <c r="R8" i="5" s="1"/>
  <c r="P14" i="5"/>
  <c r="Q14" i="5" s="1"/>
  <c r="R14" i="5" s="1"/>
  <c r="P16" i="5"/>
  <c r="Q16" i="5" s="1"/>
  <c r="R16" i="5" s="1"/>
  <c r="P6" i="5"/>
  <c r="Q6" i="5" s="1"/>
  <c r="R6" i="5" s="1"/>
  <c r="P11" i="5"/>
  <c r="Q11" i="5" s="1"/>
  <c r="R11" i="5" s="1"/>
  <c r="P18" i="5"/>
  <c r="Q18" i="5" s="1"/>
  <c r="R18" i="5" s="1"/>
  <c r="P19" i="5"/>
  <c r="Q19" i="5" s="1"/>
  <c r="R19" i="5" s="1"/>
  <c r="P7" i="5"/>
  <c r="Q7" i="5" s="1"/>
  <c r="R7" i="5" s="1"/>
  <c r="P13" i="5"/>
  <c r="Q13" i="5" s="1"/>
  <c r="R13" i="5" s="1"/>
  <c r="P2" i="5"/>
  <c r="Q2" i="5" s="1"/>
  <c r="R2" i="5" s="1"/>
  <c r="P3" i="5"/>
  <c r="Q3" i="5" s="1"/>
  <c r="R3" i="5" s="1"/>
  <c r="P17" i="5"/>
  <c r="Q17" i="5" s="1"/>
  <c r="R17" i="5" s="1"/>
  <c r="P4" i="5"/>
  <c r="Q4" i="5" s="1"/>
  <c r="R4" i="5" s="1"/>
  <c r="K9" i="5"/>
  <c r="L9" i="5" s="1"/>
  <c r="M9" i="5" s="1"/>
  <c r="K5" i="5"/>
  <c r="L5" i="5" s="1"/>
  <c r="M5" i="5" s="1"/>
  <c r="K10" i="5"/>
  <c r="L10" i="5" s="1"/>
  <c r="M10" i="5" s="1"/>
  <c r="K12" i="5"/>
  <c r="L12" i="5" s="1"/>
  <c r="M12" i="5" s="1"/>
  <c r="K15" i="5"/>
  <c r="L15" i="5" s="1"/>
  <c r="M15" i="5" s="1"/>
  <c r="K20" i="5"/>
  <c r="L20" i="5" s="1"/>
  <c r="M20" i="5" s="1"/>
  <c r="K21" i="5"/>
  <c r="L21" i="5" s="1"/>
  <c r="M21" i="5" s="1"/>
  <c r="K8" i="5"/>
  <c r="L8" i="5" s="1"/>
  <c r="M8" i="5" s="1"/>
  <c r="K14" i="5"/>
  <c r="L14" i="5" s="1"/>
  <c r="M14" i="5" s="1"/>
  <c r="K16" i="5"/>
  <c r="L16" i="5" s="1"/>
  <c r="M16" i="5" s="1"/>
  <c r="K6" i="5"/>
  <c r="L6" i="5" s="1"/>
  <c r="M6" i="5" s="1"/>
  <c r="K11" i="5"/>
  <c r="L11" i="5" s="1"/>
  <c r="M11" i="5" s="1"/>
  <c r="K18" i="5"/>
  <c r="L18" i="5" s="1"/>
  <c r="M18" i="5" s="1"/>
  <c r="K19" i="5"/>
  <c r="L19" i="5" s="1"/>
  <c r="M19" i="5" s="1"/>
  <c r="K7" i="5"/>
  <c r="L7" i="5" s="1"/>
  <c r="M7" i="5" s="1"/>
  <c r="K13" i="5"/>
  <c r="L13" i="5" s="1"/>
  <c r="M13" i="5" s="1"/>
  <c r="K2" i="5"/>
  <c r="L2" i="5" s="1"/>
  <c r="M2" i="5" s="1"/>
  <c r="K3" i="5"/>
  <c r="L3" i="5" s="1"/>
  <c r="M3" i="5" s="1"/>
  <c r="K17" i="5"/>
  <c r="L17" i="5" s="1"/>
  <c r="M17" i="5" s="1"/>
  <c r="K4" i="5"/>
  <c r="L4" i="5" s="1"/>
  <c r="M4" i="5" s="1"/>
  <c r="P3" i="3"/>
  <c r="Q3" i="3" s="1"/>
  <c r="R3" i="3" s="1"/>
  <c r="P4" i="3"/>
  <c r="Q4" i="3" s="1"/>
  <c r="R4" i="3" s="1"/>
  <c r="P5" i="3"/>
  <c r="Q5" i="3" s="1"/>
  <c r="R5" i="3" s="1"/>
  <c r="P6" i="3"/>
  <c r="Q6" i="3" s="1"/>
  <c r="R6" i="3" s="1"/>
  <c r="P7" i="3"/>
  <c r="Q7" i="3" s="1"/>
  <c r="R7" i="3" s="1"/>
  <c r="P8" i="3"/>
  <c r="Q8" i="3" s="1"/>
  <c r="R8" i="3" s="1"/>
  <c r="P9" i="3"/>
  <c r="Q9" i="3" s="1"/>
  <c r="R9" i="3" s="1"/>
  <c r="P10" i="3"/>
  <c r="Q10" i="3" s="1"/>
  <c r="R10" i="3" s="1"/>
  <c r="P11" i="3"/>
  <c r="Q11" i="3" s="1"/>
  <c r="R11" i="3" s="1"/>
  <c r="P2" i="3"/>
  <c r="Q2" i="3" s="1"/>
  <c r="R2" i="3" s="1"/>
  <c r="K3" i="3"/>
  <c r="L3" i="3" s="1"/>
  <c r="M3" i="3" s="1"/>
  <c r="K4" i="3"/>
  <c r="L4" i="3" s="1"/>
  <c r="M4" i="3" s="1"/>
  <c r="K5" i="3"/>
  <c r="L5" i="3" s="1"/>
  <c r="M5" i="3" s="1"/>
  <c r="K6" i="3"/>
  <c r="L6" i="3" s="1"/>
  <c r="M6" i="3" s="1"/>
  <c r="K7" i="3"/>
  <c r="L7" i="3" s="1"/>
  <c r="M7" i="3" s="1"/>
  <c r="K8" i="3"/>
  <c r="L8" i="3" s="1"/>
  <c r="M8" i="3" s="1"/>
  <c r="K9" i="3"/>
  <c r="L9" i="3" s="1"/>
  <c r="M9" i="3" s="1"/>
  <c r="K10" i="3"/>
  <c r="L10" i="3" s="1"/>
  <c r="M10" i="3" s="1"/>
  <c r="K11" i="3"/>
  <c r="L11" i="3" s="1"/>
  <c r="M11" i="3" s="1"/>
  <c r="K2" i="3"/>
  <c r="L2" i="3" s="1"/>
  <c r="M2" i="3" s="1"/>
  <c r="P3" i="2"/>
  <c r="Q3" i="2" s="1"/>
  <c r="R3" i="2" s="1"/>
  <c r="P4" i="2"/>
  <c r="Q4" i="2" s="1"/>
  <c r="R4" i="2" s="1"/>
  <c r="P5" i="2"/>
  <c r="Q5" i="2" s="1"/>
  <c r="R5" i="2" s="1"/>
  <c r="P6" i="2"/>
  <c r="Q6" i="2" s="1"/>
  <c r="R6" i="2" s="1"/>
  <c r="P7" i="2"/>
  <c r="Q7" i="2" s="1"/>
  <c r="R7" i="2" s="1"/>
  <c r="P8" i="2"/>
  <c r="Q8" i="2" s="1"/>
  <c r="R8" i="2" s="1"/>
  <c r="P9" i="2"/>
  <c r="Q9" i="2" s="1"/>
  <c r="R9" i="2" s="1"/>
  <c r="P10" i="2"/>
  <c r="Q10" i="2" s="1"/>
  <c r="R10" i="2" s="1"/>
  <c r="P11" i="2"/>
  <c r="Q11" i="2" s="1"/>
  <c r="R11" i="2" s="1"/>
  <c r="P12" i="2"/>
  <c r="Q12" i="2" s="1"/>
  <c r="R12" i="2" s="1"/>
  <c r="P13" i="2"/>
  <c r="Q13" i="2" s="1"/>
  <c r="R13" i="2" s="1"/>
  <c r="P14" i="2"/>
  <c r="Q14" i="2" s="1"/>
  <c r="R14" i="2" s="1"/>
  <c r="P15" i="2"/>
  <c r="Q15" i="2" s="1"/>
  <c r="R15" i="2" s="1"/>
  <c r="P16" i="2"/>
  <c r="Q16" i="2" s="1"/>
  <c r="R16" i="2" s="1"/>
  <c r="P17" i="2"/>
  <c r="Q17" i="2" s="1"/>
  <c r="R17" i="2" s="1"/>
  <c r="P18" i="2"/>
  <c r="Q18" i="2" s="1"/>
  <c r="R18" i="2" s="1"/>
  <c r="P19" i="2"/>
  <c r="Q19" i="2" s="1"/>
  <c r="R19" i="2" s="1"/>
  <c r="P20" i="2"/>
  <c r="Q20" i="2" s="1"/>
  <c r="R20" i="2" s="1"/>
  <c r="P21" i="2"/>
  <c r="Q21" i="2" s="1"/>
  <c r="R21" i="2" s="1"/>
  <c r="P22" i="2"/>
  <c r="Q22" i="2" s="1"/>
  <c r="R22" i="2" s="1"/>
  <c r="P2" i="2"/>
  <c r="Q2" i="2" s="1"/>
  <c r="R2" i="2" s="1"/>
  <c r="K3" i="2"/>
  <c r="L3" i="2" s="1"/>
  <c r="M3" i="2" s="1"/>
  <c r="K4" i="2"/>
  <c r="L4" i="2" s="1"/>
  <c r="M4" i="2" s="1"/>
  <c r="K5" i="2"/>
  <c r="L5" i="2" s="1"/>
  <c r="M5" i="2" s="1"/>
  <c r="K6" i="2"/>
  <c r="L6" i="2" s="1"/>
  <c r="M6" i="2" s="1"/>
  <c r="K7" i="2"/>
  <c r="L7" i="2" s="1"/>
  <c r="M7" i="2" s="1"/>
  <c r="K8" i="2"/>
  <c r="L8" i="2" s="1"/>
  <c r="M8" i="2" s="1"/>
  <c r="K9" i="2"/>
  <c r="L9" i="2" s="1"/>
  <c r="M9" i="2" s="1"/>
  <c r="K10" i="2"/>
  <c r="L10" i="2" s="1"/>
  <c r="M10" i="2" s="1"/>
  <c r="K11" i="2"/>
  <c r="L11" i="2" s="1"/>
  <c r="M11" i="2" s="1"/>
  <c r="K12" i="2"/>
  <c r="L12" i="2" s="1"/>
  <c r="M12" i="2" s="1"/>
  <c r="K13" i="2"/>
  <c r="L13" i="2" s="1"/>
  <c r="M13" i="2" s="1"/>
  <c r="K14" i="2"/>
  <c r="L14" i="2" s="1"/>
  <c r="M14" i="2" s="1"/>
  <c r="K15" i="2"/>
  <c r="L15" i="2" s="1"/>
  <c r="M15" i="2" s="1"/>
  <c r="K16" i="2"/>
  <c r="L16" i="2" s="1"/>
  <c r="M16" i="2" s="1"/>
  <c r="K17" i="2"/>
  <c r="L17" i="2" s="1"/>
  <c r="M17" i="2" s="1"/>
  <c r="K18" i="2"/>
  <c r="L18" i="2" s="1"/>
  <c r="M18" i="2" s="1"/>
  <c r="K19" i="2"/>
  <c r="L19" i="2" s="1"/>
  <c r="M19" i="2" s="1"/>
  <c r="K20" i="2"/>
  <c r="L20" i="2" s="1"/>
  <c r="M20" i="2" s="1"/>
  <c r="K21" i="2"/>
  <c r="L21" i="2" s="1"/>
  <c r="M21" i="2" s="1"/>
  <c r="K22" i="2"/>
  <c r="L22" i="2" s="1"/>
  <c r="M22" i="2" s="1"/>
  <c r="K2" i="2"/>
  <c r="L2" i="2" s="1"/>
  <c r="M2" i="2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2" i="1"/>
  <c r="Q2" i="1" s="1"/>
  <c r="R2" i="1" s="1"/>
  <c r="K3" i="1"/>
  <c r="L3" i="1" s="1"/>
  <c r="M3" i="1" s="1"/>
  <c r="K4" i="1"/>
  <c r="L4" i="1" s="1"/>
  <c r="M4" i="1" s="1"/>
  <c r="K5" i="1"/>
  <c r="L5" i="1" s="1"/>
  <c r="M5" i="1" s="1"/>
  <c r="K6" i="1"/>
  <c r="L6" i="1" s="1"/>
  <c r="M6" i="1" s="1"/>
  <c r="K7" i="1"/>
  <c r="L7" i="1" s="1"/>
  <c r="M7" i="1" s="1"/>
  <c r="K8" i="1"/>
  <c r="L8" i="1" s="1"/>
  <c r="M8" i="1" s="1"/>
  <c r="K9" i="1"/>
  <c r="L9" i="1" s="1"/>
  <c r="M9" i="1" s="1"/>
  <c r="K10" i="1"/>
  <c r="L10" i="1" s="1"/>
  <c r="M10" i="1" s="1"/>
  <c r="K11" i="1"/>
  <c r="L11" i="1" s="1"/>
  <c r="M11" i="1" s="1"/>
  <c r="K12" i="1"/>
  <c r="L12" i="1" s="1"/>
  <c r="M12" i="1" s="1"/>
  <c r="K13" i="1"/>
  <c r="L13" i="1" s="1"/>
  <c r="M13" i="1" s="1"/>
  <c r="K14" i="1"/>
  <c r="L14" i="1" s="1"/>
  <c r="M14" i="1" s="1"/>
  <c r="K15" i="1"/>
  <c r="L15" i="1" s="1"/>
  <c r="M15" i="1" s="1"/>
  <c r="K16" i="1"/>
  <c r="L16" i="1" s="1"/>
  <c r="M16" i="1" s="1"/>
  <c r="K17" i="1"/>
  <c r="L17" i="1" s="1"/>
  <c r="M17" i="1" s="1"/>
  <c r="K2" i="1"/>
  <c r="L2" i="1" s="1"/>
  <c r="M2" i="1" s="1"/>
  <c r="P3" i="4"/>
  <c r="Q3" i="4" s="1"/>
  <c r="R3" i="4" s="1"/>
  <c r="P4" i="4"/>
  <c r="Q4" i="4" s="1"/>
  <c r="R4" i="4" s="1"/>
  <c r="P5" i="4"/>
  <c r="Q5" i="4" s="1"/>
  <c r="R5" i="4" s="1"/>
  <c r="P6" i="4"/>
  <c r="Q6" i="4" s="1"/>
  <c r="R6" i="4" s="1"/>
  <c r="P7" i="4"/>
  <c r="Q7" i="4" s="1"/>
  <c r="R7" i="4" s="1"/>
  <c r="P8" i="4"/>
  <c r="Q8" i="4" s="1"/>
  <c r="R8" i="4" s="1"/>
  <c r="P9" i="4"/>
  <c r="Q9" i="4" s="1"/>
  <c r="R9" i="4" s="1"/>
  <c r="P10" i="4"/>
  <c r="Q10" i="4" s="1"/>
  <c r="R10" i="4" s="1"/>
  <c r="P11" i="4"/>
  <c r="Q11" i="4" s="1"/>
  <c r="R11" i="4" s="1"/>
  <c r="P12" i="4"/>
  <c r="Q12" i="4" s="1"/>
  <c r="R12" i="4" s="1"/>
  <c r="P13" i="4"/>
  <c r="Q13" i="4" s="1"/>
  <c r="R13" i="4" s="1"/>
  <c r="P14" i="4"/>
  <c r="Q14" i="4" s="1"/>
  <c r="R14" i="4" s="1"/>
  <c r="P15" i="4"/>
  <c r="Q15" i="4" s="1"/>
  <c r="R15" i="4" s="1"/>
  <c r="P16" i="4"/>
  <c r="Q16" i="4" s="1"/>
  <c r="R16" i="4" s="1"/>
  <c r="P17" i="4"/>
  <c r="Q17" i="4" s="1"/>
  <c r="R17" i="4" s="1"/>
  <c r="P2" i="4"/>
  <c r="Q2" i="4" s="1"/>
  <c r="R2" i="4" s="1"/>
  <c r="K3" i="4"/>
  <c r="L3" i="4" s="1"/>
  <c r="M3" i="4" s="1"/>
  <c r="K4" i="4"/>
  <c r="L4" i="4" s="1"/>
  <c r="M4" i="4" s="1"/>
  <c r="K5" i="4"/>
  <c r="L5" i="4" s="1"/>
  <c r="M5" i="4" s="1"/>
  <c r="K6" i="4"/>
  <c r="L6" i="4" s="1"/>
  <c r="M6" i="4" s="1"/>
  <c r="K7" i="4"/>
  <c r="L7" i="4" s="1"/>
  <c r="M7" i="4" s="1"/>
  <c r="K8" i="4"/>
  <c r="L8" i="4" s="1"/>
  <c r="M8" i="4" s="1"/>
  <c r="K9" i="4"/>
  <c r="L9" i="4" s="1"/>
  <c r="M9" i="4" s="1"/>
  <c r="K10" i="4"/>
  <c r="L10" i="4" s="1"/>
  <c r="M10" i="4" s="1"/>
  <c r="K11" i="4"/>
  <c r="L11" i="4" s="1"/>
  <c r="M11" i="4" s="1"/>
  <c r="K12" i="4"/>
  <c r="L12" i="4" s="1"/>
  <c r="M12" i="4" s="1"/>
  <c r="K13" i="4"/>
  <c r="L13" i="4" s="1"/>
  <c r="M13" i="4" s="1"/>
  <c r="K14" i="4"/>
  <c r="L14" i="4" s="1"/>
  <c r="M14" i="4" s="1"/>
  <c r="K15" i="4"/>
  <c r="L15" i="4" s="1"/>
  <c r="M15" i="4" s="1"/>
  <c r="K16" i="4"/>
  <c r="L16" i="4" s="1"/>
  <c r="M16" i="4" s="1"/>
  <c r="K17" i="4"/>
  <c r="L17" i="4" s="1"/>
  <c r="M17" i="4" s="1"/>
  <c r="K2" i="4"/>
  <c r="L2" i="4" s="1"/>
  <c r="M2" i="4" s="1"/>
  <c r="E3" i="7"/>
  <c r="F3" i="7" s="1"/>
  <c r="G3" i="7" s="1"/>
  <c r="E4" i="7"/>
  <c r="F4" i="7" s="1"/>
  <c r="G4" i="7" s="1"/>
  <c r="E5" i="7"/>
  <c r="F5" i="7" s="1"/>
  <c r="G5" i="7" s="1"/>
  <c r="E6" i="7"/>
  <c r="F6" i="7" s="1"/>
  <c r="G6" i="7" s="1"/>
  <c r="E7" i="7"/>
  <c r="F7" i="7" s="1"/>
  <c r="G7" i="7" s="1"/>
  <c r="E8" i="7"/>
  <c r="F8" i="7" s="1"/>
  <c r="G8" i="7" s="1"/>
  <c r="E2" i="7"/>
  <c r="F2" i="7" s="1"/>
  <c r="G2" i="7" s="1"/>
  <c r="N2" i="1" l="1"/>
  <c r="S2" i="1"/>
  <c r="S2" i="3"/>
  <c r="S2" i="4"/>
  <c r="N2" i="3"/>
  <c r="N2" i="4"/>
  <c r="T2" i="7"/>
  <c r="O2" i="7"/>
  <c r="H2" i="7"/>
  <c r="O2" i="6"/>
  <c r="T2" i="6"/>
  <c r="N4" i="5"/>
  <c r="S4" i="5"/>
  <c r="N2" i="2"/>
  <c r="S2" i="2"/>
  <c r="E3" i="6" l="1"/>
  <c r="F3" i="6" s="1"/>
  <c r="G3" i="6" s="1"/>
  <c r="E4" i="6"/>
  <c r="F4" i="6" s="1"/>
  <c r="G4" i="6" s="1"/>
  <c r="E5" i="6"/>
  <c r="F5" i="6" s="1"/>
  <c r="G5" i="6" s="1"/>
  <c r="E6" i="6"/>
  <c r="F6" i="6" s="1"/>
  <c r="G6" i="6" s="1"/>
  <c r="E7" i="6"/>
  <c r="F7" i="6" s="1"/>
  <c r="G7" i="6" s="1"/>
  <c r="E8" i="6"/>
  <c r="F8" i="6" s="1"/>
  <c r="G8" i="6" s="1"/>
  <c r="E9" i="6"/>
  <c r="F9" i="6" s="1"/>
  <c r="G9" i="6" s="1"/>
  <c r="E10" i="6"/>
  <c r="F10" i="6" s="1"/>
  <c r="G10" i="6" s="1"/>
  <c r="E11" i="6"/>
  <c r="F11" i="6" s="1"/>
  <c r="G11" i="6" s="1"/>
  <c r="E2" i="6"/>
  <c r="F2" i="6" s="1"/>
  <c r="G2" i="6" s="1"/>
  <c r="E9" i="5"/>
  <c r="F9" i="5" s="1"/>
  <c r="G9" i="5" s="1"/>
  <c r="E5" i="5"/>
  <c r="F5" i="5" s="1"/>
  <c r="G5" i="5" s="1"/>
  <c r="E10" i="5"/>
  <c r="F10" i="5" s="1"/>
  <c r="G10" i="5" s="1"/>
  <c r="E12" i="5"/>
  <c r="F12" i="5" s="1"/>
  <c r="G12" i="5" s="1"/>
  <c r="E15" i="5"/>
  <c r="F15" i="5" s="1"/>
  <c r="G15" i="5" s="1"/>
  <c r="E20" i="5"/>
  <c r="F20" i="5" s="1"/>
  <c r="G20" i="5" s="1"/>
  <c r="E21" i="5"/>
  <c r="F21" i="5" s="1"/>
  <c r="G21" i="5" s="1"/>
  <c r="E8" i="5"/>
  <c r="F8" i="5" s="1"/>
  <c r="G8" i="5" s="1"/>
  <c r="E14" i="5"/>
  <c r="F14" i="5" s="1"/>
  <c r="G14" i="5" s="1"/>
  <c r="E16" i="5"/>
  <c r="F16" i="5" s="1"/>
  <c r="G16" i="5" s="1"/>
  <c r="E6" i="5"/>
  <c r="F6" i="5" s="1"/>
  <c r="G6" i="5" s="1"/>
  <c r="E11" i="5"/>
  <c r="F11" i="5" s="1"/>
  <c r="G11" i="5" s="1"/>
  <c r="E18" i="5"/>
  <c r="F18" i="5" s="1"/>
  <c r="G18" i="5" s="1"/>
  <c r="E19" i="5"/>
  <c r="F19" i="5" s="1"/>
  <c r="G19" i="5" s="1"/>
  <c r="E7" i="5"/>
  <c r="F7" i="5" s="1"/>
  <c r="G7" i="5" s="1"/>
  <c r="E13" i="5"/>
  <c r="F13" i="5" s="1"/>
  <c r="G13" i="5" s="1"/>
  <c r="E2" i="5"/>
  <c r="F2" i="5" s="1"/>
  <c r="G2" i="5" s="1"/>
  <c r="E3" i="5"/>
  <c r="F3" i="5" s="1"/>
  <c r="G3" i="5" s="1"/>
  <c r="E17" i="5"/>
  <c r="F17" i="5" s="1"/>
  <c r="G17" i="5" s="1"/>
  <c r="E4" i="5"/>
  <c r="F4" i="5" s="1"/>
  <c r="E10" i="4"/>
  <c r="F10" i="4" s="1"/>
  <c r="G10" i="4" s="1"/>
  <c r="E4" i="4"/>
  <c r="F4" i="4" s="1"/>
  <c r="G4" i="4" s="1"/>
  <c r="E17" i="4"/>
  <c r="F17" i="4" s="1"/>
  <c r="G17" i="4" s="1"/>
  <c r="E13" i="4"/>
  <c r="F13" i="4" s="1"/>
  <c r="G13" i="4" s="1"/>
  <c r="E15" i="4"/>
  <c r="F15" i="4" s="1"/>
  <c r="G15" i="4" s="1"/>
  <c r="E6" i="4"/>
  <c r="F6" i="4" s="1"/>
  <c r="G6" i="4" s="1"/>
  <c r="E3" i="4"/>
  <c r="F3" i="4" s="1"/>
  <c r="G3" i="4" s="1"/>
  <c r="E7" i="4"/>
  <c r="F7" i="4" s="1"/>
  <c r="G7" i="4" s="1"/>
  <c r="E2" i="4"/>
  <c r="F2" i="4" s="1"/>
  <c r="G2" i="4" s="1"/>
  <c r="E12" i="4"/>
  <c r="F12" i="4" s="1"/>
  <c r="G12" i="4" s="1"/>
  <c r="E16" i="4"/>
  <c r="F16" i="4" s="1"/>
  <c r="G16" i="4" s="1"/>
  <c r="E5" i="4"/>
  <c r="F5" i="4" s="1"/>
  <c r="G5" i="4" s="1"/>
  <c r="E8" i="4"/>
  <c r="F8" i="4" s="1"/>
  <c r="G8" i="4" s="1"/>
  <c r="E9" i="4"/>
  <c r="F9" i="4" s="1"/>
  <c r="G9" i="4" s="1"/>
  <c r="E11" i="4"/>
  <c r="F11" i="4" s="1"/>
  <c r="G11" i="4" s="1"/>
  <c r="E14" i="4"/>
  <c r="F14" i="4" s="1"/>
  <c r="G14" i="4" s="1"/>
  <c r="E5" i="3"/>
  <c r="F5" i="3" s="1"/>
  <c r="G5" i="3" s="1"/>
  <c r="E4" i="3"/>
  <c r="F4" i="3" s="1"/>
  <c r="G4" i="3" s="1"/>
  <c r="E11" i="3"/>
  <c r="F11" i="3" s="1"/>
  <c r="G11" i="3" s="1"/>
  <c r="E7" i="3"/>
  <c r="F7" i="3" s="1"/>
  <c r="G7" i="3" s="1"/>
  <c r="E8" i="3"/>
  <c r="F8" i="3" s="1"/>
  <c r="G8" i="3" s="1"/>
  <c r="E9" i="3"/>
  <c r="F9" i="3" s="1"/>
  <c r="G9" i="3" s="1"/>
  <c r="E3" i="3"/>
  <c r="F3" i="3" s="1"/>
  <c r="G3" i="3" s="1"/>
  <c r="E2" i="3"/>
  <c r="F2" i="3" s="1"/>
  <c r="G2" i="3" s="1"/>
  <c r="E10" i="3"/>
  <c r="F10" i="3" s="1"/>
  <c r="G10" i="3" s="1"/>
  <c r="E6" i="3"/>
  <c r="F6" i="3" s="1"/>
  <c r="G6" i="3" s="1"/>
  <c r="E2" i="2"/>
  <c r="F2" i="2" s="1"/>
  <c r="G2" i="2" s="1"/>
  <c r="E21" i="2"/>
  <c r="F21" i="2" s="1"/>
  <c r="G21" i="2" s="1"/>
  <c r="E14" i="2"/>
  <c r="F14" i="2" s="1"/>
  <c r="G14" i="2" s="1"/>
  <c r="E20" i="2"/>
  <c r="F20" i="2" s="1"/>
  <c r="G20" i="2" s="1"/>
  <c r="E8" i="2"/>
  <c r="F8" i="2" s="1"/>
  <c r="G8" i="2" s="1"/>
  <c r="E22" i="2"/>
  <c r="F22" i="2" s="1"/>
  <c r="G22" i="2" s="1"/>
  <c r="E13" i="2"/>
  <c r="F13" i="2" s="1"/>
  <c r="G13" i="2" s="1"/>
  <c r="E10" i="2"/>
  <c r="F10" i="2" s="1"/>
  <c r="G10" i="2" s="1"/>
  <c r="E19" i="2"/>
  <c r="F19" i="2" s="1"/>
  <c r="G19" i="2" s="1"/>
  <c r="E17" i="2"/>
  <c r="F17" i="2" s="1"/>
  <c r="G17" i="2" s="1"/>
  <c r="E12" i="2"/>
  <c r="F12" i="2" s="1"/>
  <c r="G12" i="2" s="1"/>
  <c r="E16" i="2"/>
  <c r="F16" i="2" s="1"/>
  <c r="G16" i="2" s="1"/>
  <c r="E15" i="2"/>
  <c r="F15" i="2" s="1"/>
  <c r="G15" i="2" s="1"/>
  <c r="E5" i="2"/>
  <c r="F5" i="2" s="1"/>
  <c r="G5" i="2" s="1"/>
  <c r="E3" i="2"/>
  <c r="F3" i="2" s="1"/>
  <c r="G3" i="2" s="1"/>
  <c r="E7" i="2"/>
  <c r="F7" i="2" s="1"/>
  <c r="G7" i="2" s="1"/>
  <c r="E11" i="2"/>
  <c r="F11" i="2" s="1"/>
  <c r="G11" i="2" s="1"/>
  <c r="E9" i="2"/>
  <c r="F9" i="2" s="1"/>
  <c r="G9" i="2" s="1"/>
  <c r="E4" i="2"/>
  <c r="F4" i="2" s="1"/>
  <c r="G4" i="2" s="1"/>
  <c r="E6" i="2"/>
  <c r="F6" i="2" s="1"/>
  <c r="G6" i="2" s="1"/>
  <c r="E18" i="2"/>
  <c r="F18" i="2" s="1"/>
  <c r="G18" i="2" s="1"/>
  <c r="F9" i="1"/>
  <c r="G9" i="1" s="1"/>
  <c r="F10" i="1"/>
  <c r="G10" i="1" s="1"/>
  <c r="E15" i="1"/>
  <c r="F15" i="1" s="1"/>
  <c r="G15" i="1" s="1"/>
  <c r="E17" i="1"/>
  <c r="F17" i="1" s="1"/>
  <c r="G17" i="1" s="1"/>
  <c r="F11" i="1"/>
  <c r="G11" i="1" s="1"/>
  <c r="E14" i="1"/>
  <c r="F14" i="1" s="1"/>
  <c r="G14" i="1" s="1"/>
  <c r="F7" i="1"/>
  <c r="G7" i="1" s="1"/>
  <c r="E13" i="1"/>
  <c r="F13" i="1" s="1"/>
  <c r="G13" i="1" s="1"/>
  <c r="F5" i="1"/>
  <c r="G5" i="1" s="1"/>
  <c r="F6" i="1"/>
  <c r="G6" i="1" s="1"/>
  <c r="F4" i="1"/>
  <c r="G4" i="1" s="1"/>
  <c r="F2" i="1"/>
  <c r="G2" i="1" s="1"/>
  <c r="F8" i="1"/>
  <c r="G8" i="1" s="1"/>
  <c r="F3" i="1"/>
  <c r="G3" i="1" s="1"/>
  <c r="E12" i="1"/>
  <c r="F12" i="1" s="1"/>
  <c r="G12" i="1" s="1"/>
  <c r="E16" i="1"/>
  <c r="F16" i="1" s="1"/>
  <c r="G16" i="1" s="1"/>
  <c r="H2" i="4" l="1"/>
  <c r="H2" i="3"/>
  <c r="H2" i="6"/>
  <c r="H2" i="1"/>
  <c r="H2" i="2"/>
  <c r="G4" i="5"/>
  <c r="H2" i="5" s="1"/>
</calcChain>
</file>

<file path=xl/sharedStrings.xml><?xml version="1.0" encoding="utf-8"?>
<sst xmlns="http://schemas.openxmlformats.org/spreadsheetml/2006/main" count="700" uniqueCount="293">
  <si>
    <t>RMSE</t>
  </si>
  <si>
    <t>residuals</t>
  </si>
  <si>
    <t>squared residuals</t>
  </si>
  <si>
    <t>exp(kcal/mol)</t>
  </si>
  <si>
    <t>model(kcal/mol)</t>
  </si>
  <si>
    <t>FEP-cal(kcal/mol)</t>
  </si>
  <si>
    <t>Ligand_ID</t>
  </si>
  <si>
    <t>ejm_44</t>
  </si>
  <si>
    <t>ejm_49</t>
  </si>
  <si>
    <t>ejm_43</t>
  </si>
  <si>
    <t>ejm_50</t>
  </si>
  <si>
    <t>ejm_48</t>
  </si>
  <si>
    <t>ejm_55</t>
  </si>
  <si>
    <t>ejm_31</t>
  </si>
  <si>
    <t>ejm_45</t>
  </si>
  <si>
    <t>ejm_47</t>
  </si>
  <si>
    <t>ejm_42</t>
  </si>
  <si>
    <t>ejm_54</t>
  </si>
  <si>
    <t>jmc_30</t>
  </si>
  <si>
    <t>jmc_28</t>
  </si>
  <si>
    <t>jmc_27</t>
  </si>
  <si>
    <t>ejm_46</t>
  </si>
  <si>
    <t>jmc_23</t>
  </si>
  <si>
    <t>1h1r</t>
  </si>
  <si>
    <t>1h1q</t>
  </si>
  <si>
    <t>1oiu</t>
  </si>
  <si>
    <t>1oi9</t>
  </si>
  <si>
    <t>1h1s</t>
  </si>
  <si>
    <t>MMPBSA-cal(kcal/mol)</t>
  </si>
  <si>
    <t>MMGBSA-cal(kcal/mol)</t>
  </si>
  <si>
    <t>18635-1</t>
  </si>
  <si>
    <t>18636-1</t>
  </si>
  <si>
    <t>18625-1</t>
  </si>
  <si>
    <t>18627-1</t>
  </si>
  <si>
    <t>18624-1</t>
  </si>
  <si>
    <t>18629-1</t>
  </si>
  <si>
    <t>18628-1</t>
  </si>
  <si>
    <t>18660-1</t>
  </si>
  <si>
    <t>18626-1</t>
  </si>
  <si>
    <t>18632-1</t>
  </si>
  <si>
    <t>18630-1</t>
  </si>
  <si>
    <t>18633-1</t>
  </si>
  <si>
    <t>18631-1</t>
  </si>
  <si>
    <t>18659-1</t>
  </si>
  <si>
    <t>17124-1</t>
  </si>
  <si>
    <t>18658-1</t>
  </si>
  <si>
    <t>18639-1</t>
  </si>
  <si>
    <t>18634-1</t>
  </si>
  <si>
    <t>18638-1</t>
  </si>
  <si>
    <t>18637-1</t>
  </si>
  <si>
    <t>18652-1</t>
  </si>
  <si>
    <t>1a</t>
  </si>
  <si>
    <t>3b</t>
  </si>
  <si>
    <t>7a</t>
  </si>
  <si>
    <t>3a</t>
  </si>
  <si>
    <t>1b</t>
  </si>
  <si>
    <t>1c</t>
  </si>
  <si>
    <t>6b</t>
  </si>
  <si>
    <t>6e</t>
  </si>
  <si>
    <t>6a</t>
  </si>
  <si>
    <t>8-8</t>
  </si>
  <si>
    <t>8-7</t>
  </si>
  <si>
    <t>8-6</t>
  </si>
  <si>
    <t>8-5</t>
  </si>
  <si>
    <t>8-4</t>
  </si>
  <si>
    <t>8-3</t>
  </si>
  <si>
    <t>8-2</t>
    <phoneticPr fontId="0" type="noConversion"/>
  </si>
  <si>
    <t>8-1</t>
    <phoneticPr fontId="0" type="noConversion"/>
  </si>
  <si>
    <t>Dif_cal-exp</t>
  </si>
  <si>
    <t>Median</t>
  </si>
  <si>
    <t>Counts</t>
  </si>
  <si>
    <t>Median-2</t>
  </si>
  <si>
    <t>Median-1</t>
  </si>
  <si>
    <t>Median+1</t>
  </si>
  <si>
    <t>Median+2</t>
  </si>
  <si>
    <t>(Containing median)</t>
  </si>
  <si>
    <t>(Containing median-1)</t>
  </si>
  <si>
    <t>(Containing median-2)</t>
  </si>
  <si>
    <t>(Containing median+1)</t>
  </si>
  <si>
    <t>(Containing meidan-2)</t>
  </si>
  <si>
    <t>squared residuals</t>
    <phoneticPr fontId="3" type="noConversion"/>
  </si>
  <si>
    <t>ligand_ID</t>
  </si>
  <si>
    <t>residues</t>
  </si>
  <si>
    <t>squared residues</t>
  </si>
  <si>
    <t>LHB-6</t>
  </si>
  <si>
    <t>LHB-7</t>
  </si>
  <si>
    <t>IC50(μM)</t>
  </si>
  <si>
    <t>LHB-2</t>
  </si>
  <si>
    <t>LHB-3</t>
  </si>
  <si>
    <t>LHB-4</t>
  </si>
  <si>
    <t>LHB-5</t>
  </si>
  <si>
    <t>LHB-8</t>
  </si>
  <si>
    <t>LHB-9</t>
  </si>
  <si>
    <t>LHB-10</t>
  </si>
  <si>
    <t>SD_Total_Energy</t>
  </si>
  <si>
    <t>SD_NoFit_Elec_Ene</t>
  </si>
  <si>
    <t>SD_Fit_Elec_Ene</t>
  </si>
  <si>
    <t xml:space="preserve">01_charge_0.2   </t>
  </si>
  <si>
    <t xml:space="preserve">02_charge_0.4   </t>
  </si>
  <si>
    <t xml:space="preserve">03_charge_0.6   </t>
  </si>
  <si>
    <t xml:space="preserve">04_charge_0.8   </t>
  </si>
  <si>
    <t xml:space="preserve">05_charge_1.0   </t>
  </si>
  <si>
    <t xml:space="preserve">06_vdw_0.2      </t>
  </si>
  <si>
    <t xml:space="preserve">07_vdw_0.4      </t>
  </si>
  <si>
    <t xml:space="preserve">08_vdw_0.6      </t>
  </si>
  <si>
    <t xml:space="preserve">09_vdw_0.8      </t>
  </si>
  <si>
    <t xml:space="preserve">00_reference    </t>
  </si>
  <si>
    <t xml:space="preserve">01_charge_0.1   </t>
  </si>
  <si>
    <t xml:space="preserve">02_charge_0.2   </t>
  </si>
  <si>
    <t xml:space="preserve">03_charge_0.3   </t>
  </si>
  <si>
    <t xml:space="preserve">04_charge_0.4   </t>
  </si>
  <si>
    <t xml:space="preserve">05_charge_0.5   </t>
  </si>
  <si>
    <t xml:space="preserve">06_charge_0.6   </t>
  </si>
  <si>
    <t xml:space="preserve">07_charge_0.7   </t>
  </si>
  <si>
    <t xml:space="preserve">08_charge_0.8   </t>
  </si>
  <si>
    <t xml:space="preserve">09_charge_0.9   </t>
  </si>
  <si>
    <t xml:space="preserve">10_charge_1.0   </t>
  </si>
  <si>
    <t xml:space="preserve">11_vdw_0.1      </t>
  </si>
  <si>
    <t xml:space="preserve">12_vdw_0.2      </t>
  </si>
  <si>
    <t xml:space="preserve">13_vdw_0.3      </t>
  </si>
  <si>
    <t xml:space="preserve">14_vdw_0.4      </t>
  </si>
  <si>
    <t xml:space="preserve">15_vdw_0.5      </t>
  </si>
  <si>
    <t xml:space="preserve">16_vdw_0.6      </t>
  </si>
  <si>
    <t xml:space="preserve">17_vdw_0.7      </t>
  </si>
  <si>
    <t xml:space="preserve">18_vdw_0.8      </t>
  </si>
  <si>
    <t xml:space="preserve">19_vdw_0.9      </t>
  </si>
  <si>
    <t xml:space="preserve">01_charge_0.05  </t>
  </si>
  <si>
    <t xml:space="preserve">02_charge_0.10  </t>
  </si>
  <si>
    <t xml:space="preserve">03_charge_0.15  </t>
  </si>
  <si>
    <t xml:space="preserve">04_charge_0.20  </t>
  </si>
  <si>
    <t xml:space="preserve">05_charge_0.25  </t>
  </si>
  <si>
    <t xml:space="preserve">06_charge_0.30  </t>
  </si>
  <si>
    <t xml:space="preserve">07_charge_0.35  </t>
  </si>
  <si>
    <t xml:space="preserve">08_charge_0.40  </t>
  </si>
  <si>
    <t xml:space="preserve">09_charge_0.45  </t>
  </si>
  <si>
    <t xml:space="preserve">10_charge_0.50  </t>
  </si>
  <si>
    <t xml:space="preserve">11_charge_0.55  </t>
  </si>
  <si>
    <t xml:space="preserve">12_charge_0.60  </t>
  </si>
  <si>
    <t xml:space="preserve">13_charge_0.65  </t>
  </si>
  <si>
    <t xml:space="preserve">14_charge_0.70  </t>
  </si>
  <si>
    <t xml:space="preserve">15_charge_0.75  </t>
  </si>
  <si>
    <t xml:space="preserve">16_charge_0.80  </t>
  </si>
  <si>
    <t xml:space="preserve">17_charge_0.85  </t>
  </si>
  <si>
    <t xml:space="preserve">18_charge_0.90  </t>
  </si>
  <si>
    <t xml:space="preserve">19_charge_0.95  </t>
  </si>
  <si>
    <t xml:space="preserve">20_charge_1.00  </t>
  </si>
  <si>
    <t xml:space="preserve">21_vdw_0.05     </t>
  </si>
  <si>
    <t xml:space="preserve">22_vdw_0.10     </t>
  </si>
  <si>
    <t xml:space="preserve">23_vdw_0.15     </t>
  </si>
  <si>
    <t xml:space="preserve">24_vdw_0.20     </t>
  </si>
  <si>
    <t xml:space="preserve">25_vdw_0.25     </t>
  </si>
  <si>
    <t xml:space="preserve">26_vdw_0.30     </t>
  </si>
  <si>
    <t xml:space="preserve">27_vdw_0.35     </t>
  </si>
  <si>
    <t xml:space="preserve">28_vdw_0.40     </t>
  </si>
  <si>
    <t xml:space="preserve">29_vdw_0.45     </t>
  </si>
  <si>
    <t xml:space="preserve">30_vdw_0.50     </t>
  </si>
  <si>
    <t xml:space="preserve">31_vdw_0.55     </t>
  </si>
  <si>
    <t xml:space="preserve">32_vdw_0.60     </t>
  </si>
  <si>
    <t xml:space="preserve">33_vdw_0.65     </t>
  </si>
  <si>
    <t xml:space="preserve">34_vdw_0.70     </t>
  </si>
  <si>
    <t xml:space="preserve">35_vdw_0.75     </t>
  </si>
  <si>
    <t xml:space="preserve">36_vdw_0.80     </t>
  </si>
  <si>
    <t xml:space="preserve">37_vdw_0.85     </t>
  </si>
  <si>
    <t xml:space="preserve">38_vdw_0.90     </t>
  </si>
  <si>
    <t xml:space="preserve">39_vdw_1.00     </t>
  </si>
  <si>
    <t>10_vdw_1.0</t>
    <phoneticPr fontId="3" type="noConversion"/>
  </si>
  <si>
    <t>20_vdw_1.0</t>
    <phoneticPr fontId="3" type="noConversion"/>
  </si>
  <si>
    <t xml:space="preserve">00_reference  </t>
  </si>
  <si>
    <t xml:space="preserve">01_charge_0.2 </t>
  </si>
  <si>
    <t xml:space="preserve">02_charge_0.4 </t>
  </si>
  <si>
    <t xml:space="preserve">03_charge_0.6 </t>
  </si>
  <si>
    <t xml:space="preserve">04_charge_0.8 </t>
  </si>
  <si>
    <t xml:space="preserve">05_charge_1.0 </t>
  </si>
  <si>
    <t xml:space="preserve">06_vdw_0.2    </t>
  </si>
  <si>
    <t xml:space="preserve">07_vdw_0.4    </t>
  </si>
  <si>
    <t xml:space="preserve">08_vdw_0.6    </t>
  </si>
  <si>
    <t xml:space="preserve">09_vdw_0.8    </t>
  </si>
  <si>
    <t xml:space="preserve">10_vdw_1.0    </t>
  </si>
  <si>
    <t xml:space="preserve">01_charge_0.1 </t>
  </si>
  <si>
    <t xml:space="preserve">02_charge_0.2 </t>
  </si>
  <si>
    <t xml:space="preserve">03_charge_0.3 </t>
  </si>
  <si>
    <t xml:space="preserve">04_charge_0.4 </t>
  </si>
  <si>
    <t xml:space="preserve">05_charge_0.5 </t>
  </si>
  <si>
    <t xml:space="preserve">06_charge_0.6 </t>
  </si>
  <si>
    <t xml:space="preserve">07_charge_0.7 </t>
  </si>
  <si>
    <t xml:space="preserve">08_charge_0.8 </t>
  </si>
  <si>
    <t xml:space="preserve">09_charge_0.9 </t>
  </si>
  <si>
    <t xml:space="preserve">10_charge_1.0 </t>
  </si>
  <si>
    <t xml:space="preserve">11_vdw_0.1    </t>
  </si>
  <si>
    <t xml:space="preserve">12_vdw_0.2    </t>
  </si>
  <si>
    <t xml:space="preserve">13_vdw_0.3    </t>
  </si>
  <si>
    <t xml:space="preserve">14_vdw_0.4    </t>
  </si>
  <si>
    <t xml:space="preserve">15_vdw_0.5    </t>
  </si>
  <si>
    <t xml:space="preserve">16_vdw_0.6    </t>
  </si>
  <si>
    <t xml:space="preserve">17_vdw_0.7    </t>
  </si>
  <si>
    <t xml:space="preserve">18_vdw_0.8    </t>
  </si>
  <si>
    <t xml:space="preserve">19_vdw_0.9    </t>
  </si>
  <si>
    <t xml:space="preserve">20_vdw_1.0     </t>
  </si>
  <si>
    <t>01_charge_0.05</t>
  </si>
  <si>
    <t>02_charge_0.10</t>
  </si>
  <si>
    <t>03_charge_0.15</t>
  </si>
  <si>
    <t>04_charge_0.20</t>
  </si>
  <si>
    <t>05_charge_0.25</t>
  </si>
  <si>
    <t>06_charge_0.30</t>
  </si>
  <si>
    <t>07_charge_0.35</t>
  </si>
  <si>
    <t>08_charge_0.40</t>
  </si>
  <si>
    <t>09_charge_0.45</t>
  </si>
  <si>
    <t>10_charge_0.50</t>
  </si>
  <si>
    <t>11_charge_0.55</t>
  </si>
  <si>
    <t>12_charge_0.60</t>
  </si>
  <si>
    <t>13_charge_0.65</t>
  </si>
  <si>
    <t>14_charge_0.70</t>
  </si>
  <si>
    <t>15_charge_0.75</t>
  </si>
  <si>
    <t>16_charge_0.80</t>
  </si>
  <si>
    <t>17_charge_0.85</t>
  </si>
  <si>
    <t>18_charge_0.90</t>
  </si>
  <si>
    <t>19_charge_0.95</t>
  </si>
  <si>
    <t>20_charge_1.00</t>
  </si>
  <si>
    <t xml:space="preserve">21_vdw_0.05   </t>
  </si>
  <si>
    <t xml:space="preserve">22_vdw_0.10   </t>
  </si>
  <si>
    <t xml:space="preserve">23_vdw_0.15   </t>
  </si>
  <si>
    <t xml:space="preserve">24_vdw_0.20   </t>
  </si>
  <si>
    <t xml:space="preserve">25_vdw_0.25   </t>
  </si>
  <si>
    <t xml:space="preserve">26_vdw_0.30   </t>
  </si>
  <si>
    <t xml:space="preserve">27_vdw_0.35   </t>
  </si>
  <si>
    <t xml:space="preserve">28_vdw_0.40   </t>
  </si>
  <si>
    <t xml:space="preserve">29_vdw_0.45   </t>
  </si>
  <si>
    <t xml:space="preserve">30_vdw_0.50   </t>
  </si>
  <si>
    <t xml:space="preserve">31_vdw_0.55   </t>
  </si>
  <si>
    <t xml:space="preserve">32_vdw_0.60   </t>
  </si>
  <si>
    <t xml:space="preserve">33_vdw_0.65   </t>
  </si>
  <si>
    <t xml:space="preserve">34_vdw_0.70   </t>
  </si>
  <si>
    <t xml:space="preserve">35_vdw_0.75   </t>
  </si>
  <si>
    <t xml:space="preserve">36_vdw_0.80   </t>
  </si>
  <si>
    <t xml:space="preserve">37_vdw_0.85   </t>
  </si>
  <si>
    <t xml:space="preserve">38_vdw_0.90   </t>
  </si>
  <si>
    <t xml:space="preserve">10_vdw_1.0      </t>
  </si>
  <si>
    <t xml:space="preserve">20_vdw_1.0      </t>
  </si>
  <si>
    <t>complex_ene</t>
    <phoneticPr fontId="3" type="noConversion"/>
  </si>
  <si>
    <t>ligand_ene</t>
    <phoneticPr fontId="3" type="noConversion"/>
  </si>
  <si>
    <t>FEP_ene</t>
    <phoneticPr fontId="3" type="noConversion"/>
  </si>
  <si>
    <t>39_vdw_1.00</t>
    <phoneticPr fontId="3" type="noConversion"/>
  </si>
  <si>
    <t xml:space="preserve">03_charge_0.6   </t>
    <phoneticPr fontId="3" type="noConversion"/>
  </si>
  <si>
    <t>1oiy</t>
    <phoneticPr fontId="3" type="noConversion"/>
  </si>
  <si>
    <t>ene_corrected_by_linear_regression(kcal/mol)</t>
    <phoneticPr fontId="3" type="noConversion"/>
  </si>
  <si>
    <t>window_name</t>
    <phoneticPr fontId="3" type="noConversion"/>
  </si>
  <si>
    <t>λ_charge</t>
    <phoneticPr fontId="3" type="noConversion"/>
  </si>
  <si>
    <t>λ_vdw</t>
    <phoneticPr fontId="3" type="noConversion"/>
  </si>
  <si>
    <t>results for 39 λ</t>
    <phoneticPr fontId="3" type="noConversion"/>
  </si>
  <si>
    <t>results for 20 λ</t>
    <phoneticPr fontId="3" type="noConversion"/>
  </si>
  <si>
    <t>results for 10 λ</t>
    <phoneticPr fontId="3" type="noConversion"/>
  </si>
  <si>
    <t xml:space="preserve">00_reference </t>
    <phoneticPr fontId="3" type="noConversion"/>
  </si>
  <si>
    <t xml:space="preserve">01_charge_0.2 </t>
    <phoneticPr fontId="3" type="noConversion"/>
  </si>
  <si>
    <t xml:space="preserve">02_charge_0.4 </t>
    <phoneticPr fontId="3" type="noConversion"/>
  </si>
  <si>
    <t xml:space="preserve">       </t>
  </si>
  <si>
    <t>results for 10 λ (20 ns)</t>
    <phoneticPr fontId="3" type="noConversion"/>
  </si>
  <si>
    <t xml:space="preserve">         </t>
  </si>
  <si>
    <t>LHB-1</t>
    <phoneticPr fontId="3" type="noConversion"/>
  </si>
  <si>
    <t>Table 1</t>
    <phoneticPr fontId="3" type="noConversion"/>
  </si>
  <si>
    <t>JNK1</t>
    <phoneticPr fontId="3" type="noConversion"/>
  </si>
  <si>
    <t>Name</t>
    <phoneticPr fontId="3" type="noConversion"/>
  </si>
  <si>
    <t>Table 2</t>
    <phoneticPr fontId="3" type="noConversion"/>
  </si>
  <si>
    <t>CDK2</t>
    <phoneticPr fontId="3" type="noConversion"/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</si>
  <si>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</si>
  <si>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</si>
  <si>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</si>
  <si>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</si>
  <si>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</si>
  <si>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</si>
  <si>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</si>
  <si>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</si>
  <si>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Thrombin</t>
    <phoneticPr fontId="3" type="noConversion"/>
  </si>
  <si>
    <t>TYK2</t>
    <phoneticPr fontId="3" type="noConversion"/>
  </si>
  <si>
    <t>PDE4</t>
    <phoneticPr fontId="3" type="noConversion"/>
  </si>
  <si>
    <t>PDE5</t>
    <phoneticPr fontId="3" type="noConversion"/>
  </si>
  <si>
    <t>PDE9</t>
    <phoneticPr fontId="3" type="noConversion"/>
  </si>
  <si>
    <t>PDE10</t>
    <phoneticPr fontId="3" type="noConversion"/>
  </si>
  <si>
    <t>CDK2-30</t>
    <phoneticPr fontId="3" type="noConversion"/>
  </si>
  <si>
    <t>CDK2-28</t>
    <phoneticPr fontId="3" type="noConversion"/>
  </si>
  <si>
    <t>Table 11</t>
  </si>
  <si>
    <t>CDK2-1oiy</t>
    <phoneticPr fontId="3" type="noConversion"/>
  </si>
  <si>
    <t>The detailed results of the ligands targeting JNK1, including the experimental results, GA-FEP/ABFE results, MM/PBSA results, MM/GBSA results, and other statistical results.</t>
    <phoneticPr fontId="3" type="noConversion"/>
  </si>
  <si>
    <t>The detailed results of the ligands targeting CDK2, including the experimental results, GA-FEP/ABFE results, MM/PBSA results, MM/GBSA results, and other statistical results.</t>
    <phoneticPr fontId="3" type="noConversion"/>
  </si>
  <si>
    <t>The detailed results of the ligands targeting Thrombin, including the experimental results, GA-FEP/ABFE results, MM/PBSA results, MM/GBSA results, and other statistical results.</t>
    <phoneticPr fontId="3" type="noConversion"/>
  </si>
  <si>
    <t>The detailed results of the ligands targeting TYK2, including the experimental results, GA-FEP/ABFE results, MM/PBSA results, MM/GBSA results, and other statistical results.</t>
    <phoneticPr fontId="3" type="noConversion"/>
  </si>
  <si>
    <t>The detailed results of the ligands targeting PDE4, including the experimental results, GA-FEP/ABFE results, MM/PBSA results, MM/GBSA results, and other statistical results.</t>
    <phoneticPr fontId="3" type="noConversion"/>
  </si>
  <si>
    <t>The detailed results of the ligands targeting PDE5, including the experimental results, GA-FEP/ABFE results, MM/PBSA results, MM/GBSA results, and other statistical results.</t>
    <phoneticPr fontId="3" type="noConversion"/>
  </si>
  <si>
    <t>The detailed results of the ligands targeting PDE9, including the experimental results, GA-FEP/ABFE results, MM/PBSA results, MM/GBSA results, and other statistical results.</t>
    <phoneticPr fontId="3" type="noConversion"/>
  </si>
  <si>
    <t>The detailed results of the lead optimization of PDE10 inhibitors starting from LHB-1. The results include the experimental results, GA-FEP/ABFE results, and other statistical results.</t>
    <phoneticPr fontId="3" type="noConversion"/>
  </si>
  <si>
    <t>Title</t>
    <phoneticPr fontId="3" type="noConversion"/>
  </si>
  <si>
    <t>The GA-FEP/ABFE calculation results when using different numbers of λ windows and prolonged simulation time. The used ligand is ligand 30 targeting CDK2.</t>
    <phoneticPr fontId="3" type="noConversion"/>
  </si>
  <si>
    <r>
      <t>The GA-FEP/ABFE calculation results when using different numbers of λ windows and prolonged simulation time. The used ligand is ligand 28 targeting CDK2.</t>
    </r>
    <r>
      <rPr>
        <sz val="11"/>
        <color theme="1"/>
        <rFont val="宋体"/>
        <family val="2"/>
        <scheme val="minor"/>
      </rPr>
      <t/>
    </r>
    <phoneticPr fontId="3" type="noConversion"/>
  </si>
  <si>
    <r>
      <t>The GA-FEP/ABFE calculation results when using different numbers of λ windows and prolonged simulation time. The used ligand is ligand 1oiy targeting CDK2.</t>
    </r>
    <r>
      <rPr>
        <sz val="11"/>
        <color theme="1"/>
        <rFont val="宋体"/>
        <family val="2"/>
        <scheme val="minor"/>
      </rPr>
      <t/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</si>
</sst>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_ "/>
    <numFmt numFmtId="178" formatCode="0.000000_ "/>
  </numFmts>
  <fonts count="8">
    <font>
      <sz val="11"/>
      <color theme="1"/>
      <name val="宋体"/>
      <family val="2"/>
      <scheme val="minor"/>
    </font>
    <font>
      <sz val="10"/>
      <color theme="1"/>
      <name val="Liberation Sans"/>
    </font>
    <font>
      <sz val="11"/>
      <color rgb="FF0061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NumberFormat="1"/>
    <xf numFmtId="176" fontId="0" fillId="0" borderId="0" xfId="0" applyNumberFormat="1"/>
    <xf numFmtId="0" fontId="0" fillId="0" borderId="0" xfId="0" applyFill="1"/>
    <xf numFmtId="0" fontId="2" fillId="2" borderId="0" xfId="1"/>
    <xf numFmtId="0" fontId="2" fillId="2" borderId="0" xfId="1" applyNumberFormat="1"/>
    <xf numFmtId="177" fontId="0" fillId="0" borderId="0" xfId="0" applyNumberFormat="1"/>
    <xf numFmtId="177" fontId="0" fillId="0" borderId="0" xfId="0" applyNumberFormat="1" applyAlignment="1">
      <alignment vertical="center"/>
    </xf>
    <xf numFmtId="177" fontId="4" fillId="0" borderId="0" xfId="0" applyNumberFormat="1" applyFont="1"/>
    <xf numFmtId="177" fontId="2" fillId="2" borderId="0" xfId="1" applyNumberFormat="1"/>
    <xf numFmtId="177" fontId="4" fillId="0" borderId="0" xfId="0" applyNumberFormat="1" applyFont="1" applyFill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vertical="center"/>
    </xf>
    <xf numFmtId="177" fontId="1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ill="1"/>
    <xf numFmtId="0" fontId="1" fillId="0" borderId="0" xfId="0" applyNumberFormat="1" applyFont="1" applyFill="1" applyAlignment="1">
      <alignment horizontal="center" vertical="center" wrapText="1"/>
    </xf>
    <xf numFmtId="0" fontId="0" fillId="0" borderId="0" xfId="0" applyNumberFormat="1" applyFill="1"/>
    <xf numFmtId="0" fontId="2" fillId="2" borderId="0" xfId="1" applyNumberFormat="1" applyAlignment="1">
      <alignment horizontal="center"/>
    </xf>
    <xf numFmtId="0" fontId="2" fillId="2" borderId="0" xfId="1" applyNumberFormat="1" applyAlignment="1">
      <alignment horizontal="right"/>
    </xf>
    <xf numFmtId="177" fontId="0" fillId="0" borderId="0" xfId="0" applyNumberFormat="1" applyAlignment="1">
      <alignment horizontal="right"/>
    </xf>
    <xf numFmtId="0" fontId="5" fillId="0" borderId="0" xfId="0" applyFont="1"/>
    <xf numFmtId="0" fontId="5" fillId="0" borderId="0" xfId="0" applyFont="1" applyAlignment="1">
      <alignment vertical="center"/>
    </xf>
    <xf numFmtId="178" fontId="5" fillId="0" borderId="0" xfId="0" applyNumberFormat="1" applyFont="1"/>
    <xf numFmtId="177" fontId="5" fillId="0" borderId="0" xfId="0" applyNumberFormat="1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/>
    <xf numFmtId="0" fontId="5" fillId="0" borderId="1" xfId="0" applyFont="1" applyBorder="1" applyAlignment="1">
      <alignment wrapText="1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Style" Target="style10.xml"/><Relationship Id="rId2" Type="http://schemas.microsoft.com/office/2011/relationships/chartColorStyle" Target="colors10.xml"/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Style" Target="style11.xml"/><Relationship Id="rId2" Type="http://schemas.microsoft.com/office/2011/relationships/chartColorStyle" Target="colors11.xml"/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Style" Target="style12.xml"/><Relationship Id="rId2" Type="http://schemas.microsoft.com/office/2011/relationships/chartColorStyle" Target="colors12.xml"/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3" Type="http://schemas.microsoft.com/office/2011/relationships/chartStyle" Target="style13.xml"/><Relationship Id="rId2" Type="http://schemas.microsoft.com/office/2011/relationships/chartColorStyle" Target="colors13.xml"/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3" Type="http://schemas.microsoft.com/office/2011/relationships/chartStyle" Target="style14.xml"/><Relationship Id="rId2" Type="http://schemas.microsoft.com/office/2011/relationships/chartColorStyle" Target="colors14.xml"/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3" Type="http://schemas.microsoft.com/office/2011/relationships/chartStyle" Target="style15.xml"/><Relationship Id="rId2" Type="http://schemas.microsoft.com/office/2011/relationships/chartColorStyle" Target="colors15.xml"/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3" Type="http://schemas.microsoft.com/office/2011/relationships/chartStyle" Target="style16.xml"/><Relationship Id="rId2" Type="http://schemas.microsoft.com/office/2011/relationships/chartColorStyle" Target="colors16.xml"/><Relationship Id="rId1" Type="http://schemas.openxmlformats.org/officeDocument/2006/relationships/themeOverride" Target="../theme/themeOverride15.xml"/></Relationships>
</file>

<file path=xl/charts/_rels/chart18.xml.rels><?xml version="1.0" encoding="UTF-8" standalone="yes"?>
<Relationships xmlns="http://schemas.openxmlformats.org/package/2006/relationships"><Relationship Id="rId3" Type="http://schemas.microsoft.com/office/2011/relationships/chartStyle" Target="style17.xml"/><Relationship Id="rId2" Type="http://schemas.microsoft.com/office/2011/relationships/chartColorStyle" Target="colors17.xml"/><Relationship Id="rId1" Type="http://schemas.openxmlformats.org/officeDocument/2006/relationships/themeOverride" Target="../theme/themeOverride16.xml"/></Relationships>
</file>

<file path=xl/charts/_rels/chart19.xml.rels><?xml version="1.0" encoding="UTF-8" standalone="yes"?>
<Relationships xmlns="http://schemas.openxmlformats.org/package/2006/relationships"><Relationship Id="rId3" Type="http://schemas.microsoft.com/office/2011/relationships/chartStyle" Target="style18.xml"/><Relationship Id="rId2" Type="http://schemas.microsoft.com/office/2011/relationships/chartColorStyle" Target="colors18.xml"/><Relationship Id="rId1" Type="http://schemas.openxmlformats.org/officeDocument/2006/relationships/themeOverride" Target="../theme/themeOverride17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3" Type="http://schemas.microsoft.com/office/2011/relationships/chartStyle" Target="style19.xml"/><Relationship Id="rId2" Type="http://schemas.microsoft.com/office/2011/relationships/chartColorStyle" Target="colors19.xml"/><Relationship Id="rId1" Type="http://schemas.openxmlformats.org/officeDocument/2006/relationships/themeOverride" Target="../theme/themeOverride18.xml"/></Relationships>
</file>

<file path=xl/charts/_rels/chart21.xml.rels><?xml version="1.0" encoding="UTF-8" standalone="yes"?>
<Relationships xmlns="http://schemas.openxmlformats.org/package/2006/relationships"><Relationship Id="rId3" Type="http://schemas.microsoft.com/office/2011/relationships/chartStyle" Target="style20.xml"/><Relationship Id="rId2" Type="http://schemas.microsoft.com/office/2011/relationships/chartColorStyle" Target="colors20.xml"/><Relationship Id="rId1" Type="http://schemas.openxmlformats.org/officeDocument/2006/relationships/themeOverride" Target="../theme/themeOverride19.xml"/></Relationships>
</file>

<file path=xl/charts/_rels/chart22.xml.rels><?xml version="1.0" encoding="UTF-8" standalone="yes"?>
<Relationships xmlns="http://schemas.openxmlformats.org/package/2006/relationships"><Relationship Id="rId3" Type="http://schemas.microsoft.com/office/2011/relationships/chartStyle" Target="style21.xml"/><Relationship Id="rId2" Type="http://schemas.microsoft.com/office/2011/relationships/chartColorStyle" Target="colors21.xml"/><Relationship Id="rId1" Type="http://schemas.openxmlformats.org/officeDocument/2006/relationships/themeOverride" Target="../theme/themeOverride20.xml"/></Relationships>
</file>

<file path=xl/charts/_rels/chart23.xml.rels><?xml version="1.0" encoding="UTF-8" standalone="yes"?>
<Relationships xmlns="http://schemas.openxmlformats.org/package/2006/relationships"><Relationship Id="rId3" Type="http://schemas.microsoft.com/office/2011/relationships/chartStyle" Target="style22.xml"/><Relationship Id="rId2" Type="http://schemas.microsoft.com/office/2011/relationships/chartColorStyle" Target="colors22.xml"/><Relationship Id="rId1" Type="http://schemas.openxmlformats.org/officeDocument/2006/relationships/themeOverride" Target="../theme/themeOverrid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Style" Target="style4.xml"/><Relationship Id="rId2" Type="http://schemas.microsoft.com/office/2011/relationships/chartColorStyle" Target="colors4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Style" Target="style6.xml"/><Relationship Id="rId2" Type="http://schemas.microsoft.com/office/2011/relationships/chartColorStyle" Target="colors6.xml"/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Style" Target="style7.xml"/><Relationship Id="rId2" Type="http://schemas.microsoft.com/office/2011/relationships/chartColorStyle" Target="colors7.xml"/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Style" Target="style8.xml"/><Relationship Id="rId2" Type="http://schemas.microsoft.com/office/2011/relationships/chartColorStyle" Target="colors8.xml"/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Style" Target="style9.xml"/><Relationship Id="rId2" Type="http://schemas.microsoft.com/office/2011/relationships/chartColorStyle" Target="colors9.xml"/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altLang="zh-CN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Correlation between MMPBSA and experimental energy</a:t>
            </a:r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'JNK1'!$J$1</c:f>
              <c:strCache>
                <c:ptCount val="1"/>
                <c:pt idx="0">
                  <c:v>MMPBSA-cal(kcal/mol)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079736093042198"/>
                  <c:y val="-0.10679033399179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'JNK1'!$B$2:$B$22</c:f>
              <c:numCache>
                <c:formatCode>0.00_ </c:formatCode>
                <c:ptCount val="21"/>
                <c:pt idx="0">
                  <c:v>-8.6737699999999993</c:v>
                </c:pt>
                <c:pt idx="1">
                  <c:v>-9.9932300000000005</c:v>
                </c:pt>
                <c:pt idx="2">
                  <c:v>-8.7025900000000007</c:v>
                </c:pt>
                <c:pt idx="3">
                  <c:v>-8.7025900000000007</c:v>
                </c:pt>
                <c:pt idx="4">
                  <c:v>-8.4933700000000005</c:v>
                </c:pt>
                <c:pt idx="5">
                  <c:v>-9.1743000000000006</c:v>
                </c:pt>
                <c:pt idx="6">
                  <c:v>-7.2860699999999996</c:v>
                </c:pt>
                <c:pt idx="7">
                  <c:v>-9.6759199999999996</c:v>
                </c:pt>
                <c:pt idx="8">
                  <c:v>-8.1050000000000004</c:v>
                </c:pt>
                <c:pt idx="9">
                  <c:v>-9.4652200000000004</c:v>
                </c:pt>
                <c:pt idx="10">
                  <c:v>-10.1417</c:v>
                </c:pt>
                <c:pt idx="11">
                  <c:v>-10.0931</c:v>
                </c:pt>
                <c:pt idx="12">
                  <c:v>-10.683</c:v>
                </c:pt>
                <c:pt idx="13">
                  <c:v>-8.4831000000000003</c:v>
                </c:pt>
                <c:pt idx="14">
                  <c:v>-9.6994000000000007</c:v>
                </c:pt>
                <c:pt idx="15">
                  <c:v>-9.14236</c:v>
                </c:pt>
                <c:pt idx="16">
                  <c:v>-9.7407199999999996</c:v>
                </c:pt>
                <c:pt idx="17">
                  <c:v>-9.4138199999999994</c:v>
                </c:pt>
                <c:pt idx="18">
                  <c:v>-9.08324</c:v>
                </c:pt>
                <c:pt idx="19">
                  <c:v>-7.5123199999999999</c:v>
                </c:pt>
                <c:pt idx="20">
                  <c:v>-8.8725400000000008</c:v>
                </c:pt>
              </c:numCache>
            </c:numRef>
          </c:xVal>
          <c:yVal>
            <c:numRef>
              <c:f>'JNK1'!$J$2:$J$22</c:f>
              <c:numCache>
                <c:formatCode>0.00_ </c:formatCode>
                <c:ptCount val="21"/>
                <c:pt idx="0">
                  <c:v>-36.49</c:v>
                </c:pt>
                <c:pt idx="1">
                  <c:v>-42.09</c:v>
                </c:pt>
                <c:pt idx="2">
                  <c:v>-32.68</c:v>
                </c:pt>
                <c:pt idx="3">
                  <c:v>-35.78</c:v>
                </c:pt>
                <c:pt idx="4">
                  <c:v>-32.76</c:v>
                </c:pt>
                <c:pt idx="5">
                  <c:v>-38.619999999999997</c:v>
                </c:pt>
                <c:pt idx="6">
                  <c:v>-37.85</c:v>
                </c:pt>
                <c:pt idx="7">
                  <c:v>-40.94</c:v>
                </c:pt>
                <c:pt idx="8">
                  <c:v>-35.880000000000003</c:v>
                </c:pt>
                <c:pt idx="9">
                  <c:v>-43.2</c:v>
                </c:pt>
                <c:pt idx="10">
                  <c:v>-41.83</c:v>
                </c:pt>
                <c:pt idx="11">
                  <c:v>-41.49</c:v>
                </c:pt>
                <c:pt idx="12">
                  <c:v>-47.6</c:v>
                </c:pt>
                <c:pt idx="13">
                  <c:v>-35.409999999999997</c:v>
                </c:pt>
                <c:pt idx="14">
                  <c:v>-35.36</c:v>
                </c:pt>
                <c:pt idx="15">
                  <c:v>-37.869999999999997</c:v>
                </c:pt>
                <c:pt idx="16">
                  <c:v>-42.69</c:v>
                </c:pt>
                <c:pt idx="17">
                  <c:v>-36.81</c:v>
                </c:pt>
                <c:pt idx="18">
                  <c:v>-36.299999999999997</c:v>
                </c:pt>
                <c:pt idx="19">
                  <c:v>-36.04</c:v>
                </c:pt>
                <c:pt idx="20">
                  <c:v>-35.99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22592"/>
        <c:axId val="121902592"/>
      </c:scatterChart>
      <c:valAx>
        <c:axId val="121822592"/>
        <c:scaling>
          <c:orientation val="minMax"/>
          <c:max val="-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Experimental (kcal/mol)</a:t>
                </a:r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02592"/>
        <c:crosses val="autoZero"/>
        <c:crossBetween val="midCat"/>
      </c:valAx>
      <c:valAx>
        <c:axId val="121902592"/>
        <c:scaling>
          <c:orientation val="minMax"/>
          <c:max val="-2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MMPBSA Calculated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22592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Correlation between MMPBSA and experimental energy</a:t>
            </a:r>
            <a:endParaRPr lang="en-US" altLang="zh-CN"/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'TYK2'!$J$1</c:f>
              <c:strCache>
                <c:ptCount val="1"/>
                <c:pt idx="0">
                  <c:v>MMPBSA-cal(kcal/mol)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31756359335331"/>
                  <c:y val="-0.27774516100002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'TYK2'!$B$2:$B$17</c:f>
              <c:numCache>
                <c:formatCode>0.00_ </c:formatCode>
                <c:ptCount val="16"/>
                <c:pt idx="0">
                  <c:v>-9.5399999999999991</c:v>
                </c:pt>
                <c:pt idx="1">
                  <c:v>-10.94</c:v>
                </c:pt>
                <c:pt idx="2">
                  <c:v>-8.98</c:v>
                </c:pt>
                <c:pt idx="3">
                  <c:v>-11.31</c:v>
                </c:pt>
                <c:pt idx="4">
                  <c:v>-9.2100000000000009</c:v>
                </c:pt>
                <c:pt idx="5">
                  <c:v>-8.26</c:v>
                </c:pt>
                <c:pt idx="6">
                  <c:v>-10.98</c:v>
                </c:pt>
                <c:pt idx="7">
                  <c:v>-7.75</c:v>
                </c:pt>
                <c:pt idx="8">
                  <c:v>-9.56</c:v>
                </c:pt>
                <c:pt idx="9">
                  <c:v>-7.42</c:v>
                </c:pt>
                <c:pt idx="10">
                  <c:v>-11.28</c:v>
                </c:pt>
                <c:pt idx="11">
                  <c:v>-9</c:v>
                </c:pt>
                <c:pt idx="12">
                  <c:v>-9.6999999999999993</c:v>
                </c:pt>
                <c:pt idx="13">
                  <c:v>-11.7</c:v>
                </c:pt>
                <c:pt idx="14">
                  <c:v>-9.7799999999999994</c:v>
                </c:pt>
                <c:pt idx="15">
                  <c:v>-10.53</c:v>
                </c:pt>
              </c:numCache>
            </c:numRef>
          </c:xVal>
          <c:yVal>
            <c:numRef>
              <c:f>'TYK2'!$J$2:$J$17</c:f>
              <c:numCache>
                <c:formatCode>0.00_ </c:formatCode>
                <c:ptCount val="16"/>
                <c:pt idx="0">
                  <c:v>-29.68</c:v>
                </c:pt>
                <c:pt idx="1">
                  <c:v>-34.520000000000003</c:v>
                </c:pt>
                <c:pt idx="2">
                  <c:v>-27.44</c:v>
                </c:pt>
                <c:pt idx="3">
                  <c:v>-32.020000000000003</c:v>
                </c:pt>
                <c:pt idx="4">
                  <c:v>-30.83</c:v>
                </c:pt>
                <c:pt idx="5">
                  <c:v>-27.54</c:v>
                </c:pt>
                <c:pt idx="6">
                  <c:v>-31.57</c:v>
                </c:pt>
                <c:pt idx="7">
                  <c:v>-33.97</c:v>
                </c:pt>
                <c:pt idx="8">
                  <c:v>-32.229999999999997</c:v>
                </c:pt>
                <c:pt idx="9">
                  <c:v>-29.37</c:v>
                </c:pt>
                <c:pt idx="10">
                  <c:v>-31.59</c:v>
                </c:pt>
                <c:pt idx="11">
                  <c:v>-27.54</c:v>
                </c:pt>
                <c:pt idx="12">
                  <c:v>-25.75</c:v>
                </c:pt>
                <c:pt idx="13">
                  <c:v>-29.95</c:v>
                </c:pt>
                <c:pt idx="14">
                  <c:v>-30.53</c:v>
                </c:pt>
                <c:pt idx="15">
                  <c:v>-33.01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47040"/>
        <c:axId val="127448960"/>
      </c:scatterChart>
      <c:valAx>
        <c:axId val="127447040"/>
        <c:scaling>
          <c:orientation val="minMax"/>
          <c:max val="-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Experimental (kcal/mol)</a:t>
                </a:r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448960"/>
        <c:crosses val="autoZero"/>
        <c:crossBetween val="midCat"/>
      </c:valAx>
      <c:valAx>
        <c:axId val="127448960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MMPBSA Calculated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447040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Correlation between FEP and experimental energy</a:t>
            </a:r>
            <a:endParaRPr lang="en-US" altLang="zh-CN"/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'TYK2'!$C$1</c:f>
              <c:strCache>
                <c:ptCount val="1"/>
                <c:pt idx="0">
                  <c:v>FEP-cal(kcal/mol)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41456021179976"/>
                  <c:y val="-0.15504604679551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'TYK2'!$B$2:$B$17</c:f>
              <c:numCache>
                <c:formatCode>0.00_ </c:formatCode>
                <c:ptCount val="16"/>
                <c:pt idx="0">
                  <c:v>-9.5399999999999991</c:v>
                </c:pt>
                <c:pt idx="1">
                  <c:v>-10.94</c:v>
                </c:pt>
                <c:pt idx="2">
                  <c:v>-8.98</c:v>
                </c:pt>
                <c:pt idx="3">
                  <c:v>-11.31</c:v>
                </c:pt>
                <c:pt idx="4">
                  <c:v>-9.2100000000000009</c:v>
                </c:pt>
                <c:pt idx="5">
                  <c:v>-8.26</c:v>
                </c:pt>
                <c:pt idx="6">
                  <c:v>-10.98</c:v>
                </c:pt>
                <c:pt idx="7">
                  <c:v>-7.75</c:v>
                </c:pt>
                <c:pt idx="8">
                  <c:v>-9.56</c:v>
                </c:pt>
                <c:pt idx="9">
                  <c:v>-7.42</c:v>
                </c:pt>
                <c:pt idx="10">
                  <c:v>-11.28</c:v>
                </c:pt>
                <c:pt idx="11">
                  <c:v>-9</c:v>
                </c:pt>
                <c:pt idx="12">
                  <c:v>-9.6999999999999993</c:v>
                </c:pt>
                <c:pt idx="13">
                  <c:v>-11.7</c:v>
                </c:pt>
                <c:pt idx="14">
                  <c:v>-9.7799999999999994</c:v>
                </c:pt>
                <c:pt idx="15">
                  <c:v>-10.53</c:v>
                </c:pt>
              </c:numCache>
            </c:numRef>
          </c:xVal>
          <c:yVal>
            <c:numRef>
              <c:f>'TYK2'!$C$2:$C$17</c:f>
              <c:numCache>
                <c:formatCode>0.00_ </c:formatCode>
                <c:ptCount val="16"/>
                <c:pt idx="0">
                  <c:v>-5.8929999999999998</c:v>
                </c:pt>
                <c:pt idx="1">
                  <c:v>-7.7770000000000001</c:v>
                </c:pt>
                <c:pt idx="2">
                  <c:v>-7.5069999999999997</c:v>
                </c:pt>
                <c:pt idx="3">
                  <c:v>-6.5140000000000002</c:v>
                </c:pt>
                <c:pt idx="4">
                  <c:v>-6.1980000000000004</c:v>
                </c:pt>
                <c:pt idx="5">
                  <c:v>-4.8460000000000001</c:v>
                </c:pt>
                <c:pt idx="6">
                  <c:v>-6.0529999999999999</c:v>
                </c:pt>
                <c:pt idx="7">
                  <c:v>-2.7</c:v>
                </c:pt>
                <c:pt idx="8">
                  <c:v>-8.32</c:v>
                </c:pt>
                <c:pt idx="9">
                  <c:v>-2.2229999999999999</c:v>
                </c:pt>
                <c:pt idx="10">
                  <c:v>-7.2619999999999996</c:v>
                </c:pt>
                <c:pt idx="11">
                  <c:v>-6.6440000000000001</c:v>
                </c:pt>
                <c:pt idx="12">
                  <c:v>-8.6440000000000001</c:v>
                </c:pt>
                <c:pt idx="13">
                  <c:v>-9.0109999999999992</c:v>
                </c:pt>
                <c:pt idx="14">
                  <c:v>-5.6820000000000004</c:v>
                </c:pt>
                <c:pt idx="15">
                  <c:v>-8.31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47744"/>
        <c:axId val="127649664"/>
      </c:scatterChart>
      <c:valAx>
        <c:axId val="127647744"/>
        <c:scaling>
          <c:orientation val="minMax"/>
          <c:max val="-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Experimental (kcal/mol)</a:t>
                </a:r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49664"/>
        <c:crosses val="autoZero"/>
        <c:crossBetween val="midCat"/>
      </c:valAx>
      <c:valAx>
        <c:axId val="127649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FEP Calculated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47744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Correlation between MMGBSA and experimental energy</a:t>
            </a:r>
            <a:endParaRPr lang="en-US" altLang="zh-CN"/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'TYK2'!$O$1</c:f>
              <c:strCache>
                <c:ptCount val="1"/>
                <c:pt idx="0">
                  <c:v>MMGBSA-cal(kcal/mol)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675272213740001"/>
                  <c:y val="-0.240966189903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'TYK2'!$B$2:$B$17</c:f>
              <c:numCache>
                <c:formatCode>0.00_ </c:formatCode>
                <c:ptCount val="16"/>
                <c:pt idx="0">
                  <c:v>-9.5399999999999991</c:v>
                </c:pt>
                <c:pt idx="1">
                  <c:v>-10.94</c:v>
                </c:pt>
                <c:pt idx="2">
                  <c:v>-8.98</c:v>
                </c:pt>
                <c:pt idx="3">
                  <c:v>-11.31</c:v>
                </c:pt>
                <c:pt idx="4">
                  <c:v>-9.2100000000000009</c:v>
                </c:pt>
                <c:pt idx="5">
                  <c:v>-8.26</c:v>
                </c:pt>
                <c:pt idx="6">
                  <c:v>-10.98</c:v>
                </c:pt>
                <c:pt idx="7">
                  <c:v>-7.75</c:v>
                </c:pt>
                <c:pt idx="8">
                  <c:v>-9.56</c:v>
                </c:pt>
                <c:pt idx="9">
                  <c:v>-7.42</c:v>
                </c:pt>
                <c:pt idx="10">
                  <c:v>-11.28</c:v>
                </c:pt>
                <c:pt idx="11">
                  <c:v>-9</c:v>
                </c:pt>
                <c:pt idx="12">
                  <c:v>-9.6999999999999993</c:v>
                </c:pt>
                <c:pt idx="13">
                  <c:v>-11.7</c:v>
                </c:pt>
                <c:pt idx="14">
                  <c:v>-9.7799999999999994</c:v>
                </c:pt>
                <c:pt idx="15">
                  <c:v>-10.53</c:v>
                </c:pt>
              </c:numCache>
            </c:numRef>
          </c:xVal>
          <c:yVal>
            <c:numRef>
              <c:f>'TYK2'!$O$2:$O$17</c:f>
              <c:numCache>
                <c:formatCode>0.00_ </c:formatCode>
                <c:ptCount val="16"/>
                <c:pt idx="0">
                  <c:v>-32.49</c:v>
                </c:pt>
                <c:pt idx="1">
                  <c:v>-37.11</c:v>
                </c:pt>
                <c:pt idx="2">
                  <c:v>-29.93</c:v>
                </c:pt>
                <c:pt idx="3">
                  <c:v>-34.82</c:v>
                </c:pt>
                <c:pt idx="4">
                  <c:v>-33.49</c:v>
                </c:pt>
                <c:pt idx="5">
                  <c:v>-30.19</c:v>
                </c:pt>
                <c:pt idx="6">
                  <c:v>-33.5</c:v>
                </c:pt>
                <c:pt idx="7">
                  <c:v>-38.65</c:v>
                </c:pt>
                <c:pt idx="8">
                  <c:v>-35.22</c:v>
                </c:pt>
                <c:pt idx="9">
                  <c:v>-31.37</c:v>
                </c:pt>
                <c:pt idx="10">
                  <c:v>-34.22</c:v>
                </c:pt>
                <c:pt idx="11">
                  <c:v>-33.51</c:v>
                </c:pt>
                <c:pt idx="12">
                  <c:v>-32.979999999999997</c:v>
                </c:pt>
                <c:pt idx="13">
                  <c:v>-35.24</c:v>
                </c:pt>
                <c:pt idx="14">
                  <c:v>-31.83</c:v>
                </c:pt>
                <c:pt idx="15">
                  <c:v>-36.869999999999997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13984"/>
        <c:axId val="127915904"/>
      </c:scatterChart>
      <c:valAx>
        <c:axId val="127913984"/>
        <c:scaling>
          <c:orientation val="minMax"/>
          <c:max val="-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Experimental (kcal/mol)</a:t>
                </a:r>
              </a:p>
            </c:rich>
          </c:tx>
          <c:layout>
            <c:manualLayout>
              <c:xMode val="edge"/>
              <c:yMode val="edge"/>
              <c:x val="0.36228381203131926"/>
              <c:y val="0.9207706157591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15904"/>
        <c:crosses val="autoZero"/>
        <c:crossBetween val="midCat"/>
      </c:valAx>
      <c:valAx>
        <c:axId val="127915904"/>
        <c:scaling>
          <c:orientation val="minMax"/>
          <c:max val="-2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MMGBSA Calculated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13984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Correlation between MMPBSA and experimental energy</a:t>
            </a:r>
            <a:endParaRPr lang="en-US" altLang="zh-CN"/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'PDE4'!$J$1</c:f>
              <c:strCache>
                <c:ptCount val="1"/>
                <c:pt idx="0">
                  <c:v>MMPBSA-cal(kcal/mol)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562414529914529"/>
                  <c:y val="-0.34662500000000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'PDE4'!$B$2:$B$21</c:f>
              <c:numCache>
                <c:formatCode>0.00_ </c:formatCode>
                <c:ptCount val="20"/>
                <c:pt idx="0">
                  <c:v>-8.8999550062236032</c:v>
                </c:pt>
                <c:pt idx="1">
                  <c:v>-9.3848936250741009</c:v>
                </c:pt>
                <c:pt idx="2">
                  <c:v>-5.6949981768671982</c:v>
                </c:pt>
                <c:pt idx="3">
                  <c:v>-6.4912801180219599</c:v>
                </c:pt>
                <c:pt idx="4">
                  <c:v>-8.204439627065355</c:v>
                </c:pt>
                <c:pt idx="5">
                  <c:v>-8.8450984502543708</c:v>
                </c:pt>
                <c:pt idx="6">
                  <c:v>-7.7928092228385406</c:v>
                </c:pt>
                <c:pt idx="7">
                  <c:v>-6.1763579281572012</c:v>
                </c:pt>
                <c:pt idx="8">
                  <c:v>-6.8699996418659035</c:v>
                </c:pt>
                <c:pt idx="9">
                  <c:v>-8.3913328508223035</c:v>
                </c:pt>
                <c:pt idx="10">
                  <c:v>-7.3382306771565124</c:v>
                </c:pt>
                <c:pt idx="11">
                  <c:v>-8.8556718537688681</c:v>
                </c:pt>
                <c:pt idx="12">
                  <c:v>-8.1112018293793859</c:v>
                </c:pt>
                <c:pt idx="13">
                  <c:v>-7.3796960284709385</c:v>
                </c:pt>
                <c:pt idx="14">
                  <c:v>-8.1532623865976337</c:v>
                </c:pt>
                <c:pt idx="15">
                  <c:v>-11.483398632144405</c:v>
                </c:pt>
                <c:pt idx="16">
                  <c:v>-8.5058208405767797</c:v>
                </c:pt>
                <c:pt idx="17">
                  <c:v>-8.5594694002283731</c:v>
                </c:pt>
                <c:pt idx="18">
                  <c:v>-7.3962139797246849</c:v>
                </c:pt>
                <c:pt idx="19">
                  <c:v>-7.6602938310080892</c:v>
                </c:pt>
              </c:numCache>
            </c:numRef>
          </c:xVal>
          <c:yVal>
            <c:numRef>
              <c:f>'PDE4'!$J$2:$J$21</c:f>
              <c:numCache>
                <c:formatCode>0.00_ </c:formatCode>
                <c:ptCount val="20"/>
                <c:pt idx="0">
                  <c:v>-19.37</c:v>
                </c:pt>
                <c:pt idx="1">
                  <c:v>7.87</c:v>
                </c:pt>
                <c:pt idx="2">
                  <c:v>-20.399999999999999</c:v>
                </c:pt>
                <c:pt idx="3">
                  <c:v>-5.49</c:v>
                </c:pt>
                <c:pt idx="4">
                  <c:v>-24.95</c:v>
                </c:pt>
                <c:pt idx="5">
                  <c:v>-19</c:v>
                </c:pt>
                <c:pt idx="6">
                  <c:v>-29.18</c:v>
                </c:pt>
                <c:pt idx="7">
                  <c:v>-14.31</c:v>
                </c:pt>
                <c:pt idx="8">
                  <c:v>-16.649999999999999</c:v>
                </c:pt>
                <c:pt idx="9">
                  <c:v>-34.590000000000003</c:v>
                </c:pt>
                <c:pt idx="10">
                  <c:v>11.52</c:v>
                </c:pt>
                <c:pt idx="11">
                  <c:v>11.37</c:v>
                </c:pt>
                <c:pt idx="12">
                  <c:v>-15.83</c:v>
                </c:pt>
                <c:pt idx="13">
                  <c:v>-31.55</c:v>
                </c:pt>
                <c:pt idx="14">
                  <c:v>-0.68</c:v>
                </c:pt>
                <c:pt idx="15">
                  <c:v>-6.98</c:v>
                </c:pt>
                <c:pt idx="16">
                  <c:v>-20.100000000000001</c:v>
                </c:pt>
                <c:pt idx="17">
                  <c:v>-18.350000000000001</c:v>
                </c:pt>
                <c:pt idx="18">
                  <c:v>-21.55</c:v>
                </c:pt>
                <c:pt idx="19">
                  <c:v>-11.29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7152"/>
        <c:axId val="129059072"/>
      </c:scatterChart>
      <c:valAx>
        <c:axId val="129057152"/>
        <c:scaling>
          <c:orientation val="minMax"/>
          <c:max val="-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Experimental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59072"/>
        <c:crosses val="autoZero"/>
        <c:crossBetween val="midCat"/>
      </c:valAx>
      <c:valAx>
        <c:axId val="129059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MMPBSA Calculated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57152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Correlation between MMGBSA and experimental energy</a:t>
            </a:r>
            <a:endParaRPr lang="en-US" altLang="zh-CN"/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'PDE4'!$O$1</c:f>
              <c:strCache>
                <c:ptCount val="1"/>
                <c:pt idx="0">
                  <c:v>MMGBSA-cal(kcal/mol)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642094017094"/>
                  <c:y val="-0.1034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'PDE4'!$B$2:$B$21</c:f>
              <c:numCache>
                <c:formatCode>0.00_ </c:formatCode>
                <c:ptCount val="20"/>
                <c:pt idx="0">
                  <c:v>-8.8999550062236032</c:v>
                </c:pt>
                <c:pt idx="1">
                  <c:v>-9.3848936250741009</c:v>
                </c:pt>
                <c:pt idx="2">
                  <c:v>-5.6949981768671982</c:v>
                </c:pt>
                <c:pt idx="3">
                  <c:v>-6.4912801180219599</c:v>
                </c:pt>
                <c:pt idx="4">
                  <c:v>-8.204439627065355</c:v>
                </c:pt>
                <c:pt idx="5">
                  <c:v>-8.8450984502543708</c:v>
                </c:pt>
                <c:pt idx="6">
                  <c:v>-7.7928092228385406</c:v>
                </c:pt>
                <c:pt idx="7">
                  <c:v>-6.1763579281572012</c:v>
                </c:pt>
                <c:pt idx="8">
                  <c:v>-6.8699996418659035</c:v>
                </c:pt>
                <c:pt idx="9">
                  <c:v>-8.3913328508223035</c:v>
                </c:pt>
                <c:pt idx="10">
                  <c:v>-7.3382306771565124</c:v>
                </c:pt>
                <c:pt idx="11">
                  <c:v>-8.8556718537688681</c:v>
                </c:pt>
                <c:pt idx="12">
                  <c:v>-8.1112018293793859</c:v>
                </c:pt>
                <c:pt idx="13">
                  <c:v>-7.3796960284709385</c:v>
                </c:pt>
                <c:pt idx="14">
                  <c:v>-8.1532623865976337</c:v>
                </c:pt>
                <c:pt idx="15">
                  <c:v>-11.483398632144405</c:v>
                </c:pt>
                <c:pt idx="16">
                  <c:v>-8.5058208405767797</c:v>
                </c:pt>
                <c:pt idx="17">
                  <c:v>-8.5594694002283731</c:v>
                </c:pt>
                <c:pt idx="18">
                  <c:v>-7.3962139797246849</c:v>
                </c:pt>
                <c:pt idx="19">
                  <c:v>-7.6602938310080892</c:v>
                </c:pt>
              </c:numCache>
            </c:numRef>
          </c:xVal>
          <c:yVal>
            <c:numRef>
              <c:f>'PDE4'!$O$2:$O$21</c:f>
              <c:numCache>
                <c:formatCode>0.00_ </c:formatCode>
                <c:ptCount val="20"/>
                <c:pt idx="0">
                  <c:v>-29.6</c:v>
                </c:pt>
                <c:pt idx="1">
                  <c:v>-39.9</c:v>
                </c:pt>
                <c:pt idx="2">
                  <c:v>-26.46</c:v>
                </c:pt>
                <c:pt idx="3">
                  <c:v>-22.02</c:v>
                </c:pt>
                <c:pt idx="4">
                  <c:v>-33.979999999999997</c:v>
                </c:pt>
                <c:pt idx="5">
                  <c:v>-29.06</c:v>
                </c:pt>
                <c:pt idx="6">
                  <c:v>-32.520000000000003</c:v>
                </c:pt>
                <c:pt idx="7">
                  <c:v>-25.96</c:v>
                </c:pt>
                <c:pt idx="8">
                  <c:v>-35.56</c:v>
                </c:pt>
                <c:pt idx="9">
                  <c:v>-36.82</c:v>
                </c:pt>
                <c:pt idx="10">
                  <c:v>-36.11</c:v>
                </c:pt>
                <c:pt idx="11">
                  <c:v>-30.85</c:v>
                </c:pt>
                <c:pt idx="12">
                  <c:v>-34.53</c:v>
                </c:pt>
                <c:pt idx="13">
                  <c:v>-32.99</c:v>
                </c:pt>
                <c:pt idx="14">
                  <c:v>-27.2</c:v>
                </c:pt>
                <c:pt idx="15">
                  <c:v>-34.479999999999997</c:v>
                </c:pt>
                <c:pt idx="16">
                  <c:v>-25.01</c:v>
                </c:pt>
                <c:pt idx="17">
                  <c:v>-30.25</c:v>
                </c:pt>
                <c:pt idx="18">
                  <c:v>-32.659999999999997</c:v>
                </c:pt>
                <c:pt idx="19">
                  <c:v>-26.37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30880"/>
        <c:axId val="129132800"/>
      </c:scatterChart>
      <c:valAx>
        <c:axId val="129130880"/>
        <c:scaling>
          <c:orientation val="minMax"/>
          <c:max val="-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Experimental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32800"/>
        <c:crosses val="autoZero"/>
        <c:crossBetween val="midCat"/>
      </c:valAx>
      <c:valAx>
        <c:axId val="129132800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MMGBSA Calculated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30880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Correlation between FEP and experimental energy</a:t>
            </a:r>
            <a:endParaRPr lang="en-US" altLang="zh-CN"/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'PDE4'!$C$1</c:f>
              <c:strCache>
                <c:ptCount val="1"/>
                <c:pt idx="0">
                  <c:v>FEP-cal(kcal/mol)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36004273504271"/>
                  <c:y val="-5.73145061728395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'PDE4'!$B$2:$B$21</c:f>
              <c:numCache>
                <c:formatCode>0.00_ </c:formatCode>
                <c:ptCount val="20"/>
                <c:pt idx="0">
                  <c:v>-8.8999550062236032</c:v>
                </c:pt>
                <c:pt idx="1">
                  <c:v>-9.3848936250741009</c:v>
                </c:pt>
                <c:pt idx="2">
                  <c:v>-5.6949981768671982</c:v>
                </c:pt>
                <c:pt idx="3">
                  <c:v>-6.4912801180219599</c:v>
                </c:pt>
                <c:pt idx="4">
                  <c:v>-8.204439627065355</c:v>
                </c:pt>
                <c:pt idx="5">
                  <c:v>-8.8450984502543708</c:v>
                </c:pt>
                <c:pt idx="6">
                  <c:v>-7.7928092228385406</c:v>
                </c:pt>
                <c:pt idx="7">
                  <c:v>-6.1763579281572012</c:v>
                </c:pt>
                <c:pt idx="8">
                  <c:v>-6.8699996418659035</c:v>
                </c:pt>
                <c:pt idx="9">
                  <c:v>-8.3913328508223035</c:v>
                </c:pt>
                <c:pt idx="10">
                  <c:v>-7.3382306771565124</c:v>
                </c:pt>
                <c:pt idx="11">
                  <c:v>-8.8556718537688681</c:v>
                </c:pt>
                <c:pt idx="12">
                  <c:v>-8.1112018293793859</c:v>
                </c:pt>
                <c:pt idx="13">
                  <c:v>-7.3796960284709385</c:v>
                </c:pt>
                <c:pt idx="14">
                  <c:v>-8.1532623865976337</c:v>
                </c:pt>
                <c:pt idx="15">
                  <c:v>-11.483398632144405</c:v>
                </c:pt>
                <c:pt idx="16">
                  <c:v>-8.5058208405767797</c:v>
                </c:pt>
                <c:pt idx="17">
                  <c:v>-8.5594694002283731</c:v>
                </c:pt>
                <c:pt idx="18">
                  <c:v>-7.3962139797246849</c:v>
                </c:pt>
                <c:pt idx="19">
                  <c:v>-7.6602938310080892</c:v>
                </c:pt>
              </c:numCache>
            </c:numRef>
          </c:xVal>
          <c:yVal>
            <c:numRef>
              <c:f>'PDE4'!$C$2:$C$21</c:f>
              <c:numCache>
                <c:formatCode>0.00_ </c:formatCode>
                <c:ptCount val="20"/>
                <c:pt idx="0">
                  <c:v>-11.259</c:v>
                </c:pt>
                <c:pt idx="1">
                  <c:v>-11.601000000000001</c:v>
                </c:pt>
                <c:pt idx="2">
                  <c:v>-7.3390000000000004</c:v>
                </c:pt>
                <c:pt idx="3">
                  <c:v>-7.2480000000000002</c:v>
                </c:pt>
                <c:pt idx="4">
                  <c:v>-8.7880000000000003</c:v>
                </c:pt>
                <c:pt idx="5">
                  <c:v>-9.52</c:v>
                </c:pt>
                <c:pt idx="6">
                  <c:v>-8.2989999999999995</c:v>
                </c:pt>
                <c:pt idx="7">
                  <c:v>-6.3840000000000003</c:v>
                </c:pt>
                <c:pt idx="8">
                  <c:v>-7.1390000000000002</c:v>
                </c:pt>
                <c:pt idx="9">
                  <c:v>-8.8000000000000007</c:v>
                </c:pt>
                <c:pt idx="10">
                  <c:v>-7.5629999999999997</c:v>
                </c:pt>
                <c:pt idx="11">
                  <c:v>-9.2859999999999996</c:v>
                </c:pt>
                <c:pt idx="12">
                  <c:v>-7.9329999999999998</c:v>
                </c:pt>
                <c:pt idx="13">
                  <c:v>-6.7539999999999996</c:v>
                </c:pt>
                <c:pt idx="14">
                  <c:v>-7.2839999999999998</c:v>
                </c:pt>
                <c:pt idx="15">
                  <c:v>-11.044</c:v>
                </c:pt>
                <c:pt idx="16">
                  <c:v>-7.6210000000000004</c:v>
                </c:pt>
                <c:pt idx="17">
                  <c:v>-7.3029999999999999</c:v>
                </c:pt>
                <c:pt idx="18">
                  <c:v>-5.8049999999999997</c:v>
                </c:pt>
                <c:pt idx="19">
                  <c:v>-5.0880000000000001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20992"/>
        <c:axId val="129222912"/>
      </c:scatterChart>
      <c:valAx>
        <c:axId val="129220992"/>
        <c:scaling>
          <c:orientation val="minMax"/>
          <c:max val="-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Experimental (kcal/mol)</a:t>
                </a:r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22912"/>
        <c:crosses val="autoZero"/>
        <c:crossBetween val="midCat"/>
      </c:valAx>
      <c:valAx>
        <c:axId val="129222912"/>
        <c:scaling>
          <c:orientation val="minMax"/>
          <c:max val="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FEP Calculated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20992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Correlation between MMPBSA and experimental energy</a:t>
            </a:r>
            <a:endParaRPr lang="en-US" altLang="zh-CN"/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'PDE5'!$K$1</c:f>
              <c:strCache>
                <c:ptCount val="1"/>
                <c:pt idx="0">
                  <c:v>MMPBSA-cal(kcal/mol)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589239365355903"/>
                  <c:y val="-0.3153173949585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'PDE5'!$B$2:$B$12</c:f>
              <c:numCache>
                <c:formatCode>0.00_ </c:formatCode>
                <c:ptCount val="11"/>
                <c:pt idx="0">
                  <c:v>-7.7072342042815549</c:v>
                </c:pt>
                <c:pt idx="1">
                  <c:v>-9.9834766358030596</c:v>
                </c:pt>
                <c:pt idx="2">
                  <c:v>-8.6160700312921676</c:v>
                </c:pt>
                <c:pt idx="3">
                  <c:v>-9.1602158273494343</c:v>
                </c:pt>
                <c:pt idx="4">
                  <c:v>-9.8008746505384501</c:v>
                </c:pt>
                <c:pt idx="5">
                  <c:v>-10.115992027633514</c:v>
                </c:pt>
                <c:pt idx="6">
                  <c:v>-9.1602158273494343</c:v>
                </c:pt>
                <c:pt idx="7">
                  <c:v>-12.610016886025921</c:v>
                </c:pt>
                <c:pt idx="8">
                  <c:v>-7.3962139797246849</c:v>
                </c:pt>
                <c:pt idx="9">
                  <c:v>-7.9878937094675058</c:v>
                </c:pt>
                <c:pt idx="10">
                  <c:v>-10.527622431860328</c:v>
                </c:pt>
              </c:numCache>
            </c:numRef>
          </c:xVal>
          <c:yVal>
            <c:numRef>
              <c:f>'PDE5'!$K$2:$K$12</c:f>
              <c:numCache>
                <c:formatCode>0.00_ </c:formatCode>
                <c:ptCount val="11"/>
                <c:pt idx="0">
                  <c:v>-43.23</c:v>
                </c:pt>
                <c:pt idx="1">
                  <c:v>-29.1</c:v>
                </c:pt>
                <c:pt idx="2">
                  <c:v>-36.770000000000003</c:v>
                </c:pt>
                <c:pt idx="3">
                  <c:v>-32.79</c:v>
                </c:pt>
                <c:pt idx="4">
                  <c:v>-16.989999999999998</c:v>
                </c:pt>
                <c:pt idx="5">
                  <c:v>-31.89</c:v>
                </c:pt>
                <c:pt idx="6">
                  <c:v>-31.6</c:v>
                </c:pt>
                <c:pt idx="7">
                  <c:v>-41.29</c:v>
                </c:pt>
                <c:pt idx="8">
                  <c:v>-34.76</c:v>
                </c:pt>
                <c:pt idx="9">
                  <c:v>-21.9</c:v>
                </c:pt>
                <c:pt idx="10">
                  <c:v>-38.409999999999997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86912"/>
        <c:axId val="129288832"/>
      </c:scatterChart>
      <c:valAx>
        <c:axId val="129286912"/>
        <c:scaling>
          <c:orientation val="minMax"/>
          <c:max val="-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Experimental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88832"/>
        <c:crosses val="autoZero"/>
        <c:crossBetween val="midCat"/>
      </c:valAx>
      <c:valAx>
        <c:axId val="129288832"/>
        <c:scaling>
          <c:orientation val="minMax"/>
          <c:max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MMPBSA Calculated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86912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'PDE5'!$P$1</c:f>
              <c:strCache>
                <c:ptCount val="1"/>
                <c:pt idx="0">
                  <c:v>MMGBSA-cal(kcal/mol)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'PDE5'!$B$2:$B$11</c:f>
              <c:numCache>
                <c:formatCode>0.00_ </c:formatCode>
                <c:ptCount val="10"/>
                <c:pt idx="0">
                  <c:v>-7.7072342042815549</c:v>
                </c:pt>
                <c:pt idx="1">
                  <c:v>-9.9834766358030596</c:v>
                </c:pt>
                <c:pt idx="2">
                  <c:v>-8.6160700312921676</c:v>
                </c:pt>
                <c:pt idx="3">
                  <c:v>-9.1602158273494343</c:v>
                </c:pt>
                <c:pt idx="4">
                  <c:v>-9.8008746505384501</c:v>
                </c:pt>
                <c:pt idx="5">
                  <c:v>-10.115992027633514</c:v>
                </c:pt>
                <c:pt idx="6">
                  <c:v>-9.1602158273494343</c:v>
                </c:pt>
                <c:pt idx="7">
                  <c:v>-12.610016886025921</c:v>
                </c:pt>
                <c:pt idx="8">
                  <c:v>-7.3962139797246849</c:v>
                </c:pt>
                <c:pt idx="9">
                  <c:v>-7.9878937094675058</c:v>
                </c:pt>
              </c:numCache>
            </c:numRef>
          </c:xVal>
          <c:yVal>
            <c:numRef>
              <c:f>'PDE5'!$P$2:$P$12</c:f>
              <c:numCache>
                <c:formatCode>0.00_ </c:formatCode>
                <c:ptCount val="11"/>
                <c:pt idx="0">
                  <c:v>-44.89</c:v>
                </c:pt>
                <c:pt idx="1">
                  <c:v>-38.979999999999997</c:v>
                </c:pt>
                <c:pt idx="2">
                  <c:v>-42.44</c:v>
                </c:pt>
                <c:pt idx="3">
                  <c:v>-34.590000000000003</c:v>
                </c:pt>
                <c:pt idx="4">
                  <c:v>-28.42</c:v>
                </c:pt>
                <c:pt idx="5">
                  <c:v>-41.69</c:v>
                </c:pt>
                <c:pt idx="6">
                  <c:v>-40.520000000000003</c:v>
                </c:pt>
                <c:pt idx="7">
                  <c:v>-48.7</c:v>
                </c:pt>
                <c:pt idx="8">
                  <c:v>-40.450000000000003</c:v>
                </c:pt>
                <c:pt idx="9">
                  <c:v>-27.65</c:v>
                </c:pt>
                <c:pt idx="10">
                  <c:v>-40.78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F-4188-9394-B2682F4D5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7440"/>
        <c:axId val="129598976"/>
      </c:scatterChart>
      <c:valAx>
        <c:axId val="1295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598976"/>
        <c:crosses val="autoZero"/>
        <c:crossBetween val="midCat"/>
      </c:valAx>
      <c:valAx>
        <c:axId val="1295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5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Correlation between FEP and experimental energy</a:t>
            </a:r>
            <a:endParaRPr lang="en-US" altLang="zh-CN"/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'PDE5'!$C$1</c:f>
              <c:strCache>
                <c:ptCount val="1"/>
                <c:pt idx="0">
                  <c:v>FEP-cal(kcal/mol)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991778534857075"/>
                  <c:y val="-0.19406688744246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'PDE5'!$B$2:$B$12</c:f>
              <c:numCache>
                <c:formatCode>0.00_ </c:formatCode>
                <c:ptCount val="11"/>
                <c:pt idx="0">
                  <c:v>-7.7072342042815549</c:v>
                </c:pt>
                <c:pt idx="1">
                  <c:v>-9.9834766358030596</c:v>
                </c:pt>
                <c:pt idx="2">
                  <c:v>-8.6160700312921676</c:v>
                </c:pt>
                <c:pt idx="3">
                  <c:v>-9.1602158273494343</c:v>
                </c:pt>
                <c:pt idx="4">
                  <c:v>-9.8008746505384501</c:v>
                </c:pt>
                <c:pt idx="5">
                  <c:v>-10.115992027633514</c:v>
                </c:pt>
                <c:pt idx="6">
                  <c:v>-9.1602158273494343</c:v>
                </c:pt>
                <c:pt idx="7">
                  <c:v>-12.610016886025921</c:v>
                </c:pt>
                <c:pt idx="8">
                  <c:v>-7.3962139797246849</c:v>
                </c:pt>
                <c:pt idx="9">
                  <c:v>-7.9878937094675058</c:v>
                </c:pt>
                <c:pt idx="10">
                  <c:v>-10.527622431860328</c:v>
                </c:pt>
              </c:numCache>
            </c:numRef>
          </c:xVal>
          <c:yVal>
            <c:numRef>
              <c:f>'PDE5'!$C$2:$C$12</c:f>
              <c:numCache>
                <c:formatCode>0.00_ </c:formatCode>
                <c:ptCount val="11"/>
                <c:pt idx="0">
                  <c:v>-12.433999999999999</c:v>
                </c:pt>
                <c:pt idx="1">
                  <c:v>-14.532</c:v>
                </c:pt>
                <c:pt idx="2">
                  <c:v>-12.106999999999999</c:v>
                </c:pt>
                <c:pt idx="3">
                  <c:v>-12.62</c:v>
                </c:pt>
                <c:pt idx="4">
                  <c:v>-13.074</c:v>
                </c:pt>
                <c:pt idx="5">
                  <c:v>-13.018000000000001</c:v>
                </c:pt>
                <c:pt idx="6">
                  <c:v>-11.420999999999999</c:v>
                </c:pt>
                <c:pt idx="7">
                  <c:v>-14.723000000000001</c:v>
                </c:pt>
                <c:pt idx="8">
                  <c:v>-8.6010000000000009</c:v>
                </c:pt>
                <c:pt idx="9">
                  <c:v>-9.0350000000000001</c:v>
                </c:pt>
                <c:pt idx="10">
                  <c:v>-10.837999999999999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15904"/>
        <c:axId val="129926272"/>
      </c:scatterChart>
      <c:valAx>
        <c:axId val="129915904"/>
        <c:scaling>
          <c:orientation val="minMax"/>
          <c:max val="-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Experimental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26272"/>
        <c:crosses val="autoZero"/>
        <c:crossBetween val="midCat"/>
      </c:valAx>
      <c:valAx>
        <c:axId val="129926272"/>
        <c:scaling>
          <c:orientation val="minMax"/>
          <c:max val="-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FEP Calculated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15904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Correlation between MMGBSA and experimental energy</a:t>
            </a:r>
            <a:endParaRPr lang="en-US" altLang="zh-CN"/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'PDE5'!$P$1</c:f>
              <c:strCache>
                <c:ptCount val="1"/>
                <c:pt idx="0">
                  <c:v>MMGBSA-cal(kcal/mol)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51565309651375"/>
                  <c:y val="-0.21798019794791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'PDE5'!$B$2:$B$26</c:f>
              <c:numCache>
                <c:formatCode>0.00_ </c:formatCode>
                <c:ptCount val="25"/>
                <c:pt idx="0">
                  <c:v>-7.7072342042815549</c:v>
                </c:pt>
                <c:pt idx="1">
                  <c:v>-9.9834766358030596</c:v>
                </c:pt>
                <c:pt idx="2">
                  <c:v>-8.6160700312921676</c:v>
                </c:pt>
                <c:pt idx="3">
                  <c:v>-9.1602158273494343</c:v>
                </c:pt>
                <c:pt idx="4">
                  <c:v>-9.8008746505384501</c:v>
                </c:pt>
                <c:pt idx="5">
                  <c:v>-10.115992027633514</c:v>
                </c:pt>
                <c:pt idx="6">
                  <c:v>-9.1602158273494343</c:v>
                </c:pt>
                <c:pt idx="7">
                  <c:v>-12.610016886025921</c:v>
                </c:pt>
                <c:pt idx="8">
                  <c:v>-7.3962139797246849</c:v>
                </c:pt>
                <c:pt idx="9">
                  <c:v>-7.9878937094675058</c:v>
                </c:pt>
                <c:pt idx="10">
                  <c:v>-10.527622431860328</c:v>
                </c:pt>
              </c:numCache>
            </c:numRef>
          </c:xVal>
          <c:yVal>
            <c:numRef>
              <c:f>'PDE5'!$P$2:$P$26</c:f>
              <c:numCache>
                <c:formatCode>0.00_ </c:formatCode>
                <c:ptCount val="25"/>
                <c:pt idx="0">
                  <c:v>-44.89</c:v>
                </c:pt>
                <c:pt idx="1">
                  <c:v>-38.979999999999997</c:v>
                </c:pt>
                <c:pt idx="2">
                  <c:v>-42.44</c:v>
                </c:pt>
                <c:pt idx="3">
                  <c:v>-34.590000000000003</c:v>
                </c:pt>
                <c:pt idx="4">
                  <c:v>-28.42</c:v>
                </c:pt>
                <c:pt idx="5">
                  <c:v>-41.69</c:v>
                </c:pt>
                <c:pt idx="6">
                  <c:v>-40.520000000000003</c:v>
                </c:pt>
                <c:pt idx="7">
                  <c:v>-48.7</c:v>
                </c:pt>
                <c:pt idx="8">
                  <c:v>-40.450000000000003</c:v>
                </c:pt>
                <c:pt idx="9">
                  <c:v>-27.65</c:v>
                </c:pt>
                <c:pt idx="10">
                  <c:v>-40.78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6976"/>
        <c:axId val="130081920"/>
      </c:scatterChart>
      <c:valAx>
        <c:axId val="130046976"/>
        <c:scaling>
          <c:orientation val="minMax"/>
          <c:max val="-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Experimental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081920"/>
        <c:crosses val="autoZero"/>
        <c:crossBetween val="midCat"/>
      </c:valAx>
      <c:valAx>
        <c:axId val="130081920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MMGBSA Calculated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046976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altLang="zh-CN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Correlation between MMGBSA and experimental energy</a:t>
            </a:r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'JNK1'!$O$1</c:f>
              <c:strCache>
                <c:ptCount val="1"/>
                <c:pt idx="0">
                  <c:v>MMGBSA-cal(kcal/mol)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88802662243529"/>
                  <c:y val="-0.11364590174742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'JNK1'!$B$2:$B$22</c:f>
              <c:numCache>
                <c:formatCode>0.00_ </c:formatCode>
                <c:ptCount val="21"/>
                <c:pt idx="0">
                  <c:v>-8.6737699999999993</c:v>
                </c:pt>
                <c:pt idx="1">
                  <c:v>-9.9932300000000005</c:v>
                </c:pt>
                <c:pt idx="2">
                  <c:v>-8.7025900000000007</c:v>
                </c:pt>
                <c:pt idx="3">
                  <c:v>-8.7025900000000007</c:v>
                </c:pt>
                <c:pt idx="4">
                  <c:v>-8.4933700000000005</c:v>
                </c:pt>
                <c:pt idx="5">
                  <c:v>-9.1743000000000006</c:v>
                </c:pt>
                <c:pt idx="6">
                  <c:v>-7.2860699999999996</c:v>
                </c:pt>
                <c:pt idx="7">
                  <c:v>-9.6759199999999996</c:v>
                </c:pt>
                <c:pt idx="8">
                  <c:v>-8.1050000000000004</c:v>
                </c:pt>
                <c:pt idx="9">
                  <c:v>-9.4652200000000004</c:v>
                </c:pt>
                <c:pt idx="10">
                  <c:v>-10.1417</c:v>
                </c:pt>
                <c:pt idx="11">
                  <c:v>-10.0931</c:v>
                </c:pt>
                <c:pt idx="12">
                  <c:v>-10.683</c:v>
                </c:pt>
                <c:pt idx="13">
                  <c:v>-8.4831000000000003</c:v>
                </c:pt>
                <c:pt idx="14">
                  <c:v>-9.6994000000000007</c:v>
                </c:pt>
                <c:pt idx="15">
                  <c:v>-9.14236</c:v>
                </c:pt>
                <c:pt idx="16">
                  <c:v>-9.7407199999999996</c:v>
                </c:pt>
                <c:pt idx="17">
                  <c:v>-9.4138199999999994</c:v>
                </c:pt>
                <c:pt idx="18">
                  <c:v>-9.08324</c:v>
                </c:pt>
                <c:pt idx="19">
                  <c:v>-7.5123199999999999</c:v>
                </c:pt>
                <c:pt idx="20">
                  <c:v>-8.8725400000000008</c:v>
                </c:pt>
              </c:numCache>
            </c:numRef>
          </c:xVal>
          <c:yVal>
            <c:numRef>
              <c:f>'JNK1'!$O$2:$O$22</c:f>
              <c:numCache>
                <c:formatCode>0.00_ </c:formatCode>
                <c:ptCount val="21"/>
                <c:pt idx="0">
                  <c:v>-34.979999999999997</c:v>
                </c:pt>
                <c:pt idx="1">
                  <c:v>-39.67</c:v>
                </c:pt>
                <c:pt idx="2">
                  <c:v>-32.79</c:v>
                </c:pt>
                <c:pt idx="3">
                  <c:v>-37.9</c:v>
                </c:pt>
                <c:pt idx="4">
                  <c:v>-32.71</c:v>
                </c:pt>
                <c:pt idx="5">
                  <c:v>-37.659999999999997</c:v>
                </c:pt>
                <c:pt idx="6">
                  <c:v>-35.64</c:v>
                </c:pt>
                <c:pt idx="7">
                  <c:v>-38.78</c:v>
                </c:pt>
                <c:pt idx="8">
                  <c:v>-34.15</c:v>
                </c:pt>
                <c:pt idx="9">
                  <c:v>-44.92</c:v>
                </c:pt>
                <c:pt idx="10">
                  <c:v>-39.229999999999997</c:v>
                </c:pt>
                <c:pt idx="11">
                  <c:v>-37.72</c:v>
                </c:pt>
                <c:pt idx="12">
                  <c:v>-42.76</c:v>
                </c:pt>
                <c:pt idx="13">
                  <c:v>-33.909999999999997</c:v>
                </c:pt>
                <c:pt idx="14">
                  <c:v>-35.840000000000003</c:v>
                </c:pt>
                <c:pt idx="15">
                  <c:v>-36.270000000000003</c:v>
                </c:pt>
                <c:pt idx="16">
                  <c:v>-39.07</c:v>
                </c:pt>
                <c:pt idx="17">
                  <c:v>-37.340000000000003</c:v>
                </c:pt>
                <c:pt idx="18">
                  <c:v>-36.51</c:v>
                </c:pt>
                <c:pt idx="19">
                  <c:v>-37.11</c:v>
                </c:pt>
                <c:pt idx="20">
                  <c:v>-34.24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7760"/>
        <c:axId val="121988608"/>
      </c:scatterChart>
      <c:valAx>
        <c:axId val="121957760"/>
        <c:scaling>
          <c:orientation val="minMax"/>
          <c:max val="-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Experimental (kcal/mol)</a:t>
                </a:r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88608"/>
        <c:crosses val="autoZero"/>
        <c:crossBetween val="midCat"/>
      </c:valAx>
      <c:valAx>
        <c:axId val="121988608"/>
        <c:scaling>
          <c:orientation val="minMax"/>
          <c:max val="-2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MMGBSA Calculated (kcal/mol)</a:t>
                </a:r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57760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Correlation between FEP and experimental energy</a:t>
            </a:r>
            <a:endParaRPr lang="en-US" altLang="zh-CN"/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'PDE9'!$C$1</c:f>
              <c:strCache>
                <c:ptCount val="1"/>
                <c:pt idx="0">
                  <c:v>FEP-cal(kcal/mol)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604358974358973"/>
                  <c:y val="-0.1599033950617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'PDE9'!$B$2:$B$8</c:f>
              <c:numCache>
                <c:formatCode>0.00_ </c:formatCode>
                <c:ptCount val="7"/>
                <c:pt idx="0">
                  <c:v>-6.5962446719250858</c:v>
                </c:pt>
                <c:pt idx="1">
                  <c:v>-7.1403904679823516</c:v>
                </c:pt>
                <c:pt idx="2">
                  <c:v>-9.1602158273494343</c:v>
                </c:pt>
                <c:pt idx="3">
                  <c:v>-11.071768227917593</c:v>
                </c:pt>
                <c:pt idx="4">
                  <c:v>-11.112475081820229</c:v>
                </c:pt>
                <c:pt idx="5">
                  <c:v>-12.610016886025921</c:v>
                </c:pt>
                <c:pt idx="6">
                  <c:v>-12.850805236655297</c:v>
                </c:pt>
              </c:numCache>
            </c:numRef>
          </c:xVal>
          <c:yVal>
            <c:numRef>
              <c:f>'PDE9'!$C$2:$C$8</c:f>
              <c:numCache>
                <c:formatCode>0.00_ </c:formatCode>
                <c:ptCount val="7"/>
                <c:pt idx="0">
                  <c:v>-6.5449999999999999</c:v>
                </c:pt>
                <c:pt idx="1">
                  <c:v>-9</c:v>
                </c:pt>
                <c:pt idx="2">
                  <c:v>-9.4489999999999998</c:v>
                </c:pt>
                <c:pt idx="3">
                  <c:v>-11.269</c:v>
                </c:pt>
                <c:pt idx="4">
                  <c:v>-10.938000000000001</c:v>
                </c:pt>
                <c:pt idx="5">
                  <c:v>-11.807</c:v>
                </c:pt>
                <c:pt idx="6">
                  <c:v>-11.659000000000001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28992"/>
        <c:axId val="130651648"/>
      </c:scatterChart>
      <c:valAx>
        <c:axId val="130628992"/>
        <c:scaling>
          <c:orientation val="minMax"/>
          <c:max val="-5"/>
          <c:min val="-1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Experimental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651648"/>
        <c:crosses val="autoZero"/>
        <c:crossBetween val="midCat"/>
      </c:valAx>
      <c:valAx>
        <c:axId val="130651648"/>
        <c:scaling>
          <c:orientation val="minMax"/>
          <c:max val="-4"/>
          <c:min val="-1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FEP Calculated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628992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Correlation between MMPBSA and experimental energy</a:t>
            </a:r>
            <a:endParaRPr lang="en-US" altLang="zh-CN"/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'PDE9'!$K$1</c:f>
              <c:strCache>
                <c:ptCount val="1"/>
                <c:pt idx="0">
                  <c:v>MMPBSA-cal(kcal/mol)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691196581196582"/>
                  <c:y val="-0.2702370370370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'PDE9'!$B$2:$B$8</c:f>
              <c:numCache>
                <c:formatCode>0.00_ </c:formatCode>
                <c:ptCount val="7"/>
                <c:pt idx="0">
                  <c:v>-6.5962446719250858</c:v>
                </c:pt>
                <c:pt idx="1">
                  <c:v>-7.1403904679823516</c:v>
                </c:pt>
                <c:pt idx="2">
                  <c:v>-9.1602158273494343</c:v>
                </c:pt>
                <c:pt idx="3">
                  <c:v>-11.071768227917593</c:v>
                </c:pt>
                <c:pt idx="4">
                  <c:v>-11.112475081820229</c:v>
                </c:pt>
                <c:pt idx="5">
                  <c:v>-12.610016886025921</c:v>
                </c:pt>
                <c:pt idx="6">
                  <c:v>-12.850805236655297</c:v>
                </c:pt>
              </c:numCache>
            </c:numRef>
          </c:xVal>
          <c:yVal>
            <c:numRef>
              <c:f>'PDE9'!$K$2:$K$8</c:f>
              <c:numCache>
                <c:formatCode>0.00_ </c:formatCode>
                <c:ptCount val="7"/>
                <c:pt idx="0">
                  <c:v>-32.270000000000003</c:v>
                </c:pt>
                <c:pt idx="1">
                  <c:v>-29.36</c:v>
                </c:pt>
                <c:pt idx="2">
                  <c:v>-37.29</c:v>
                </c:pt>
                <c:pt idx="3">
                  <c:v>-23.59</c:v>
                </c:pt>
                <c:pt idx="4">
                  <c:v>-44.05</c:v>
                </c:pt>
                <c:pt idx="5">
                  <c:v>-35.68</c:v>
                </c:pt>
                <c:pt idx="6">
                  <c:v>-33.65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02720"/>
        <c:axId val="130713088"/>
      </c:scatterChart>
      <c:valAx>
        <c:axId val="130702720"/>
        <c:scaling>
          <c:orientation val="minMax"/>
          <c:max val="-5"/>
          <c:min val="-1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Experimental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13088"/>
        <c:crosses val="autoZero"/>
        <c:crossBetween val="midCat"/>
      </c:valAx>
      <c:valAx>
        <c:axId val="130713088"/>
        <c:scaling>
          <c:orientation val="minMax"/>
          <c:max val="-1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MMPBSA Calculated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02720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Correlation between MMGBSA and experimental energy</a:t>
            </a:r>
            <a:endParaRPr lang="en-US" altLang="zh-CN"/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'PDE9'!$P$1</c:f>
              <c:strCache>
                <c:ptCount val="1"/>
                <c:pt idx="0">
                  <c:v>MMGBSA-cal(kcal/mol)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776666666666668"/>
                  <c:y val="-0.2166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'PDE9'!$B$2:$B$8</c:f>
              <c:numCache>
                <c:formatCode>0.00_ </c:formatCode>
                <c:ptCount val="7"/>
                <c:pt idx="0">
                  <c:v>-6.5962446719250858</c:v>
                </c:pt>
                <c:pt idx="1">
                  <c:v>-7.1403904679823516</c:v>
                </c:pt>
                <c:pt idx="2">
                  <c:v>-9.1602158273494343</c:v>
                </c:pt>
                <c:pt idx="3">
                  <c:v>-11.071768227917593</c:v>
                </c:pt>
                <c:pt idx="4">
                  <c:v>-11.112475081820229</c:v>
                </c:pt>
                <c:pt idx="5">
                  <c:v>-12.610016886025921</c:v>
                </c:pt>
                <c:pt idx="6">
                  <c:v>-12.850805236655297</c:v>
                </c:pt>
              </c:numCache>
            </c:numRef>
          </c:xVal>
          <c:yVal>
            <c:numRef>
              <c:f>'PDE9'!$P$2:$P$8</c:f>
              <c:numCache>
                <c:formatCode>0.00_ </c:formatCode>
                <c:ptCount val="7"/>
                <c:pt idx="0">
                  <c:v>-31.61</c:v>
                </c:pt>
                <c:pt idx="1">
                  <c:v>-36.19</c:v>
                </c:pt>
                <c:pt idx="2">
                  <c:v>-48.85</c:v>
                </c:pt>
                <c:pt idx="3">
                  <c:v>-36.700000000000003</c:v>
                </c:pt>
                <c:pt idx="4">
                  <c:v>-41.27</c:v>
                </c:pt>
                <c:pt idx="5">
                  <c:v>-47.42</c:v>
                </c:pt>
                <c:pt idx="6">
                  <c:v>-48.23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76448"/>
        <c:axId val="130782720"/>
      </c:scatterChart>
      <c:valAx>
        <c:axId val="130776448"/>
        <c:scaling>
          <c:orientation val="minMax"/>
          <c:max val="-5"/>
          <c:min val="-1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Experimental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2720"/>
        <c:crosses val="autoZero"/>
        <c:crossBetween val="midCat"/>
      </c:valAx>
      <c:valAx>
        <c:axId val="130782720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MMGBSA Calculated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76448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Correlation between FEP and experimental energy</a:t>
            </a:r>
            <a:endParaRPr lang="en-US" altLang="zh-CN"/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'PDE10'!$D$1</c:f>
              <c:strCache>
                <c:ptCount val="1"/>
                <c:pt idx="0">
                  <c:v>FEP-cal(kcal/mol)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5297536185914"/>
                  <c:y val="-0.13036761123422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'PDE10'!$C$2:$C$11</c:f>
              <c:numCache>
                <c:formatCode>0.00_ </c:formatCode>
                <c:ptCount val="10"/>
                <c:pt idx="0">
                  <c:v>-7.8553783176370535</c:v>
                </c:pt>
                <c:pt idx="1">
                  <c:v>-8.2736440662333539</c:v>
                </c:pt>
                <c:pt idx="2">
                  <c:v>-8.7441481137391239</c:v>
                </c:pt>
                <c:pt idx="3">
                  <c:v>-11.252591308778058</c:v>
                </c:pt>
                <c:pt idx="4">
                  <c:v>-9.7587394553331954</c:v>
                </c:pt>
                <c:pt idx="5">
                  <c:v>-11.991542063502969</c:v>
                </c:pt>
                <c:pt idx="6">
                  <c:v>-12.250058809534234</c:v>
                </c:pt>
                <c:pt idx="7">
                  <c:v>-11.89502903637122</c:v>
                </c:pt>
                <c:pt idx="8">
                  <c:v>-10.498648044367135</c:v>
                </c:pt>
                <c:pt idx="9">
                  <c:v>-12.389361214013087</c:v>
                </c:pt>
              </c:numCache>
            </c:numRef>
          </c:xVal>
          <c:yVal>
            <c:numRef>
              <c:f>'PDE10'!$D$2:$D$11</c:f>
              <c:numCache>
                <c:formatCode>0.00_ </c:formatCode>
                <c:ptCount val="10"/>
                <c:pt idx="0">
                  <c:v>-9.2080000000000002</c:v>
                </c:pt>
                <c:pt idx="1">
                  <c:v>-12.121</c:v>
                </c:pt>
                <c:pt idx="2">
                  <c:v>-12.603</c:v>
                </c:pt>
                <c:pt idx="3">
                  <c:v>-17.07</c:v>
                </c:pt>
                <c:pt idx="4">
                  <c:v>-16.209</c:v>
                </c:pt>
                <c:pt idx="5">
                  <c:v>-16.779</c:v>
                </c:pt>
                <c:pt idx="6">
                  <c:v>-17.648</c:v>
                </c:pt>
                <c:pt idx="7">
                  <c:v>-18.039000000000001</c:v>
                </c:pt>
                <c:pt idx="8">
                  <c:v>-16.393999999999998</c:v>
                </c:pt>
                <c:pt idx="9">
                  <c:v>-15.327999999999999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87680"/>
        <c:axId val="130889600"/>
      </c:scatterChart>
      <c:valAx>
        <c:axId val="130887680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Experimental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89600"/>
        <c:crosses val="autoZero"/>
        <c:crossBetween val="midCat"/>
      </c:valAx>
      <c:valAx>
        <c:axId val="130889600"/>
        <c:scaling>
          <c:orientation val="minMax"/>
          <c:max val="-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FEP Calculated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9344023212048905E-2"/>
              <c:y val="0.280209345089348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87680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Correlation between FEP </a:t>
            </a:r>
            <a:r>
              <a:rPr lang="en-US" sz="1200" baseline="0"/>
              <a:t>and experimental energy</a:t>
            </a:r>
            <a:endParaRPr lang="en-US" sz="1200"/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'JNK1'!$C$1</c:f>
              <c:strCache>
                <c:ptCount val="1"/>
                <c:pt idx="0">
                  <c:v>FEP-cal(kcal/mol)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 	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6846153846154"/>
                  <c:y val="-0.212349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'JNK1'!$B$2:$B$22</c:f>
              <c:numCache>
                <c:formatCode>0.00_ </c:formatCode>
                <c:ptCount val="21"/>
                <c:pt idx="0">
                  <c:v>-8.6737699999999993</c:v>
                </c:pt>
                <c:pt idx="1">
                  <c:v>-9.9932300000000005</c:v>
                </c:pt>
                <c:pt idx="2">
                  <c:v>-8.7025900000000007</c:v>
                </c:pt>
                <c:pt idx="3">
                  <c:v>-8.7025900000000007</c:v>
                </c:pt>
                <c:pt idx="4">
                  <c:v>-8.4933700000000005</c:v>
                </c:pt>
                <c:pt idx="5">
                  <c:v>-9.1743000000000006</c:v>
                </c:pt>
                <c:pt idx="6">
                  <c:v>-7.2860699999999996</c:v>
                </c:pt>
                <c:pt idx="7">
                  <c:v>-9.6759199999999996</c:v>
                </c:pt>
                <c:pt idx="8">
                  <c:v>-8.1050000000000004</c:v>
                </c:pt>
                <c:pt idx="9">
                  <c:v>-9.4652200000000004</c:v>
                </c:pt>
                <c:pt idx="10">
                  <c:v>-10.1417</c:v>
                </c:pt>
                <c:pt idx="11">
                  <c:v>-10.0931</c:v>
                </c:pt>
                <c:pt idx="12">
                  <c:v>-10.683</c:v>
                </c:pt>
                <c:pt idx="13">
                  <c:v>-8.4831000000000003</c:v>
                </c:pt>
                <c:pt idx="14">
                  <c:v>-9.6994000000000007</c:v>
                </c:pt>
                <c:pt idx="15">
                  <c:v>-9.14236</c:v>
                </c:pt>
                <c:pt idx="16">
                  <c:v>-9.7407199999999996</c:v>
                </c:pt>
                <c:pt idx="17">
                  <c:v>-9.4138199999999994</c:v>
                </c:pt>
                <c:pt idx="18">
                  <c:v>-9.08324</c:v>
                </c:pt>
                <c:pt idx="19">
                  <c:v>-7.5123199999999999</c:v>
                </c:pt>
                <c:pt idx="20">
                  <c:v>-8.8725400000000008</c:v>
                </c:pt>
              </c:numCache>
            </c:numRef>
          </c:xVal>
          <c:yVal>
            <c:numRef>
              <c:f>'JNK1'!$C$2:$C$22</c:f>
              <c:numCache>
                <c:formatCode>0.00_ </c:formatCode>
                <c:ptCount val="21"/>
                <c:pt idx="0">
                  <c:v>-13.122</c:v>
                </c:pt>
                <c:pt idx="1">
                  <c:v>-12.474</c:v>
                </c:pt>
                <c:pt idx="2">
                  <c:v>-10.523999999999999</c:v>
                </c:pt>
                <c:pt idx="3">
                  <c:v>-11.192</c:v>
                </c:pt>
                <c:pt idx="4">
                  <c:v>-10.481999999999999</c:v>
                </c:pt>
                <c:pt idx="5">
                  <c:v>-11.46</c:v>
                </c:pt>
                <c:pt idx="6">
                  <c:v>-10.896000000000001</c:v>
                </c:pt>
                <c:pt idx="7">
                  <c:v>-11.76</c:v>
                </c:pt>
                <c:pt idx="8">
                  <c:v>-11.291</c:v>
                </c:pt>
                <c:pt idx="9">
                  <c:v>-11.561</c:v>
                </c:pt>
                <c:pt idx="10">
                  <c:v>-13.045999999999999</c:v>
                </c:pt>
                <c:pt idx="11">
                  <c:v>-13.656000000000001</c:v>
                </c:pt>
                <c:pt idx="12">
                  <c:v>-14.769</c:v>
                </c:pt>
                <c:pt idx="13">
                  <c:v>-11.154999999999999</c:v>
                </c:pt>
                <c:pt idx="14">
                  <c:v>-12.46</c:v>
                </c:pt>
                <c:pt idx="15">
                  <c:v>-12.074999999999999</c:v>
                </c:pt>
                <c:pt idx="16">
                  <c:v>-12.138</c:v>
                </c:pt>
                <c:pt idx="17">
                  <c:v>-12.497</c:v>
                </c:pt>
                <c:pt idx="18">
                  <c:v>-12.917</c:v>
                </c:pt>
                <c:pt idx="19">
                  <c:v>-11.613</c:v>
                </c:pt>
                <c:pt idx="20">
                  <c:v>-12.441000000000001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31488"/>
        <c:axId val="122074624"/>
      </c:scatterChart>
      <c:valAx>
        <c:axId val="122031488"/>
        <c:scaling>
          <c:orientation val="minMax"/>
          <c:max val="-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Experimental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74624"/>
        <c:crosses val="autoZero"/>
        <c:crossBetween val="midCat"/>
      </c:valAx>
      <c:valAx>
        <c:axId val="122074624"/>
        <c:scaling>
          <c:orientation val="minMax"/>
          <c:max val="-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FEP Calculated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31488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altLang="zh-CN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Correlation between MMPBSA and experimental energy</a:t>
            </a:r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'CDK2'!$J$1</c:f>
              <c:strCache>
                <c:ptCount val="1"/>
                <c:pt idx="0">
                  <c:v>MMPBSA-cal(kcal/mol)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592160570096842"/>
                  <c:y val="-0.342731301114871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'CDK2'!$B$2:$B$17</c:f>
              <c:numCache>
                <c:formatCode>0.00_ </c:formatCode>
                <c:ptCount val="16"/>
                <c:pt idx="0">
                  <c:v>-9.8119999999999994</c:v>
                </c:pt>
                <c:pt idx="1">
                  <c:v>-11.112</c:v>
                </c:pt>
                <c:pt idx="2">
                  <c:v>-9.7850000000000001</c:v>
                </c:pt>
                <c:pt idx="3">
                  <c:v>-9.7409999999999997</c:v>
                </c:pt>
                <c:pt idx="4">
                  <c:v>-9.75</c:v>
                </c:pt>
                <c:pt idx="5">
                  <c:v>-9.0830000000000002</c:v>
                </c:pt>
                <c:pt idx="6">
                  <c:v>-9.8819999999999997</c:v>
                </c:pt>
                <c:pt idx="7">
                  <c:v>-7.6689999999999996</c:v>
                </c:pt>
                <c:pt idx="8">
                  <c:v>-7.8280000000000003</c:v>
                </c:pt>
                <c:pt idx="9">
                  <c:v>-8.4309999999999992</c:v>
                </c:pt>
                <c:pt idx="10">
                  <c:v>-11.246</c:v>
                </c:pt>
                <c:pt idx="11">
                  <c:v>-9.5389999999999997</c:v>
                </c:pt>
                <c:pt idx="12">
                  <c:v>-8.718</c:v>
                </c:pt>
                <c:pt idx="13">
                  <c:v>-7.8620000000000001</c:v>
                </c:pt>
                <c:pt idx="14">
                  <c:v>-7.0410000000000004</c:v>
                </c:pt>
                <c:pt idx="15">
                  <c:v>-8.1790000000000003</c:v>
                </c:pt>
              </c:numCache>
            </c:numRef>
          </c:xVal>
          <c:yVal>
            <c:numRef>
              <c:f>'CDK2'!$J$2:$J$17</c:f>
              <c:numCache>
                <c:formatCode>0.00_ </c:formatCode>
                <c:ptCount val="16"/>
                <c:pt idx="0">
                  <c:v>-45.54</c:v>
                </c:pt>
                <c:pt idx="1">
                  <c:v>-41.31</c:v>
                </c:pt>
                <c:pt idx="2">
                  <c:v>-39.1</c:v>
                </c:pt>
                <c:pt idx="3">
                  <c:v>-37.25</c:v>
                </c:pt>
                <c:pt idx="4">
                  <c:v>-41.82</c:v>
                </c:pt>
                <c:pt idx="5">
                  <c:v>-43.2</c:v>
                </c:pt>
                <c:pt idx="6">
                  <c:v>-41.9</c:v>
                </c:pt>
                <c:pt idx="7">
                  <c:v>-39.01</c:v>
                </c:pt>
                <c:pt idx="8">
                  <c:v>-41.22</c:v>
                </c:pt>
                <c:pt idx="9">
                  <c:v>-41.56</c:v>
                </c:pt>
                <c:pt idx="10">
                  <c:v>-38.17</c:v>
                </c:pt>
                <c:pt idx="11">
                  <c:v>-40</c:v>
                </c:pt>
                <c:pt idx="12">
                  <c:v>-39.549999999999997</c:v>
                </c:pt>
                <c:pt idx="13">
                  <c:v>-41.64</c:v>
                </c:pt>
                <c:pt idx="14">
                  <c:v>-42.33</c:v>
                </c:pt>
                <c:pt idx="15">
                  <c:v>-35.29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9888"/>
        <c:axId val="122152064"/>
      </c:scatterChart>
      <c:valAx>
        <c:axId val="122149888"/>
        <c:scaling>
          <c:orientation val="minMax"/>
          <c:max val="-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Experimental (kcal/mol)</a:t>
                </a:r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52064"/>
        <c:crosses val="autoZero"/>
        <c:crossBetween val="midCat"/>
      </c:valAx>
      <c:valAx>
        <c:axId val="122152064"/>
        <c:scaling>
          <c:orientation val="minMax"/>
          <c:max val="-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MMPBSA Calculated (kcal/mol)</a:t>
                </a:r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49888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altLang="zh-CN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Correlation between MMGBSA and experimental energy</a:t>
            </a:r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'CDK2'!$O$1</c:f>
              <c:strCache>
                <c:ptCount val="1"/>
                <c:pt idx="0">
                  <c:v>MMGBSA-cal(kcal/mol)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67136752136752"/>
                  <c:y val="-0.44590061728395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'CDK2'!$B$2:$B$17</c:f>
              <c:numCache>
                <c:formatCode>0.00_ </c:formatCode>
                <c:ptCount val="16"/>
                <c:pt idx="0">
                  <c:v>-9.8119999999999994</c:v>
                </c:pt>
                <c:pt idx="1">
                  <c:v>-11.112</c:v>
                </c:pt>
                <c:pt idx="2">
                  <c:v>-9.7850000000000001</c:v>
                </c:pt>
                <c:pt idx="3">
                  <c:v>-9.7409999999999997</c:v>
                </c:pt>
                <c:pt idx="4">
                  <c:v>-9.75</c:v>
                </c:pt>
                <c:pt idx="5">
                  <c:v>-9.0830000000000002</c:v>
                </c:pt>
                <c:pt idx="6">
                  <c:v>-9.8819999999999997</c:v>
                </c:pt>
                <c:pt idx="7">
                  <c:v>-7.6689999999999996</c:v>
                </c:pt>
                <c:pt idx="8">
                  <c:v>-7.8280000000000003</c:v>
                </c:pt>
                <c:pt idx="9">
                  <c:v>-8.4309999999999992</c:v>
                </c:pt>
                <c:pt idx="10">
                  <c:v>-11.246</c:v>
                </c:pt>
                <c:pt idx="11">
                  <c:v>-9.5389999999999997</c:v>
                </c:pt>
                <c:pt idx="12">
                  <c:v>-8.718</c:v>
                </c:pt>
                <c:pt idx="13">
                  <c:v>-7.8620000000000001</c:v>
                </c:pt>
                <c:pt idx="14">
                  <c:v>-7.0410000000000004</c:v>
                </c:pt>
                <c:pt idx="15">
                  <c:v>-8.1790000000000003</c:v>
                </c:pt>
              </c:numCache>
            </c:numRef>
          </c:xVal>
          <c:yVal>
            <c:numRef>
              <c:f>'CDK2'!$O$2:$O$17</c:f>
              <c:numCache>
                <c:formatCode>0.00_ </c:formatCode>
                <c:ptCount val="16"/>
                <c:pt idx="0">
                  <c:v>-46.09</c:v>
                </c:pt>
                <c:pt idx="1">
                  <c:v>-43.86</c:v>
                </c:pt>
                <c:pt idx="2">
                  <c:v>-41.97</c:v>
                </c:pt>
                <c:pt idx="3">
                  <c:v>-38.369999999999997</c:v>
                </c:pt>
                <c:pt idx="4">
                  <c:v>-44.99</c:v>
                </c:pt>
                <c:pt idx="5">
                  <c:v>-43.92</c:v>
                </c:pt>
                <c:pt idx="6">
                  <c:v>-46.63</c:v>
                </c:pt>
                <c:pt idx="7">
                  <c:v>-42.58</c:v>
                </c:pt>
                <c:pt idx="8">
                  <c:v>-42.5</c:v>
                </c:pt>
                <c:pt idx="9">
                  <c:v>-45.5</c:v>
                </c:pt>
                <c:pt idx="10">
                  <c:v>-38.130000000000003</c:v>
                </c:pt>
                <c:pt idx="11">
                  <c:v>-42.24</c:v>
                </c:pt>
                <c:pt idx="12">
                  <c:v>-42.18</c:v>
                </c:pt>
                <c:pt idx="13">
                  <c:v>-41.66</c:v>
                </c:pt>
                <c:pt idx="14">
                  <c:v>-44.76</c:v>
                </c:pt>
                <c:pt idx="15">
                  <c:v>-39.090000000000003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31808"/>
        <c:axId val="122238080"/>
      </c:scatterChart>
      <c:valAx>
        <c:axId val="122231808"/>
        <c:scaling>
          <c:orientation val="minMax"/>
          <c:max val="-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Experimental (kcal/mol)</a:t>
                </a:r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38080"/>
        <c:crosses val="autoZero"/>
        <c:crossBetween val="midCat"/>
      </c:valAx>
      <c:valAx>
        <c:axId val="122238080"/>
        <c:scaling>
          <c:orientation val="minMax"/>
          <c:max val="-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MMGBSA Calculated (kcal/mol)</a:t>
                </a:r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31808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altLang="zh-CN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Correlation between FEP and experimental energy</a:t>
            </a:r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'CDK2'!$C$1</c:f>
              <c:strCache>
                <c:ptCount val="1"/>
                <c:pt idx="0">
                  <c:v>FEP-cal(kcal/mol)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425417501977649"/>
                  <c:y val="-0.16690361289045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'CDK2'!$B$2:$B$17</c:f>
              <c:numCache>
                <c:formatCode>0.00_ </c:formatCode>
                <c:ptCount val="16"/>
                <c:pt idx="0">
                  <c:v>-9.8119999999999994</c:v>
                </c:pt>
                <c:pt idx="1">
                  <c:v>-11.112</c:v>
                </c:pt>
                <c:pt idx="2">
                  <c:v>-9.7850000000000001</c:v>
                </c:pt>
                <c:pt idx="3">
                  <c:v>-9.7409999999999997</c:v>
                </c:pt>
                <c:pt idx="4">
                  <c:v>-9.75</c:v>
                </c:pt>
                <c:pt idx="5">
                  <c:v>-9.0830000000000002</c:v>
                </c:pt>
                <c:pt idx="6">
                  <c:v>-9.8819999999999997</c:v>
                </c:pt>
                <c:pt idx="7">
                  <c:v>-7.6689999999999996</c:v>
                </c:pt>
                <c:pt idx="8">
                  <c:v>-7.8280000000000003</c:v>
                </c:pt>
                <c:pt idx="9">
                  <c:v>-8.4309999999999992</c:v>
                </c:pt>
                <c:pt idx="10">
                  <c:v>-11.246</c:v>
                </c:pt>
                <c:pt idx="11">
                  <c:v>-9.5389999999999997</c:v>
                </c:pt>
                <c:pt idx="12">
                  <c:v>-8.718</c:v>
                </c:pt>
                <c:pt idx="13">
                  <c:v>-7.8620000000000001</c:v>
                </c:pt>
                <c:pt idx="14">
                  <c:v>-7.0410000000000004</c:v>
                </c:pt>
                <c:pt idx="15">
                  <c:v>-8.1790000000000003</c:v>
                </c:pt>
              </c:numCache>
            </c:numRef>
          </c:xVal>
          <c:yVal>
            <c:numRef>
              <c:f>'CDK2'!$C$2:$C$17</c:f>
              <c:numCache>
                <c:formatCode>0.00_ </c:formatCode>
                <c:ptCount val="16"/>
                <c:pt idx="0">
                  <c:v>-14.119</c:v>
                </c:pt>
                <c:pt idx="1">
                  <c:v>-15.41</c:v>
                </c:pt>
                <c:pt idx="2">
                  <c:v>-13.691000000000001</c:v>
                </c:pt>
                <c:pt idx="3">
                  <c:v>-13.284000000000001</c:v>
                </c:pt>
                <c:pt idx="4">
                  <c:v>-14.183</c:v>
                </c:pt>
                <c:pt idx="5">
                  <c:v>-13.784000000000001</c:v>
                </c:pt>
                <c:pt idx="6">
                  <c:v>-15.396000000000001</c:v>
                </c:pt>
                <c:pt idx="7">
                  <c:v>-12.135</c:v>
                </c:pt>
                <c:pt idx="8">
                  <c:v>-10.146000000000001</c:v>
                </c:pt>
                <c:pt idx="9">
                  <c:v>-12.536</c:v>
                </c:pt>
                <c:pt idx="10">
                  <c:v>-15.298</c:v>
                </c:pt>
                <c:pt idx="11">
                  <c:v>-13.731999999999999</c:v>
                </c:pt>
                <c:pt idx="12">
                  <c:v>-12.407</c:v>
                </c:pt>
                <c:pt idx="13">
                  <c:v>-11.568</c:v>
                </c:pt>
                <c:pt idx="14">
                  <c:v>-11.778</c:v>
                </c:pt>
                <c:pt idx="15">
                  <c:v>-10.954000000000001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09632"/>
        <c:axId val="122344576"/>
      </c:scatterChart>
      <c:valAx>
        <c:axId val="122309632"/>
        <c:scaling>
          <c:orientation val="minMax"/>
          <c:max val="-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Experimental (kcal/mol)</a:t>
                </a:r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44576"/>
        <c:crosses val="autoZero"/>
        <c:crossBetween val="midCat"/>
      </c:valAx>
      <c:valAx>
        <c:axId val="122344576"/>
        <c:scaling>
          <c:orientation val="minMax"/>
          <c:max val="-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FEP Calculated (kcal/mol)</a:t>
                </a:r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09632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Correlation between MMPBSA and experimental energy</a:t>
            </a:r>
            <a:endParaRPr lang="en-US" altLang="zh-CN"/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Thrombin!$J$1</c:f>
              <c:strCache>
                <c:ptCount val="1"/>
                <c:pt idx="0">
                  <c:v>MMPBSA-cal(kcal/mol)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93866441762972"/>
                  <c:y val="-0.27503710691329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Thrombin!$B$2:$B$11</c:f>
              <c:numCache>
                <c:formatCode>0.00_ </c:formatCode>
                <c:ptCount val="10"/>
                <c:pt idx="0">
                  <c:v>-8.4600000000000009</c:v>
                </c:pt>
                <c:pt idx="1">
                  <c:v>-7.86</c:v>
                </c:pt>
                <c:pt idx="2">
                  <c:v>-7.48</c:v>
                </c:pt>
                <c:pt idx="3">
                  <c:v>-9.18</c:v>
                </c:pt>
                <c:pt idx="4">
                  <c:v>-8.2200000000000006</c:v>
                </c:pt>
                <c:pt idx="5">
                  <c:v>-8.32</c:v>
                </c:pt>
                <c:pt idx="6">
                  <c:v>-7.58</c:v>
                </c:pt>
                <c:pt idx="7">
                  <c:v>-8.89</c:v>
                </c:pt>
                <c:pt idx="8">
                  <c:v>-8.91</c:v>
                </c:pt>
                <c:pt idx="9">
                  <c:v>-8.56</c:v>
                </c:pt>
              </c:numCache>
            </c:numRef>
          </c:xVal>
          <c:yVal>
            <c:numRef>
              <c:f>Thrombin!$J$2:$J$11</c:f>
              <c:numCache>
                <c:formatCode>0.00_ </c:formatCode>
                <c:ptCount val="10"/>
                <c:pt idx="0">
                  <c:v>-24.85</c:v>
                </c:pt>
                <c:pt idx="1">
                  <c:v>-34.729999999999997</c:v>
                </c:pt>
                <c:pt idx="2">
                  <c:v>-24.32</c:v>
                </c:pt>
                <c:pt idx="3">
                  <c:v>-25.93</c:v>
                </c:pt>
                <c:pt idx="4">
                  <c:v>-29.86</c:v>
                </c:pt>
                <c:pt idx="5">
                  <c:v>-28.36</c:v>
                </c:pt>
                <c:pt idx="6">
                  <c:v>-25.52</c:v>
                </c:pt>
                <c:pt idx="7">
                  <c:v>-33.76</c:v>
                </c:pt>
                <c:pt idx="8">
                  <c:v>-26.3</c:v>
                </c:pt>
                <c:pt idx="9">
                  <c:v>-32.770000000000003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6560"/>
        <c:axId val="123368960"/>
      </c:scatterChart>
      <c:valAx>
        <c:axId val="123186560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Experimental (kcal/mol)</a:t>
                </a:r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68960"/>
        <c:crosses val="autoZero"/>
        <c:crossBetween val="midCat"/>
      </c:valAx>
      <c:valAx>
        <c:axId val="123368960"/>
        <c:scaling>
          <c:orientation val="minMax"/>
          <c:max val="-1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MMPBSA Calculated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86560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Correlation between MMGBSA and experimental energy</a:t>
            </a:r>
            <a:endParaRPr lang="en-US" altLang="zh-CN"/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Thrombin!$O$1</c:f>
              <c:strCache>
                <c:ptCount val="1"/>
                <c:pt idx="0">
                  <c:v>MMGBSA-cal(kcal/mol)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276624550954639"/>
                  <c:y val="-0.2543873290101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Thrombin!$B$2:$B$11</c:f>
              <c:numCache>
                <c:formatCode>0.00_ </c:formatCode>
                <c:ptCount val="10"/>
                <c:pt idx="0">
                  <c:v>-8.4600000000000009</c:v>
                </c:pt>
                <c:pt idx="1">
                  <c:v>-7.86</c:v>
                </c:pt>
                <c:pt idx="2">
                  <c:v>-7.48</c:v>
                </c:pt>
                <c:pt idx="3">
                  <c:v>-9.18</c:v>
                </c:pt>
                <c:pt idx="4">
                  <c:v>-8.2200000000000006</c:v>
                </c:pt>
                <c:pt idx="5">
                  <c:v>-8.32</c:v>
                </c:pt>
                <c:pt idx="6">
                  <c:v>-7.58</c:v>
                </c:pt>
                <c:pt idx="7">
                  <c:v>-8.89</c:v>
                </c:pt>
                <c:pt idx="8">
                  <c:v>-8.91</c:v>
                </c:pt>
                <c:pt idx="9">
                  <c:v>-8.56</c:v>
                </c:pt>
              </c:numCache>
            </c:numRef>
          </c:xVal>
          <c:yVal>
            <c:numRef>
              <c:f>Thrombin!$O$2:$O$11</c:f>
              <c:numCache>
                <c:formatCode>0.00_ </c:formatCode>
                <c:ptCount val="10"/>
                <c:pt idx="0">
                  <c:v>-36.4</c:v>
                </c:pt>
                <c:pt idx="1">
                  <c:v>-37.549999999999997</c:v>
                </c:pt>
                <c:pt idx="2">
                  <c:v>-33.46</c:v>
                </c:pt>
                <c:pt idx="3">
                  <c:v>-36.549999999999997</c:v>
                </c:pt>
                <c:pt idx="4">
                  <c:v>-38.4</c:v>
                </c:pt>
                <c:pt idx="5">
                  <c:v>-33.049999999999997</c:v>
                </c:pt>
                <c:pt idx="6">
                  <c:v>-33.42</c:v>
                </c:pt>
                <c:pt idx="7">
                  <c:v>-38.85</c:v>
                </c:pt>
                <c:pt idx="8">
                  <c:v>-32.51</c:v>
                </c:pt>
                <c:pt idx="9">
                  <c:v>-38.479999999999997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7392"/>
        <c:axId val="127161856"/>
      </c:scatterChart>
      <c:valAx>
        <c:axId val="127147392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Experimental (kcal/mol)</a:t>
                </a:r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61856"/>
        <c:crosses val="autoZero"/>
        <c:crossBetween val="midCat"/>
      </c:valAx>
      <c:valAx>
        <c:axId val="127161856"/>
        <c:scaling>
          <c:orientation val="minMax"/>
          <c:max val="-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MMGBSA Calculated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7392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Correlation between FEP and experimental energy</a:t>
            </a:r>
            <a:endParaRPr lang="en-US" altLang="zh-CN"/>
          </a:p>
        </c:rich>
      </c:tx>
      <c:layout>
        <c:manualLayout>
          <c:xMode val="edge"/>
          <c:yMode val="edge"/>
          <c:x val="0.16385854951365614"/>
          <c:y val="2.4637995767122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7881424195448"/>
          <c:y val="0.13920620154028379"/>
          <c:w val="0.76503325011182355"/>
          <c:h val="0.7236121187650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Thrombin!$C$1</c:f>
              <c:strCache>
                <c:ptCount val="1"/>
                <c:pt idx="0">
                  <c:v>FEP-cal(kcal/mol)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63588808220487E-3"/>
                  <c:y val="-0.1489775893397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17555972962615"/>
                  <c:y val="-0.20710316780796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Thrombin!$B$2:$B$11</c:f>
              <c:numCache>
                <c:formatCode>0.00_ </c:formatCode>
                <c:ptCount val="10"/>
                <c:pt idx="0">
                  <c:v>-8.4600000000000009</c:v>
                </c:pt>
                <c:pt idx="1">
                  <c:v>-7.86</c:v>
                </c:pt>
                <c:pt idx="2">
                  <c:v>-7.48</c:v>
                </c:pt>
                <c:pt idx="3">
                  <c:v>-9.18</c:v>
                </c:pt>
                <c:pt idx="4">
                  <c:v>-8.2200000000000006</c:v>
                </c:pt>
                <c:pt idx="5">
                  <c:v>-8.32</c:v>
                </c:pt>
                <c:pt idx="6">
                  <c:v>-7.58</c:v>
                </c:pt>
                <c:pt idx="7">
                  <c:v>-8.89</c:v>
                </c:pt>
                <c:pt idx="8">
                  <c:v>-8.91</c:v>
                </c:pt>
                <c:pt idx="9">
                  <c:v>-8.56</c:v>
                </c:pt>
              </c:numCache>
            </c:numRef>
          </c:xVal>
          <c:yVal>
            <c:numRef>
              <c:f>Thrombin!$C$2:$C$11</c:f>
              <c:numCache>
                <c:formatCode>0.00_ </c:formatCode>
                <c:ptCount val="10"/>
                <c:pt idx="0">
                  <c:v>-12.930999999999999</c:v>
                </c:pt>
                <c:pt idx="1">
                  <c:v>-12.356999999999999</c:v>
                </c:pt>
                <c:pt idx="2">
                  <c:v>-13.042999999999999</c:v>
                </c:pt>
                <c:pt idx="3">
                  <c:v>-15.239000000000001</c:v>
                </c:pt>
                <c:pt idx="4">
                  <c:v>-14.089</c:v>
                </c:pt>
                <c:pt idx="5">
                  <c:v>-13.196999999999999</c:v>
                </c:pt>
                <c:pt idx="6">
                  <c:v>-12.436</c:v>
                </c:pt>
                <c:pt idx="7">
                  <c:v>-13.696999999999999</c:v>
                </c:pt>
                <c:pt idx="8">
                  <c:v>-13.111000000000001</c:v>
                </c:pt>
                <c:pt idx="9">
                  <c:v>-13.513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96-4F85-9FFE-C2376A56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94848"/>
        <c:axId val="127301120"/>
      </c:scatterChart>
      <c:valAx>
        <c:axId val="127294848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Experimental (kcal/mol)</a:t>
                </a:r>
              </a:p>
            </c:rich>
          </c:tx>
          <c:layout>
            <c:manualLayout>
              <c:xMode val="edge"/>
              <c:yMode val="edge"/>
              <c:x val="0.35642995793666055"/>
              <c:y val="0.93519215475821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1120"/>
        <c:crosses val="autoZero"/>
        <c:crossBetween val="midCat"/>
      </c:valAx>
      <c:valAx>
        <c:axId val="127301120"/>
        <c:scaling>
          <c:orientation val="minMax"/>
          <c:max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FEP Calculated (kcal/mol)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7744233607192898E-2"/>
              <c:y val="0.276217391260312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94848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191107</xdr:colOff>
      <xdr:row>45</xdr:row>
      <xdr:rowOff>104587</xdr:rowOff>
    </xdr:from>
    <xdr:to>
      <xdr:col>10</xdr:col>
      <xdr:colOff>26964</xdr:colOff>
      <xdr:row>63</xdr:row>
      <xdr:rowOff>78873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257534</xdr:colOff>
      <xdr:row>45</xdr:row>
      <xdr:rowOff>117577</xdr:rowOff>
    </xdr:from>
    <xdr:to>
      <xdr:col>14</xdr:col>
      <xdr:colOff>782820</xdr:colOff>
      <xdr:row>63</xdr:row>
      <xdr:rowOff>91863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276412</xdr:colOff>
      <xdr:row>45</xdr:row>
      <xdr:rowOff>108361</xdr:rowOff>
    </xdr:from>
    <xdr:to>
      <xdr:col>4</xdr:col>
      <xdr:colOff>1055698</xdr:colOff>
      <xdr:row>63</xdr:row>
      <xdr:rowOff>82647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1039811</xdr:colOff>
      <xdr:row>36</xdr:row>
      <xdr:rowOff>71531</xdr:rowOff>
    </xdr:from>
    <xdr:to>
      <xdr:col>9</xdr:col>
      <xdr:colOff>594987</xdr:colOff>
      <xdr:row>54</xdr:row>
      <xdr:rowOff>84237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796646</xdr:colOff>
      <xdr:row>36</xdr:row>
      <xdr:rowOff>91888</xdr:rowOff>
    </xdr:from>
    <xdr:to>
      <xdr:col>13</xdr:col>
      <xdr:colOff>1024175</xdr:colOff>
      <xdr:row>54</xdr:row>
      <xdr:rowOff>104594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36</xdr:row>
      <xdr:rowOff>66675</xdr:rowOff>
    </xdr:from>
    <xdr:to>
      <xdr:col>4</xdr:col>
      <xdr:colOff>833021</xdr:colOff>
      <xdr:row>54</xdr:row>
      <xdr:rowOff>79381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763814</xdr:colOff>
      <xdr:row>24</xdr:row>
      <xdr:rowOff>110219</xdr:rowOff>
    </xdr:from>
    <xdr:to>
      <xdr:col>9</xdr:col>
      <xdr:colOff>859114</xdr:colOff>
      <xdr:row>42</xdr:row>
      <xdr:rowOff>149819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1052512</xdr:colOff>
      <xdr:row>24</xdr:row>
      <xdr:rowOff>111579</xdr:rowOff>
    </xdr:from>
    <xdr:to>
      <xdr:col>14</xdr:col>
      <xdr:colOff>252462</xdr:colOff>
      <xdr:row>42</xdr:row>
      <xdr:rowOff>151179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176211</xdr:colOff>
      <xdr:row>24</xdr:row>
      <xdr:rowOff>95250</xdr:rowOff>
    </xdr:from>
    <xdr:to>
      <xdr:col>4</xdr:col>
      <xdr:colOff>576311</xdr:colOff>
      <xdr:row>42</xdr:row>
      <xdr:rowOff>134850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1025754</xdr:colOff>
      <xdr:row>39</xdr:row>
      <xdr:rowOff>98425</xdr:rowOff>
    </xdr:from>
    <xdr:to>
      <xdr:col>9</xdr:col>
      <xdr:colOff>1480282</xdr:colOff>
      <xdr:row>57</xdr:row>
      <xdr:rowOff>138025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90488</xdr:colOff>
      <xdr:row>39</xdr:row>
      <xdr:rowOff>95250</xdr:rowOff>
    </xdr:from>
    <xdr:to>
      <xdr:col>4</xdr:col>
      <xdr:colOff>820788</xdr:colOff>
      <xdr:row>57</xdr:row>
      <xdr:rowOff>134850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182562</xdr:colOff>
      <xdr:row>39</xdr:row>
      <xdr:rowOff>117473</xdr:rowOff>
    </xdr:from>
    <xdr:to>
      <xdr:col>14</xdr:col>
      <xdr:colOff>1319262</xdr:colOff>
      <xdr:row>57</xdr:row>
      <xdr:rowOff>157073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785812</xdr:colOff>
      <xdr:row>40</xdr:row>
      <xdr:rowOff>15873</xdr:rowOff>
    </xdr:from>
    <xdr:to>
      <xdr:col>10</xdr:col>
      <xdr:colOff>220712</xdr:colOff>
      <xdr:row>58</xdr:row>
      <xdr:rowOff>55473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433388</xdr:colOff>
      <xdr:row>40</xdr:row>
      <xdr:rowOff>3176</xdr:rowOff>
    </xdr:from>
    <xdr:to>
      <xdr:col>14</xdr:col>
      <xdr:colOff>954138</xdr:colOff>
      <xdr:row>58</xdr:row>
      <xdr:rowOff>42776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268287</xdr:colOff>
      <xdr:row>40</xdr:row>
      <xdr:rowOff>9524</xdr:rowOff>
    </xdr:from>
    <xdr:to>
      <xdr:col>5</xdr:col>
      <xdr:colOff>554087</xdr:colOff>
      <xdr:row>58</xdr:row>
      <xdr:rowOff>49124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639760</xdr:colOff>
      <xdr:row>28</xdr:row>
      <xdr:rowOff>111124</xdr:rowOff>
    </xdr:from>
    <xdr:to>
      <xdr:col>9</xdr:col>
      <xdr:colOff>887460</xdr:colOff>
      <xdr:row>46</xdr:row>
      <xdr:rowOff>150724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204787</xdr:colOff>
      <xdr:row>20</xdr:row>
      <xdr:rowOff>138112</xdr:rowOff>
    </xdr:from>
    <xdr:to>
      <xdr:col>33</xdr:col>
      <xdr:colOff>38100</xdr:colOff>
      <xdr:row>35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153988</xdr:colOff>
      <xdr:row>28</xdr:row>
      <xdr:rowOff>88900</xdr:rowOff>
    </xdr:from>
    <xdr:to>
      <xdr:col>4</xdr:col>
      <xdr:colOff>496938</xdr:colOff>
      <xdr:row>46</xdr:row>
      <xdr:rowOff>128500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1054099</xdr:colOff>
      <xdr:row>28</xdr:row>
      <xdr:rowOff>107950</xdr:rowOff>
    </xdr:from>
    <xdr:to>
      <xdr:col>16</xdr:col>
      <xdr:colOff>495349</xdr:colOff>
      <xdr:row>46</xdr:row>
      <xdr:rowOff>147550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128588</xdr:colOff>
      <xdr:row>23</xdr:row>
      <xdr:rowOff>22067</xdr:rowOff>
    </xdr:from>
    <xdr:to>
      <xdr:col>5</xdr:col>
      <xdr:colOff>73302</xdr:colOff>
      <xdr:row>40</xdr:row>
      <xdr:rowOff>177781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266018</xdr:colOff>
      <xdr:row>23</xdr:row>
      <xdr:rowOff>19503</xdr:rowOff>
    </xdr:from>
    <xdr:to>
      <xdr:col>10</xdr:col>
      <xdr:colOff>110947</xdr:colOff>
      <xdr:row>40</xdr:row>
      <xdr:rowOff>175217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317726</xdr:colOff>
      <xdr:row>23</xdr:row>
      <xdr:rowOff>29935</xdr:rowOff>
    </xdr:from>
    <xdr:to>
      <xdr:col>18</xdr:col>
      <xdr:colOff>135440</xdr:colOff>
      <xdr:row>41</xdr:row>
      <xdr:rowOff>4221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147636</xdr:colOff>
      <xdr:row>13</xdr:row>
      <xdr:rowOff>76200</xdr:rowOff>
    </xdr:from>
    <xdr:to>
      <xdr:col>4</xdr:col>
      <xdr:colOff>723900</xdr:colOff>
      <xdr:row>31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F9" sqref="F9"/>
    </sheetView>
  </sheetViews>
  <sheetFormatPr defaultRowHeight="15"/>
  <cols>
    <col min="1" max="1" width="8.75" style="20"/>
    <col min="2" max="2" width="10.25" style="20" bestFit="1" customWidth="1"/>
    <col min="3" max="3" width="117.5" style="20" customWidth="1"/>
  </cols>
  <sheetData>
    <row r="1" spans="1:3" ht="18.75">
      <c r="A1" s="26"/>
      <c r="B1" s="27" t="s">
        <v>260</v>
      </c>
      <c r="C1" s="27" t="s">
        <v>289</v>
      </c>
    </row>
    <row r="2" spans="1:3" ht="39.75" customHeight="1">
      <c r="A2" s="26" t="s">
        <v>258</v>
      </c>
      <c r="B2" s="26" t="s">
        <v>259</v>
      </c>
      <c r="C2" s="28" t="s">
        <v>281</v>
      </c>
    </row>
    <row r="3" spans="1:3" ht="39.75" customHeight="1">
      <c r="A3" s="26" t="s">
        <v>261</v>
      </c>
      <c r="B3" s="26" t="s">
        <v>262</v>
      </c>
      <c r="C3" s="28" t="s">
        <v>282</v>
      </c>
    </row>
    <row r="4" spans="1:3" ht="39.75" customHeight="1">
      <c r="A4" s="26" t="s">
        <v>263</v>
      </c>
      <c r="B4" s="26" t="s">
        <v>271</v>
      </c>
      <c r="C4" s="28" t="s">
        <v>283</v>
      </c>
    </row>
    <row r="5" spans="1:3" ht="39.75" customHeight="1">
      <c r="A5" s="26" t="s">
        <v>264</v>
      </c>
      <c r="B5" s="26" t="s">
        <v>272</v>
      </c>
      <c r="C5" s="28" t="s">
        <v>284</v>
      </c>
    </row>
    <row r="6" spans="1:3" ht="39.75" customHeight="1">
      <c r="A6" s="26" t="s">
        <v>265</v>
      </c>
      <c r="B6" s="26" t="s">
        <v>273</v>
      </c>
      <c r="C6" s="28" t="s">
        <v>285</v>
      </c>
    </row>
    <row r="7" spans="1:3" ht="39.75" customHeight="1">
      <c r="A7" s="26" t="s">
        <v>266</v>
      </c>
      <c r="B7" s="26" t="s">
        <v>274</v>
      </c>
      <c r="C7" s="28" t="s">
        <v>286</v>
      </c>
    </row>
    <row r="8" spans="1:3" ht="39.75" customHeight="1">
      <c r="A8" s="26" t="s">
        <v>267</v>
      </c>
      <c r="B8" s="26" t="s">
        <v>275</v>
      </c>
      <c r="C8" s="28" t="s">
        <v>287</v>
      </c>
    </row>
    <row r="9" spans="1:3" ht="39.75" customHeight="1">
      <c r="A9" s="26" t="s">
        <v>268</v>
      </c>
      <c r="B9" s="26" t="s">
        <v>276</v>
      </c>
      <c r="C9" s="28" t="s">
        <v>288</v>
      </c>
    </row>
    <row r="10" spans="1:3" ht="39.75" customHeight="1">
      <c r="A10" s="26" t="s">
        <v>269</v>
      </c>
      <c r="B10" s="26" t="s">
        <v>277</v>
      </c>
      <c r="C10" s="28" t="s">
        <v>290</v>
      </c>
    </row>
    <row r="11" spans="1:3" ht="39.75" customHeight="1">
      <c r="A11" s="26" t="s">
        <v>270</v>
      </c>
      <c r="B11" s="26" t="s">
        <v>278</v>
      </c>
      <c r="C11" s="28" t="s">
        <v>291</v>
      </c>
    </row>
    <row r="12" spans="1:3" ht="39.75" customHeight="1">
      <c r="A12" s="26" t="s">
        <v>279</v>
      </c>
      <c r="B12" s="26" t="s">
        <v>280</v>
      </c>
      <c r="C12" s="28" t="s">
        <v>292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/>
  </sheetViews>
  <sheetFormatPr defaultColWidth="9" defaultRowHeight="15"/>
  <cols>
    <col min="1" max="1" width="9" style="23"/>
    <col min="2" max="3" width="9" style="22"/>
    <col min="4" max="4" width="14.875" style="20" bestFit="1" customWidth="1"/>
    <col min="5" max="5" width="11.375" style="20" bestFit="1" customWidth="1"/>
    <col min="6" max="6" width="9.375" style="20" bestFit="1" customWidth="1"/>
    <col min="7" max="7" width="8.375" style="20" bestFit="1" customWidth="1"/>
    <col min="8" max="8" width="9" style="20"/>
    <col min="9" max="9" width="14.375" style="20" bestFit="1" customWidth="1"/>
    <col min="10" max="10" width="11.375" style="20" bestFit="1" customWidth="1"/>
    <col min="11" max="11" width="9.375" style="20" bestFit="1" customWidth="1"/>
    <col min="12" max="12" width="8.375" style="20" bestFit="1" customWidth="1"/>
    <col min="13" max="13" width="9" style="20"/>
    <col min="14" max="14" width="14.375" style="20" bestFit="1" customWidth="1"/>
    <col min="15" max="15" width="11.375" style="20" bestFit="1" customWidth="1"/>
    <col min="16" max="16" width="9.375" style="20" bestFit="1" customWidth="1"/>
    <col min="17" max="17" width="8.5" style="20" bestFit="1" customWidth="1"/>
    <col min="18" max="18" width="9" style="20"/>
    <col min="19" max="19" width="11.375" style="20" bestFit="1" customWidth="1"/>
    <col min="20" max="20" width="9.375" style="20" bestFit="1" customWidth="1"/>
    <col min="21" max="21" width="8.375" style="20" bestFit="1" customWidth="1"/>
    <col min="22" max="16384" width="9" style="20"/>
  </cols>
  <sheetData>
    <row r="1" spans="1:21" ht="13.5" customHeight="1">
      <c r="D1" s="25" t="s">
        <v>248</v>
      </c>
      <c r="E1" s="25"/>
      <c r="F1" s="25"/>
      <c r="G1" s="25"/>
      <c r="I1" s="25" t="s">
        <v>249</v>
      </c>
      <c r="J1" s="25"/>
      <c r="K1" s="25"/>
      <c r="L1" s="25"/>
      <c r="N1" s="25" t="s">
        <v>250</v>
      </c>
      <c r="O1" s="25"/>
      <c r="P1" s="25"/>
      <c r="Q1" s="25"/>
      <c r="S1" s="25" t="s">
        <v>255</v>
      </c>
      <c r="T1" s="25"/>
      <c r="U1" s="25"/>
    </row>
    <row r="2" spans="1:21">
      <c r="D2" s="25"/>
      <c r="E2" s="25"/>
      <c r="F2" s="25"/>
      <c r="G2" s="25"/>
      <c r="I2" s="25"/>
      <c r="J2" s="25"/>
      <c r="K2" s="25"/>
      <c r="L2" s="25"/>
      <c r="N2" s="25"/>
      <c r="O2" s="25"/>
      <c r="P2" s="25"/>
      <c r="Q2" s="25"/>
      <c r="S2" s="25"/>
      <c r="T2" s="25"/>
      <c r="U2" s="25"/>
    </row>
    <row r="3" spans="1:21">
      <c r="A3" s="23" t="s">
        <v>246</v>
      </c>
      <c r="B3" s="22" t="s">
        <v>247</v>
      </c>
      <c r="D3" s="21" t="s">
        <v>245</v>
      </c>
      <c r="E3" s="21" t="s">
        <v>238</v>
      </c>
      <c r="F3" s="21" t="s">
        <v>239</v>
      </c>
      <c r="G3" s="21" t="s">
        <v>240</v>
      </c>
      <c r="I3" s="21" t="s">
        <v>245</v>
      </c>
      <c r="J3" s="21" t="s">
        <v>238</v>
      </c>
      <c r="K3" s="21" t="s">
        <v>239</v>
      </c>
      <c r="L3" s="21" t="s">
        <v>240</v>
      </c>
      <c r="N3" s="21" t="s">
        <v>245</v>
      </c>
      <c r="O3" s="21" t="s">
        <v>238</v>
      </c>
      <c r="P3" s="21" t="s">
        <v>239</v>
      </c>
      <c r="Q3" s="21" t="s">
        <v>240</v>
      </c>
      <c r="S3" s="21" t="s">
        <v>238</v>
      </c>
      <c r="T3" s="21" t="s">
        <v>239</v>
      </c>
      <c r="U3" s="21" t="s">
        <v>240</v>
      </c>
    </row>
    <row r="4" spans="1:21">
      <c r="A4" s="23">
        <v>0</v>
      </c>
      <c r="B4" s="22">
        <v>0</v>
      </c>
      <c r="D4" s="20" t="s">
        <v>106</v>
      </c>
      <c r="E4" s="20">
        <v>0</v>
      </c>
      <c r="F4" s="20">
        <v>0</v>
      </c>
      <c r="G4" s="20">
        <v>0</v>
      </c>
      <c r="I4" s="20" t="s">
        <v>106</v>
      </c>
      <c r="J4" s="20">
        <v>0</v>
      </c>
      <c r="K4" s="20">
        <v>0</v>
      </c>
      <c r="L4" s="20">
        <v>0</v>
      </c>
      <c r="N4" s="20" t="s">
        <v>251</v>
      </c>
      <c r="O4" s="20">
        <v>0</v>
      </c>
      <c r="P4" s="20">
        <v>0</v>
      </c>
      <c r="Q4" s="20">
        <v>0</v>
      </c>
      <c r="S4" s="20">
        <v>0</v>
      </c>
      <c r="T4" s="20">
        <v>0</v>
      </c>
      <c r="U4" s="20">
        <v>0</v>
      </c>
    </row>
    <row r="5" spans="1:21">
      <c r="A5" s="23">
        <v>0.05</v>
      </c>
      <c r="B5" s="22">
        <v>0</v>
      </c>
      <c r="D5" s="20" t="s">
        <v>126</v>
      </c>
      <c r="E5" s="20">
        <v>28.791</v>
      </c>
      <c r="F5" s="20">
        <v>29.524999999999999</v>
      </c>
      <c r="G5" s="20">
        <v>0.73399999999999999</v>
      </c>
    </row>
    <row r="6" spans="1:21">
      <c r="A6" s="23">
        <v>0.1</v>
      </c>
      <c r="B6" s="22">
        <v>0</v>
      </c>
      <c r="D6" s="20" t="s">
        <v>127</v>
      </c>
      <c r="E6" s="20">
        <v>56.043999999999997</v>
      </c>
      <c r="F6" s="20">
        <v>57.329000000000001</v>
      </c>
      <c r="G6" s="20">
        <v>1.2849999999999999</v>
      </c>
      <c r="I6" s="20" t="s">
        <v>107</v>
      </c>
      <c r="J6" s="20">
        <v>56.000999999999998</v>
      </c>
      <c r="K6" s="20">
        <v>57.293999999999997</v>
      </c>
      <c r="L6" s="20">
        <v>1.2929999999999999</v>
      </c>
    </row>
    <row r="7" spans="1:21">
      <c r="A7" s="23">
        <v>0.15</v>
      </c>
      <c r="B7" s="22">
        <v>0</v>
      </c>
      <c r="D7" s="20" t="s">
        <v>128</v>
      </c>
      <c r="E7" s="20">
        <v>81.77</v>
      </c>
      <c r="F7" s="20">
        <v>83.522999999999996</v>
      </c>
      <c r="G7" s="20">
        <v>1.7529999999999999</v>
      </c>
    </row>
    <row r="8" spans="1:21">
      <c r="A8" s="23">
        <v>0.2</v>
      </c>
      <c r="B8" s="22">
        <v>0</v>
      </c>
      <c r="D8" s="20" t="s">
        <v>129</v>
      </c>
      <c r="E8" s="20">
        <v>105.93600000000001</v>
      </c>
      <c r="F8" s="20">
        <v>108.121</v>
      </c>
      <c r="G8" s="20">
        <v>2.1850000000000001</v>
      </c>
      <c r="I8" s="20" t="s">
        <v>108</v>
      </c>
      <c r="J8" s="20">
        <v>105.93600000000001</v>
      </c>
      <c r="K8" s="20">
        <v>108.093</v>
      </c>
      <c r="L8" s="20">
        <v>2.157</v>
      </c>
      <c r="N8" s="20" t="s">
        <v>252</v>
      </c>
      <c r="O8" s="20">
        <v>105.992</v>
      </c>
      <c r="P8" s="20">
        <v>109.03400000000001</v>
      </c>
      <c r="Q8" s="20">
        <v>3.0419999999999998</v>
      </c>
      <c r="S8" s="20">
        <v>105.932</v>
      </c>
      <c r="T8" s="20">
        <v>108.24</v>
      </c>
      <c r="U8" s="20">
        <v>2.3079999999999998</v>
      </c>
    </row>
    <row r="9" spans="1:21">
      <c r="A9" s="23">
        <v>0.25</v>
      </c>
      <c r="B9" s="22">
        <v>0</v>
      </c>
      <c r="D9" s="20" t="s">
        <v>130</v>
      </c>
      <c r="E9" s="20">
        <v>128.6</v>
      </c>
      <c r="F9" s="20">
        <v>131.108</v>
      </c>
      <c r="G9" s="20">
        <v>2.508</v>
      </c>
      <c r="S9" s="20" t="s">
        <v>254</v>
      </c>
      <c r="T9" s="20" t="s">
        <v>254</v>
      </c>
      <c r="U9" s="20" t="s">
        <v>254</v>
      </c>
    </row>
    <row r="10" spans="1:21">
      <c r="A10" s="23">
        <v>0.3</v>
      </c>
      <c r="B10" s="22">
        <v>0</v>
      </c>
      <c r="D10" s="20" t="s">
        <v>131</v>
      </c>
      <c r="E10" s="20">
        <v>149.833</v>
      </c>
      <c r="F10" s="20">
        <v>152.49199999999999</v>
      </c>
      <c r="G10" s="20">
        <v>2.6589999999999998</v>
      </c>
      <c r="I10" s="20" t="s">
        <v>109</v>
      </c>
      <c r="J10" s="20">
        <v>149.886</v>
      </c>
      <c r="K10" s="20">
        <v>152.482</v>
      </c>
      <c r="L10" s="20">
        <v>2.5960000000000001</v>
      </c>
    </row>
    <row r="11" spans="1:21">
      <c r="A11" s="23">
        <v>0.35</v>
      </c>
      <c r="B11" s="22">
        <v>0</v>
      </c>
      <c r="D11" s="20" t="s">
        <v>132</v>
      </c>
      <c r="E11" s="20">
        <v>169.62</v>
      </c>
      <c r="F11" s="20">
        <v>172.298</v>
      </c>
      <c r="G11" s="20">
        <v>2.6779999999999999</v>
      </c>
    </row>
    <row r="12" spans="1:21">
      <c r="A12" s="23">
        <v>0.4</v>
      </c>
      <c r="B12" s="22">
        <v>0</v>
      </c>
      <c r="D12" s="20" t="s">
        <v>133</v>
      </c>
      <c r="E12" s="20">
        <v>187.83</v>
      </c>
      <c r="F12" s="20">
        <v>190.565</v>
      </c>
      <c r="G12" s="20">
        <v>2.7349999999999999</v>
      </c>
      <c r="I12" s="20" t="s">
        <v>110</v>
      </c>
      <c r="J12" s="20">
        <v>187.94399999999999</v>
      </c>
      <c r="K12" s="20">
        <v>190.45500000000001</v>
      </c>
      <c r="L12" s="20">
        <v>2.5110000000000001</v>
      </c>
      <c r="N12" s="20" t="s">
        <v>253</v>
      </c>
      <c r="O12" s="20">
        <v>187.92699999999999</v>
      </c>
      <c r="P12" s="20">
        <v>191.69200000000001</v>
      </c>
      <c r="Q12" s="20">
        <v>3.7650000000000001</v>
      </c>
      <c r="S12" s="20">
        <v>187.69300000000001</v>
      </c>
      <c r="T12" s="20">
        <v>190.60300000000001</v>
      </c>
      <c r="U12" s="20">
        <v>2.91</v>
      </c>
    </row>
    <row r="13" spans="1:21">
      <c r="A13" s="23">
        <v>0.45</v>
      </c>
      <c r="B13" s="22">
        <v>0</v>
      </c>
      <c r="D13" s="20" t="s">
        <v>134</v>
      </c>
      <c r="E13" s="20">
        <v>204.59</v>
      </c>
      <c r="F13" s="20">
        <v>207.26599999999999</v>
      </c>
      <c r="G13" s="20">
        <v>2.6760000000000002</v>
      </c>
      <c r="S13" s="20" t="s">
        <v>254</v>
      </c>
      <c r="T13" s="20" t="s">
        <v>254</v>
      </c>
      <c r="U13" s="20" t="s">
        <v>254</v>
      </c>
    </row>
    <row r="14" spans="1:21">
      <c r="A14" s="23">
        <v>0.5</v>
      </c>
      <c r="B14" s="22">
        <v>0</v>
      </c>
      <c r="D14" s="20" t="s">
        <v>135</v>
      </c>
      <c r="E14" s="20">
        <v>219.988</v>
      </c>
      <c r="F14" s="20">
        <v>222.429</v>
      </c>
      <c r="G14" s="20">
        <v>2.4409999999999998</v>
      </c>
      <c r="I14" s="20" t="s">
        <v>111</v>
      </c>
      <c r="J14" s="20">
        <v>220.15899999999999</v>
      </c>
      <c r="K14" s="20">
        <v>222.27199999999999</v>
      </c>
      <c r="L14" s="20">
        <v>2.113</v>
      </c>
    </row>
    <row r="15" spans="1:21">
      <c r="A15" s="23">
        <v>0.55000000000000004</v>
      </c>
      <c r="B15" s="22">
        <v>0</v>
      </c>
      <c r="D15" s="20" t="s">
        <v>136</v>
      </c>
      <c r="E15" s="20">
        <v>233.97300000000001</v>
      </c>
      <c r="F15" s="20">
        <v>236.09</v>
      </c>
      <c r="G15" s="20">
        <v>2.117</v>
      </c>
    </row>
    <row r="16" spans="1:21">
      <c r="A16" s="23">
        <v>0.6</v>
      </c>
      <c r="B16" s="22">
        <v>0</v>
      </c>
      <c r="D16" s="20" t="s">
        <v>137</v>
      </c>
      <c r="E16" s="20">
        <v>246.512</v>
      </c>
      <c r="F16" s="20">
        <v>248.24700000000001</v>
      </c>
      <c r="G16" s="20">
        <v>1.7350000000000001</v>
      </c>
      <c r="I16" s="20" t="s">
        <v>112</v>
      </c>
      <c r="J16" s="20">
        <v>246.55500000000001</v>
      </c>
      <c r="K16" s="20">
        <v>248.1</v>
      </c>
      <c r="L16" s="20">
        <v>1.5449999999999999</v>
      </c>
      <c r="N16" s="20" t="s">
        <v>242</v>
      </c>
      <c r="O16" s="20">
        <v>246.68199999999999</v>
      </c>
      <c r="P16" s="20">
        <v>249.45</v>
      </c>
      <c r="Q16" s="20">
        <v>2.7679999999999998</v>
      </c>
      <c r="S16" s="20">
        <v>246.43299999999999</v>
      </c>
      <c r="T16" s="20">
        <v>248.25800000000001</v>
      </c>
      <c r="U16" s="20">
        <v>1.825</v>
      </c>
    </row>
    <row r="17" spans="1:21">
      <c r="A17" s="23">
        <v>0.65</v>
      </c>
      <c r="B17" s="22">
        <v>0</v>
      </c>
      <c r="D17" s="20" t="s">
        <v>138</v>
      </c>
      <c r="E17" s="20">
        <v>257.63299999999998</v>
      </c>
      <c r="F17" s="20">
        <v>258.92500000000001</v>
      </c>
      <c r="G17" s="20">
        <v>1.292</v>
      </c>
      <c r="S17" s="20" t="s">
        <v>254</v>
      </c>
      <c r="T17" s="20" t="s">
        <v>254</v>
      </c>
      <c r="U17" s="20" t="s">
        <v>254</v>
      </c>
    </row>
    <row r="18" spans="1:21">
      <c r="A18" s="23">
        <v>0.7</v>
      </c>
      <c r="B18" s="22">
        <v>0</v>
      </c>
      <c r="D18" s="20" t="s">
        <v>139</v>
      </c>
      <c r="E18" s="20">
        <v>267.29700000000003</v>
      </c>
      <c r="F18" s="20">
        <v>268.166</v>
      </c>
      <c r="G18" s="20">
        <v>0.86899999999999999</v>
      </c>
      <c r="I18" s="20" t="s">
        <v>113</v>
      </c>
      <c r="J18" s="20">
        <v>267.31400000000002</v>
      </c>
      <c r="K18" s="20">
        <v>268.08499999999998</v>
      </c>
      <c r="L18" s="20">
        <v>0.77100000000000002</v>
      </c>
    </row>
    <row r="19" spans="1:21">
      <c r="A19" s="23">
        <v>0.75</v>
      </c>
      <c r="B19" s="22">
        <v>0</v>
      </c>
      <c r="D19" s="20" t="s">
        <v>140</v>
      </c>
      <c r="E19" s="20">
        <v>275.49099999999999</v>
      </c>
      <c r="F19" s="20">
        <v>275.96300000000002</v>
      </c>
      <c r="G19" s="20">
        <v>0.47199999999999998</v>
      </c>
    </row>
    <row r="20" spans="1:21">
      <c r="A20" s="23">
        <v>0.8</v>
      </c>
      <c r="B20" s="22">
        <v>0</v>
      </c>
      <c r="D20" s="20" t="s">
        <v>141</v>
      </c>
      <c r="E20" s="20">
        <v>282.27800000000002</v>
      </c>
      <c r="F20" s="20">
        <v>282.33100000000002</v>
      </c>
      <c r="G20" s="20">
        <v>5.2999999999999999E-2</v>
      </c>
      <c r="I20" s="20" t="s">
        <v>114</v>
      </c>
      <c r="J20" s="20">
        <v>282.5</v>
      </c>
      <c r="K20" s="20">
        <v>282.274</v>
      </c>
      <c r="L20" s="20">
        <v>-0.22600000000000001</v>
      </c>
      <c r="N20" s="20" t="s">
        <v>100</v>
      </c>
      <c r="O20" s="20">
        <v>282.75799999999998</v>
      </c>
      <c r="P20" s="20">
        <v>283.55700000000002</v>
      </c>
      <c r="Q20" s="20">
        <v>0.79900000000000004</v>
      </c>
      <c r="S20" s="20">
        <v>282.22000000000003</v>
      </c>
      <c r="T20" s="20">
        <v>282.38200000000001</v>
      </c>
      <c r="U20" s="20">
        <v>0.16200000000000001</v>
      </c>
    </row>
    <row r="21" spans="1:21">
      <c r="A21" s="23">
        <v>0.85</v>
      </c>
      <c r="B21" s="22">
        <v>0</v>
      </c>
      <c r="D21" s="20" t="s">
        <v>142</v>
      </c>
      <c r="E21" s="20">
        <v>287.47699999999998</v>
      </c>
      <c r="F21" s="20">
        <v>287.27800000000002</v>
      </c>
      <c r="G21" s="20">
        <v>-0.19900000000000001</v>
      </c>
      <c r="S21" s="20" t="s">
        <v>254</v>
      </c>
      <c r="T21" s="20" t="s">
        <v>254</v>
      </c>
      <c r="U21" s="20" t="s">
        <v>254</v>
      </c>
    </row>
    <row r="22" spans="1:21">
      <c r="A22" s="23">
        <v>0.9</v>
      </c>
      <c r="B22" s="22">
        <v>0</v>
      </c>
      <c r="D22" s="20" t="s">
        <v>143</v>
      </c>
      <c r="E22" s="20">
        <v>291.375</v>
      </c>
      <c r="F22" s="20">
        <v>290.80500000000001</v>
      </c>
      <c r="G22" s="20">
        <v>-0.56999999999999995</v>
      </c>
      <c r="I22" s="20" t="s">
        <v>115</v>
      </c>
      <c r="J22" s="20">
        <v>291.72800000000001</v>
      </c>
      <c r="K22" s="20">
        <v>290.762</v>
      </c>
      <c r="L22" s="20">
        <v>-0.96599999999999997</v>
      </c>
    </row>
    <row r="23" spans="1:21">
      <c r="A23" s="23">
        <v>0.95</v>
      </c>
      <c r="B23" s="22">
        <v>0</v>
      </c>
      <c r="D23" s="20" t="s">
        <v>144</v>
      </c>
      <c r="E23" s="20">
        <v>293.91300000000001</v>
      </c>
      <c r="F23" s="20">
        <v>292.91699999999997</v>
      </c>
      <c r="G23" s="20">
        <v>-0.996</v>
      </c>
    </row>
    <row r="24" spans="1:21">
      <c r="A24" s="23">
        <v>1</v>
      </c>
      <c r="B24" s="22">
        <v>0</v>
      </c>
      <c r="D24" s="20" t="s">
        <v>145</v>
      </c>
      <c r="E24" s="20">
        <v>294.846</v>
      </c>
      <c r="F24" s="20">
        <v>293.61700000000002</v>
      </c>
      <c r="G24" s="20">
        <v>-1.2290000000000001</v>
      </c>
      <c r="I24" s="20" t="s">
        <v>116</v>
      </c>
      <c r="J24" s="20">
        <v>294.988</v>
      </c>
      <c r="K24" s="20">
        <v>293.58999999999997</v>
      </c>
      <c r="L24" s="20">
        <v>-1.3979999999999999</v>
      </c>
      <c r="N24" s="20" t="s">
        <v>101</v>
      </c>
      <c r="O24" s="20">
        <v>295.142</v>
      </c>
      <c r="P24" s="20">
        <v>294.82600000000002</v>
      </c>
      <c r="Q24" s="20">
        <v>-0.316</v>
      </c>
      <c r="S24" s="20">
        <v>294.53199999999998</v>
      </c>
      <c r="T24" s="20">
        <v>293.68</v>
      </c>
      <c r="U24" s="20">
        <v>-0.85199999999999998</v>
      </c>
    </row>
    <row r="25" spans="1:21">
      <c r="A25" s="23">
        <v>1</v>
      </c>
      <c r="B25" s="22">
        <v>0.26490799999999998</v>
      </c>
      <c r="D25" s="20" t="s">
        <v>146</v>
      </c>
      <c r="E25" s="20">
        <v>301.02999999999997</v>
      </c>
      <c r="F25" s="20">
        <v>296.72000000000003</v>
      </c>
      <c r="G25" s="20">
        <v>-4.3099999999999996</v>
      </c>
      <c r="S25" s="20" t="s">
        <v>254</v>
      </c>
      <c r="T25" s="20" t="s">
        <v>254</v>
      </c>
      <c r="U25" s="20" t="s">
        <v>254</v>
      </c>
    </row>
    <row r="26" spans="1:21">
      <c r="A26" s="23">
        <v>1</v>
      </c>
      <c r="B26" s="22">
        <v>0.468559</v>
      </c>
      <c r="D26" s="20" t="s">
        <v>147</v>
      </c>
      <c r="E26" s="20">
        <v>306.49</v>
      </c>
      <c r="F26" s="20">
        <v>299.56099999999998</v>
      </c>
      <c r="G26" s="20">
        <v>-6.9290000000000003</v>
      </c>
      <c r="I26" s="20" t="s">
        <v>117</v>
      </c>
      <c r="J26" s="20">
        <v>306.21699999999998</v>
      </c>
      <c r="K26" s="20">
        <v>299.52499999999998</v>
      </c>
      <c r="L26" s="20">
        <v>-6.6920000000000002</v>
      </c>
    </row>
    <row r="27" spans="1:21">
      <c r="A27" s="23">
        <v>1</v>
      </c>
      <c r="B27" s="22">
        <v>0.62285000000000001</v>
      </c>
      <c r="D27" s="20" t="s">
        <v>148</v>
      </c>
      <c r="E27" s="20">
        <v>311.18400000000003</v>
      </c>
      <c r="F27" s="20">
        <v>302.07100000000003</v>
      </c>
      <c r="G27" s="20">
        <v>-9.1129999999999995</v>
      </c>
    </row>
    <row r="28" spans="1:21">
      <c r="A28" s="23">
        <v>1</v>
      </c>
      <c r="B28" s="22">
        <v>0.73785599999999996</v>
      </c>
      <c r="D28" s="20" t="s">
        <v>149</v>
      </c>
      <c r="E28" s="20">
        <v>315.15100000000001</v>
      </c>
      <c r="F28" s="20">
        <v>304.12400000000002</v>
      </c>
      <c r="G28" s="20">
        <v>-11.026999999999999</v>
      </c>
      <c r="I28" s="20" t="s">
        <v>118</v>
      </c>
      <c r="J28" s="20">
        <v>314.82</v>
      </c>
      <c r="K28" s="20">
        <v>303.96199999999999</v>
      </c>
      <c r="L28" s="20">
        <v>-10.858000000000001</v>
      </c>
      <c r="N28" s="20" t="s">
        <v>102</v>
      </c>
      <c r="O28" s="20">
        <v>315.19400000000002</v>
      </c>
      <c r="P28" s="20">
        <v>305.726</v>
      </c>
      <c r="Q28" s="20">
        <v>-9.468</v>
      </c>
      <c r="S28" s="20">
        <v>314.34399999999999</v>
      </c>
      <c r="T28" s="20">
        <v>304.233</v>
      </c>
      <c r="U28" s="20">
        <v>-10.111000000000001</v>
      </c>
    </row>
    <row r="29" spans="1:21">
      <c r="A29" s="23">
        <v>1</v>
      </c>
      <c r="B29" s="22">
        <v>0.822021</v>
      </c>
      <c r="D29" s="20" t="s">
        <v>150</v>
      </c>
      <c r="E29" s="20">
        <v>318.50099999999998</v>
      </c>
      <c r="F29" s="20">
        <v>305.90199999999999</v>
      </c>
      <c r="G29" s="20">
        <v>-12.599</v>
      </c>
      <c r="S29" s="20" t="s">
        <v>254</v>
      </c>
      <c r="T29" s="20" t="s">
        <v>254</v>
      </c>
      <c r="U29" s="20" t="s">
        <v>254</v>
      </c>
    </row>
    <row r="30" spans="1:21">
      <c r="A30" s="23">
        <v>1</v>
      </c>
      <c r="B30" s="22">
        <v>0.882351</v>
      </c>
      <c r="D30" s="20" t="s">
        <v>151</v>
      </c>
      <c r="E30" s="20">
        <v>321.411</v>
      </c>
      <c r="F30" s="20">
        <v>307.56799999999998</v>
      </c>
      <c r="G30" s="20">
        <v>-13.843</v>
      </c>
      <c r="I30" s="20" t="s">
        <v>119</v>
      </c>
      <c r="J30" s="20">
        <v>320.79000000000002</v>
      </c>
      <c r="K30" s="20">
        <v>307.18799999999999</v>
      </c>
      <c r="L30" s="20">
        <v>-13.602</v>
      </c>
    </row>
    <row r="31" spans="1:21">
      <c r="A31" s="23">
        <v>1</v>
      </c>
      <c r="B31" s="22">
        <v>0.92458099999999999</v>
      </c>
      <c r="D31" s="20" t="s">
        <v>152</v>
      </c>
      <c r="E31" s="20">
        <v>323.666</v>
      </c>
      <c r="F31" s="20">
        <v>308.98</v>
      </c>
      <c r="G31" s="20">
        <v>-14.686</v>
      </c>
    </row>
    <row r="32" spans="1:21">
      <c r="A32" s="23">
        <v>1</v>
      </c>
      <c r="B32" s="22">
        <v>0.95334399999999997</v>
      </c>
      <c r="D32" s="20" t="s">
        <v>153</v>
      </c>
      <c r="E32" s="20">
        <v>325.30500000000001</v>
      </c>
      <c r="F32" s="20">
        <v>309.98200000000003</v>
      </c>
      <c r="G32" s="20">
        <v>-15.323</v>
      </c>
      <c r="I32" s="20" t="s">
        <v>120</v>
      </c>
      <c r="J32" s="20">
        <v>324.55799999999999</v>
      </c>
      <c r="K32" s="20">
        <v>309.30900000000003</v>
      </c>
      <c r="L32" s="20">
        <v>-15.249000000000001</v>
      </c>
      <c r="N32" s="20" t="s">
        <v>103</v>
      </c>
      <c r="O32" s="20">
        <v>325.28300000000002</v>
      </c>
      <c r="P32" s="20">
        <v>311.29500000000002</v>
      </c>
      <c r="Q32" s="20">
        <v>-13.988</v>
      </c>
      <c r="S32" s="20">
        <v>324.24099999999999</v>
      </c>
      <c r="T32" s="20">
        <v>309.82600000000002</v>
      </c>
      <c r="U32" s="20">
        <v>-14.414999999999999</v>
      </c>
    </row>
    <row r="33" spans="1:21">
      <c r="A33" s="23">
        <v>1</v>
      </c>
      <c r="B33" s="22">
        <v>0.97231900000000004</v>
      </c>
      <c r="D33" s="20" t="s">
        <v>154</v>
      </c>
      <c r="E33" s="20">
        <v>326.31599999999997</v>
      </c>
      <c r="F33" s="20">
        <v>310.59199999999998</v>
      </c>
      <c r="G33" s="20">
        <v>-15.724</v>
      </c>
      <c r="S33" s="20" t="s">
        <v>254</v>
      </c>
      <c r="T33" s="20" t="s">
        <v>254</v>
      </c>
      <c r="U33" s="20" t="s">
        <v>254</v>
      </c>
    </row>
    <row r="34" spans="1:21">
      <c r="A34" s="23">
        <v>1</v>
      </c>
      <c r="B34" s="22">
        <v>0.984375</v>
      </c>
      <c r="D34" s="20" t="s">
        <v>155</v>
      </c>
      <c r="E34" s="20">
        <v>326.90800000000002</v>
      </c>
      <c r="F34" s="20">
        <v>310.863</v>
      </c>
      <c r="G34" s="20">
        <v>-16.045000000000002</v>
      </c>
      <c r="I34" s="20" t="s">
        <v>121</v>
      </c>
      <c r="J34" s="20">
        <v>326.32799999999997</v>
      </c>
      <c r="K34" s="20">
        <v>310.39600000000002</v>
      </c>
      <c r="L34" s="20">
        <v>-15.932</v>
      </c>
    </row>
    <row r="35" spans="1:21">
      <c r="A35" s="23">
        <v>1</v>
      </c>
      <c r="B35" s="22">
        <v>0.99169600000000002</v>
      </c>
      <c r="D35" s="20" t="s">
        <v>156</v>
      </c>
      <c r="E35" s="20">
        <v>327.036</v>
      </c>
      <c r="F35" s="20">
        <v>310.75900000000001</v>
      </c>
      <c r="G35" s="20">
        <v>-16.277000000000001</v>
      </c>
    </row>
    <row r="36" spans="1:21">
      <c r="A36" s="23">
        <v>1</v>
      </c>
      <c r="B36" s="22">
        <v>0.99590400000000001</v>
      </c>
      <c r="D36" s="20" t="s">
        <v>157</v>
      </c>
      <c r="E36" s="20">
        <v>326.77499999999998</v>
      </c>
      <c r="F36" s="20">
        <v>310.452</v>
      </c>
      <c r="G36" s="20">
        <v>-16.323</v>
      </c>
      <c r="I36" s="20" t="s">
        <v>122</v>
      </c>
      <c r="J36" s="20">
        <v>325.97199999999998</v>
      </c>
      <c r="K36" s="20">
        <v>310.45999999999998</v>
      </c>
      <c r="L36" s="20">
        <v>-15.512</v>
      </c>
      <c r="N36" s="20" t="s">
        <v>104</v>
      </c>
      <c r="O36" s="20">
        <v>326.55200000000002</v>
      </c>
      <c r="P36" s="20">
        <v>311.584</v>
      </c>
      <c r="Q36" s="20">
        <v>-14.968</v>
      </c>
      <c r="S36" s="20">
        <v>325.65100000000001</v>
      </c>
      <c r="T36" s="20">
        <v>311.18</v>
      </c>
      <c r="U36" s="20">
        <v>-14.471</v>
      </c>
    </row>
    <row r="37" spans="1:21">
      <c r="A37" s="23">
        <v>1</v>
      </c>
      <c r="B37" s="22">
        <v>0.99816199999999999</v>
      </c>
      <c r="D37" s="20" t="s">
        <v>158</v>
      </c>
      <c r="E37" s="20">
        <v>326.10000000000002</v>
      </c>
      <c r="F37" s="20">
        <v>309.85599999999999</v>
      </c>
      <c r="G37" s="20">
        <v>-16.244</v>
      </c>
      <c r="S37" s="20" t="s">
        <v>254</v>
      </c>
      <c r="T37" s="20" t="s">
        <v>254</v>
      </c>
      <c r="U37" s="20" t="s">
        <v>254</v>
      </c>
    </row>
    <row r="38" spans="1:21">
      <c r="A38" s="23">
        <v>1</v>
      </c>
      <c r="B38" s="22">
        <v>0.99927100000000002</v>
      </c>
      <c r="D38" s="20" t="s">
        <v>159</v>
      </c>
      <c r="E38" s="20">
        <v>324.82499999999999</v>
      </c>
      <c r="F38" s="20">
        <v>308.93700000000001</v>
      </c>
      <c r="G38" s="20">
        <v>-15.888</v>
      </c>
      <c r="I38" s="20" t="s">
        <v>123</v>
      </c>
      <c r="J38" s="20">
        <v>323.65300000000002</v>
      </c>
      <c r="K38" s="20">
        <v>308.96100000000001</v>
      </c>
      <c r="L38" s="20">
        <v>-14.692</v>
      </c>
    </row>
    <row r="39" spans="1:21">
      <c r="A39" s="23">
        <v>1</v>
      </c>
      <c r="B39" s="22">
        <v>0.99975599999999998</v>
      </c>
      <c r="D39" s="20" t="s">
        <v>160</v>
      </c>
      <c r="E39" s="20">
        <v>322.83</v>
      </c>
      <c r="F39" s="20">
        <v>307.68</v>
      </c>
      <c r="G39" s="20">
        <v>-15.15</v>
      </c>
    </row>
    <row r="40" spans="1:21">
      <c r="A40" s="23">
        <v>1</v>
      </c>
      <c r="B40" s="22">
        <v>0.99993600000000005</v>
      </c>
      <c r="D40" s="20" t="s">
        <v>161</v>
      </c>
      <c r="E40" s="20">
        <v>320.00200000000001</v>
      </c>
      <c r="F40" s="20">
        <v>305.88</v>
      </c>
      <c r="G40" s="20">
        <v>-14.122</v>
      </c>
      <c r="I40" s="20" t="s">
        <v>124</v>
      </c>
      <c r="J40" s="20">
        <v>319.37599999999998</v>
      </c>
      <c r="K40" s="20">
        <v>305.84800000000001</v>
      </c>
      <c r="L40" s="20">
        <v>-13.528</v>
      </c>
      <c r="N40" s="20" t="s">
        <v>105</v>
      </c>
      <c r="O40" s="20">
        <v>320.44400000000002</v>
      </c>
      <c r="P40" s="20">
        <v>306.577</v>
      </c>
      <c r="Q40" s="20">
        <v>-13.867000000000001</v>
      </c>
      <c r="S40" s="20">
        <v>319.33800000000002</v>
      </c>
      <c r="T40" s="20">
        <v>306.45</v>
      </c>
      <c r="U40" s="20">
        <v>-12.888</v>
      </c>
    </row>
    <row r="41" spans="1:21">
      <c r="A41" s="23">
        <v>1</v>
      </c>
      <c r="B41" s="22">
        <v>0.99998900000000002</v>
      </c>
      <c r="D41" s="20" t="s">
        <v>162</v>
      </c>
      <c r="E41" s="20">
        <v>316.87099999999998</v>
      </c>
      <c r="F41" s="20">
        <v>303.339</v>
      </c>
      <c r="G41" s="20">
        <v>-13.532</v>
      </c>
      <c r="S41" s="20" t="s">
        <v>254</v>
      </c>
      <c r="T41" s="20" t="s">
        <v>254</v>
      </c>
      <c r="U41" s="20" t="s">
        <v>254</v>
      </c>
    </row>
    <row r="42" spans="1:21">
      <c r="A42" s="23">
        <v>1</v>
      </c>
      <c r="B42" s="22">
        <v>0.99999899999999997</v>
      </c>
      <c r="D42" s="20" t="s">
        <v>163</v>
      </c>
      <c r="E42" s="20">
        <v>313.30500000000001</v>
      </c>
      <c r="F42" s="20">
        <v>299.74599999999998</v>
      </c>
      <c r="G42" s="20">
        <v>-13.558999999999999</v>
      </c>
      <c r="I42" s="20" t="s">
        <v>125</v>
      </c>
      <c r="J42" s="20">
        <v>313.125</v>
      </c>
      <c r="K42" s="20">
        <v>299.81200000000001</v>
      </c>
      <c r="L42" s="20">
        <v>-13.313000000000001</v>
      </c>
    </row>
    <row r="43" spans="1:21">
      <c r="A43" s="23">
        <v>1</v>
      </c>
      <c r="B43" s="22">
        <v>1</v>
      </c>
      <c r="D43" s="20" t="s">
        <v>164</v>
      </c>
      <c r="E43" s="20">
        <v>309.04300000000001</v>
      </c>
      <c r="F43" s="20">
        <v>294.80900000000003</v>
      </c>
      <c r="G43" s="20">
        <v>-14.234</v>
      </c>
      <c r="I43" s="20" t="s">
        <v>166</v>
      </c>
      <c r="J43" s="20">
        <v>308.863</v>
      </c>
      <c r="K43" s="20">
        <v>294.875</v>
      </c>
      <c r="L43" s="20">
        <v>-13.988</v>
      </c>
      <c r="N43" s="20" t="s">
        <v>165</v>
      </c>
      <c r="O43" s="20">
        <v>315.12599999999998</v>
      </c>
      <c r="P43" s="20">
        <v>301.00700000000001</v>
      </c>
      <c r="Q43" s="20">
        <v>-14.119</v>
      </c>
      <c r="S43" s="20">
        <v>313.56200000000001</v>
      </c>
      <c r="T43" s="20">
        <v>300.76799999999997</v>
      </c>
      <c r="U43" s="20">
        <v>-12.794</v>
      </c>
    </row>
  </sheetData>
  <mergeCells count="4">
    <mergeCell ref="D1:G2"/>
    <mergeCell ref="I1:L2"/>
    <mergeCell ref="N1:Q2"/>
    <mergeCell ref="S1:U2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I34" sqref="I34"/>
    </sheetView>
  </sheetViews>
  <sheetFormatPr defaultColWidth="9" defaultRowHeight="15"/>
  <cols>
    <col min="1" max="1" width="8.375" style="23" bestFit="1" customWidth="1"/>
    <col min="2" max="2" width="9.375" style="22" bestFit="1" customWidth="1"/>
    <col min="3" max="3" width="8.625" style="22" customWidth="1"/>
    <col min="4" max="4" width="13.75" style="20" bestFit="1" customWidth="1"/>
    <col min="5" max="5" width="11.375" style="20" bestFit="1" customWidth="1"/>
    <col min="6" max="6" width="9.375" style="20" bestFit="1" customWidth="1"/>
    <col min="7" max="7" width="8.375" style="20" bestFit="1" customWidth="1"/>
    <col min="8" max="8" width="8.375" style="20" customWidth="1"/>
    <col min="9" max="9" width="13.5" style="20" bestFit="1" customWidth="1"/>
    <col min="10" max="10" width="11.375" style="20" bestFit="1" customWidth="1"/>
    <col min="11" max="11" width="9.375" style="20" bestFit="1" customWidth="1"/>
    <col min="12" max="12" width="8.375" style="20" bestFit="1" customWidth="1"/>
    <col min="13" max="13" width="8.375" style="20" customWidth="1"/>
    <col min="14" max="14" width="13.375" style="20" bestFit="1" customWidth="1"/>
    <col min="15" max="15" width="11.375" style="20" bestFit="1" customWidth="1"/>
    <col min="16" max="16" width="9.375" style="20" bestFit="1" customWidth="1"/>
    <col min="17" max="17" width="8.375" style="20" bestFit="1" customWidth="1"/>
    <col min="18" max="18" width="9" style="20"/>
    <col min="19" max="19" width="11.375" style="20" bestFit="1" customWidth="1"/>
    <col min="20" max="20" width="9.375" style="20" bestFit="1" customWidth="1"/>
    <col min="21" max="21" width="8.375" style="20" bestFit="1" customWidth="1"/>
    <col min="22" max="16384" width="9" style="20"/>
  </cols>
  <sheetData>
    <row r="1" spans="1:21">
      <c r="D1" s="25" t="s">
        <v>248</v>
      </c>
      <c r="E1" s="25"/>
      <c r="F1" s="25"/>
      <c r="G1" s="25"/>
      <c r="H1" s="24"/>
      <c r="I1" s="25" t="s">
        <v>249</v>
      </c>
      <c r="J1" s="25"/>
      <c r="K1" s="25"/>
      <c r="L1" s="25"/>
      <c r="M1" s="24"/>
      <c r="N1" s="25" t="s">
        <v>250</v>
      </c>
      <c r="O1" s="25"/>
      <c r="P1" s="25"/>
      <c r="Q1" s="25"/>
      <c r="S1" s="25" t="s">
        <v>255</v>
      </c>
      <c r="T1" s="25"/>
      <c r="U1" s="25"/>
    </row>
    <row r="2" spans="1:21">
      <c r="D2" s="25"/>
      <c r="E2" s="25"/>
      <c r="F2" s="25"/>
      <c r="G2" s="25"/>
      <c r="H2" s="24"/>
      <c r="I2" s="25"/>
      <c r="J2" s="25"/>
      <c r="K2" s="25"/>
      <c r="L2" s="25"/>
      <c r="M2" s="24"/>
      <c r="N2" s="25"/>
      <c r="O2" s="25"/>
      <c r="P2" s="25"/>
      <c r="Q2" s="25"/>
      <c r="S2" s="25"/>
      <c r="T2" s="25"/>
      <c r="U2" s="25"/>
    </row>
    <row r="3" spans="1:21">
      <c r="A3" s="23" t="s">
        <v>246</v>
      </c>
      <c r="B3" s="22" t="s">
        <v>247</v>
      </c>
      <c r="D3" s="21" t="s">
        <v>245</v>
      </c>
      <c r="E3" s="21" t="s">
        <v>238</v>
      </c>
      <c r="F3" s="21" t="s">
        <v>239</v>
      </c>
      <c r="G3" s="21" t="s">
        <v>240</v>
      </c>
      <c r="H3" s="21"/>
      <c r="I3" s="21" t="s">
        <v>245</v>
      </c>
      <c r="J3" s="21" t="s">
        <v>238</v>
      </c>
      <c r="K3" s="21" t="s">
        <v>239</v>
      </c>
      <c r="L3" s="21" t="s">
        <v>240</v>
      </c>
      <c r="M3" s="21"/>
      <c r="N3" s="21" t="s">
        <v>245</v>
      </c>
      <c r="O3" s="21" t="s">
        <v>238</v>
      </c>
      <c r="P3" s="21" t="s">
        <v>239</v>
      </c>
      <c r="Q3" s="21" t="s">
        <v>240</v>
      </c>
      <c r="S3" s="21" t="s">
        <v>238</v>
      </c>
      <c r="T3" s="21" t="s">
        <v>239</v>
      </c>
      <c r="U3" s="21" t="s">
        <v>240</v>
      </c>
    </row>
    <row r="4" spans="1:21" ht="13.5" customHeight="1">
      <c r="A4" s="23">
        <v>0</v>
      </c>
      <c r="B4" s="22">
        <v>0</v>
      </c>
      <c r="D4" s="20" t="s">
        <v>167</v>
      </c>
      <c r="E4" s="20">
        <v>0</v>
      </c>
      <c r="F4" s="20">
        <v>0</v>
      </c>
      <c r="G4" s="20">
        <v>0</v>
      </c>
      <c r="I4" s="20" t="s">
        <v>167</v>
      </c>
      <c r="J4" s="20">
        <v>0</v>
      </c>
      <c r="K4" s="20">
        <v>0</v>
      </c>
      <c r="L4" s="20">
        <v>0</v>
      </c>
      <c r="N4" s="20" t="s">
        <v>167</v>
      </c>
      <c r="O4" s="20">
        <v>0</v>
      </c>
      <c r="P4" s="20">
        <v>0</v>
      </c>
      <c r="Q4" s="20">
        <v>0</v>
      </c>
      <c r="S4" s="20">
        <v>0</v>
      </c>
      <c r="T4" s="20">
        <v>0</v>
      </c>
      <c r="U4" s="20">
        <v>0</v>
      </c>
    </row>
    <row r="5" spans="1:21">
      <c r="A5" s="23">
        <v>0.05</v>
      </c>
      <c r="B5" s="22">
        <v>0</v>
      </c>
      <c r="D5" s="20" t="s">
        <v>198</v>
      </c>
      <c r="E5" s="20">
        <v>27.844999999999999</v>
      </c>
      <c r="F5" s="20">
        <v>28.460999999999999</v>
      </c>
      <c r="G5" s="20">
        <v>0.61599999999999999</v>
      </c>
    </row>
    <row r="6" spans="1:21">
      <c r="A6" s="23">
        <v>0.1</v>
      </c>
      <c r="B6" s="22">
        <v>0</v>
      </c>
      <c r="D6" s="20" t="s">
        <v>199</v>
      </c>
      <c r="E6" s="20">
        <v>54.140999999999998</v>
      </c>
      <c r="F6" s="20">
        <v>55.219000000000001</v>
      </c>
      <c r="G6" s="20">
        <v>1.0780000000000001</v>
      </c>
      <c r="I6" s="20" t="s">
        <v>178</v>
      </c>
      <c r="J6" s="20">
        <v>54.06</v>
      </c>
      <c r="K6" s="20">
        <v>55.094000000000001</v>
      </c>
      <c r="L6" s="20">
        <v>1.034</v>
      </c>
    </row>
    <row r="7" spans="1:21">
      <c r="A7" s="23">
        <v>0.15</v>
      </c>
      <c r="B7" s="22">
        <v>0</v>
      </c>
      <c r="D7" s="20" t="s">
        <v>200</v>
      </c>
      <c r="E7" s="20">
        <v>78.896000000000001</v>
      </c>
      <c r="F7" s="20">
        <v>80.370999999999995</v>
      </c>
      <c r="G7" s="20">
        <v>1.4750000000000001</v>
      </c>
    </row>
    <row r="8" spans="1:21">
      <c r="A8" s="23">
        <v>0.2</v>
      </c>
      <c r="B8" s="22">
        <v>0</v>
      </c>
      <c r="D8" s="20" t="s">
        <v>201</v>
      </c>
      <c r="E8" s="20">
        <v>102.203</v>
      </c>
      <c r="F8" s="20">
        <v>103.931</v>
      </c>
      <c r="G8" s="20">
        <v>1.728</v>
      </c>
      <c r="I8" s="20" t="s">
        <v>179</v>
      </c>
      <c r="J8" s="20">
        <v>101.947</v>
      </c>
      <c r="K8" s="20">
        <v>103.83199999999999</v>
      </c>
      <c r="L8" s="20">
        <v>1.885</v>
      </c>
      <c r="N8" s="20" t="s">
        <v>168</v>
      </c>
      <c r="O8" s="20">
        <v>102.149</v>
      </c>
      <c r="P8" s="20">
        <v>103.824</v>
      </c>
      <c r="Q8" s="20">
        <v>1.675</v>
      </c>
      <c r="S8" s="20">
        <v>102.38800000000001</v>
      </c>
      <c r="T8" s="20">
        <v>103.949</v>
      </c>
      <c r="U8" s="20">
        <v>1.5609999999999999</v>
      </c>
    </row>
    <row r="9" spans="1:21">
      <c r="A9" s="23">
        <v>0.25</v>
      </c>
      <c r="B9" s="22">
        <v>0</v>
      </c>
      <c r="D9" s="20" t="s">
        <v>202</v>
      </c>
      <c r="E9" s="20">
        <v>124.06699999999999</v>
      </c>
      <c r="F9" s="20">
        <v>125.94799999999999</v>
      </c>
      <c r="G9" s="20">
        <v>1.881</v>
      </c>
      <c r="S9" s="20" t="s">
        <v>256</v>
      </c>
      <c r="T9" s="20" t="s">
        <v>256</v>
      </c>
      <c r="U9" s="20" t="s">
        <v>254</v>
      </c>
    </row>
    <row r="10" spans="1:21">
      <c r="A10" s="23">
        <v>0.3</v>
      </c>
      <c r="B10" s="22">
        <v>0</v>
      </c>
      <c r="D10" s="20" t="s">
        <v>203</v>
      </c>
      <c r="E10" s="20">
        <v>144.50200000000001</v>
      </c>
      <c r="F10" s="20">
        <v>146.43299999999999</v>
      </c>
      <c r="G10" s="20">
        <v>1.931</v>
      </c>
      <c r="I10" s="20" t="s">
        <v>180</v>
      </c>
      <c r="J10" s="20">
        <v>143.93199999999999</v>
      </c>
      <c r="K10" s="20">
        <v>146.32</v>
      </c>
      <c r="L10" s="20">
        <v>2.3879999999999999</v>
      </c>
    </row>
    <row r="11" spans="1:21">
      <c r="A11" s="23">
        <v>0.35</v>
      </c>
      <c r="B11" s="22">
        <v>0</v>
      </c>
      <c r="D11" s="20" t="s">
        <v>204</v>
      </c>
      <c r="E11" s="20">
        <v>163.506</v>
      </c>
      <c r="F11" s="20">
        <v>165.35599999999999</v>
      </c>
      <c r="G11" s="20">
        <v>1.85</v>
      </c>
    </row>
    <row r="12" spans="1:21">
      <c r="A12" s="23">
        <v>0.4</v>
      </c>
      <c r="B12" s="22">
        <v>0</v>
      </c>
      <c r="D12" s="20" t="s">
        <v>205</v>
      </c>
      <c r="E12" s="20">
        <v>181.041</v>
      </c>
      <c r="F12" s="20">
        <v>182.78899999999999</v>
      </c>
      <c r="G12" s="20">
        <v>1.748</v>
      </c>
      <c r="I12" s="20" t="s">
        <v>181</v>
      </c>
      <c r="J12" s="20">
        <v>180.37899999999999</v>
      </c>
      <c r="K12" s="20">
        <v>182.69499999999999</v>
      </c>
      <c r="L12" s="20">
        <v>2.3159999999999998</v>
      </c>
      <c r="N12" s="20" t="s">
        <v>169</v>
      </c>
      <c r="O12" s="20">
        <v>181.018</v>
      </c>
      <c r="P12" s="20">
        <v>182.89599999999999</v>
      </c>
      <c r="Q12" s="20">
        <v>1.8779999999999999</v>
      </c>
      <c r="S12" s="20">
        <v>181.398</v>
      </c>
      <c r="T12" s="20">
        <v>182.76499999999999</v>
      </c>
      <c r="U12" s="20">
        <v>1.367</v>
      </c>
    </row>
    <row r="13" spans="1:21">
      <c r="A13" s="23">
        <v>0.45</v>
      </c>
      <c r="B13" s="22">
        <v>0</v>
      </c>
      <c r="D13" s="20" t="s">
        <v>206</v>
      </c>
      <c r="E13" s="20">
        <v>197.24600000000001</v>
      </c>
      <c r="F13" s="20">
        <v>198.78399999999999</v>
      </c>
      <c r="G13" s="20">
        <v>1.538</v>
      </c>
      <c r="S13" s="20" t="s">
        <v>256</v>
      </c>
      <c r="T13" s="20" t="s">
        <v>256</v>
      </c>
      <c r="U13" s="20" t="s">
        <v>254</v>
      </c>
    </row>
    <row r="14" spans="1:21">
      <c r="A14" s="23">
        <v>0.5</v>
      </c>
      <c r="B14" s="22">
        <v>0</v>
      </c>
      <c r="D14" s="20" t="s">
        <v>207</v>
      </c>
      <c r="E14" s="20">
        <v>212.113</v>
      </c>
      <c r="F14" s="20">
        <v>213.27799999999999</v>
      </c>
      <c r="G14" s="20">
        <v>1.165</v>
      </c>
      <c r="I14" s="20" t="s">
        <v>182</v>
      </c>
      <c r="J14" s="20">
        <v>211.399</v>
      </c>
      <c r="K14" s="20">
        <v>213.14699999999999</v>
      </c>
      <c r="L14" s="20">
        <v>1.748</v>
      </c>
    </row>
    <row r="15" spans="1:21">
      <c r="A15" s="23">
        <v>0.55000000000000004</v>
      </c>
      <c r="B15" s="22">
        <v>0</v>
      </c>
      <c r="D15" s="20" t="s">
        <v>208</v>
      </c>
      <c r="E15" s="20">
        <v>225.548</v>
      </c>
      <c r="F15" s="20">
        <v>226.29</v>
      </c>
      <c r="G15" s="20">
        <v>0.74199999999999999</v>
      </c>
    </row>
    <row r="16" spans="1:21">
      <c r="A16" s="23">
        <v>0.6</v>
      </c>
      <c r="B16" s="22">
        <v>0</v>
      </c>
      <c r="D16" s="20" t="s">
        <v>209</v>
      </c>
      <c r="E16" s="20">
        <v>237.55799999999999</v>
      </c>
      <c r="F16" s="20">
        <v>237.898</v>
      </c>
      <c r="G16" s="20">
        <v>0.34</v>
      </c>
      <c r="I16" s="20" t="s">
        <v>183</v>
      </c>
      <c r="J16" s="20">
        <v>236.79</v>
      </c>
      <c r="K16" s="20">
        <v>237.82300000000001</v>
      </c>
      <c r="L16" s="20">
        <v>1.0329999999999999</v>
      </c>
      <c r="N16" s="20" t="s">
        <v>170</v>
      </c>
      <c r="O16" s="20">
        <v>237.24700000000001</v>
      </c>
      <c r="P16" s="20">
        <v>238.13200000000001</v>
      </c>
      <c r="Q16" s="20">
        <v>0.88500000000000001</v>
      </c>
      <c r="S16" s="20">
        <v>237.29400000000001</v>
      </c>
      <c r="T16" s="20">
        <v>237.80699999999999</v>
      </c>
      <c r="U16" s="20">
        <v>0.51300000000000001</v>
      </c>
    </row>
    <row r="17" spans="1:21">
      <c r="A17" s="23">
        <v>0.65</v>
      </c>
      <c r="B17" s="22">
        <v>0</v>
      </c>
      <c r="D17" s="20" t="s">
        <v>210</v>
      </c>
      <c r="E17" s="20">
        <v>248.21299999999999</v>
      </c>
      <c r="F17" s="20">
        <v>248.113</v>
      </c>
      <c r="G17" s="20">
        <v>-0.1</v>
      </c>
      <c r="S17" s="20" t="s">
        <v>256</v>
      </c>
      <c r="T17" s="20" t="s">
        <v>256</v>
      </c>
      <c r="U17" s="20" t="s">
        <v>254</v>
      </c>
    </row>
    <row r="18" spans="1:21">
      <c r="A18" s="23">
        <v>0.7</v>
      </c>
      <c r="B18" s="22">
        <v>0</v>
      </c>
      <c r="D18" s="20" t="s">
        <v>211</v>
      </c>
      <c r="E18" s="20">
        <v>257.50700000000001</v>
      </c>
      <c r="F18" s="20">
        <v>256.94900000000001</v>
      </c>
      <c r="G18" s="20">
        <v>-0.55800000000000005</v>
      </c>
      <c r="I18" s="20" t="s">
        <v>184</v>
      </c>
      <c r="J18" s="20">
        <v>256.11</v>
      </c>
      <c r="K18" s="20">
        <v>256.84800000000001</v>
      </c>
      <c r="L18" s="20">
        <v>0.73799999999999999</v>
      </c>
    </row>
    <row r="19" spans="1:21">
      <c r="A19" s="23">
        <v>0.75</v>
      </c>
      <c r="B19" s="22">
        <v>0</v>
      </c>
      <c r="D19" s="20" t="s">
        <v>212</v>
      </c>
      <c r="E19" s="20">
        <v>265.46300000000002</v>
      </c>
      <c r="F19" s="20">
        <v>264.42099999999999</v>
      </c>
      <c r="G19" s="20">
        <v>-1.042</v>
      </c>
    </row>
    <row r="20" spans="1:21">
      <c r="A20" s="23">
        <v>0.8</v>
      </c>
      <c r="B20" s="22">
        <v>0</v>
      </c>
      <c r="D20" s="20" t="s">
        <v>213</v>
      </c>
      <c r="E20" s="20">
        <v>272.09100000000001</v>
      </c>
      <c r="F20" s="20">
        <v>270.50200000000001</v>
      </c>
      <c r="G20" s="20">
        <v>-1.589</v>
      </c>
      <c r="I20" s="20" t="s">
        <v>185</v>
      </c>
      <c r="J20" s="20">
        <v>270.00900000000001</v>
      </c>
      <c r="K20" s="20">
        <v>270.36099999999999</v>
      </c>
      <c r="L20" s="20">
        <v>0.35199999999999998</v>
      </c>
      <c r="N20" s="20" t="s">
        <v>171</v>
      </c>
      <c r="O20" s="20">
        <v>271.65699999999998</v>
      </c>
      <c r="P20" s="20">
        <v>270.565</v>
      </c>
      <c r="Q20" s="20">
        <v>-1.0920000000000001</v>
      </c>
      <c r="S20" s="20">
        <v>271.23099999999999</v>
      </c>
      <c r="T20" s="20">
        <v>270.35300000000001</v>
      </c>
      <c r="U20" s="20">
        <v>-0.878</v>
      </c>
    </row>
    <row r="21" spans="1:21">
      <c r="A21" s="23">
        <v>0.85</v>
      </c>
      <c r="B21" s="22">
        <v>0</v>
      </c>
      <c r="D21" s="20" t="s">
        <v>214</v>
      </c>
      <c r="E21" s="20">
        <v>277.11799999999999</v>
      </c>
      <c r="F21" s="20">
        <v>275.22699999999998</v>
      </c>
      <c r="G21" s="20">
        <v>-1.891</v>
      </c>
      <c r="S21" s="20" t="s">
        <v>256</v>
      </c>
      <c r="T21" s="20" t="s">
        <v>256</v>
      </c>
      <c r="U21" s="20" t="s">
        <v>254</v>
      </c>
    </row>
    <row r="22" spans="1:21">
      <c r="A22" s="23">
        <v>0.9</v>
      </c>
      <c r="B22" s="22">
        <v>0</v>
      </c>
      <c r="D22" s="20" t="s">
        <v>215</v>
      </c>
      <c r="E22" s="20">
        <v>280.63600000000002</v>
      </c>
      <c r="F22" s="20">
        <v>278.601</v>
      </c>
      <c r="G22" s="20">
        <v>-2.0350000000000001</v>
      </c>
      <c r="I22" s="20" t="s">
        <v>186</v>
      </c>
      <c r="J22" s="20">
        <v>279.25900000000001</v>
      </c>
      <c r="K22" s="20">
        <v>278.42399999999998</v>
      </c>
      <c r="L22" s="20">
        <v>-0.83499999999999996</v>
      </c>
    </row>
    <row r="23" spans="1:21">
      <c r="A23" s="23">
        <v>0.95</v>
      </c>
      <c r="B23" s="22">
        <v>0</v>
      </c>
      <c r="D23" s="20" t="s">
        <v>216</v>
      </c>
      <c r="E23" s="20">
        <v>282.83499999999998</v>
      </c>
      <c r="F23" s="20">
        <v>280.63</v>
      </c>
      <c r="G23" s="20">
        <v>-2.2050000000000001</v>
      </c>
    </row>
    <row r="24" spans="1:21">
      <c r="A24" s="23">
        <v>1</v>
      </c>
      <c r="B24" s="22">
        <v>0</v>
      </c>
      <c r="D24" s="20" t="s">
        <v>217</v>
      </c>
      <c r="E24" s="20">
        <v>283.815</v>
      </c>
      <c r="F24" s="20">
        <v>281.315</v>
      </c>
      <c r="G24" s="20">
        <v>-2.5</v>
      </c>
      <c r="I24" s="20" t="s">
        <v>187</v>
      </c>
      <c r="J24" s="20">
        <v>282.68099999999998</v>
      </c>
      <c r="K24" s="20">
        <v>281.101</v>
      </c>
      <c r="L24" s="20">
        <v>-1.58</v>
      </c>
      <c r="N24" s="20" t="s">
        <v>172</v>
      </c>
      <c r="O24" s="20">
        <v>283.61500000000001</v>
      </c>
      <c r="P24" s="20">
        <v>281.28899999999999</v>
      </c>
      <c r="Q24" s="20">
        <v>-2.3260000000000001</v>
      </c>
      <c r="S24" s="20">
        <v>282.72300000000001</v>
      </c>
      <c r="T24" s="20">
        <v>281.11399999999998</v>
      </c>
      <c r="U24" s="20">
        <v>-1.609</v>
      </c>
    </row>
    <row r="25" spans="1:21">
      <c r="A25" s="23">
        <v>1</v>
      </c>
      <c r="B25" s="22">
        <v>0.26490799999999998</v>
      </c>
      <c r="D25" s="20" t="s">
        <v>218</v>
      </c>
      <c r="E25" s="20">
        <v>290.20100000000002</v>
      </c>
      <c r="F25" s="20">
        <v>284.73500000000001</v>
      </c>
      <c r="G25" s="20">
        <v>-5.4660000000000002</v>
      </c>
      <c r="S25" s="20" t="s">
        <v>256</v>
      </c>
      <c r="T25" s="20" t="s">
        <v>256</v>
      </c>
      <c r="U25" s="20" t="s">
        <v>254</v>
      </c>
    </row>
    <row r="26" spans="1:21">
      <c r="A26" s="23">
        <v>1</v>
      </c>
      <c r="B26" s="22">
        <v>0.468559</v>
      </c>
      <c r="D26" s="20" t="s">
        <v>219</v>
      </c>
      <c r="E26" s="20">
        <v>295.64699999999999</v>
      </c>
      <c r="F26" s="20">
        <v>287.75599999999997</v>
      </c>
      <c r="G26" s="20">
        <v>-7.891</v>
      </c>
      <c r="I26" s="20" t="s">
        <v>188</v>
      </c>
      <c r="J26" s="20">
        <v>295.54000000000002</v>
      </c>
      <c r="K26" s="20">
        <v>287.30500000000001</v>
      </c>
      <c r="L26" s="20">
        <v>-8.2349999999999994</v>
      </c>
    </row>
    <row r="27" spans="1:21">
      <c r="A27" s="23">
        <v>1</v>
      </c>
      <c r="B27" s="22">
        <v>0.62285000000000001</v>
      </c>
      <c r="D27" s="20" t="s">
        <v>220</v>
      </c>
      <c r="E27" s="20">
        <v>300.50700000000001</v>
      </c>
      <c r="F27" s="20">
        <v>290.274</v>
      </c>
      <c r="G27" s="20">
        <v>-10.233000000000001</v>
      </c>
    </row>
    <row r="28" spans="1:21">
      <c r="A28" s="23">
        <v>1</v>
      </c>
      <c r="B28" s="22">
        <v>0.73785599999999996</v>
      </c>
      <c r="D28" s="20" t="s">
        <v>221</v>
      </c>
      <c r="E28" s="20">
        <v>304.51299999999998</v>
      </c>
      <c r="F28" s="20">
        <v>292.53199999999998</v>
      </c>
      <c r="G28" s="20">
        <v>-11.981</v>
      </c>
      <c r="I28" s="20" t="s">
        <v>189</v>
      </c>
      <c r="J28" s="20">
        <v>304.82400000000001</v>
      </c>
      <c r="K28" s="20">
        <v>292.36700000000002</v>
      </c>
      <c r="L28" s="20">
        <v>-12.457000000000001</v>
      </c>
      <c r="N28" s="20" t="s">
        <v>173</v>
      </c>
      <c r="O28" s="20">
        <v>304.43700000000001</v>
      </c>
      <c r="P28" s="20">
        <v>293.14</v>
      </c>
      <c r="Q28" s="20">
        <v>-11.297000000000001</v>
      </c>
      <c r="S28" s="20">
        <v>303.613</v>
      </c>
      <c r="T28" s="20">
        <v>292.41500000000002</v>
      </c>
      <c r="U28" s="20">
        <v>-11.198</v>
      </c>
    </row>
    <row r="29" spans="1:21">
      <c r="A29" s="23">
        <v>1</v>
      </c>
      <c r="B29" s="22">
        <v>0.822021</v>
      </c>
      <c r="D29" s="20" t="s">
        <v>222</v>
      </c>
      <c r="E29" s="20">
        <v>308.13499999999999</v>
      </c>
      <c r="F29" s="20">
        <v>294.44299999999998</v>
      </c>
      <c r="G29" s="20">
        <v>-13.692</v>
      </c>
      <c r="S29" s="20" t="s">
        <v>256</v>
      </c>
      <c r="T29" s="20" t="s">
        <v>256</v>
      </c>
      <c r="U29" s="20" t="s">
        <v>254</v>
      </c>
    </row>
    <row r="30" spans="1:21">
      <c r="A30" s="23">
        <v>1</v>
      </c>
      <c r="B30" s="22">
        <v>0.882351</v>
      </c>
      <c r="D30" s="20" t="s">
        <v>223</v>
      </c>
      <c r="E30" s="20">
        <v>311.16399999999999</v>
      </c>
      <c r="F30" s="20">
        <v>296.09300000000002</v>
      </c>
      <c r="G30" s="20">
        <v>-15.071</v>
      </c>
      <c r="I30" s="20" t="s">
        <v>190</v>
      </c>
      <c r="J30" s="20">
        <v>310.82</v>
      </c>
      <c r="K30" s="20">
        <v>296.392</v>
      </c>
      <c r="L30" s="20">
        <v>-14.428000000000001</v>
      </c>
    </row>
    <row r="31" spans="1:21">
      <c r="A31" s="23">
        <v>1</v>
      </c>
      <c r="B31" s="22">
        <v>0.92458099999999999</v>
      </c>
      <c r="D31" s="20" t="s">
        <v>224</v>
      </c>
      <c r="E31" s="20">
        <v>313.32900000000001</v>
      </c>
      <c r="F31" s="20">
        <v>297.56</v>
      </c>
      <c r="G31" s="20">
        <v>-15.769</v>
      </c>
    </row>
    <row r="32" spans="1:21">
      <c r="A32" s="23">
        <v>1</v>
      </c>
      <c r="B32" s="22">
        <v>0.95334399999999997</v>
      </c>
      <c r="D32" s="20" t="s">
        <v>225</v>
      </c>
      <c r="E32" s="20">
        <v>314.87900000000002</v>
      </c>
      <c r="F32" s="20">
        <v>298.65300000000002</v>
      </c>
      <c r="G32" s="20">
        <v>-16.225999999999999</v>
      </c>
      <c r="I32" s="20" t="s">
        <v>191</v>
      </c>
      <c r="J32" s="20">
        <v>314.49099999999999</v>
      </c>
      <c r="K32" s="20">
        <v>298.94900000000001</v>
      </c>
      <c r="L32" s="20">
        <v>-15.542</v>
      </c>
      <c r="N32" s="20" t="s">
        <v>174</v>
      </c>
      <c r="O32" s="20">
        <v>314.971</v>
      </c>
      <c r="P32" s="20">
        <v>299.13299999999998</v>
      </c>
      <c r="Q32" s="20">
        <v>-15.837999999999999</v>
      </c>
      <c r="S32" s="20">
        <v>313.18</v>
      </c>
      <c r="T32" s="20">
        <v>298.07400000000001</v>
      </c>
      <c r="U32" s="20">
        <v>-15.106</v>
      </c>
    </row>
    <row r="33" spans="1:21">
      <c r="A33" s="23">
        <v>1</v>
      </c>
      <c r="B33" s="22">
        <v>0.97231900000000004</v>
      </c>
      <c r="D33" s="20" t="s">
        <v>226</v>
      </c>
      <c r="E33" s="20">
        <v>315.88499999999999</v>
      </c>
      <c r="F33" s="20">
        <v>299.44400000000002</v>
      </c>
      <c r="G33" s="20">
        <v>-16.440999999999999</v>
      </c>
    </row>
    <row r="34" spans="1:21">
      <c r="A34" s="23">
        <v>1</v>
      </c>
      <c r="B34" s="22">
        <v>0.984375</v>
      </c>
      <c r="D34" s="20" t="s">
        <v>227</v>
      </c>
      <c r="E34" s="20">
        <v>316.33600000000001</v>
      </c>
      <c r="F34" s="20">
        <v>299.94900000000001</v>
      </c>
      <c r="G34" s="20">
        <v>-16.387</v>
      </c>
      <c r="I34" s="20" t="s">
        <v>192</v>
      </c>
      <c r="J34" s="20">
        <v>316.39600000000002</v>
      </c>
      <c r="K34" s="20">
        <v>300.02499999999998</v>
      </c>
      <c r="L34" s="20">
        <v>-16.370999999999999</v>
      </c>
    </row>
    <row r="35" spans="1:21">
      <c r="A35" s="23">
        <v>1</v>
      </c>
      <c r="B35" s="22">
        <v>0.99169600000000002</v>
      </c>
      <c r="D35" s="20" t="s">
        <v>228</v>
      </c>
      <c r="E35" s="20">
        <v>316.43700000000001</v>
      </c>
      <c r="F35" s="20">
        <v>300.06799999999998</v>
      </c>
      <c r="G35" s="20">
        <v>-16.369</v>
      </c>
      <c r="S35" s="20" t="s">
        <v>256</v>
      </c>
      <c r="T35" s="20" t="s">
        <v>256</v>
      </c>
      <c r="U35" s="20" t="s">
        <v>254</v>
      </c>
    </row>
    <row r="36" spans="1:21">
      <c r="A36" s="23">
        <v>1</v>
      </c>
      <c r="B36" s="22">
        <v>0.99590400000000001</v>
      </c>
      <c r="D36" s="20" t="s">
        <v>229</v>
      </c>
      <c r="E36" s="20">
        <v>316.16699999999997</v>
      </c>
      <c r="F36" s="20">
        <v>299.75299999999999</v>
      </c>
      <c r="G36" s="20">
        <v>-16.414000000000001</v>
      </c>
      <c r="I36" s="20" t="s">
        <v>193</v>
      </c>
      <c r="J36" s="20">
        <v>316.21499999999997</v>
      </c>
      <c r="K36" s="20">
        <v>299.70699999999999</v>
      </c>
      <c r="L36" s="20">
        <v>-16.507999999999999</v>
      </c>
      <c r="N36" s="20" t="s">
        <v>175</v>
      </c>
      <c r="O36" s="20">
        <v>317.01799999999997</v>
      </c>
      <c r="P36" s="20">
        <v>299.86599999999999</v>
      </c>
      <c r="Q36" s="20">
        <v>-17.152000000000001</v>
      </c>
      <c r="S36" s="20">
        <v>314.447</v>
      </c>
      <c r="T36" s="20">
        <v>298.99599999999998</v>
      </c>
      <c r="U36" s="20">
        <v>-15.451000000000001</v>
      </c>
    </row>
    <row r="37" spans="1:21">
      <c r="A37" s="23">
        <v>1</v>
      </c>
      <c r="B37" s="22">
        <v>0.99816199999999999</v>
      </c>
      <c r="D37" s="20" t="s">
        <v>230</v>
      </c>
      <c r="E37" s="20">
        <v>315.30500000000001</v>
      </c>
      <c r="F37" s="20">
        <v>299.13299999999998</v>
      </c>
      <c r="G37" s="20">
        <v>-16.172000000000001</v>
      </c>
      <c r="S37" s="20" t="s">
        <v>256</v>
      </c>
      <c r="T37" s="20" t="s">
        <v>256</v>
      </c>
      <c r="U37" s="20" t="s">
        <v>254</v>
      </c>
    </row>
    <row r="38" spans="1:21">
      <c r="A38" s="23">
        <v>1</v>
      </c>
      <c r="B38" s="22">
        <v>0.99927100000000002</v>
      </c>
      <c r="D38" s="20" t="s">
        <v>231</v>
      </c>
      <c r="E38" s="20">
        <v>313.94799999999998</v>
      </c>
      <c r="F38" s="20">
        <v>298.23500000000001</v>
      </c>
      <c r="G38" s="20">
        <v>-15.712999999999999</v>
      </c>
      <c r="I38" s="20" t="s">
        <v>194</v>
      </c>
      <c r="J38" s="20">
        <v>314</v>
      </c>
      <c r="K38" s="20">
        <v>298.15100000000001</v>
      </c>
      <c r="L38" s="20">
        <v>-15.849</v>
      </c>
    </row>
    <row r="39" spans="1:21">
      <c r="A39" s="23">
        <v>1</v>
      </c>
      <c r="B39" s="22">
        <v>0.99975599999999998</v>
      </c>
      <c r="D39" s="20" t="s">
        <v>232</v>
      </c>
      <c r="E39" s="20">
        <v>311.97300000000001</v>
      </c>
      <c r="F39" s="20">
        <v>296.91899999999998</v>
      </c>
      <c r="G39" s="20">
        <v>-15.054</v>
      </c>
    </row>
    <row r="40" spans="1:21">
      <c r="A40" s="23">
        <v>1</v>
      </c>
      <c r="B40" s="22">
        <v>0.99993600000000005</v>
      </c>
      <c r="D40" s="20" t="s">
        <v>233</v>
      </c>
      <c r="E40" s="20">
        <v>309.24700000000001</v>
      </c>
      <c r="F40" s="20">
        <v>295.06299999999999</v>
      </c>
      <c r="G40" s="20">
        <v>-14.183999999999999</v>
      </c>
      <c r="I40" s="20" t="s">
        <v>195</v>
      </c>
      <c r="J40" s="20">
        <v>309.87099999999998</v>
      </c>
      <c r="K40" s="20">
        <v>294.95600000000002</v>
      </c>
      <c r="L40" s="20">
        <v>-14.914999999999999</v>
      </c>
      <c r="N40" s="20" t="s">
        <v>176</v>
      </c>
      <c r="O40" s="20">
        <v>310.77300000000002</v>
      </c>
      <c r="P40" s="20">
        <v>294.98</v>
      </c>
      <c r="Q40" s="20">
        <v>-15.792999999999999</v>
      </c>
      <c r="S40" s="20">
        <v>309.27</v>
      </c>
      <c r="T40" s="20">
        <v>294.584</v>
      </c>
      <c r="U40" s="20">
        <v>-14.686</v>
      </c>
    </row>
    <row r="41" spans="1:21">
      <c r="A41" s="23">
        <v>1</v>
      </c>
      <c r="B41" s="22">
        <v>0.99998900000000002</v>
      </c>
      <c r="D41" s="20" t="s">
        <v>234</v>
      </c>
      <c r="E41" s="20">
        <v>305.80399999999997</v>
      </c>
      <c r="F41" s="20">
        <v>292.38900000000001</v>
      </c>
      <c r="G41" s="20">
        <v>-13.414999999999999</v>
      </c>
      <c r="S41" s="20" t="s">
        <v>256</v>
      </c>
      <c r="T41" s="20" t="s">
        <v>256</v>
      </c>
      <c r="U41" s="20" t="s">
        <v>254</v>
      </c>
    </row>
    <row r="42" spans="1:21">
      <c r="A42" s="23">
        <v>1</v>
      </c>
      <c r="B42" s="22">
        <v>0.99999899999999997</v>
      </c>
      <c r="D42" s="20" t="s">
        <v>235</v>
      </c>
      <c r="E42" s="20">
        <v>301.779</v>
      </c>
      <c r="F42" s="20">
        <v>288.58499999999998</v>
      </c>
      <c r="G42" s="20">
        <v>-13.194000000000001</v>
      </c>
      <c r="I42" s="20" t="s">
        <v>196</v>
      </c>
      <c r="J42" s="20">
        <v>302.93</v>
      </c>
      <c r="K42" s="20">
        <v>288.851</v>
      </c>
      <c r="L42" s="20">
        <v>-14.079000000000001</v>
      </c>
    </row>
    <row r="43" spans="1:21">
      <c r="A43" s="23">
        <v>1</v>
      </c>
      <c r="B43" s="22">
        <v>1</v>
      </c>
      <c r="D43" s="20" t="s">
        <v>241</v>
      </c>
      <c r="E43" s="20">
        <v>297.536</v>
      </c>
      <c r="F43" s="20">
        <v>283.09500000000003</v>
      </c>
      <c r="G43" s="20">
        <v>-14.441000000000001</v>
      </c>
      <c r="I43" s="20" t="s">
        <v>197</v>
      </c>
      <c r="J43" s="20">
        <v>297.55799999999999</v>
      </c>
      <c r="K43" s="20">
        <v>283.33499999999998</v>
      </c>
      <c r="L43" s="20">
        <v>-14.223000000000001</v>
      </c>
      <c r="N43" s="20" t="s">
        <v>177</v>
      </c>
      <c r="O43" s="20">
        <v>304.86</v>
      </c>
      <c r="P43" s="20">
        <v>289.45</v>
      </c>
      <c r="Q43" s="20">
        <v>-15.41</v>
      </c>
      <c r="S43" s="20">
        <v>304.20100000000002</v>
      </c>
      <c r="T43" s="20">
        <v>289.57900000000001</v>
      </c>
      <c r="U43" s="20">
        <v>-14.622</v>
      </c>
    </row>
  </sheetData>
  <mergeCells count="4">
    <mergeCell ref="D1:G2"/>
    <mergeCell ref="I1:L2"/>
    <mergeCell ref="N1:Q2"/>
    <mergeCell ref="S1:U2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/>
  </sheetViews>
  <sheetFormatPr defaultColWidth="9" defaultRowHeight="15"/>
  <cols>
    <col min="1" max="1" width="8.375" style="23" bestFit="1" customWidth="1"/>
    <col min="2" max="2" width="9.375" style="22" bestFit="1" customWidth="1"/>
    <col min="3" max="3" width="9" style="20"/>
    <col min="4" max="4" width="14.875" style="20" bestFit="1" customWidth="1"/>
    <col min="5" max="5" width="11.375" style="20" bestFit="1" customWidth="1"/>
    <col min="6" max="6" width="9.375" style="20" bestFit="1" customWidth="1"/>
    <col min="7" max="7" width="8.375" style="20" bestFit="1" customWidth="1"/>
    <col min="8" max="8" width="9" style="20"/>
    <col min="9" max="9" width="14.375" style="20" bestFit="1" customWidth="1"/>
    <col min="10" max="10" width="11.375" style="20" bestFit="1" customWidth="1"/>
    <col min="11" max="11" width="9.375" style="20" bestFit="1" customWidth="1"/>
    <col min="12" max="12" width="8.375" style="20" bestFit="1" customWidth="1"/>
    <col min="13" max="13" width="9" style="20"/>
    <col min="14" max="14" width="14.375" style="20" bestFit="1" customWidth="1"/>
    <col min="15" max="15" width="11.375" style="20" bestFit="1" customWidth="1"/>
    <col min="16" max="16" width="9.375" style="20" bestFit="1" customWidth="1"/>
    <col min="17" max="17" width="8.375" style="20" bestFit="1" customWidth="1"/>
    <col min="18" max="18" width="9" style="20"/>
    <col min="19" max="19" width="11.375" style="20" bestFit="1" customWidth="1"/>
    <col min="20" max="20" width="9.375" style="20" bestFit="1" customWidth="1"/>
    <col min="21" max="21" width="8.375" style="20" bestFit="1" customWidth="1"/>
    <col min="22" max="16384" width="9" style="20"/>
  </cols>
  <sheetData>
    <row r="1" spans="1:21">
      <c r="D1" s="25" t="s">
        <v>248</v>
      </c>
      <c r="E1" s="25"/>
      <c r="F1" s="25"/>
      <c r="G1" s="25"/>
      <c r="I1" s="25" t="s">
        <v>249</v>
      </c>
      <c r="J1" s="25"/>
      <c r="K1" s="25"/>
      <c r="L1" s="25"/>
      <c r="N1" s="25" t="s">
        <v>250</v>
      </c>
      <c r="O1" s="25"/>
      <c r="P1" s="25"/>
      <c r="Q1" s="25"/>
      <c r="S1" s="25" t="s">
        <v>255</v>
      </c>
      <c r="T1" s="25"/>
      <c r="U1" s="25"/>
    </row>
    <row r="2" spans="1:21">
      <c r="D2" s="25"/>
      <c r="E2" s="25"/>
      <c r="F2" s="25"/>
      <c r="G2" s="25"/>
      <c r="I2" s="25"/>
      <c r="J2" s="25"/>
      <c r="K2" s="25"/>
      <c r="L2" s="25"/>
      <c r="N2" s="25"/>
      <c r="O2" s="25"/>
      <c r="P2" s="25"/>
      <c r="Q2" s="25"/>
      <c r="S2" s="25"/>
      <c r="T2" s="25"/>
      <c r="U2" s="25"/>
    </row>
    <row r="3" spans="1:21">
      <c r="A3" s="23" t="s">
        <v>246</v>
      </c>
      <c r="B3" s="22" t="s">
        <v>247</v>
      </c>
      <c r="D3" s="21" t="s">
        <v>245</v>
      </c>
      <c r="E3" s="21" t="s">
        <v>238</v>
      </c>
      <c r="F3" s="21" t="s">
        <v>239</v>
      </c>
      <c r="G3" s="21" t="s">
        <v>240</v>
      </c>
      <c r="I3" s="21" t="s">
        <v>245</v>
      </c>
      <c r="J3" s="21" t="s">
        <v>238</v>
      </c>
      <c r="K3" s="21" t="s">
        <v>239</v>
      </c>
      <c r="L3" s="21" t="s">
        <v>240</v>
      </c>
      <c r="N3" s="21" t="s">
        <v>245</v>
      </c>
      <c r="O3" s="21" t="s">
        <v>238</v>
      </c>
      <c r="P3" s="21" t="s">
        <v>239</v>
      </c>
      <c r="Q3" s="21" t="s">
        <v>240</v>
      </c>
      <c r="S3" s="21" t="s">
        <v>238</v>
      </c>
      <c r="T3" s="21" t="s">
        <v>239</v>
      </c>
      <c r="U3" s="21" t="s">
        <v>240</v>
      </c>
    </row>
    <row r="4" spans="1:21">
      <c r="A4" s="23">
        <v>0</v>
      </c>
      <c r="B4" s="22">
        <v>0</v>
      </c>
      <c r="D4" s="20" t="s">
        <v>106</v>
      </c>
      <c r="E4" s="20">
        <v>0</v>
      </c>
      <c r="F4" s="20">
        <v>0</v>
      </c>
      <c r="G4" s="20">
        <v>0</v>
      </c>
      <c r="I4" s="20" t="s">
        <v>106</v>
      </c>
      <c r="J4" s="20">
        <v>0</v>
      </c>
      <c r="K4" s="20">
        <v>0</v>
      </c>
      <c r="L4" s="20">
        <v>0</v>
      </c>
      <c r="N4" s="20" t="s">
        <v>106</v>
      </c>
      <c r="O4" s="20">
        <v>0</v>
      </c>
      <c r="P4" s="20">
        <v>0</v>
      </c>
      <c r="Q4" s="20">
        <v>0</v>
      </c>
      <c r="S4" s="20">
        <v>0</v>
      </c>
      <c r="T4" s="20">
        <v>0</v>
      </c>
      <c r="U4" s="20">
        <v>0</v>
      </c>
    </row>
    <row r="5" spans="1:21">
      <c r="A5" s="23">
        <v>0.05</v>
      </c>
      <c r="B5" s="22">
        <v>0</v>
      </c>
      <c r="D5" s="20" t="s">
        <v>126</v>
      </c>
      <c r="E5" s="20">
        <v>33.854999999999997</v>
      </c>
      <c r="F5" s="20">
        <v>34.070999999999998</v>
      </c>
      <c r="G5" s="20">
        <v>0.216</v>
      </c>
    </row>
    <row r="6" spans="1:21">
      <c r="A6" s="23">
        <v>0.1</v>
      </c>
      <c r="B6" s="22">
        <v>0</v>
      </c>
      <c r="D6" s="20" t="s">
        <v>127</v>
      </c>
      <c r="E6" s="20">
        <v>65.582999999999998</v>
      </c>
      <c r="F6" s="20">
        <v>66.206000000000003</v>
      </c>
      <c r="G6" s="20">
        <v>0.623</v>
      </c>
      <c r="I6" s="20" t="s">
        <v>107</v>
      </c>
      <c r="J6" s="20">
        <v>65.596999999999994</v>
      </c>
      <c r="K6" s="20">
        <v>66.325999999999993</v>
      </c>
      <c r="L6" s="20">
        <v>0.72899999999999998</v>
      </c>
    </row>
    <row r="7" spans="1:21">
      <c r="A7" s="23">
        <v>0.15</v>
      </c>
      <c r="B7" s="22">
        <v>0</v>
      </c>
      <c r="D7" s="20" t="s">
        <v>128</v>
      </c>
      <c r="E7" s="20">
        <v>95.637</v>
      </c>
      <c r="F7" s="20">
        <v>96.478999999999999</v>
      </c>
      <c r="G7" s="20">
        <v>0.84199999999999997</v>
      </c>
    </row>
    <row r="8" spans="1:21">
      <c r="A8" s="23">
        <v>0.2</v>
      </c>
      <c r="B8" s="22">
        <v>0</v>
      </c>
      <c r="D8" s="20" t="s">
        <v>129</v>
      </c>
      <c r="E8" s="20">
        <v>124.077</v>
      </c>
      <c r="F8" s="20">
        <v>124.92</v>
      </c>
      <c r="G8" s="20">
        <v>0.84299999999999997</v>
      </c>
      <c r="I8" s="20" t="s">
        <v>108</v>
      </c>
      <c r="J8" s="20">
        <v>124.124</v>
      </c>
      <c r="K8" s="20">
        <v>125.04</v>
      </c>
      <c r="L8" s="20">
        <v>0.91600000000000004</v>
      </c>
      <c r="N8" s="20" t="s">
        <v>97</v>
      </c>
      <c r="O8" s="20">
        <v>123.623</v>
      </c>
      <c r="P8" s="20">
        <v>125.40900000000001</v>
      </c>
      <c r="Q8" s="20">
        <v>1.786</v>
      </c>
      <c r="S8" s="20">
        <v>123.956</v>
      </c>
      <c r="T8" s="20">
        <v>124.971</v>
      </c>
      <c r="U8" s="20">
        <v>1.0149999999999999</v>
      </c>
    </row>
    <row r="9" spans="1:21">
      <c r="A9" s="23">
        <v>0.25</v>
      </c>
      <c r="B9" s="22">
        <v>0</v>
      </c>
      <c r="D9" s="20" t="s">
        <v>130</v>
      </c>
      <c r="E9" s="20">
        <v>150.61600000000001</v>
      </c>
      <c r="F9" s="20">
        <v>151.499</v>
      </c>
      <c r="G9" s="20">
        <v>0.88300000000000001</v>
      </c>
      <c r="S9" s="20" t="s">
        <v>254</v>
      </c>
      <c r="T9" s="20" t="s">
        <v>256</v>
      </c>
      <c r="U9" s="20" t="s">
        <v>254</v>
      </c>
    </row>
    <row r="10" spans="1:21">
      <c r="A10" s="23">
        <v>0.3</v>
      </c>
      <c r="B10" s="22">
        <v>0</v>
      </c>
      <c r="D10" s="20" t="s">
        <v>131</v>
      </c>
      <c r="E10" s="20">
        <v>175.44900000000001</v>
      </c>
      <c r="F10" s="20">
        <v>176.23699999999999</v>
      </c>
      <c r="G10" s="20">
        <v>0.78800000000000003</v>
      </c>
      <c r="I10" s="20" t="s">
        <v>109</v>
      </c>
      <c r="J10" s="20">
        <v>175.27600000000001</v>
      </c>
      <c r="K10" s="20">
        <v>176.27699999999999</v>
      </c>
      <c r="L10" s="20">
        <v>1.0009999999999999</v>
      </c>
    </row>
    <row r="11" spans="1:21">
      <c r="A11" s="23">
        <v>0.35</v>
      </c>
      <c r="B11" s="22">
        <v>0</v>
      </c>
      <c r="D11" s="20" t="s">
        <v>132</v>
      </c>
      <c r="E11" s="20">
        <v>198.44300000000001</v>
      </c>
      <c r="F11" s="20">
        <v>199.16800000000001</v>
      </c>
      <c r="G11" s="20">
        <v>0.72499999999999998</v>
      </c>
    </row>
    <row r="12" spans="1:21">
      <c r="A12" s="23">
        <v>0.4</v>
      </c>
      <c r="B12" s="22">
        <v>0</v>
      </c>
      <c r="D12" s="20" t="s">
        <v>133</v>
      </c>
      <c r="E12" s="20">
        <v>219.678</v>
      </c>
      <c r="F12" s="20">
        <v>220.29900000000001</v>
      </c>
      <c r="G12" s="20">
        <v>0.621</v>
      </c>
      <c r="I12" s="20" t="s">
        <v>110</v>
      </c>
      <c r="J12" s="20">
        <v>219.428</v>
      </c>
      <c r="K12" s="20">
        <v>220.3</v>
      </c>
      <c r="L12" s="20">
        <v>0.872</v>
      </c>
      <c r="N12" s="20" t="s">
        <v>98</v>
      </c>
      <c r="O12" s="20">
        <v>219.124</v>
      </c>
      <c r="P12" s="20">
        <v>220.828</v>
      </c>
      <c r="Q12" s="20">
        <v>1.704</v>
      </c>
      <c r="S12" s="20">
        <v>219.42500000000001</v>
      </c>
      <c r="T12" s="20">
        <v>220.30199999999999</v>
      </c>
      <c r="U12" s="20">
        <v>0.877</v>
      </c>
    </row>
    <row r="13" spans="1:21">
      <c r="A13" s="23">
        <v>0.45</v>
      </c>
      <c r="B13" s="22">
        <v>0</v>
      </c>
      <c r="D13" s="20" t="s">
        <v>134</v>
      </c>
      <c r="E13" s="20">
        <v>239.23599999999999</v>
      </c>
      <c r="F13" s="20">
        <v>239.65</v>
      </c>
      <c r="G13" s="20">
        <v>0.41399999999999998</v>
      </c>
      <c r="S13" s="20" t="s">
        <v>254</v>
      </c>
      <c r="T13" s="20" t="s">
        <v>256</v>
      </c>
      <c r="U13" s="20" t="s">
        <v>254</v>
      </c>
    </row>
    <row r="14" spans="1:21">
      <c r="A14" s="23">
        <v>0.5</v>
      </c>
      <c r="B14" s="22">
        <v>0</v>
      </c>
      <c r="D14" s="20" t="s">
        <v>135</v>
      </c>
      <c r="E14" s="20">
        <v>257.11399999999998</v>
      </c>
      <c r="F14" s="20">
        <v>257.24200000000002</v>
      </c>
      <c r="G14" s="20">
        <v>0.128</v>
      </c>
      <c r="I14" s="20" t="s">
        <v>111</v>
      </c>
      <c r="J14" s="20">
        <v>256.87599999999998</v>
      </c>
      <c r="K14" s="20">
        <v>257.29300000000001</v>
      </c>
      <c r="L14" s="20">
        <v>0.41699999999999998</v>
      </c>
    </row>
    <row r="15" spans="1:21">
      <c r="A15" s="23">
        <v>0.55000000000000004</v>
      </c>
      <c r="B15" s="22">
        <v>0</v>
      </c>
      <c r="D15" s="20" t="s">
        <v>136</v>
      </c>
      <c r="E15" s="20">
        <v>273.31299999999999</v>
      </c>
      <c r="F15" s="20">
        <v>273.09699999999998</v>
      </c>
      <c r="G15" s="20">
        <v>-0.216</v>
      </c>
    </row>
    <row r="16" spans="1:21">
      <c r="A16" s="23">
        <v>0.6</v>
      </c>
      <c r="B16" s="22">
        <v>0</v>
      </c>
      <c r="D16" s="20" t="s">
        <v>137</v>
      </c>
      <c r="E16" s="20">
        <v>287.82600000000002</v>
      </c>
      <c r="F16" s="20">
        <v>287.23599999999999</v>
      </c>
      <c r="G16" s="20">
        <v>-0.59</v>
      </c>
      <c r="I16" s="20" t="s">
        <v>112</v>
      </c>
      <c r="J16" s="20">
        <v>287.83</v>
      </c>
      <c r="K16" s="20">
        <v>287.33499999999998</v>
      </c>
      <c r="L16" s="20">
        <v>-0.495</v>
      </c>
      <c r="N16" s="20" t="s">
        <v>99</v>
      </c>
      <c r="O16" s="20">
        <v>286.74299999999999</v>
      </c>
      <c r="P16" s="20">
        <v>287.77100000000002</v>
      </c>
      <c r="Q16" s="20">
        <v>1.028</v>
      </c>
      <c r="S16" s="20">
        <v>287.78500000000003</v>
      </c>
      <c r="T16" s="20">
        <v>287.21899999999999</v>
      </c>
      <c r="U16" s="20">
        <v>-0.56599999999999995</v>
      </c>
    </row>
    <row r="17" spans="1:21">
      <c r="A17" s="23">
        <v>0.65</v>
      </c>
      <c r="B17" s="22">
        <v>0</v>
      </c>
      <c r="D17" s="20" t="s">
        <v>138</v>
      </c>
      <c r="E17" s="20">
        <v>300.721</v>
      </c>
      <c r="F17" s="20">
        <v>299.68299999999999</v>
      </c>
      <c r="G17" s="20">
        <v>-1.038</v>
      </c>
      <c r="S17" s="20" t="s">
        <v>254</v>
      </c>
      <c r="T17" s="20" t="s">
        <v>256</v>
      </c>
      <c r="U17" s="20" t="s">
        <v>254</v>
      </c>
    </row>
    <row r="18" spans="1:21">
      <c r="A18" s="23">
        <v>0.7</v>
      </c>
      <c r="B18" s="22">
        <v>0</v>
      </c>
      <c r="D18" s="20" t="s">
        <v>139</v>
      </c>
      <c r="E18" s="20">
        <v>311.935</v>
      </c>
      <c r="F18" s="20">
        <v>310.46899999999999</v>
      </c>
      <c r="G18" s="20">
        <v>-1.466</v>
      </c>
      <c r="I18" s="20" t="s">
        <v>113</v>
      </c>
      <c r="J18" s="20">
        <v>311.97399999999999</v>
      </c>
      <c r="K18" s="20">
        <v>310.55</v>
      </c>
      <c r="L18" s="20">
        <v>-1.4239999999999999</v>
      </c>
    </row>
    <row r="19" spans="1:21">
      <c r="A19" s="23">
        <v>0.75</v>
      </c>
      <c r="B19" s="22">
        <v>0</v>
      </c>
      <c r="D19" s="20" t="s">
        <v>140</v>
      </c>
      <c r="E19" s="20">
        <v>321.47000000000003</v>
      </c>
      <c r="F19" s="20">
        <v>319.55</v>
      </c>
      <c r="G19" s="20">
        <v>-1.92</v>
      </c>
    </row>
    <row r="20" spans="1:21">
      <c r="A20" s="23">
        <v>0.8</v>
      </c>
      <c r="B20" s="22">
        <v>0</v>
      </c>
      <c r="D20" s="20" t="s">
        <v>141</v>
      </c>
      <c r="E20" s="20">
        <v>329.31</v>
      </c>
      <c r="F20" s="20">
        <v>326.96699999999998</v>
      </c>
      <c r="G20" s="20">
        <v>-2.343</v>
      </c>
      <c r="I20" s="20" t="s">
        <v>114</v>
      </c>
      <c r="J20" s="20">
        <v>329.35700000000003</v>
      </c>
      <c r="K20" s="20">
        <v>327.04300000000001</v>
      </c>
      <c r="L20" s="20">
        <v>-2.3140000000000001</v>
      </c>
      <c r="N20" s="20" t="s">
        <v>100</v>
      </c>
      <c r="O20" s="20">
        <v>327.70699999999999</v>
      </c>
      <c r="P20" s="20">
        <v>327.40100000000001</v>
      </c>
      <c r="Q20" s="20">
        <v>-0.30599999999999999</v>
      </c>
      <c r="S20" s="20">
        <v>328.75099999999998</v>
      </c>
      <c r="T20" s="20">
        <v>326.92399999999998</v>
      </c>
      <c r="U20" s="20">
        <v>-1.827</v>
      </c>
    </row>
    <row r="21" spans="1:21">
      <c r="A21" s="23">
        <v>0.85</v>
      </c>
      <c r="B21" s="22">
        <v>0</v>
      </c>
      <c r="D21" s="20" t="s">
        <v>142</v>
      </c>
      <c r="E21" s="20">
        <v>335.41399999999999</v>
      </c>
      <c r="F21" s="20">
        <v>332.73599999999999</v>
      </c>
      <c r="G21" s="20">
        <v>-2.6779999999999999</v>
      </c>
      <c r="S21" s="20" t="s">
        <v>254</v>
      </c>
      <c r="T21" s="20" t="s">
        <v>256</v>
      </c>
      <c r="U21" s="20" t="s">
        <v>254</v>
      </c>
    </row>
    <row r="22" spans="1:21">
      <c r="A22" s="23">
        <v>0.9</v>
      </c>
      <c r="B22" s="22">
        <v>0</v>
      </c>
      <c r="D22" s="20" t="s">
        <v>143</v>
      </c>
      <c r="E22" s="20">
        <v>339.94</v>
      </c>
      <c r="F22" s="20">
        <v>336.83800000000002</v>
      </c>
      <c r="G22" s="20">
        <v>-3.1019999999999999</v>
      </c>
      <c r="I22" s="20" t="s">
        <v>115</v>
      </c>
      <c r="J22" s="20">
        <v>340.048</v>
      </c>
      <c r="K22" s="20">
        <v>336.91899999999998</v>
      </c>
      <c r="L22" s="20">
        <v>-3.129</v>
      </c>
    </row>
    <row r="23" spans="1:21">
      <c r="A23" s="23">
        <v>0.95</v>
      </c>
      <c r="B23" s="22">
        <v>0</v>
      </c>
      <c r="D23" s="20" t="s">
        <v>144</v>
      </c>
      <c r="E23" s="20">
        <v>342.77499999999998</v>
      </c>
      <c r="F23" s="20">
        <v>339.29300000000001</v>
      </c>
      <c r="G23" s="20">
        <v>-3.4820000000000002</v>
      </c>
    </row>
    <row r="24" spans="1:21">
      <c r="A24" s="23">
        <v>1</v>
      </c>
      <c r="B24" s="22">
        <v>0</v>
      </c>
      <c r="D24" s="20" t="s">
        <v>145</v>
      </c>
      <c r="E24" s="20">
        <v>343.99099999999999</v>
      </c>
      <c r="F24" s="20">
        <v>340.11</v>
      </c>
      <c r="G24" s="20">
        <v>-3.8809999999999998</v>
      </c>
      <c r="I24" s="20" t="s">
        <v>116</v>
      </c>
      <c r="J24" s="20">
        <v>343.916</v>
      </c>
      <c r="K24" s="20">
        <v>340.19799999999998</v>
      </c>
      <c r="L24" s="20">
        <v>-3.718</v>
      </c>
      <c r="N24" s="20" t="s">
        <v>101</v>
      </c>
      <c r="O24" s="20">
        <v>342.65800000000002</v>
      </c>
      <c r="P24" s="20">
        <v>340.50900000000001</v>
      </c>
      <c r="Q24" s="20">
        <v>-2.149</v>
      </c>
      <c r="S24" s="20">
        <v>342.83300000000003</v>
      </c>
      <c r="T24" s="20">
        <v>340.08499999999998</v>
      </c>
      <c r="U24" s="20">
        <v>-2.7480000000000002</v>
      </c>
    </row>
    <row r="25" spans="1:21">
      <c r="A25" s="23">
        <v>1</v>
      </c>
      <c r="B25" s="22">
        <v>0.26490799999999998</v>
      </c>
      <c r="D25" s="20" t="s">
        <v>146</v>
      </c>
      <c r="E25" s="20">
        <v>348.971</v>
      </c>
      <c r="F25" s="20">
        <v>342.54500000000002</v>
      </c>
      <c r="G25" s="20">
        <v>-6.4260000000000002</v>
      </c>
      <c r="S25" s="20" t="s">
        <v>254</v>
      </c>
      <c r="T25" s="20" t="s">
        <v>256</v>
      </c>
      <c r="U25" s="20" t="s">
        <v>254</v>
      </c>
    </row>
    <row r="26" spans="1:21">
      <c r="A26" s="23">
        <v>1</v>
      </c>
      <c r="B26" s="22">
        <v>0.468559</v>
      </c>
      <c r="D26" s="20" t="s">
        <v>147</v>
      </c>
      <c r="E26" s="20">
        <v>353.36099999999999</v>
      </c>
      <c r="F26" s="20">
        <v>344.74900000000002</v>
      </c>
      <c r="G26" s="20">
        <v>-8.6120000000000001</v>
      </c>
      <c r="I26" s="20" t="s">
        <v>117</v>
      </c>
      <c r="J26" s="20">
        <v>352.73899999999998</v>
      </c>
      <c r="K26" s="20">
        <v>344.68799999999999</v>
      </c>
      <c r="L26" s="20">
        <v>-8.0510000000000002</v>
      </c>
    </row>
    <row r="27" spans="1:21">
      <c r="A27" s="23">
        <v>1</v>
      </c>
      <c r="B27" s="22">
        <v>0.62285000000000001</v>
      </c>
      <c r="D27" s="20" t="s">
        <v>148</v>
      </c>
      <c r="E27" s="20">
        <v>357.26600000000002</v>
      </c>
      <c r="F27" s="20">
        <v>346.62200000000001</v>
      </c>
      <c r="G27" s="20">
        <v>-10.644</v>
      </c>
    </row>
    <row r="28" spans="1:21">
      <c r="A28" s="23">
        <v>1</v>
      </c>
      <c r="B28" s="22">
        <v>0.73785599999999996</v>
      </c>
      <c r="D28" s="20" t="s">
        <v>149</v>
      </c>
      <c r="E28" s="20">
        <v>360.565</v>
      </c>
      <c r="F28" s="20">
        <v>348.28300000000002</v>
      </c>
      <c r="G28" s="20">
        <v>-12.282</v>
      </c>
      <c r="I28" s="20" t="s">
        <v>118</v>
      </c>
      <c r="J28" s="20">
        <v>359.57499999999999</v>
      </c>
      <c r="K28" s="20">
        <v>348.23099999999999</v>
      </c>
      <c r="L28" s="20">
        <v>-11.343999999999999</v>
      </c>
      <c r="N28" s="20" t="s">
        <v>102</v>
      </c>
      <c r="O28" s="20">
        <v>359.46</v>
      </c>
      <c r="P28" s="20">
        <v>349.25900000000001</v>
      </c>
      <c r="Q28" s="20">
        <v>-10.201000000000001</v>
      </c>
      <c r="S28" s="20">
        <v>358.54899999999998</v>
      </c>
      <c r="T28" s="20">
        <v>348.041</v>
      </c>
      <c r="U28" s="20">
        <v>-10.507999999999999</v>
      </c>
    </row>
    <row r="29" spans="1:21">
      <c r="A29" s="23">
        <v>1</v>
      </c>
      <c r="B29" s="22">
        <v>0.822021</v>
      </c>
      <c r="D29" s="20" t="s">
        <v>150</v>
      </c>
      <c r="E29" s="20">
        <v>363.488</v>
      </c>
      <c r="F29" s="20">
        <v>349.73</v>
      </c>
      <c r="G29" s="20">
        <v>-13.757999999999999</v>
      </c>
      <c r="S29" s="20" t="s">
        <v>254</v>
      </c>
      <c r="T29" s="20" t="s">
        <v>256</v>
      </c>
      <c r="U29" s="20" t="s">
        <v>254</v>
      </c>
    </row>
    <row r="30" spans="1:21">
      <c r="A30" s="23">
        <v>1</v>
      </c>
      <c r="B30" s="22">
        <v>0.882351</v>
      </c>
      <c r="D30" s="20" t="s">
        <v>151</v>
      </c>
      <c r="E30" s="20">
        <v>365.904</v>
      </c>
      <c r="F30" s="20">
        <v>350.96</v>
      </c>
      <c r="G30" s="20">
        <v>-14.944000000000001</v>
      </c>
      <c r="I30" s="20" t="s">
        <v>119</v>
      </c>
      <c r="J30" s="20">
        <v>365.09500000000003</v>
      </c>
      <c r="K30" s="20">
        <v>350.98200000000003</v>
      </c>
      <c r="L30" s="20">
        <v>-14.113</v>
      </c>
    </row>
    <row r="31" spans="1:21">
      <c r="A31" s="23">
        <v>1</v>
      </c>
      <c r="B31" s="22">
        <v>0.92458099999999999</v>
      </c>
      <c r="D31" s="20" t="s">
        <v>152</v>
      </c>
      <c r="E31" s="20">
        <v>367.73700000000002</v>
      </c>
      <c r="F31" s="20">
        <v>352.08100000000002</v>
      </c>
      <c r="G31" s="20">
        <v>-15.656000000000001</v>
      </c>
    </row>
    <row r="32" spans="1:21">
      <c r="A32" s="23">
        <v>1</v>
      </c>
      <c r="B32" s="22">
        <v>0.95334399999999997</v>
      </c>
      <c r="D32" s="20" t="s">
        <v>153</v>
      </c>
      <c r="E32" s="20">
        <v>369.17500000000001</v>
      </c>
      <c r="F32" s="20">
        <v>353.03</v>
      </c>
      <c r="G32" s="20">
        <v>-16.145</v>
      </c>
      <c r="I32" s="20" t="s">
        <v>120</v>
      </c>
      <c r="J32" s="20">
        <v>368.56400000000002</v>
      </c>
      <c r="K32" s="20">
        <v>352.70800000000003</v>
      </c>
      <c r="L32" s="20">
        <v>-15.856</v>
      </c>
      <c r="N32" s="20" t="s">
        <v>103</v>
      </c>
      <c r="O32" s="20">
        <v>368.20400000000001</v>
      </c>
      <c r="P32" s="20">
        <v>354.108</v>
      </c>
      <c r="Q32" s="20">
        <v>-14.096</v>
      </c>
      <c r="S32" s="20">
        <v>367.471</v>
      </c>
      <c r="T32" s="20">
        <v>352.67500000000001</v>
      </c>
      <c r="U32" s="20">
        <v>-14.795999999999999</v>
      </c>
    </row>
    <row r="33" spans="1:21">
      <c r="A33" s="23">
        <v>1</v>
      </c>
      <c r="B33" s="22">
        <v>0.97231900000000004</v>
      </c>
      <c r="D33" s="20" t="s">
        <v>154</v>
      </c>
      <c r="E33" s="20">
        <v>370.28199999999998</v>
      </c>
      <c r="F33" s="20">
        <v>353.673</v>
      </c>
      <c r="G33" s="20">
        <v>-16.609000000000002</v>
      </c>
      <c r="S33" s="20" t="s">
        <v>254</v>
      </c>
      <c r="T33" s="20" t="s">
        <v>256</v>
      </c>
      <c r="U33" s="20" t="s">
        <v>254</v>
      </c>
    </row>
    <row r="34" spans="1:21">
      <c r="A34" s="23">
        <v>1</v>
      </c>
      <c r="B34" s="22">
        <v>0.984375</v>
      </c>
      <c r="D34" s="20" t="s">
        <v>155</v>
      </c>
      <c r="E34" s="20">
        <v>370.839</v>
      </c>
      <c r="F34" s="20">
        <v>353.959</v>
      </c>
      <c r="G34" s="20">
        <v>-16.88</v>
      </c>
      <c r="I34" s="20" t="s">
        <v>121</v>
      </c>
      <c r="J34" s="20">
        <v>370.017</v>
      </c>
      <c r="K34" s="20">
        <v>353.45100000000002</v>
      </c>
      <c r="L34" s="20">
        <v>-16.565999999999999</v>
      </c>
    </row>
    <row r="35" spans="1:21">
      <c r="A35" s="23">
        <v>1</v>
      </c>
      <c r="B35" s="22">
        <v>0.99169600000000002</v>
      </c>
      <c r="D35" s="20" t="s">
        <v>156</v>
      </c>
      <c r="E35" s="20">
        <v>370.77199999999999</v>
      </c>
      <c r="F35" s="20">
        <v>353.96699999999998</v>
      </c>
      <c r="G35" s="20">
        <v>-16.805</v>
      </c>
    </row>
    <row r="36" spans="1:21">
      <c r="A36" s="23">
        <v>1</v>
      </c>
      <c r="B36" s="22">
        <v>0.99590400000000001</v>
      </c>
      <c r="D36" s="20" t="s">
        <v>157</v>
      </c>
      <c r="E36" s="20">
        <v>370.43200000000002</v>
      </c>
      <c r="F36" s="20">
        <v>353.64100000000002</v>
      </c>
      <c r="G36" s="20">
        <v>-16.791</v>
      </c>
      <c r="I36" s="20" t="s">
        <v>122</v>
      </c>
      <c r="J36" s="20">
        <v>369.85300000000001</v>
      </c>
      <c r="K36" s="20">
        <v>353.36200000000002</v>
      </c>
      <c r="L36" s="20">
        <v>-16.491</v>
      </c>
      <c r="N36" s="20" t="s">
        <v>104</v>
      </c>
      <c r="O36" s="20">
        <v>369.548</v>
      </c>
      <c r="P36" s="20">
        <v>354.74900000000002</v>
      </c>
      <c r="Q36" s="20">
        <v>-14.798999999999999</v>
      </c>
      <c r="S36" s="20">
        <v>368.52499999999998</v>
      </c>
      <c r="T36" s="20">
        <v>353.42700000000002</v>
      </c>
      <c r="U36" s="20">
        <v>-15.098000000000001</v>
      </c>
    </row>
    <row r="37" spans="1:21">
      <c r="A37" s="23">
        <v>1</v>
      </c>
      <c r="B37" s="22">
        <v>0.99816199999999999</v>
      </c>
      <c r="D37" s="20" t="s">
        <v>158</v>
      </c>
      <c r="E37" s="20">
        <v>369.56099999999998</v>
      </c>
      <c r="F37" s="20">
        <v>353.06799999999998</v>
      </c>
      <c r="G37" s="20">
        <v>-16.492999999999999</v>
      </c>
      <c r="S37" s="20" t="s">
        <v>254</v>
      </c>
      <c r="T37" s="20" t="s">
        <v>256</v>
      </c>
      <c r="U37" s="20" t="s">
        <v>254</v>
      </c>
    </row>
    <row r="38" spans="1:21">
      <c r="A38" s="23">
        <v>1</v>
      </c>
      <c r="B38" s="22">
        <v>0.99927100000000002</v>
      </c>
      <c r="D38" s="20" t="s">
        <v>159</v>
      </c>
      <c r="E38" s="20">
        <v>368.29199999999997</v>
      </c>
      <c r="F38" s="20">
        <v>352.23899999999998</v>
      </c>
      <c r="G38" s="20">
        <v>-16.053000000000001</v>
      </c>
      <c r="I38" s="20" t="s">
        <v>123</v>
      </c>
      <c r="J38" s="20">
        <v>367.55399999999997</v>
      </c>
      <c r="K38" s="20">
        <v>351.86700000000002</v>
      </c>
      <c r="L38" s="20">
        <v>-15.686999999999999</v>
      </c>
    </row>
    <row r="39" spans="1:21">
      <c r="A39" s="23">
        <v>1</v>
      </c>
      <c r="B39" s="22">
        <v>0.99975599999999998</v>
      </c>
      <c r="D39" s="20" t="s">
        <v>160</v>
      </c>
      <c r="E39" s="20">
        <v>366.851</v>
      </c>
      <c r="F39" s="20">
        <v>350.98500000000001</v>
      </c>
      <c r="G39" s="20">
        <v>-15.866</v>
      </c>
    </row>
    <row r="40" spans="1:21">
      <c r="A40" s="23">
        <v>1</v>
      </c>
      <c r="B40" s="22">
        <v>0.99993600000000005</v>
      </c>
      <c r="D40" s="20" t="s">
        <v>161</v>
      </c>
      <c r="E40" s="20">
        <v>364.87400000000002</v>
      </c>
      <c r="F40" s="20">
        <v>349.24</v>
      </c>
      <c r="G40" s="20">
        <v>-15.634</v>
      </c>
      <c r="I40" s="20" t="s">
        <v>124</v>
      </c>
      <c r="J40" s="20">
        <v>363.06099999999998</v>
      </c>
      <c r="K40" s="20">
        <v>348.80399999999997</v>
      </c>
      <c r="L40" s="20">
        <v>-14.257</v>
      </c>
      <c r="N40" s="20" t="s">
        <v>105</v>
      </c>
      <c r="O40" s="20">
        <v>363.221</v>
      </c>
      <c r="P40" s="20">
        <v>350.08100000000002</v>
      </c>
      <c r="Q40" s="20">
        <v>-13.14</v>
      </c>
      <c r="S40" s="20">
        <v>363.065</v>
      </c>
      <c r="T40" s="20">
        <v>349.02699999999999</v>
      </c>
      <c r="U40" s="20">
        <v>-14.038</v>
      </c>
    </row>
    <row r="41" spans="1:21">
      <c r="A41" s="23">
        <v>1</v>
      </c>
      <c r="B41" s="22">
        <v>0.99998900000000002</v>
      </c>
      <c r="D41" s="20" t="s">
        <v>162</v>
      </c>
      <c r="E41" s="20">
        <v>362.21499999999997</v>
      </c>
      <c r="F41" s="20">
        <v>346.76100000000002</v>
      </c>
      <c r="G41" s="20">
        <v>-15.454000000000001</v>
      </c>
      <c r="S41" s="20" t="s">
        <v>254</v>
      </c>
      <c r="T41" s="20" t="s">
        <v>256</v>
      </c>
      <c r="U41" s="20" t="s">
        <v>254</v>
      </c>
    </row>
    <row r="42" spans="1:21">
      <c r="A42" s="23">
        <v>1</v>
      </c>
      <c r="B42" s="22">
        <v>0.99999899999999997</v>
      </c>
      <c r="D42" s="20" t="s">
        <v>163</v>
      </c>
      <c r="E42" s="20">
        <v>358.78500000000003</v>
      </c>
      <c r="F42" s="20">
        <v>343.346</v>
      </c>
      <c r="G42" s="20">
        <v>-15.439</v>
      </c>
      <c r="I42" s="20" t="s">
        <v>125</v>
      </c>
      <c r="J42" s="20">
        <v>357.63099999999997</v>
      </c>
      <c r="K42" s="20">
        <v>343.13</v>
      </c>
      <c r="L42" s="20">
        <v>-14.500999999999999</v>
      </c>
    </row>
    <row r="43" spans="1:21">
      <c r="A43" s="23">
        <v>1</v>
      </c>
      <c r="B43" s="22">
        <v>1</v>
      </c>
      <c r="D43" s="20" t="s">
        <v>164</v>
      </c>
      <c r="E43" s="20">
        <v>353.71800000000002</v>
      </c>
      <c r="F43" s="20">
        <v>338.779</v>
      </c>
      <c r="G43" s="20">
        <v>-14.939</v>
      </c>
      <c r="I43" s="20" t="s">
        <v>237</v>
      </c>
      <c r="J43" s="20">
        <v>353.70499999999998</v>
      </c>
      <c r="K43" s="20">
        <v>338.36500000000001</v>
      </c>
      <c r="L43" s="20">
        <v>-15.34</v>
      </c>
      <c r="N43" s="20" t="s">
        <v>236</v>
      </c>
      <c r="O43" s="20">
        <v>358.72899999999998</v>
      </c>
      <c r="P43" s="20">
        <v>345.03800000000001</v>
      </c>
      <c r="Q43" s="20">
        <v>-13.691000000000001</v>
      </c>
      <c r="S43" s="20">
        <v>358.26400000000001</v>
      </c>
      <c r="T43" s="20">
        <v>344.464</v>
      </c>
      <c r="U43" s="20">
        <v>-13.8</v>
      </c>
    </row>
  </sheetData>
  <mergeCells count="4">
    <mergeCell ref="D1:G2"/>
    <mergeCell ref="I1:L2"/>
    <mergeCell ref="N1:Q2"/>
    <mergeCell ref="S1:U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zoomScale="85" zoomScaleNormal="85" workbookViewId="0"/>
  </sheetViews>
  <sheetFormatPr defaultRowHeight="13.5"/>
  <cols>
    <col min="1" max="1" width="9.625" style="6" bestFit="1" customWidth="1"/>
    <col min="2" max="2" width="13.625" style="6" bestFit="1" customWidth="1"/>
    <col min="3" max="3" width="16.625" style="6" bestFit="1" customWidth="1"/>
    <col min="4" max="4" width="15.875" style="6" bestFit="1" customWidth="1"/>
    <col min="5" max="5" width="16" style="6" bestFit="1" customWidth="1"/>
    <col min="6" max="6" width="9" style="6"/>
    <col min="7" max="7" width="16.75" style="6" bestFit="1" customWidth="1"/>
    <col min="8" max="8" width="9" style="6"/>
    <col min="9" max="9" width="12" style="6" customWidth="1"/>
    <col min="10" max="10" width="22.75" style="6" bestFit="1" customWidth="1"/>
    <col min="11" max="11" width="17.25" style="6" bestFit="1" customWidth="1"/>
    <col min="12" max="12" width="13.875" style="6" bestFit="1" customWidth="1"/>
    <col min="13" max="13" width="19.375" style="6" bestFit="1" customWidth="1"/>
    <col min="14" max="14" width="9" style="6"/>
    <col min="15" max="15" width="22.75" style="6" bestFit="1" customWidth="1"/>
    <col min="16" max="16" width="17.25" style="6" bestFit="1" customWidth="1"/>
    <col min="17" max="17" width="12.75" style="6" bestFit="1" customWidth="1"/>
    <col min="18" max="18" width="19.375" style="6" bestFit="1" customWidth="1"/>
    <col min="19" max="19" width="9" style="6"/>
    <col min="20" max="20" width="15.625" style="6" bestFit="1" customWidth="1"/>
    <col min="21" max="21" width="18.25" style="6" bestFit="1" customWidth="1"/>
  </cols>
  <sheetData>
    <row r="1" spans="1:21">
      <c r="A1" s="6" t="s">
        <v>6</v>
      </c>
      <c r="B1" s="6" t="s">
        <v>3</v>
      </c>
      <c r="C1" s="6" t="s">
        <v>5</v>
      </c>
      <c r="D1" s="6" t="s">
        <v>94</v>
      </c>
      <c r="E1" s="6" t="s">
        <v>4</v>
      </c>
      <c r="F1" s="6" t="s">
        <v>1</v>
      </c>
      <c r="G1" s="6" t="s">
        <v>2</v>
      </c>
      <c r="H1" s="6" t="s">
        <v>0</v>
      </c>
      <c r="I1" s="6" t="s">
        <v>68</v>
      </c>
      <c r="J1" s="6" t="s">
        <v>28</v>
      </c>
      <c r="K1" s="6" t="s">
        <v>4</v>
      </c>
      <c r="L1" s="6" t="s">
        <v>1</v>
      </c>
      <c r="M1" s="6" t="s">
        <v>80</v>
      </c>
      <c r="N1" s="6" t="s">
        <v>0</v>
      </c>
      <c r="O1" s="6" t="s">
        <v>29</v>
      </c>
      <c r="P1" s="6" t="s">
        <v>4</v>
      </c>
      <c r="Q1" s="6" t="s">
        <v>1</v>
      </c>
      <c r="R1" s="6" t="s">
        <v>2</v>
      </c>
      <c r="S1" s="6" t="s">
        <v>0</v>
      </c>
      <c r="T1" s="6" t="s">
        <v>96</v>
      </c>
      <c r="U1" s="6" t="s">
        <v>95</v>
      </c>
    </row>
    <row r="2" spans="1:21">
      <c r="A2" s="13" t="s">
        <v>35</v>
      </c>
      <c r="B2" s="6">
        <v>-8.6737699999999993</v>
      </c>
      <c r="C2" s="6">
        <v>-13.122</v>
      </c>
      <c r="D2" s="6">
        <v>0.33446150750123693</v>
      </c>
      <c r="E2" s="6">
        <f t="shared" ref="E2:E22" si="0">0.8641*B2-4.2082</f>
        <v>-11.703204656999999</v>
      </c>
      <c r="F2" s="6">
        <f t="shared" ref="F2:F22" si="1">C2-E2</f>
        <v>-1.4187953430000011</v>
      </c>
      <c r="G2" s="6">
        <f t="shared" ref="G2:G22" si="2">F2^2</f>
        <v>2.0129802253184907</v>
      </c>
      <c r="H2" s="6">
        <f t="shared" ref="H2" si="3">SQRT(SUM(G2:G22)/20)</f>
        <v>0.76146316929421365</v>
      </c>
      <c r="I2" s="6">
        <f>C2-B2</f>
        <v>-4.4482300000000006</v>
      </c>
      <c r="J2" s="7">
        <v>-36.49</v>
      </c>
      <c r="K2" s="6">
        <f t="shared" ref="K2:K22" si="4">3.0627*B2-10.395</f>
        <v>-36.960155379</v>
      </c>
      <c r="L2" s="6">
        <f>J2-K2</f>
        <v>0.47015537899999771</v>
      </c>
      <c r="M2" s="6">
        <f>L2^2</f>
        <v>0.22104608040263149</v>
      </c>
      <c r="N2" s="6">
        <f>SQRT(SUM(M2:M22)/20)</f>
        <v>2.708038829832029</v>
      </c>
      <c r="O2" s="7">
        <v>-34.979999999999997</v>
      </c>
      <c r="P2" s="6">
        <f t="shared" ref="P2:P22" si="5">2.137*B2-17.654</f>
        <v>-36.189846489999994</v>
      </c>
      <c r="Q2" s="6">
        <f>O2-P2</f>
        <v>1.2098464899999968</v>
      </c>
      <c r="R2" s="6">
        <f>Q2^2</f>
        <v>1.4637285293653124</v>
      </c>
      <c r="S2" s="6">
        <f>SQRT(SUM(R2:R22)/20)</f>
        <v>2.4385259412102664</v>
      </c>
      <c r="T2" s="6">
        <v>0.76346099999999995</v>
      </c>
      <c r="U2" s="6">
        <v>0.75488</v>
      </c>
    </row>
    <row r="3" spans="1:21">
      <c r="A3" s="13" t="s">
        <v>47</v>
      </c>
      <c r="B3" s="6">
        <v>-9.9932300000000005</v>
      </c>
      <c r="C3" s="6">
        <v>-12.474</v>
      </c>
      <c r="D3" s="6">
        <v>1.2438008281071369</v>
      </c>
      <c r="E3" s="6">
        <f t="shared" si="0"/>
        <v>-12.843350042999999</v>
      </c>
      <c r="F3" s="6">
        <f t="shared" si="1"/>
        <v>0.36935004299999896</v>
      </c>
      <c r="G3" s="6">
        <f t="shared" si="2"/>
        <v>0.13641945426410107</v>
      </c>
      <c r="I3" s="6">
        <f t="shared" ref="I3:I22" si="6">C3-B3</f>
        <v>-2.4807699999999997</v>
      </c>
      <c r="J3" s="7">
        <v>-42.09</v>
      </c>
      <c r="K3" s="6">
        <f t="shared" si="4"/>
        <v>-41.001265521000001</v>
      </c>
      <c r="L3" s="6">
        <f t="shared" ref="L3:L22" si="7">J3-K3</f>
        <v>-1.0887344790000029</v>
      </c>
      <c r="M3" s="6">
        <f t="shared" ref="M3:M22" si="8">L3^2</f>
        <v>1.1853427657634077</v>
      </c>
      <c r="O3" s="7">
        <v>-39.67</v>
      </c>
      <c r="P3" s="6">
        <f t="shared" si="5"/>
        <v>-39.00953251</v>
      </c>
      <c r="Q3" s="6">
        <f t="shared" ref="Q3:Q22" si="9">O3-P3</f>
        <v>-0.66046749000000204</v>
      </c>
      <c r="R3" s="6">
        <f t="shared" ref="R3:R22" si="10">Q3^2</f>
        <v>0.43621730534690278</v>
      </c>
      <c r="T3" s="6">
        <v>1.33833</v>
      </c>
      <c r="U3" s="6">
        <v>1.59057</v>
      </c>
    </row>
    <row r="4" spans="1:21">
      <c r="A4" s="13" t="s">
        <v>37</v>
      </c>
      <c r="B4" s="6">
        <v>-8.7025900000000007</v>
      </c>
      <c r="C4" s="6">
        <v>-10.523999999999999</v>
      </c>
      <c r="D4" s="6">
        <v>0.89661139854454219</v>
      </c>
      <c r="E4" s="6">
        <f t="shared" si="0"/>
        <v>-11.728108019</v>
      </c>
      <c r="F4" s="6">
        <f t="shared" si="1"/>
        <v>1.2041080190000013</v>
      </c>
      <c r="G4" s="6">
        <f t="shared" si="2"/>
        <v>1.4498761214201075</v>
      </c>
      <c r="I4" s="6">
        <f t="shared" si="6"/>
        <v>-1.8214099999999984</v>
      </c>
      <c r="J4" s="7">
        <v>-32.68</v>
      </c>
      <c r="K4" s="6">
        <f t="shared" si="4"/>
        <v>-37.048422393000003</v>
      </c>
      <c r="L4" s="6">
        <f t="shared" si="7"/>
        <v>4.368422393000003</v>
      </c>
      <c r="M4" s="6">
        <f t="shared" si="8"/>
        <v>19.083114203663872</v>
      </c>
      <c r="O4" s="7">
        <v>-32.79</v>
      </c>
      <c r="P4" s="6">
        <f t="shared" si="5"/>
        <v>-36.251434830000001</v>
      </c>
      <c r="Q4" s="6">
        <f t="shared" si="9"/>
        <v>3.4614348300000017</v>
      </c>
      <c r="R4" s="6">
        <f t="shared" si="10"/>
        <v>11.98153108233714</v>
      </c>
      <c r="T4" s="6">
        <v>0.333924</v>
      </c>
      <c r="U4" s="6">
        <v>0.66377399999999998</v>
      </c>
    </row>
    <row r="5" spans="1:21">
      <c r="A5" s="13" t="s">
        <v>36</v>
      </c>
      <c r="B5" s="6">
        <v>-8.7025900000000007</v>
      </c>
      <c r="C5" s="6">
        <v>-11.192</v>
      </c>
      <c r="D5" s="6">
        <v>2.159504109743716</v>
      </c>
      <c r="E5" s="6">
        <f t="shared" si="0"/>
        <v>-11.728108019</v>
      </c>
      <c r="F5" s="6">
        <f t="shared" si="1"/>
        <v>0.53610801900000027</v>
      </c>
      <c r="G5" s="6">
        <f t="shared" si="2"/>
        <v>0.28741180803610467</v>
      </c>
      <c r="I5" s="6">
        <f t="shared" si="6"/>
        <v>-2.4894099999999995</v>
      </c>
      <c r="J5" s="7">
        <v>-35.78</v>
      </c>
      <c r="K5" s="6">
        <f t="shared" si="4"/>
        <v>-37.048422393000003</v>
      </c>
      <c r="L5" s="6">
        <f t="shared" si="7"/>
        <v>1.2684223930000016</v>
      </c>
      <c r="M5" s="6">
        <f t="shared" si="8"/>
        <v>1.6088953670638504</v>
      </c>
      <c r="O5" s="7">
        <v>-37.9</v>
      </c>
      <c r="P5" s="6">
        <f t="shared" si="5"/>
        <v>-36.251434830000001</v>
      </c>
      <c r="Q5" s="6">
        <f t="shared" si="9"/>
        <v>-1.6485651699999977</v>
      </c>
      <c r="R5" s="6">
        <f t="shared" si="10"/>
        <v>2.7177671197371214</v>
      </c>
      <c r="T5" s="6">
        <v>1.86422</v>
      </c>
      <c r="U5" s="6">
        <v>1.72072</v>
      </c>
    </row>
    <row r="6" spans="1:21">
      <c r="A6" s="13" t="s">
        <v>34</v>
      </c>
      <c r="B6" s="6">
        <v>-8.4933700000000005</v>
      </c>
      <c r="C6" s="6">
        <v>-10.481999999999999</v>
      </c>
      <c r="D6" s="8">
        <v>0.1074802</v>
      </c>
      <c r="E6" s="6">
        <f t="shared" si="0"/>
        <v>-11.547321017</v>
      </c>
      <c r="F6" s="6">
        <f t="shared" si="1"/>
        <v>1.0653210170000005</v>
      </c>
      <c r="G6" s="6">
        <f t="shared" si="2"/>
        <v>1.1349088692619154</v>
      </c>
      <c r="I6" s="6">
        <f t="shared" si="6"/>
        <v>-1.9886299999999988</v>
      </c>
      <c r="J6" s="7">
        <v>-32.76</v>
      </c>
      <c r="K6" s="6">
        <f t="shared" si="4"/>
        <v>-36.407644298999998</v>
      </c>
      <c r="L6" s="6">
        <f t="shared" si="7"/>
        <v>3.6476442989999995</v>
      </c>
      <c r="M6" s="6">
        <f t="shared" si="8"/>
        <v>13.305308932027199</v>
      </c>
      <c r="O6" s="7">
        <v>-32.71</v>
      </c>
      <c r="P6" s="6">
        <f t="shared" si="5"/>
        <v>-35.804331689999998</v>
      </c>
      <c r="Q6" s="6">
        <f t="shared" si="9"/>
        <v>3.0943316899999971</v>
      </c>
      <c r="R6" s="6">
        <f t="shared" si="10"/>
        <v>9.574888607738238</v>
      </c>
      <c r="T6" s="8">
        <v>0.34300399999999998</v>
      </c>
      <c r="U6" s="8">
        <v>0.24343200000000001</v>
      </c>
    </row>
    <row r="7" spans="1:21">
      <c r="A7" s="13" t="s">
        <v>41</v>
      </c>
      <c r="B7" s="6">
        <v>-9.1743000000000006</v>
      </c>
      <c r="C7" s="6">
        <v>-11.46</v>
      </c>
      <c r="D7" s="6">
        <v>1.6058395000746493</v>
      </c>
      <c r="E7" s="6">
        <f t="shared" si="0"/>
        <v>-12.13571263</v>
      </c>
      <c r="F7" s="6">
        <f t="shared" si="1"/>
        <v>0.67571262999999959</v>
      </c>
      <c r="G7" s="6">
        <f t="shared" si="2"/>
        <v>0.45658755834151638</v>
      </c>
      <c r="I7" s="6">
        <f t="shared" si="6"/>
        <v>-2.2857000000000003</v>
      </c>
      <c r="J7" s="7">
        <v>-38.619999999999997</v>
      </c>
      <c r="K7" s="6">
        <f t="shared" si="4"/>
        <v>-38.493128609999999</v>
      </c>
      <c r="L7" s="6">
        <f t="shared" si="7"/>
        <v>-0.12687138999999803</v>
      </c>
      <c r="M7" s="6">
        <f t="shared" si="8"/>
        <v>1.60963496005316E-2</v>
      </c>
      <c r="O7" s="7">
        <v>-37.659999999999997</v>
      </c>
      <c r="P7" s="6">
        <f t="shared" si="5"/>
        <v>-37.2594791</v>
      </c>
      <c r="Q7" s="6">
        <f t="shared" si="9"/>
        <v>-0.40052089999999652</v>
      </c>
      <c r="R7" s="6">
        <f t="shared" si="10"/>
        <v>0.1604169913368072</v>
      </c>
      <c r="T7" s="6">
        <v>0.48830699999999999</v>
      </c>
      <c r="U7" s="6">
        <v>1.05566</v>
      </c>
    </row>
    <row r="8" spans="1:21">
      <c r="A8" s="13" t="s">
        <v>30</v>
      </c>
      <c r="B8" s="6">
        <v>-7.2860699999999996</v>
      </c>
      <c r="C8" s="6">
        <v>-10.896000000000001</v>
      </c>
      <c r="D8" s="6">
        <v>0.2566797615707167</v>
      </c>
      <c r="E8" s="6">
        <f t="shared" si="0"/>
        <v>-10.504093086999999</v>
      </c>
      <c r="F8" s="6">
        <f t="shared" si="1"/>
        <v>-0.39190691300000147</v>
      </c>
      <c r="G8" s="6">
        <f t="shared" si="2"/>
        <v>0.15359102845719072</v>
      </c>
      <c r="I8" s="6">
        <f t="shared" si="6"/>
        <v>-3.6099300000000012</v>
      </c>
      <c r="J8" s="7">
        <v>-37.85</v>
      </c>
      <c r="K8" s="6">
        <f t="shared" si="4"/>
        <v>-32.710046589000001</v>
      </c>
      <c r="L8" s="6">
        <f t="shared" si="7"/>
        <v>-5.1399534110000005</v>
      </c>
      <c r="M8" s="6">
        <f t="shared" si="8"/>
        <v>26.41912106725054</v>
      </c>
      <c r="O8" s="7">
        <v>-35.64</v>
      </c>
      <c r="P8" s="6">
        <f t="shared" si="5"/>
        <v>-33.224331589999998</v>
      </c>
      <c r="Q8" s="6">
        <f t="shared" si="9"/>
        <v>-2.4156684100000021</v>
      </c>
      <c r="R8" s="6">
        <f t="shared" si="10"/>
        <v>5.835453867071938</v>
      </c>
      <c r="T8" s="6">
        <v>0.369674</v>
      </c>
      <c r="U8" s="6">
        <v>0.41697000000000001</v>
      </c>
    </row>
    <row r="9" spans="1:21">
      <c r="A9" s="13" t="s">
        <v>44</v>
      </c>
      <c r="B9" s="6">
        <v>-9.6759199999999996</v>
      </c>
      <c r="C9" s="6">
        <v>-11.76</v>
      </c>
      <c r="D9" s="6">
        <v>1.3534023791910519</v>
      </c>
      <c r="E9" s="6">
        <f t="shared" si="0"/>
        <v>-12.569162471999999</v>
      </c>
      <c r="F9" s="6">
        <f t="shared" si="1"/>
        <v>0.8091624719999988</v>
      </c>
      <c r="G9" s="6">
        <f t="shared" si="2"/>
        <v>0.65474390609314881</v>
      </c>
      <c r="I9" s="6">
        <f t="shared" si="6"/>
        <v>-2.0840800000000002</v>
      </c>
      <c r="J9" s="7">
        <v>-40.94</v>
      </c>
      <c r="K9" s="6">
        <f t="shared" si="4"/>
        <v>-40.029440183999995</v>
      </c>
      <c r="L9" s="6">
        <f t="shared" si="7"/>
        <v>-0.9105598160000028</v>
      </c>
      <c r="M9" s="6">
        <f t="shared" si="8"/>
        <v>0.829119178513959</v>
      </c>
      <c r="O9" s="7">
        <v>-38.78</v>
      </c>
      <c r="P9" s="6">
        <f t="shared" si="5"/>
        <v>-38.331441040000001</v>
      </c>
      <c r="Q9" s="6">
        <f t="shared" si="9"/>
        <v>-0.44855895999999973</v>
      </c>
      <c r="R9" s="6">
        <f t="shared" si="10"/>
        <v>0.20120514059628136</v>
      </c>
      <c r="T9" s="6">
        <v>1.8590599999999999</v>
      </c>
      <c r="U9" s="6">
        <v>2.4199299999999999</v>
      </c>
    </row>
    <row r="10" spans="1:21">
      <c r="A10" s="13" t="s">
        <v>32</v>
      </c>
      <c r="B10" s="6">
        <v>-8.1050000000000004</v>
      </c>
      <c r="C10" s="6">
        <v>-11.291</v>
      </c>
      <c r="D10" s="14">
        <v>1.0026774157225242</v>
      </c>
      <c r="E10" s="6">
        <f t="shared" si="0"/>
        <v>-11.2117305</v>
      </c>
      <c r="F10" s="6">
        <f t="shared" si="1"/>
        <v>-7.9269500000000548E-2</v>
      </c>
      <c r="G10" s="6">
        <f t="shared" si="2"/>
        <v>6.2836536302500866E-3</v>
      </c>
      <c r="I10" s="6">
        <f t="shared" si="6"/>
        <v>-3.1859999999999999</v>
      </c>
      <c r="J10" s="7">
        <v>-35.880000000000003</v>
      </c>
      <c r="K10" s="6">
        <f t="shared" si="4"/>
        <v>-35.218183500000002</v>
      </c>
      <c r="L10" s="6">
        <f t="shared" si="7"/>
        <v>-0.66181650000000047</v>
      </c>
      <c r="M10" s="6">
        <f t="shared" si="8"/>
        <v>0.4380010796722506</v>
      </c>
      <c r="O10" s="7">
        <v>-34.15</v>
      </c>
      <c r="P10" s="6">
        <f t="shared" si="5"/>
        <v>-34.974384999999998</v>
      </c>
      <c r="Q10" s="6">
        <f t="shared" si="9"/>
        <v>0.82438499999999948</v>
      </c>
      <c r="R10" s="6">
        <f t="shared" si="10"/>
        <v>0.67961062822499918</v>
      </c>
      <c r="T10" s="14">
        <v>2.2536200000000002</v>
      </c>
      <c r="U10" s="14">
        <v>3.7773099999999999</v>
      </c>
    </row>
    <row r="11" spans="1:21">
      <c r="A11" s="13" t="s">
        <v>43</v>
      </c>
      <c r="B11" s="6">
        <v>-9.4652200000000004</v>
      </c>
      <c r="C11" s="6">
        <v>-11.561</v>
      </c>
      <c r="D11" s="6">
        <v>0.58053466735415549</v>
      </c>
      <c r="E11" s="6">
        <f t="shared" si="0"/>
        <v>-12.387096602</v>
      </c>
      <c r="F11" s="6">
        <f t="shared" si="1"/>
        <v>0.82609660199999979</v>
      </c>
      <c r="G11" s="6">
        <f t="shared" si="2"/>
        <v>0.68243559583594604</v>
      </c>
      <c r="I11" s="6">
        <f t="shared" si="6"/>
        <v>-2.0957799999999995</v>
      </c>
      <c r="J11" s="7">
        <v>-43.2</v>
      </c>
      <c r="K11" s="6">
        <f t="shared" si="4"/>
        <v>-39.384129294000005</v>
      </c>
      <c r="L11" s="6">
        <f t="shared" si="7"/>
        <v>-3.8158707059999983</v>
      </c>
      <c r="M11" s="6">
        <f t="shared" si="8"/>
        <v>14.560869244908925</v>
      </c>
      <c r="O11" s="7">
        <v>-44.92</v>
      </c>
      <c r="P11" s="6">
        <f t="shared" si="5"/>
        <v>-37.881175139999996</v>
      </c>
      <c r="Q11" s="6">
        <f t="shared" si="9"/>
        <v>-7.0388248600000054</v>
      </c>
      <c r="R11" s="6">
        <f t="shared" si="10"/>
        <v>49.545055409754099</v>
      </c>
      <c r="T11" s="6">
        <v>0.49908999999999998</v>
      </c>
      <c r="U11" s="6">
        <v>0.45737100000000003</v>
      </c>
    </row>
    <row r="12" spans="1:21">
      <c r="A12" s="13" t="s">
        <v>49</v>
      </c>
      <c r="B12" s="6">
        <v>-10.1417</v>
      </c>
      <c r="C12" s="6">
        <v>-13.045999999999999</v>
      </c>
      <c r="D12" s="6">
        <v>0.56002857069974565</v>
      </c>
      <c r="E12" s="6">
        <f t="shared" si="0"/>
        <v>-12.97164297</v>
      </c>
      <c r="F12" s="6">
        <f t="shared" si="1"/>
        <v>-7.4357029999999824E-2</v>
      </c>
      <c r="G12" s="6">
        <f t="shared" si="2"/>
        <v>5.5289679104208742E-3</v>
      </c>
      <c r="I12" s="6">
        <f t="shared" si="6"/>
        <v>-2.9042999999999992</v>
      </c>
      <c r="J12" s="7">
        <v>-41.83</v>
      </c>
      <c r="K12" s="6">
        <f t="shared" si="4"/>
        <v>-41.45598459</v>
      </c>
      <c r="L12" s="6">
        <f t="shared" si="7"/>
        <v>-0.37401540999999838</v>
      </c>
      <c r="M12" s="6">
        <f t="shared" si="8"/>
        <v>0.13988752691746689</v>
      </c>
      <c r="O12" s="7">
        <v>-39.229999999999997</v>
      </c>
      <c r="P12" s="6">
        <f t="shared" si="5"/>
        <v>-39.3268129</v>
      </c>
      <c r="Q12" s="6">
        <f t="shared" si="9"/>
        <v>9.681290000000331E-2</v>
      </c>
      <c r="R12" s="6">
        <f t="shared" si="10"/>
        <v>9.3727376064106412E-3</v>
      </c>
      <c r="T12" s="6">
        <v>0.70154499999999997</v>
      </c>
      <c r="U12" s="6">
        <v>1.59426</v>
      </c>
    </row>
    <row r="13" spans="1:21">
      <c r="A13" s="13" t="s">
        <v>48</v>
      </c>
      <c r="B13" s="6">
        <v>-10.0931</v>
      </c>
      <c r="C13" s="6">
        <v>-13.656000000000001</v>
      </c>
      <c r="D13" s="6">
        <v>0.23263813101037412</v>
      </c>
      <c r="E13" s="6">
        <f t="shared" si="0"/>
        <v>-12.929647709999999</v>
      </c>
      <c r="F13" s="6">
        <f t="shared" si="1"/>
        <v>-0.72635229000000123</v>
      </c>
      <c r="G13" s="6">
        <f t="shared" si="2"/>
        <v>0.52758764918824586</v>
      </c>
      <c r="I13" s="6">
        <f t="shared" si="6"/>
        <v>-3.5629000000000008</v>
      </c>
      <c r="J13" s="7">
        <v>-41.49</v>
      </c>
      <c r="K13" s="6">
        <f t="shared" si="4"/>
        <v>-41.30713737</v>
      </c>
      <c r="L13" s="6">
        <f t="shared" si="7"/>
        <v>-0.18286263000000247</v>
      </c>
      <c r="M13" s="6">
        <f t="shared" si="8"/>
        <v>3.3438741450517805E-2</v>
      </c>
      <c r="O13" s="7">
        <v>-37.72</v>
      </c>
      <c r="P13" s="6">
        <f t="shared" si="5"/>
        <v>-39.222954700000003</v>
      </c>
      <c r="Q13" s="6">
        <f t="shared" si="9"/>
        <v>1.5029547000000036</v>
      </c>
      <c r="R13" s="6">
        <f t="shared" si="10"/>
        <v>2.2588728302521011</v>
      </c>
      <c r="T13" s="6">
        <v>0.68662500000000004</v>
      </c>
      <c r="U13" s="6">
        <v>1.25668</v>
      </c>
    </row>
    <row r="14" spans="1:21">
      <c r="A14" s="13" t="s">
        <v>50</v>
      </c>
      <c r="B14" s="6">
        <v>-10.683</v>
      </c>
      <c r="C14" s="6">
        <v>-14.769</v>
      </c>
      <c r="D14" s="6">
        <v>1.4566399692442877</v>
      </c>
      <c r="E14" s="6">
        <f t="shared" si="0"/>
        <v>-13.4393803</v>
      </c>
      <c r="F14" s="6">
        <f t="shared" si="1"/>
        <v>-1.3296197000000003</v>
      </c>
      <c r="G14" s="6">
        <f t="shared" si="2"/>
        <v>1.7678885466280907</v>
      </c>
      <c r="I14" s="6">
        <f t="shared" si="6"/>
        <v>-4.0860000000000003</v>
      </c>
      <c r="J14" s="7">
        <v>-47.6</v>
      </c>
      <c r="K14" s="6">
        <f t="shared" si="4"/>
        <v>-43.113824100000002</v>
      </c>
      <c r="L14" s="6">
        <f t="shared" si="7"/>
        <v>-4.4861758999999992</v>
      </c>
      <c r="M14" s="6">
        <f t="shared" si="8"/>
        <v>20.125774205740804</v>
      </c>
      <c r="O14" s="7">
        <v>-42.76</v>
      </c>
      <c r="P14" s="6">
        <f t="shared" si="5"/>
        <v>-40.483570999999998</v>
      </c>
      <c r="Q14" s="6">
        <f t="shared" si="9"/>
        <v>-2.2764290000000003</v>
      </c>
      <c r="R14" s="6">
        <f t="shared" si="10"/>
        <v>5.182128992041001</v>
      </c>
      <c r="T14" s="6">
        <v>1.9341900000000001</v>
      </c>
      <c r="U14" s="6">
        <v>3.0320399999999998</v>
      </c>
    </row>
    <row r="15" spans="1:21">
      <c r="A15" s="13" t="s">
        <v>33</v>
      </c>
      <c r="B15" s="6">
        <v>-8.4831000000000003</v>
      </c>
      <c r="C15" s="6">
        <v>-11.154999999999999</v>
      </c>
      <c r="D15" s="6">
        <v>0.87469108832775933</v>
      </c>
      <c r="E15" s="6">
        <f t="shared" si="0"/>
        <v>-11.538446709999999</v>
      </c>
      <c r="F15" s="6">
        <f t="shared" si="1"/>
        <v>0.38344670999999941</v>
      </c>
      <c r="G15" s="6">
        <f t="shared" si="2"/>
        <v>0.14703137940982364</v>
      </c>
      <c r="I15" s="6">
        <f t="shared" si="6"/>
        <v>-2.6718999999999991</v>
      </c>
      <c r="J15" s="7">
        <v>-35.409999999999997</v>
      </c>
      <c r="K15" s="6">
        <f t="shared" si="4"/>
        <v>-36.376190370000003</v>
      </c>
      <c r="L15" s="6">
        <f t="shared" si="7"/>
        <v>0.96619037000000674</v>
      </c>
      <c r="M15" s="6">
        <f t="shared" si="8"/>
        <v>0.93352383108074988</v>
      </c>
      <c r="O15" s="7">
        <v>-33.909999999999997</v>
      </c>
      <c r="P15" s="6">
        <f t="shared" si="5"/>
        <v>-35.782384700000001</v>
      </c>
      <c r="Q15" s="6">
        <f t="shared" si="9"/>
        <v>1.8723847000000049</v>
      </c>
      <c r="R15" s="6">
        <f t="shared" si="10"/>
        <v>3.5058244647941081</v>
      </c>
      <c r="T15" s="6">
        <v>1.7295400000000001</v>
      </c>
      <c r="U15" s="6">
        <v>1.43841</v>
      </c>
    </row>
    <row r="16" spans="1:21">
      <c r="A16" s="13" t="s">
        <v>45</v>
      </c>
      <c r="B16" s="6">
        <v>-9.6994000000000007</v>
      </c>
      <c r="C16" s="6">
        <v>-12.46</v>
      </c>
      <c r="D16" s="6">
        <v>4.5961940777125586E-2</v>
      </c>
      <c r="E16" s="6">
        <f t="shared" si="0"/>
        <v>-12.589451540000001</v>
      </c>
      <c r="F16" s="6">
        <f t="shared" si="1"/>
        <v>0.12945153999999981</v>
      </c>
      <c r="G16" s="6">
        <f t="shared" si="2"/>
        <v>1.6757701208371549E-2</v>
      </c>
      <c r="I16" s="6">
        <f t="shared" si="6"/>
        <v>-2.7606000000000002</v>
      </c>
      <c r="J16" s="7">
        <v>-35.36</v>
      </c>
      <c r="K16" s="6">
        <f t="shared" si="4"/>
        <v>-40.101352380000002</v>
      </c>
      <c r="L16" s="6">
        <f t="shared" si="7"/>
        <v>4.7413523800000021</v>
      </c>
      <c r="M16" s="6">
        <f t="shared" si="8"/>
        <v>22.480422391331686</v>
      </c>
      <c r="O16" s="7">
        <v>-35.840000000000003</v>
      </c>
      <c r="P16" s="6">
        <f t="shared" si="5"/>
        <v>-38.381617800000001</v>
      </c>
      <c r="Q16" s="6">
        <f t="shared" si="9"/>
        <v>2.5416177999999974</v>
      </c>
      <c r="R16" s="6">
        <f t="shared" si="10"/>
        <v>6.4598210412768262</v>
      </c>
      <c r="T16" s="6">
        <v>1.2922199999999999</v>
      </c>
      <c r="U16" s="6">
        <v>0.79648200000000002</v>
      </c>
    </row>
    <row r="17" spans="1:21">
      <c r="A17" s="13" t="s">
        <v>40</v>
      </c>
      <c r="B17" s="6">
        <v>-9.14236</v>
      </c>
      <c r="C17" s="6">
        <v>-12.074999999999999</v>
      </c>
      <c r="D17" s="6">
        <v>0.32385490578343878</v>
      </c>
      <c r="E17" s="6">
        <f t="shared" si="0"/>
        <v>-12.108113275999999</v>
      </c>
      <c r="F17" s="6">
        <f t="shared" si="1"/>
        <v>3.3113275999999914E-2</v>
      </c>
      <c r="G17" s="6">
        <f t="shared" si="2"/>
        <v>1.0964890474521702E-3</v>
      </c>
      <c r="I17" s="6">
        <f t="shared" si="6"/>
        <v>-2.9326399999999992</v>
      </c>
      <c r="J17" s="7">
        <v>-37.869999999999997</v>
      </c>
      <c r="K17" s="6">
        <f t="shared" si="4"/>
        <v>-38.395305972000003</v>
      </c>
      <c r="L17" s="6">
        <f t="shared" si="7"/>
        <v>0.52530597200000528</v>
      </c>
      <c r="M17" s="6">
        <f t="shared" si="8"/>
        <v>0.27594636421887031</v>
      </c>
      <c r="O17" s="7">
        <v>-36.270000000000003</v>
      </c>
      <c r="P17" s="6">
        <f t="shared" si="5"/>
        <v>-37.191223319999999</v>
      </c>
      <c r="Q17" s="6">
        <f t="shared" si="9"/>
        <v>0.92122331999999574</v>
      </c>
      <c r="R17" s="6">
        <f t="shared" si="10"/>
        <v>0.84865240531181452</v>
      </c>
      <c r="T17" s="6">
        <v>0.61337699999999995</v>
      </c>
      <c r="U17" s="6">
        <v>1.29443</v>
      </c>
    </row>
    <row r="18" spans="1:21">
      <c r="A18" s="13" t="s">
        <v>46</v>
      </c>
      <c r="B18" s="6">
        <v>-9.7407199999999996</v>
      </c>
      <c r="C18" s="6">
        <v>-12.138</v>
      </c>
      <c r="D18" s="6">
        <v>0.19516147160748712</v>
      </c>
      <c r="E18" s="6">
        <f t="shared" si="0"/>
        <v>-12.625156151999999</v>
      </c>
      <c r="F18" s="6">
        <f t="shared" si="1"/>
        <v>0.48715615199999895</v>
      </c>
      <c r="G18" s="6">
        <f t="shared" si="2"/>
        <v>0.23732111643144607</v>
      </c>
      <c r="I18" s="6">
        <f t="shared" si="6"/>
        <v>-2.3972800000000003</v>
      </c>
      <c r="J18" s="7">
        <v>-42.69</v>
      </c>
      <c r="K18" s="6">
        <f t="shared" si="4"/>
        <v>-40.227903143999995</v>
      </c>
      <c r="L18" s="6">
        <f t="shared" si="7"/>
        <v>-2.4620968560000023</v>
      </c>
      <c r="M18" s="6">
        <f t="shared" si="8"/>
        <v>6.0619209283250957</v>
      </c>
      <c r="O18" s="7">
        <v>-39.07</v>
      </c>
      <c r="P18" s="6">
        <f t="shared" si="5"/>
        <v>-38.469918640000003</v>
      </c>
      <c r="Q18" s="6">
        <f t="shared" si="9"/>
        <v>-0.60008135999999723</v>
      </c>
      <c r="R18" s="6">
        <f t="shared" si="10"/>
        <v>0.36009763861944627</v>
      </c>
      <c r="T18" s="6">
        <v>1.0367299999999999</v>
      </c>
      <c r="U18" s="6">
        <v>2.3918200000000001</v>
      </c>
    </row>
    <row r="19" spans="1:21">
      <c r="A19" s="13" t="s">
        <v>42</v>
      </c>
      <c r="B19" s="6">
        <v>-9.4138199999999994</v>
      </c>
      <c r="C19" s="6">
        <v>-12.497</v>
      </c>
      <c r="D19" s="6">
        <v>4.3840620433565944E-2</v>
      </c>
      <c r="E19" s="6">
        <f t="shared" si="0"/>
        <v>-12.342681861999999</v>
      </c>
      <c r="F19" s="6">
        <f t="shared" si="1"/>
        <v>-0.15431813800000072</v>
      </c>
      <c r="G19" s="6">
        <f t="shared" si="2"/>
        <v>2.3814087715787264E-2</v>
      </c>
      <c r="I19" s="6">
        <f t="shared" si="6"/>
        <v>-3.0831800000000005</v>
      </c>
      <c r="J19" s="7">
        <v>-36.81</v>
      </c>
      <c r="K19" s="6">
        <f t="shared" si="4"/>
        <v>-39.226706514</v>
      </c>
      <c r="L19" s="6">
        <f t="shared" si="7"/>
        <v>2.4167065139999977</v>
      </c>
      <c r="M19" s="6">
        <f t="shared" si="8"/>
        <v>5.8404703748100211</v>
      </c>
      <c r="O19" s="7">
        <v>-37.340000000000003</v>
      </c>
      <c r="P19" s="6">
        <f t="shared" si="5"/>
        <v>-37.771333339999998</v>
      </c>
      <c r="Q19" s="6">
        <f t="shared" si="9"/>
        <v>0.43133333999999479</v>
      </c>
      <c r="R19" s="6">
        <f t="shared" si="10"/>
        <v>0.18604845019555111</v>
      </c>
      <c r="T19" s="6">
        <v>0.72740700000000003</v>
      </c>
      <c r="U19" s="6">
        <v>0.61405299999999996</v>
      </c>
    </row>
    <row r="20" spans="1:21">
      <c r="A20" s="13" t="s">
        <v>39</v>
      </c>
      <c r="B20" s="6">
        <v>-9.08324</v>
      </c>
      <c r="C20" s="6">
        <v>-12.917</v>
      </c>
      <c r="D20" s="6">
        <v>0.53103719267109717</v>
      </c>
      <c r="E20" s="6">
        <f t="shared" si="0"/>
        <v>-12.057027683999999</v>
      </c>
      <c r="F20" s="6">
        <f t="shared" si="1"/>
        <v>-0.85997231600000035</v>
      </c>
      <c r="G20" s="6">
        <f t="shared" si="2"/>
        <v>0.73955238428640446</v>
      </c>
      <c r="I20" s="6">
        <f t="shared" si="6"/>
        <v>-3.8337599999999998</v>
      </c>
      <c r="J20" s="7">
        <v>-36.299999999999997</v>
      </c>
      <c r="K20" s="6">
        <f t="shared" si="4"/>
        <v>-38.214239148000004</v>
      </c>
      <c r="L20" s="6">
        <f t="shared" si="7"/>
        <v>1.9142391480000072</v>
      </c>
      <c r="M20" s="6">
        <f t="shared" si="8"/>
        <v>3.6643115157357933</v>
      </c>
      <c r="O20" s="7">
        <v>-36.51</v>
      </c>
      <c r="P20" s="6">
        <f t="shared" si="5"/>
        <v>-37.064883879999996</v>
      </c>
      <c r="Q20" s="6">
        <f t="shared" si="9"/>
        <v>0.55488387999999844</v>
      </c>
      <c r="R20" s="6">
        <f t="shared" si="10"/>
        <v>0.30789612028385266</v>
      </c>
      <c r="T20" s="6">
        <v>0.77446599999999999</v>
      </c>
      <c r="U20" s="6">
        <v>1.25342</v>
      </c>
    </row>
    <row r="21" spans="1:21">
      <c r="A21" s="13" t="s">
        <v>31</v>
      </c>
      <c r="B21" s="6">
        <v>-7.5123199999999999</v>
      </c>
      <c r="C21" s="6">
        <v>-11.613</v>
      </c>
      <c r="D21" s="6">
        <v>0.98782817331760686</v>
      </c>
      <c r="E21" s="6">
        <f t="shared" si="0"/>
        <v>-10.699595712000001</v>
      </c>
      <c r="F21" s="6">
        <f t="shared" si="1"/>
        <v>-0.91340428799999884</v>
      </c>
      <c r="G21" s="6">
        <f t="shared" si="2"/>
        <v>0.83430739333678483</v>
      </c>
      <c r="I21" s="6">
        <f t="shared" si="6"/>
        <v>-4.1006799999999997</v>
      </c>
      <c r="J21" s="7">
        <v>-36.04</v>
      </c>
      <c r="K21" s="6">
        <f t="shared" si="4"/>
        <v>-33.402982464000004</v>
      </c>
      <c r="L21" s="6">
        <f t="shared" si="7"/>
        <v>-2.6370175359999948</v>
      </c>
      <c r="M21" s="6">
        <f t="shared" si="8"/>
        <v>6.9538614851714842</v>
      </c>
      <c r="O21" s="7">
        <v>-37.11</v>
      </c>
      <c r="P21" s="6">
        <f t="shared" si="5"/>
        <v>-33.70782784</v>
      </c>
      <c r="Q21" s="6">
        <f t="shared" si="9"/>
        <v>-3.4021721599999992</v>
      </c>
      <c r="R21" s="6">
        <f t="shared" si="10"/>
        <v>11.574775406279061</v>
      </c>
      <c r="T21" s="6">
        <v>1.29373</v>
      </c>
      <c r="U21" s="6">
        <v>2.64439</v>
      </c>
    </row>
    <row r="22" spans="1:21">
      <c r="A22" s="13" t="s">
        <v>38</v>
      </c>
      <c r="B22" s="6">
        <v>-8.8725400000000008</v>
      </c>
      <c r="C22" s="6">
        <v>-12.441000000000001</v>
      </c>
      <c r="D22" s="6">
        <v>0.87398398154657264</v>
      </c>
      <c r="E22" s="6">
        <f t="shared" si="0"/>
        <v>-11.874961814000001</v>
      </c>
      <c r="F22" s="6">
        <f t="shared" si="1"/>
        <v>-0.56603818600000011</v>
      </c>
      <c r="G22" s="6">
        <f t="shared" si="2"/>
        <v>0.32039922801017073</v>
      </c>
      <c r="I22" s="6">
        <f t="shared" si="6"/>
        <v>-3.56846</v>
      </c>
      <c r="J22" s="7">
        <v>-35.99</v>
      </c>
      <c r="K22" s="6">
        <f t="shared" si="4"/>
        <v>-37.568928258</v>
      </c>
      <c r="L22" s="6">
        <f t="shared" si="7"/>
        <v>1.5789282579999977</v>
      </c>
      <c r="M22" s="6">
        <f t="shared" si="8"/>
        <v>2.4930144439109072</v>
      </c>
      <c r="O22" s="7">
        <v>-34.24</v>
      </c>
      <c r="P22" s="6">
        <f t="shared" si="5"/>
        <v>-36.614617980000006</v>
      </c>
      <c r="Q22" s="6">
        <f t="shared" si="9"/>
        <v>2.3746179800000036</v>
      </c>
      <c r="R22" s="6">
        <f t="shared" si="10"/>
        <v>5.6388105509392972</v>
      </c>
      <c r="T22" s="6">
        <v>0.71407200000000004</v>
      </c>
      <c r="U22" s="6">
        <v>0.83109599999999995</v>
      </c>
    </row>
    <row r="25" spans="1:21">
      <c r="A25" s="6" t="s">
        <v>68</v>
      </c>
      <c r="C25" s="9"/>
      <c r="D25" s="9"/>
      <c r="E25" s="9" t="s">
        <v>70</v>
      </c>
      <c r="F25" s="9"/>
    </row>
    <row r="26" spans="1:21">
      <c r="A26" s="6">
        <v>-4.4482300000000006</v>
      </c>
      <c r="C26" s="9"/>
      <c r="D26" s="9"/>
      <c r="E26" s="9"/>
      <c r="F26" s="9"/>
    </row>
    <row r="27" spans="1:21">
      <c r="A27" s="6">
        <v>-4.1006799999999997</v>
      </c>
      <c r="C27" s="9" t="s">
        <v>71</v>
      </c>
      <c r="D27" s="9">
        <f>D31-2</f>
        <v>-4.9042999999999992</v>
      </c>
      <c r="E27" s="5"/>
      <c r="F27" s="9"/>
    </row>
    <row r="28" spans="1:21">
      <c r="A28" s="6">
        <v>-4.0860000000000003</v>
      </c>
      <c r="C28" s="9"/>
      <c r="D28" s="9"/>
      <c r="E28" s="5">
        <v>3</v>
      </c>
      <c r="F28" s="9" t="s">
        <v>77</v>
      </c>
    </row>
    <row r="29" spans="1:21">
      <c r="A29" s="6">
        <v>-3.8337599999999998</v>
      </c>
      <c r="C29" s="9" t="s">
        <v>72</v>
      </c>
      <c r="D29" s="9">
        <f>D31-1</f>
        <v>-3.9042999999999992</v>
      </c>
      <c r="E29" s="5"/>
      <c r="F29" s="9"/>
    </row>
    <row r="30" spans="1:21">
      <c r="A30" s="6">
        <v>-3.6099300000000012</v>
      </c>
      <c r="C30" s="9"/>
      <c r="D30" s="9"/>
      <c r="E30" s="5">
        <v>7</v>
      </c>
      <c r="F30" s="9" t="s">
        <v>76</v>
      </c>
    </row>
    <row r="31" spans="1:21">
      <c r="A31" s="6">
        <v>-3.56846</v>
      </c>
      <c r="C31" s="9" t="s">
        <v>69</v>
      </c>
      <c r="D31" s="9">
        <f>MEDIAN(A26:A46)</f>
        <v>-2.9042999999999992</v>
      </c>
      <c r="E31" s="5"/>
      <c r="F31" s="9"/>
    </row>
    <row r="32" spans="1:21">
      <c r="A32" s="6">
        <v>-3.5629000000000008</v>
      </c>
      <c r="C32" s="9"/>
      <c r="D32" s="9"/>
      <c r="E32" s="5">
        <v>10</v>
      </c>
      <c r="F32" s="9" t="s">
        <v>75</v>
      </c>
    </row>
    <row r="33" spans="1:6">
      <c r="A33" s="6">
        <v>-3.1859999999999999</v>
      </c>
      <c r="C33" s="9" t="s">
        <v>73</v>
      </c>
      <c r="D33" s="9">
        <f>D31+1</f>
        <v>-1.9042999999999992</v>
      </c>
      <c r="E33" s="5"/>
      <c r="F33" s="9"/>
    </row>
    <row r="34" spans="1:6">
      <c r="A34" s="6">
        <v>-3.0831800000000005</v>
      </c>
      <c r="C34" s="9"/>
      <c r="D34" s="9"/>
      <c r="E34" s="5">
        <v>1</v>
      </c>
      <c r="F34" s="9" t="s">
        <v>78</v>
      </c>
    </row>
    <row r="35" spans="1:6">
      <c r="A35" s="6">
        <v>-2.9326399999999992</v>
      </c>
      <c r="C35" s="9" t="s">
        <v>74</v>
      </c>
      <c r="D35" s="9">
        <f>D31+2</f>
        <v>-0.90429999999999922</v>
      </c>
      <c r="E35" s="5"/>
      <c r="F35" s="9"/>
    </row>
    <row r="36" spans="1:6">
      <c r="A36" s="6">
        <v>-2.9042999999999992</v>
      </c>
    </row>
    <row r="37" spans="1:6">
      <c r="A37" s="6">
        <v>-2.7606000000000002</v>
      </c>
    </row>
    <row r="38" spans="1:6">
      <c r="A38" s="6">
        <v>-2.6718999999999991</v>
      </c>
    </row>
    <row r="39" spans="1:6">
      <c r="A39" s="6">
        <v>-2.4894099999999995</v>
      </c>
    </row>
    <row r="40" spans="1:6">
      <c r="A40" s="6">
        <v>-2.4807699999999997</v>
      </c>
    </row>
    <row r="41" spans="1:6">
      <c r="A41" s="6">
        <v>-2.3972800000000003</v>
      </c>
    </row>
    <row r="42" spans="1:6">
      <c r="A42" s="6">
        <v>-2.2857000000000003</v>
      </c>
    </row>
    <row r="43" spans="1:6">
      <c r="A43" s="6">
        <v>-2.0957799999999995</v>
      </c>
    </row>
    <row r="44" spans="1:6">
      <c r="A44" s="6">
        <v>-2.0840800000000002</v>
      </c>
    </row>
    <row r="45" spans="1:6">
      <c r="A45" s="6">
        <v>-1.9886299999999988</v>
      </c>
    </row>
    <row r="46" spans="1:6">
      <c r="A46" s="6">
        <v>-1.8214099999999984</v>
      </c>
    </row>
  </sheetData>
  <sortState ref="A26:A46">
    <sortCondition ref="A33"/>
  </sortState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C10" zoomScale="70" zoomScaleNormal="70" workbookViewId="0">
      <selection activeCell="K32" sqref="K32"/>
    </sheetView>
  </sheetViews>
  <sheetFormatPr defaultRowHeight="13.5"/>
  <cols>
    <col min="1" max="1" width="11" style="6" bestFit="1" customWidth="1"/>
    <col min="2" max="2" width="13.625" style="6" bestFit="1" customWidth="1"/>
    <col min="3" max="3" width="16.625" style="6" bestFit="1" customWidth="1"/>
    <col min="4" max="5" width="16.625" style="6" customWidth="1"/>
    <col min="6" max="6" width="16" style="6" bestFit="1" customWidth="1"/>
    <col min="7" max="7" width="16.75" style="6" bestFit="1" customWidth="1"/>
    <col min="8" max="9" width="12" style="6" bestFit="1" customWidth="1"/>
    <col min="10" max="10" width="12" style="6" customWidth="1"/>
    <col min="11" max="11" width="22.75" style="6" bestFit="1" customWidth="1"/>
    <col min="12" max="12" width="17.25" style="6" bestFit="1" customWidth="1"/>
    <col min="13" max="13" width="11.625" style="6" bestFit="1" customWidth="1"/>
    <col min="14" max="14" width="19.375" style="6" bestFit="1" customWidth="1"/>
    <col min="15" max="15" width="9" style="6"/>
    <col min="16" max="16" width="22.75" style="6" bestFit="1" customWidth="1"/>
    <col min="17" max="17" width="17.25" style="6" bestFit="1" customWidth="1"/>
    <col min="18" max="18" width="10.375" style="6" bestFit="1" customWidth="1"/>
    <col min="19" max="19" width="19.375" style="6" bestFit="1" customWidth="1"/>
    <col min="20" max="20" width="15.625" style="6" bestFit="1" customWidth="1"/>
    <col min="21" max="21" width="18.25" style="6" bestFit="1" customWidth="1"/>
  </cols>
  <sheetData>
    <row r="1" spans="1:21">
      <c r="A1" s="19" t="s">
        <v>6</v>
      </c>
      <c r="B1" s="6" t="s">
        <v>3</v>
      </c>
      <c r="C1" s="6" t="s">
        <v>5</v>
      </c>
      <c r="D1" s="6" t="s">
        <v>94</v>
      </c>
      <c r="E1" s="6" t="s">
        <v>4</v>
      </c>
      <c r="F1" s="6" t="s">
        <v>1</v>
      </c>
      <c r="G1" s="6" t="s">
        <v>2</v>
      </c>
      <c r="H1" s="6" t="s">
        <v>0</v>
      </c>
      <c r="I1" s="6" t="s">
        <v>68</v>
      </c>
      <c r="J1" s="6" t="s">
        <v>28</v>
      </c>
      <c r="K1" s="6" t="s">
        <v>4</v>
      </c>
      <c r="L1" s="6" t="s">
        <v>1</v>
      </c>
      <c r="M1" s="6" t="s">
        <v>2</v>
      </c>
      <c r="N1" s="6" t="s">
        <v>0</v>
      </c>
      <c r="O1" s="6" t="s">
        <v>29</v>
      </c>
      <c r="P1" s="6" t="s">
        <v>4</v>
      </c>
      <c r="Q1" s="6" t="s">
        <v>1</v>
      </c>
      <c r="R1" s="6" t="s">
        <v>2</v>
      </c>
      <c r="S1" s="6" t="s">
        <v>0</v>
      </c>
      <c r="T1" s="6" t="s">
        <v>96</v>
      </c>
      <c r="U1" s="6" t="s">
        <v>95</v>
      </c>
    </row>
    <row r="2" spans="1:21">
      <c r="A2" s="11">
        <v>30</v>
      </c>
      <c r="B2" s="6">
        <v>-9.8119999999999994</v>
      </c>
      <c r="C2" s="6">
        <v>-14.119</v>
      </c>
      <c r="D2" s="6">
        <v>0.81953675939520854</v>
      </c>
      <c r="E2" s="6">
        <f t="shared" ref="E2:E17" si="0">1.2226*B2-2.0197</f>
        <v>-14.015851199999998</v>
      </c>
      <c r="F2" s="6">
        <f t="shared" ref="F2:F17" si="1">C2-E2</f>
        <v>-0.10314880000000137</v>
      </c>
      <c r="G2" s="6">
        <f t="shared" ref="G2:G17" si="2">F2^2</f>
        <v>1.0639674941440283E-2</v>
      </c>
      <c r="H2" s="6">
        <f>SQRT(SUM(G2:G17)/15)</f>
        <v>0.73733257458862722</v>
      </c>
      <c r="I2" s="6">
        <f t="shared" ref="I2:I17" si="3">C2-B2</f>
        <v>-4.3070000000000004</v>
      </c>
      <c r="J2" s="7">
        <v>-45.54</v>
      </c>
      <c r="K2" s="6">
        <f t="shared" ref="K2:K17" si="4">-0.0294*B2-40.824</f>
        <v>-40.535527199999997</v>
      </c>
      <c r="L2" s="6">
        <f>J2-K2</f>
        <v>-5.0044728000000021</v>
      </c>
      <c r="M2" s="6">
        <f>L2^2</f>
        <v>25.044748005939862</v>
      </c>
      <c r="N2" s="6">
        <f>SQRT(SUM(M2:M17)/15)</f>
        <v>2.4730549283478851</v>
      </c>
      <c r="O2" s="7">
        <v>-46.09</v>
      </c>
      <c r="P2" s="6">
        <f t="shared" ref="P2:P17" si="5">0.2203*B2-44.786</f>
        <v>-46.947583600000002</v>
      </c>
      <c r="Q2" s="6">
        <f>O2-P2</f>
        <v>0.85758359999999811</v>
      </c>
      <c r="R2" s="6">
        <f>Q2^2</f>
        <v>0.73544963098895677</v>
      </c>
      <c r="S2" s="6">
        <f>SQRT(SUM(R2:R17)/15)</f>
        <v>4.9168622249010712</v>
      </c>
      <c r="T2" s="6">
        <v>0.73008799999999996</v>
      </c>
      <c r="U2" s="6">
        <v>0.94320400000000004</v>
      </c>
    </row>
    <row r="3" spans="1:21">
      <c r="A3" s="11">
        <v>28</v>
      </c>
      <c r="B3" s="6">
        <v>-11.112</v>
      </c>
      <c r="C3" s="6">
        <v>-15.41</v>
      </c>
      <c r="D3" s="6">
        <v>0.50416713498600829</v>
      </c>
      <c r="E3" s="6">
        <f t="shared" si="0"/>
        <v>-15.605231199999999</v>
      </c>
      <c r="F3" s="6">
        <f t="shared" si="1"/>
        <v>0.19523119999999849</v>
      </c>
      <c r="G3" s="6">
        <f t="shared" si="2"/>
        <v>3.8115221453439416E-2</v>
      </c>
      <c r="I3" s="6">
        <f t="shared" si="3"/>
        <v>-4.298</v>
      </c>
      <c r="J3" s="7">
        <v>-41.31</v>
      </c>
      <c r="K3" s="6">
        <f t="shared" si="4"/>
        <v>-40.497307199999995</v>
      </c>
      <c r="L3" s="6">
        <f t="shared" ref="L3:L17" si="6">J3-K3</f>
        <v>-0.81269280000000776</v>
      </c>
      <c r="M3" s="6">
        <f t="shared" ref="M3:M17" si="7">L3^2</f>
        <v>0.66046958717185267</v>
      </c>
      <c r="O3" s="7">
        <v>-43.86</v>
      </c>
      <c r="P3" s="6">
        <f t="shared" si="5"/>
        <v>-47.233973599999999</v>
      </c>
      <c r="Q3" s="6">
        <f t="shared" ref="Q3:Q17" si="8">O3-P3</f>
        <v>3.3739735999999994</v>
      </c>
      <c r="R3" s="6">
        <f t="shared" ref="R3:R17" si="9">Q3^2</f>
        <v>11.383697853496956</v>
      </c>
      <c r="T3" s="14">
        <v>1.9371400000000001</v>
      </c>
      <c r="U3" s="14">
        <v>3.6627399999999999</v>
      </c>
    </row>
    <row r="4" spans="1:21">
      <c r="A4" s="11" t="s">
        <v>243</v>
      </c>
      <c r="B4" s="6">
        <v>-9.7850000000000001</v>
      </c>
      <c r="C4" s="6">
        <v>-13.691000000000001</v>
      </c>
      <c r="D4" s="6">
        <v>0.29062088706767097</v>
      </c>
      <c r="E4" s="6">
        <f t="shared" si="0"/>
        <v>-13.982840999999999</v>
      </c>
      <c r="F4" s="6">
        <f t="shared" si="1"/>
        <v>0.29184099999999802</v>
      </c>
      <c r="G4" s="6">
        <f t="shared" si="2"/>
        <v>8.517116928099884E-2</v>
      </c>
      <c r="I4" s="6">
        <f t="shared" si="3"/>
        <v>-3.9060000000000006</v>
      </c>
      <c r="J4" s="7">
        <v>-39.1</v>
      </c>
      <c r="K4" s="6">
        <f t="shared" si="4"/>
        <v>-40.536321000000001</v>
      </c>
      <c r="L4" s="6">
        <f t="shared" si="6"/>
        <v>1.4363209999999995</v>
      </c>
      <c r="M4" s="6">
        <f t="shared" si="7"/>
        <v>2.0630180150409987</v>
      </c>
      <c r="O4" s="7">
        <v>-41.97</v>
      </c>
      <c r="P4" s="6">
        <f t="shared" si="5"/>
        <v>-46.941635500000004</v>
      </c>
      <c r="Q4" s="6">
        <f t="shared" si="8"/>
        <v>4.971635500000005</v>
      </c>
      <c r="R4" s="6">
        <f t="shared" si="9"/>
        <v>24.717159544860298</v>
      </c>
      <c r="T4" s="14">
        <v>0.19021299999999999</v>
      </c>
      <c r="U4" s="14">
        <v>0.62845099999999998</v>
      </c>
    </row>
    <row r="5" spans="1:21">
      <c r="A5" s="11" t="s">
        <v>26</v>
      </c>
      <c r="B5" s="6">
        <v>-9.7409999999999997</v>
      </c>
      <c r="C5" s="6">
        <v>-13.284000000000001</v>
      </c>
      <c r="D5" s="6">
        <v>0.43133513652379396</v>
      </c>
      <c r="E5" s="6">
        <f t="shared" si="0"/>
        <v>-13.9290466</v>
      </c>
      <c r="F5" s="6">
        <f t="shared" si="1"/>
        <v>0.6450465999999988</v>
      </c>
      <c r="G5" s="6">
        <f t="shared" si="2"/>
        <v>0.41608511617155847</v>
      </c>
      <c r="I5" s="6">
        <f t="shared" si="3"/>
        <v>-3.543000000000001</v>
      </c>
      <c r="J5" s="7">
        <v>-37.25</v>
      </c>
      <c r="K5" s="6">
        <f t="shared" si="4"/>
        <v>-40.537614599999998</v>
      </c>
      <c r="L5" s="6">
        <f t="shared" si="6"/>
        <v>3.2876145999999977</v>
      </c>
      <c r="M5" s="6">
        <f t="shared" si="7"/>
        <v>10.808409758133145</v>
      </c>
      <c r="O5" s="7">
        <v>-38.369999999999997</v>
      </c>
      <c r="P5" s="6">
        <f t="shared" si="5"/>
        <v>-46.931942300000003</v>
      </c>
      <c r="Q5" s="6">
        <f t="shared" si="8"/>
        <v>8.5619423000000054</v>
      </c>
      <c r="R5" s="6">
        <f t="shared" si="9"/>
        <v>73.306855948529389</v>
      </c>
      <c r="T5" s="14">
        <v>0.96025799999999994</v>
      </c>
      <c r="U5" s="14">
        <v>1.4342699999999999</v>
      </c>
    </row>
    <row r="6" spans="1:21">
      <c r="A6" s="11">
        <v>32</v>
      </c>
      <c r="B6" s="6">
        <v>-9.75</v>
      </c>
      <c r="C6" s="6">
        <v>-14.183</v>
      </c>
      <c r="D6" s="6">
        <v>7.4953318805774036E-2</v>
      </c>
      <c r="E6" s="6">
        <f t="shared" si="0"/>
        <v>-13.940049999999999</v>
      </c>
      <c r="F6" s="6">
        <f t="shared" si="1"/>
        <v>-0.24295000000000044</v>
      </c>
      <c r="G6" s="6">
        <f t="shared" si="2"/>
        <v>5.9024702500000213E-2</v>
      </c>
      <c r="I6" s="6">
        <f t="shared" si="3"/>
        <v>-4.4329999999999998</v>
      </c>
      <c r="J6" s="7">
        <v>-41.82</v>
      </c>
      <c r="K6" s="6">
        <f t="shared" si="4"/>
        <v>-40.537349999999996</v>
      </c>
      <c r="L6" s="6">
        <f t="shared" si="6"/>
        <v>-1.2826500000000038</v>
      </c>
      <c r="M6" s="6">
        <f t="shared" si="7"/>
        <v>1.6451910225000099</v>
      </c>
      <c r="O6" s="7">
        <v>-44.99</v>
      </c>
      <c r="P6" s="6">
        <f t="shared" si="5"/>
        <v>-46.933925000000002</v>
      </c>
      <c r="Q6" s="6">
        <f t="shared" si="8"/>
        <v>1.9439250000000001</v>
      </c>
      <c r="R6" s="6">
        <f t="shared" si="9"/>
        <v>3.7788444056250006</v>
      </c>
      <c r="T6" s="14">
        <v>1.11269</v>
      </c>
      <c r="U6" s="14">
        <v>2.2167400000000002</v>
      </c>
    </row>
    <row r="7" spans="1:21">
      <c r="A7" s="11" t="s">
        <v>25</v>
      </c>
      <c r="B7" s="6">
        <v>-9.0830000000000002</v>
      </c>
      <c r="C7" s="6">
        <v>-13.784000000000001</v>
      </c>
      <c r="D7" s="6">
        <v>3.5355339059327372E-3</v>
      </c>
      <c r="E7" s="6">
        <f t="shared" si="0"/>
        <v>-13.124575799999999</v>
      </c>
      <c r="F7" s="6">
        <f t="shared" si="1"/>
        <v>-0.6594242000000019</v>
      </c>
      <c r="G7" s="6">
        <f t="shared" si="2"/>
        <v>0.43484027554564253</v>
      </c>
      <c r="I7" s="6">
        <f t="shared" si="3"/>
        <v>-4.7010000000000005</v>
      </c>
      <c r="J7" s="7">
        <v>-43.2</v>
      </c>
      <c r="K7" s="6">
        <f t="shared" si="4"/>
        <v>-40.556959800000001</v>
      </c>
      <c r="L7" s="6">
        <f t="shared" si="6"/>
        <v>-2.6430402000000015</v>
      </c>
      <c r="M7" s="6">
        <f t="shared" si="7"/>
        <v>6.9856614988160484</v>
      </c>
      <c r="O7" s="7">
        <v>-43.92</v>
      </c>
      <c r="P7" s="6">
        <f t="shared" si="5"/>
        <v>-46.7869849</v>
      </c>
      <c r="Q7" s="6">
        <f t="shared" si="8"/>
        <v>2.8669848999999985</v>
      </c>
      <c r="R7" s="6">
        <f t="shared" si="9"/>
        <v>8.2196024168280015</v>
      </c>
      <c r="T7" s="14">
        <v>0.172462</v>
      </c>
      <c r="U7" s="14">
        <v>0.519621</v>
      </c>
    </row>
    <row r="8" spans="1:21">
      <c r="A8" s="11">
        <v>29</v>
      </c>
      <c r="B8" s="6">
        <v>-9.8819999999999997</v>
      </c>
      <c r="C8" s="6">
        <v>-15.396000000000001</v>
      </c>
      <c r="D8" s="6">
        <v>1.8632263684265524</v>
      </c>
      <c r="E8" s="6">
        <f t="shared" si="0"/>
        <v>-14.101433199999999</v>
      </c>
      <c r="F8" s="6">
        <f t="shared" si="1"/>
        <v>-1.2945668000000019</v>
      </c>
      <c r="G8" s="6">
        <f t="shared" si="2"/>
        <v>1.6759031996622449</v>
      </c>
      <c r="I8" s="6">
        <f t="shared" si="3"/>
        <v>-5.5140000000000011</v>
      </c>
      <c r="J8" s="7">
        <v>-41.9</v>
      </c>
      <c r="K8" s="6">
        <f t="shared" si="4"/>
        <v>-40.533469199999999</v>
      </c>
      <c r="L8" s="6">
        <f t="shared" si="6"/>
        <v>-1.3665307999999996</v>
      </c>
      <c r="M8" s="6">
        <f t="shared" si="7"/>
        <v>1.8674064273486388</v>
      </c>
      <c r="O8" s="7">
        <v>-46.63</v>
      </c>
      <c r="P8" s="6">
        <f t="shared" si="5"/>
        <v>-46.963004600000005</v>
      </c>
      <c r="Q8" s="6">
        <f t="shared" si="8"/>
        <v>0.33300460000000243</v>
      </c>
      <c r="R8" s="6">
        <f t="shared" si="9"/>
        <v>0.11089206362116162</v>
      </c>
      <c r="T8" s="14">
        <v>0.89342100000000002</v>
      </c>
      <c r="U8" s="14">
        <v>0.94104699999999997</v>
      </c>
    </row>
    <row r="9" spans="1:21">
      <c r="A9" s="11" t="s">
        <v>23</v>
      </c>
      <c r="B9" s="6">
        <v>-7.6689999999999996</v>
      </c>
      <c r="C9" s="6">
        <v>-12.135</v>
      </c>
      <c r="D9" s="6">
        <v>0.40022243815158581</v>
      </c>
      <c r="E9" s="6">
        <f t="shared" si="0"/>
        <v>-11.395819399999999</v>
      </c>
      <c r="F9" s="6">
        <f t="shared" si="1"/>
        <v>-0.73918060000000096</v>
      </c>
      <c r="G9" s="6">
        <f t="shared" si="2"/>
        <v>0.54638795941636142</v>
      </c>
      <c r="I9" s="6">
        <f t="shared" si="3"/>
        <v>-4.4660000000000002</v>
      </c>
      <c r="J9" s="7">
        <v>-39.01</v>
      </c>
      <c r="K9" s="6">
        <f t="shared" si="4"/>
        <v>-40.598531399999999</v>
      </c>
      <c r="L9" s="6">
        <f t="shared" si="6"/>
        <v>1.5885314000000008</v>
      </c>
      <c r="M9" s="6">
        <f t="shared" si="7"/>
        <v>2.5234320087859627</v>
      </c>
      <c r="O9" s="7">
        <v>-42.58</v>
      </c>
      <c r="P9" s="6">
        <f t="shared" si="5"/>
        <v>-46.475480699999999</v>
      </c>
      <c r="Q9" s="6">
        <f t="shared" si="8"/>
        <v>3.8954807000000002</v>
      </c>
      <c r="R9" s="6">
        <f t="shared" si="9"/>
        <v>15.174769884072491</v>
      </c>
      <c r="T9" s="14">
        <v>0.23790500000000001</v>
      </c>
      <c r="U9" s="14">
        <v>9.07028E-2</v>
      </c>
    </row>
    <row r="10" spans="1:21">
      <c r="A10" s="11">
        <v>21</v>
      </c>
      <c r="B10" s="6">
        <v>-7.8280000000000003</v>
      </c>
      <c r="C10" s="6">
        <v>-10.146000000000001</v>
      </c>
      <c r="D10" s="6">
        <v>0.42143564158718227</v>
      </c>
      <c r="E10" s="6">
        <f t="shared" si="0"/>
        <v>-11.5902128</v>
      </c>
      <c r="F10" s="6">
        <f t="shared" si="1"/>
        <v>1.444212799999999</v>
      </c>
      <c r="G10" s="6">
        <f t="shared" si="2"/>
        <v>2.0857506116838369</v>
      </c>
      <c r="I10" s="6">
        <f t="shared" si="3"/>
        <v>-2.3180000000000005</v>
      </c>
      <c r="J10" s="7">
        <v>-41.22</v>
      </c>
      <c r="K10" s="6">
        <f t="shared" si="4"/>
        <v>-40.593856799999998</v>
      </c>
      <c r="L10" s="6">
        <f t="shared" si="6"/>
        <v>-0.62614320000000134</v>
      </c>
      <c r="M10" s="6">
        <f t="shared" si="7"/>
        <v>0.39205530690624169</v>
      </c>
      <c r="O10" s="7">
        <v>-42.5</v>
      </c>
      <c r="P10" s="6">
        <f t="shared" si="5"/>
        <v>-46.510508399999999</v>
      </c>
      <c r="Q10" s="6">
        <f t="shared" si="8"/>
        <v>4.0105083999999991</v>
      </c>
      <c r="R10" s="6">
        <f t="shared" si="9"/>
        <v>16.084177626470552</v>
      </c>
      <c r="T10" s="14">
        <v>0.10074900000000001</v>
      </c>
      <c r="U10" s="14">
        <v>0.167878</v>
      </c>
    </row>
    <row r="11" spans="1:21">
      <c r="A11" s="11">
        <v>26</v>
      </c>
      <c r="B11" s="6">
        <v>-8.4309999999999992</v>
      </c>
      <c r="C11" s="6">
        <v>-12.536</v>
      </c>
      <c r="D11" s="6">
        <v>0.63922453019263892</v>
      </c>
      <c r="E11" s="6">
        <f t="shared" si="0"/>
        <v>-12.327440599999999</v>
      </c>
      <c r="F11" s="6">
        <f t="shared" si="1"/>
        <v>-0.20855940000000039</v>
      </c>
      <c r="G11" s="6">
        <f t="shared" si="2"/>
        <v>4.3497023328360161E-2</v>
      </c>
      <c r="I11" s="6">
        <f t="shared" si="3"/>
        <v>-4.1050000000000004</v>
      </c>
      <c r="J11" s="7">
        <v>-41.56</v>
      </c>
      <c r="K11" s="6">
        <f t="shared" si="4"/>
        <v>-40.576128599999997</v>
      </c>
      <c r="L11" s="6">
        <f t="shared" si="6"/>
        <v>-0.98387140000000528</v>
      </c>
      <c r="M11" s="6">
        <f t="shared" si="7"/>
        <v>0.96800293173797036</v>
      </c>
      <c r="O11" s="7">
        <v>-45.5</v>
      </c>
      <c r="P11" s="6">
        <f t="shared" si="5"/>
        <v>-46.643349300000004</v>
      </c>
      <c r="Q11" s="6">
        <f t="shared" si="8"/>
        <v>1.1433493000000041</v>
      </c>
      <c r="R11" s="6">
        <f t="shared" si="9"/>
        <v>1.3072476218104994</v>
      </c>
      <c r="T11" s="14">
        <v>0.60906199999999999</v>
      </c>
      <c r="U11" s="14">
        <v>0.63101600000000002</v>
      </c>
    </row>
    <row r="12" spans="1:21">
      <c r="A12" s="11" t="s">
        <v>27</v>
      </c>
      <c r="B12" s="6">
        <v>-11.246</v>
      </c>
      <c r="C12" s="6">
        <v>-15.298</v>
      </c>
      <c r="D12" s="6">
        <v>1.2119810229537424</v>
      </c>
      <c r="E12" s="6">
        <f t="shared" si="0"/>
        <v>-15.7690596</v>
      </c>
      <c r="F12" s="6">
        <f t="shared" si="1"/>
        <v>0.47105960000000024</v>
      </c>
      <c r="G12" s="6">
        <f t="shared" si="2"/>
        <v>0.22189714675216024</v>
      </c>
      <c r="I12" s="6">
        <f t="shared" si="3"/>
        <v>-4.0519999999999996</v>
      </c>
      <c r="J12" s="7">
        <v>-38.17</v>
      </c>
      <c r="K12" s="6">
        <f t="shared" si="4"/>
        <v>-40.493367599999999</v>
      </c>
      <c r="L12" s="6">
        <f t="shared" si="6"/>
        <v>2.3233675999999974</v>
      </c>
      <c r="M12" s="6">
        <f t="shared" si="7"/>
        <v>5.3980370047297477</v>
      </c>
      <c r="O12" s="7">
        <v>-38.130000000000003</v>
      </c>
      <c r="P12" s="6">
        <f t="shared" si="5"/>
        <v>-47.263493799999999</v>
      </c>
      <c r="Q12" s="6">
        <f t="shared" si="8"/>
        <v>9.1334937999999966</v>
      </c>
      <c r="R12" s="6">
        <f t="shared" si="9"/>
        <v>83.420708994638375</v>
      </c>
      <c r="T12" s="14">
        <v>1.26294</v>
      </c>
      <c r="U12" s="14">
        <v>1.2095800000000001</v>
      </c>
    </row>
    <row r="13" spans="1:21">
      <c r="A13" s="11">
        <v>31</v>
      </c>
      <c r="B13" s="6">
        <v>-9.5389999999999997</v>
      </c>
      <c r="C13" s="6">
        <v>-13.731999999999999</v>
      </c>
      <c r="D13" s="6">
        <v>0.21425335469952389</v>
      </c>
      <c r="E13" s="6">
        <f t="shared" si="0"/>
        <v>-13.6820814</v>
      </c>
      <c r="F13" s="6">
        <f t="shared" si="1"/>
        <v>-4.9918599999999813E-2</v>
      </c>
      <c r="G13" s="6">
        <f t="shared" si="2"/>
        <v>2.4918666259599815E-3</v>
      </c>
      <c r="I13" s="6">
        <f t="shared" si="3"/>
        <v>-4.1929999999999996</v>
      </c>
      <c r="J13" s="7">
        <v>-40</v>
      </c>
      <c r="K13" s="6">
        <f t="shared" si="4"/>
        <v>-40.5435534</v>
      </c>
      <c r="L13" s="6">
        <f t="shared" si="6"/>
        <v>0.54355340000000041</v>
      </c>
      <c r="M13" s="6">
        <f t="shared" si="7"/>
        <v>0.29545029865156042</v>
      </c>
      <c r="O13" s="7">
        <v>-42.24</v>
      </c>
      <c r="P13" s="6">
        <f t="shared" si="5"/>
        <v>-46.887441700000004</v>
      </c>
      <c r="Q13" s="6">
        <f t="shared" si="8"/>
        <v>4.6474417000000017</v>
      </c>
      <c r="R13" s="6">
        <f t="shared" si="9"/>
        <v>21.598714354898906</v>
      </c>
      <c r="T13" s="6">
        <v>0.67020599999999997</v>
      </c>
      <c r="U13" s="6">
        <v>1.1557999999999999</v>
      </c>
    </row>
    <row r="14" spans="1:21">
      <c r="A14" s="11">
        <v>20</v>
      </c>
      <c r="B14" s="6">
        <v>-8.718</v>
      </c>
      <c r="C14" s="6">
        <v>-12.407</v>
      </c>
      <c r="D14" s="6">
        <v>1.7981725445573904</v>
      </c>
      <c r="E14" s="6">
        <f t="shared" si="0"/>
        <v>-12.678326799999999</v>
      </c>
      <c r="F14" s="6">
        <f t="shared" si="1"/>
        <v>0.27132679999999887</v>
      </c>
      <c r="G14" s="6">
        <f t="shared" si="2"/>
        <v>7.3618232398239392E-2</v>
      </c>
      <c r="I14" s="6">
        <f t="shared" si="3"/>
        <v>-3.6890000000000001</v>
      </c>
      <c r="J14" s="7">
        <v>-39.549999999999997</v>
      </c>
      <c r="K14" s="6">
        <f t="shared" si="4"/>
        <v>-40.567690800000001</v>
      </c>
      <c r="L14" s="6">
        <f t="shared" si="6"/>
        <v>1.017690800000004</v>
      </c>
      <c r="M14" s="6">
        <f t="shared" si="7"/>
        <v>1.0356945644046482</v>
      </c>
      <c r="O14" s="7">
        <v>-42.18</v>
      </c>
      <c r="P14" s="6">
        <f t="shared" si="5"/>
        <v>-46.706575399999998</v>
      </c>
      <c r="Q14" s="6">
        <f t="shared" si="8"/>
        <v>4.5265753999999987</v>
      </c>
      <c r="R14" s="6">
        <f t="shared" si="9"/>
        <v>20.489884851885147</v>
      </c>
      <c r="T14" s="6">
        <v>0.76161400000000001</v>
      </c>
      <c r="U14" s="6">
        <v>0.83638900000000005</v>
      </c>
    </row>
    <row r="15" spans="1:21">
      <c r="A15" s="11">
        <v>22</v>
      </c>
      <c r="B15" s="6">
        <v>-7.8620000000000001</v>
      </c>
      <c r="C15" s="6">
        <v>-11.568</v>
      </c>
      <c r="D15" s="6">
        <v>0.74953318805774038</v>
      </c>
      <c r="E15" s="6">
        <f t="shared" si="0"/>
        <v>-11.631781199999999</v>
      </c>
      <c r="F15" s="6">
        <f t="shared" si="1"/>
        <v>6.3781199999999316E-2</v>
      </c>
      <c r="G15" s="6">
        <f t="shared" si="2"/>
        <v>4.0680414734399128E-3</v>
      </c>
      <c r="I15" s="6">
        <f t="shared" si="3"/>
        <v>-3.7059999999999995</v>
      </c>
      <c r="J15" s="7">
        <v>-41.64</v>
      </c>
      <c r="K15" s="6">
        <f t="shared" si="4"/>
        <v>-40.592857199999997</v>
      </c>
      <c r="L15" s="6">
        <f t="shared" si="6"/>
        <v>-1.0471428000000031</v>
      </c>
      <c r="M15" s="6">
        <f t="shared" si="7"/>
        <v>1.0965080435918466</v>
      </c>
      <c r="O15" s="7">
        <v>-41.66</v>
      </c>
      <c r="P15" s="6">
        <f t="shared" si="5"/>
        <v>-46.517998599999999</v>
      </c>
      <c r="Q15" s="6">
        <f t="shared" si="8"/>
        <v>4.8579986000000019</v>
      </c>
      <c r="R15" s="6">
        <f t="shared" si="9"/>
        <v>23.600150397601979</v>
      </c>
      <c r="T15" s="6">
        <v>0.10127800000000001</v>
      </c>
      <c r="U15" s="6">
        <v>0.16305</v>
      </c>
    </row>
    <row r="16" spans="1:21">
      <c r="A16" s="11">
        <v>17</v>
      </c>
      <c r="B16" s="6">
        <v>-7.0410000000000004</v>
      </c>
      <c r="C16" s="6">
        <v>-11.778</v>
      </c>
      <c r="D16" s="6">
        <v>1.6136176746677013</v>
      </c>
      <c r="E16" s="6">
        <f t="shared" si="0"/>
        <v>-10.6280266</v>
      </c>
      <c r="F16" s="6">
        <f t="shared" si="1"/>
        <v>-1.1499734000000004</v>
      </c>
      <c r="G16" s="6">
        <f t="shared" si="2"/>
        <v>1.3224388207075608</v>
      </c>
      <c r="I16" s="6">
        <f t="shared" si="3"/>
        <v>-4.7370000000000001</v>
      </c>
      <c r="J16" s="7">
        <v>-42.33</v>
      </c>
      <c r="K16" s="6">
        <f t="shared" si="4"/>
        <v>-40.616994599999998</v>
      </c>
      <c r="L16" s="6">
        <f t="shared" si="6"/>
        <v>-1.7130054000000001</v>
      </c>
      <c r="M16" s="6">
        <f t="shared" si="7"/>
        <v>2.9343875004291604</v>
      </c>
      <c r="O16" s="7">
        <v>-44.76</v>
      </c>
      <c r="P16" s="6">
        <f t="shared" si="5"/>
        <v>-46.3371323</v>
      </c>
      <c r="Q16" s="6">
        <f t="shared" si="8"/>
        <v>1.5771323000000024</v>
      </c>
      <c r="R16" s="6">
        <f t="shared" si="9"/>
        <v>2.4873462917032976</v>
      </c>
      <c r="T16" s="6">
        <v>0.68005300000000002</v>
      </c>
      <c r="U16" s="6">
        <v>0.67437599999999998</v>
      </c>
    </row>
    <row r="17" spans="1:21">
      <c r="A17" s="11" t="s">
        <v>24</v>
      </c>
      <c r="B17" s="6">
        <v>-8.1790000000000003</v>
      </c>
      <c r="C17" s="6">
        <v>-10.954000000000001</v>
      </c>
      <c r="D17" s="6">
        <v>1.2826917010723973</v>
      </c>
      <c r="E17" s="6">
        <f t="shared" si="0"/>
        <v>-12.019345400000001</v>
      </c>
      <c r="F17" s="6">
        <f t="shared" si="1"/>
        <v>1.0653454</v>
      </c>
      <c r="G17" s="6">
        <f t="shared" si="2"/>
        <v>1.1349608213011599</v>
      </c>
      <c r="I17" s="6">
        <f t="shared" si="3"/>
        <v>-2.7750000000000004</v>
      </c>
      <c r="J17" s="7">
        <v>-35.29</v>
      </c>
      <c r="K17" s="6">
        <f t="shared" si="4"/>
        <v>-40.583537399999997</v>
      </c>
      <c r="L17" s="6">
        <f t="shared" si="6"/>
        <v>5.2935373999999982</v>
      </c>
      <c r="M17" s="6">
        <f t="shared" si="7"/>
        <v>28.021538205198741</v>
      </c>
      <c r="O17" s="7">
        <v>-39.090000000000003</v>
      </c>
      <c r="P17" s="6">
        <f t="shared" si="5"/>
        <v>-46.587833700000004</v>
      </c>
      <c r="Q17" s="6">
        <f t="shared" si="8"/>
        <v>7.497833700000001</v>
      </c>
      <c r="R17" s="6">
        <f t="shared" si="9"/>
        <v>56.217510192855705</v>
      </c>
      <c r="T17" s="6">
        <v>0.90783800000000003</v>
      </c>
      <c r="U17" s="6">
        <v>0.93557900000000005</v>
      </c>
    </row>
    <row r="20" spans="1:21">
      <c r="A20" s="6" t="s">
        <v>68</v>
      </c>
      <c r="C20" s="9"/>
      <c r="D20" s="9"/>
      <c r="E20" s="9" t="s">
        <v>70</v>
      </c>
      <c r="F20" s="9"/>
    </row>
    <row r="21" spans="1:21">
      <c r="A21" s="6">
        <v>-5.5140000000000011</v>
      </c>
      <c r="C21" s="9"/>
      <c r="D21" s="9"/>
      <c r="E21" s="9"/>
      <c r="F21" s="9"/>
    </row>
    <row r="22" spans="1:21">
      <c r="A22" s="6">
        <v>-4.7370000000000001</v>
      </c>
      <c r="C22" s="9" t="s">
        <v>71</v>
      </c>
      <c r="D22" s="9">
        <f>D26-2</f>
        <v>-6.149</v>
      </c>
      <c r="E22" s="17"/>
      <c r="F22" s="9"/>
    </row>
    <row r="23" spans="1:21">
      <c r="A23" s="6">
        <v>-4.7010000000000005</v>
      </c>
      <c r="C23" s="9"/>
      <c r="D23" s="9"/>
      <c r="E23" s="18">
        <v>1</v>
      </c>
      <c r="F23" s="9" t="s">
        <v>79</v>
      </c>
    </row>
    <row r="24" spans="1:21">
      <c r="A24" s="6">
        <v>-4.4660000000000002</v>
      </c>
      <c r="C24" s="9" t="s">
        <v>72</v>
      </c>
      <c r="D24" s="9">
        <f>D26-1</f>
        <v>-5.149</v>
      </c>
      <c r="E24" s="18"/>
      <c r="F24" s="9"/>
    </row>
    <row r="25" spans="1:21">
      <c r="A25" s="6">
        <v>-4.4329999999999998</v>
      </c>
      <c r="C25" s="9"/>
      <c r="D25" s="9"/>
      <c r="E25" s="18">
        <v>7</v>
      </c>
      <c r="F25" s="9" t="s">
        <v>76</v>
      </c>
    </row>
    <row r="26" spans="1:21">
      <c r="A26" s="6">
        <v>-4.3070000000000004</v>
      </c>
      <c r="C26" s="9" t="s">
        <v>69</v>
      </c>
      <c r="D26" s="9">
        <f>MEDIAN(A21:A36)</f>
        <v>-4.149</v>
      </c>
      <c r="E26" s="18"/>
      <c r="F26" s="9"/>
    </row>
    <row r="27" spans="1:21">
      <c r="A27" s="6">
        <v>-4.298</v>
      </c>
      <c r="C27" s="9"/>
      <c r="D27" s="9"/>
      <c r="E27" s="18">
        <v>6</v>
      </c>
      <c r="F27" s="9" t="s">
        <v>75</v>
      </c>
    </row>
    <row r="28" spans="1:21">
      <c r="A28" s="6">
        <v>-4.1929999999999996</v>
      </c>
      <c r="C28" s="9" t="s">
        <v>73</v>
      </c>
      <c r="D28" s="9">
        <f>D26+1</f>
        <v>-3.149</v>
      </c>
      <c r="E28" s="18"/>
      <c r="F28" s="9"/>
    </row>
    <row r="29" spans="1:21">
      <c r="A29" s="6">
        <v>-4.1050000000000004</v>
      </c>
      <c r="C29" s="9"/>
      <c r="D29" s="9"/>
      <c r="E29" s="18">
        <v>2</v>
      </c>
      <c r="F29" s="9" t="s">
        <v>78</v>
      </c>
    </row>
    <row r="30" spans="1:21">
      <c r="A30" s="6">
        <v>-4.0519999999999996</v>
      </c>
      <c r="C30" s="9" t="s">
        <v>74</v>
      </c>
      <c r="D30" s="9">
        <f>D26+2</f>
        <v>-2.149</v>
      </c>
      <c r="E30" s="18"/>
      <c r="F30" s="9"/>
    </row>
    <row r="31" spans="1:21">
      <c r="A31" s="6">
        <v>-3.9060000000000006</v>
      </c>
      <c r="E31" s="19"/>
    </row>
    <row r="32" spans="1:21">
      <c r="A32" s="6">
        <v>-3.7059999999999995</v>
      </c>
    </row>
    <row r="33" spans="1:1">
      <c r="A33" s="6">
        <v>-3.6890000000000001</v>
      </c>
    </row>
    <row r="34" spans="1:1">
      <c r="A34" s="6">
        <v>-3.543000000000001</v>
      </c>
    </row>
    <row r="35" spans="1:1">
      <c r="A35" s="6">
        <v>-2.7750000000000004</v>
      </c>
    </row>
    <row r="36" spans="1:1">
      <c r="A36" s="6">
        <v>-2.3180000000000005</v>
      </c>
    </row>
  </sheetData>
  <sortState ref="A21:A36">
    <sortCondition ref="A21"/>
  </sortState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="70" zoomScaleNormal="70" workbookViewId="0">
      <selection activeCell="F13" sqref="F13"/>
    </sheetView>
  </sheetViews>
  <sheetFormatPr defaultRowHeight="13.5"/>
  <cols>
    <col min="1" max="1" width="9.625" style="3" bestFit="1" customWidth="1"/>
    <col min="2" max="2" width="15" bestFit="1" customWidth="1"/>
    <col min="3" max="3" width="19.375" bestFit="1" customWidth="1"/>
    <col min="4" max="5" width="17.25" bestFit="1" customWidth="1"/>
    <col min="6" max="6" width="10.875" style="2" customWidth="1"/>
    <col min="7" max="7" width="16.75" style="2" bestFit="1" customWidth="1"/>
    <col min="9" max="9" width="12" customWidth="1"/>
    <col min="10" max="10" width="22.75" bestFit="1" customWidth="1"/>
    <col min="11" max="11" width="17.25" bestFit="1" customWidth="1"/>
    <col min="12" max="12" width="10.375" bestFit="1" customWidth="1"/>
    <col min="13" max="13" width="19.375" bestFit="1" customWidth="1"/>
    <col min="15" max="15" width="22.75" bestFit="1" customWidth="1"/>
    <col min="16" max="16" width="17.25" bestFit="1" customWidth="1"/>
    <col min="17" max="17" width="10.375" bestFit="1" customWidth="1"/>
    <col min="18" max="18" width="19.375" bestFit="1" customWidth="1"/>
    <col min="20" max="20" width="15.625" bestFit="1" customWidth="1"/>
    <col min="21" max="21" width="18.25" bestFit="1" customWidth="1"/>
  </cols>
  <sheetData>
    <row r="1" spans="1:21">
      <c r="A1" s="14" t="s">
        <v>6</v>
      </c>
      <c r="B1" s="6" t="s">
        <v>3</v>
      </c>
      <c r="C1" s="6" t="s">
        <v>5</v>
      </c>
      <c r="D1" s="6" t="s">
        <v>94</v>
      </c>
      <c r="E1" s="6" t="s">
        <v>4</v>
      </c>
      <c r="F1" s="6" t="s">
        <v>1</v>
      </c>
      <c r="G1" s="6" t="s">
        <v>2</v>
      </c>
      <c r="H1" s="6" t="s">
        <v>0</v>
      </c>
      <c r="I1" s="6" t="s">
        <v>68</v>
      </c>
      <c r="J1" s="6" t="s">
        <v>28</v>
      </c>
      <c r="K1" s="6" t="s">
        <v>4</v>
      </c>
      <c r="L1" s="6" t="s">
        <v>1</v>
      </c>
      <c r="M1" s="6" t="s">
        <v>2</v>
      </c>
      <c r="N1" s="6" t="s">
        <v>0</v>
      </c>
      <c r="O1" s="6" t="s">
        <v>29</v>
      </c>
      <c r="P1" s="6" t="s">
        <v>4</v>
      </c>
      <c r="Q1" s="6" t="s">
        <v>1</v>
      </c>
      <c r="R1" s="6" t="s">
        <v>2</v>
      </c>
      <c r="S1" s="6" t="s">
        <v>0</v>
      </c>
      <c r="T1" s="6" t="s">
        <v>96</v>
      </c>
      <c r="U1" s="6" t="s">
        <v>95</v>
      </c>
    </row>
    <row r="2" spans="1:21">
      <c r="A2" s="15" t="s">
        <v>55</v>
      </c>
      <c r="B2" s="6">
        <v>-8.4600000000000009</v>
      </c>
      <c r="C2" s="6">
        <v>-12.930999999999999</v>
      </c>
      <c r="D2" s="6">
        <v>1.7090770901278851</v>
      </c>
      <c r="E2" s="6">
        <f t="shared" ref="E2:E11" si="0">1.0061*B2-4.9642</f>
        <v>-13.475806</v>
      </c>
      <c r="F2" s="6">
        <f t="shared" ref="F2:F11" si="1">C2-E2</f>
        <v>0.54480600000000123</v>
      </c>
      <c r="G2" s="6">
        <f t="shared" ref="G2:G11" si="2">F2^2</f>
        <v>0.29681357763600136</v>
      </c>
      <c r="H2" s="6">
        <f t="shared" ref="H2" si="3">SQRT(SUM(G2:G11)/9)</f>
        <v>0.61803752417093072</v>
      </c>
      <c r="I2" s="6">
        <f>C2-B2</f>
        <v>-4.4709999999999983</v>
      </c>
      <c r="J2" s="7">
        <v>-24.85</v>
      </c>
      <c r="K2" s="6">
        <f>0.9067*B2-21.072</f>
        <v>-28.742681999999999</v>
      </c>
      <c r="L2" s="6">
        <f>J2-K2</f>
        <v>3.8926819999999971</v>
      </c>
      <c r="M2" s="6">
        <f>L2^2</f>
        <v>15.152973153123977</v>
      </c>
      <c r="N2" s="6">
        <f>SQRT(SUM(M2:M11)/9)</f>
        <v>3.8740578865684663</v>
      </c>
      <c r="O2" s="7">
        <v>-36.4</v>
      </c>
      <c r="P2" s="6">
        <f>1.2894*B2-25.105</f>
        <v>-36.013324000000004</v>
      </c>
      <c r="Q2" s="6">
        <f>O2-P2</f>
        <v>-0.38667599999999425</v>
      </c>
      <c r="R2" s="6">
        <f>Q2^2</f>
        <v>0.14951832897599554</v>
      </c>
      <c r="S2" s="6">
        <f>SQRT(SUM(R2:R11)/9)</f>
        <v>2.3989276934450876</v>
      </c>
      <c r="T2" s="10">
        <v>1.4604299999999999</v>
      </c>
      <c r="U2" s="10">
        <v>1.9669099999999999</v>
      </c>
    </row>
    <row r="3" spans="1:21">
      <c r="A3" s="15" t="s">
        <v>52</v>
      </c>
      <c r="B3" s="6">
        <v>-7.86</v>
      </c>
      <c r="C3" s="6">
        <v>-12.356999999999999</v>
      </c>
      <c r="D3" s="6">
        <v>2.3935564543164629</v>
      </c>
      <c r="E3" s="6">
        <f t="shared" si="0"/>
        <v>-12.872146000000001</v>
      </c>
      <c r="F3" s="6">
        <f t="shared" si="1"/>
        <v>0.51514600000000144</v>
      </c>
      <c r="G3" s="6">
        <f t="shared" si="2"/>
        <v>0.26537540131600146</v>
      </c>
      <c r="H3" s="6"/>
      <c r="I3" s="6">
        <f t="shared" ref="I3:I11" si="4">C3-B3</f>
        <v>-4.496999999999999</v>
      </c>
      <c r="J3" s="7">
        <v>-34.729999999999997</v>
      </c>
      <c r="K3" s="6">
        <f t="shared" ref="K3:K11" si="5">0.9067*B3-21.072</f>
        <v>-28.198661999999999</v>
      </c>
      <c r="L3" s="6">
        <f t="shared" ref="L3:L11" si="6">J3-K3</f>
        <v>-6.5313379999999981</v>
      </c>
      <c r="M3" s="6">
        <f t="shared" ref="M3:M11" si="7">L3^2</f>
        <v>42.658376070243975</v>
      </c>
      <c r="N3" s="6"/>
      <c r="O3" s="7">
        <v>-37.549999999999997</v>
      </c>
      <c r="P3" s="6">
        <f t="shared" ref="P3:P11" si="8">1.2894*B3-25.105</f>
        <v>-35.239684000000004</v>
      </c>
      <c r="Q3" s="6">
        <f t="shared" ref="Q3:Q11" si="9">O3-P3</f>
        <v>-2.3103159999999932</v>
      </c>
      <c r="R3" s="6">
        <f t="shared" ref="R3:R11" si="10">Q3^2</f>
        <v>5.3375600198559683</v>
      </c>
      <c r="S3" s="6"/>
      <c r="T3" s="10">
        <v>1.19095</v>
      </c>
      <c r="U3" s="10">
        <v>2.1977000000000002</v>
      </c>
    </row>
    <row r="4" spans="1:21">
      <c r="A4" s="15" t="s">
        <v>51</v>
      </c>
      <c r="B4" s="6">
        <v>-7.48</v>
      </c>
      <c r="C4" s="6">
        <v>-13.042999999999999</v>
      </c>
      <c r="D4" s="6">
        <v>3.3629998513232198</v>
      </c>
      <c r="E4" s="6">
        <f t="shared" si="0"/>
        <v>-12.489827999999999</v>
      </c>
      <c r="F4" s="6">
        <f t="shared" si="1"/>
        <v>-0.553172</v>
      </c>
      <c r="G4" s="6">
        <f t="shared" si="2"/>
        <v>0.30599926158399998</v>
      </c>
      <c r="H4" s="6"/>
      <c r="I4" s="6">
        <f t="shared" si="4"/>
        <v>-5.5629999999999988</v>
      </c>
      <c r="J4" s="7">
        <v>-24.32</v>
      </c>
      <c r="K4" s="6">
        <f t="shared" si="5"/>
        <v>-27.854115999999998</v>
      </c>
      <c r="L4" s="6">
        <f t="shared" si="6"/>
        <v>3.5341159999999974</v>
      </c>
      <c r="M4" s="6">
        <f t="shared" si="7"/>
        <v>12.489975901455981</v>
      </c>
      <c r="N4" s="6"/>
      <c r="O4" s="7">
        <v>-33.46</v>
      </c>
      <c r="P4" s="6">
        <f t="shared" si="8"/>
        <v>-34.749712000000002</v>
      </c>
      <c r="Q4" s="6">
        <f t="shared" si="9"/>
        <v>1.2897120000000015</v>
      </c>
      <c r="R4" s="6">
        <f t="shared" si="10"/>
        <v>1.6633570429440039</v>
      </c>
      <c r="S4" s="6"/>
      <c r="T4" s="10">
        <v>2.3426</v>
      </c>
      <c r="U4" s="10">
        <v>3.1583899999999998</v>
      </c>
    </row>
    <row r="5" spans="1:21">
      <c r="A5" s="15" t="s">
        <v>59</v>
      </c>
      <c r="B5" s="6">
        <v>-9.18</v>
      </c>
      <c r="C5" s="6">
        <v>-15.239000000000001</v>
      </c>
      <c r="D5" s="6">
        <v>0.61801132675704251</v>
      </c>
      <c r="E5" s="6">
        <f t="shared" si="0"/>
        <v>-14.200198</v>
      </c>
      <c r="F5" s="6">
        <f t="shared" si="1"/>
        <v>-1.0388020000000004</v>
      </c>
      <c r="G5" s="6">
        <f t="shared" si="2"/>
        <v>1.0791095952040008</v>
      </c>
      <c r="H5" s="6"/>
      <c r="I5" s="6">
        <f t="shared" si="4"/>
        <v>-6.0590000000000011</v>
      </c>
      <c r="J5" s="7">
        <v>-25.93</v>
      </c>
      <c r="K5" s="6">
        <f t="shared" si="5"/>
        <v>-29.395505999999997</v>
      </c>
      <c r="L5" s="6">
        <f t="shared" si="6"/>
        <v>3.4655059999999978</v>
      </c>
      <c r="M5" s="6">
        <f t="shared" si="7"/>
        <v>12.009731836035984</v>
      </c>
      <c r="N5" s="6"/>
      <c r="O5" s="7">
        <v>-36.549999999999997</v>
      </c>
      <c r="P5" s="6">
        <f t="shared" si="8"/>
        <v>-36.941692000000003</v>
      </c>
      <c r="Q5" s="6">
        <f t="shared" si="9"/>
        <v>0.39169200000000615</v>
      </c>
      <c r="R5" s="6">
        <f t="shared" si="10"/>
        <v>0.15342262286400482</v>
      </c>
      <c r="S5" s="6"/>
      <c r="T5" s="10">
        <v>0.171823</v>
      </c>
      <c r="U5" s="10">
        <v>3.6419000000000001</v>
      </c>
    </row>
    <row r="6" spans="1:21">
      <c r="A6" s="15" t="s">
        <v>53</v>
      </c>
      <c r="B6" s="6">
        <v>-8.2200000000000006</v>
      </c>
      <c r="C6" s="6">
        <v>-14.089</v>
      </c>
      <c r="D6" s="6">
        <v>1.326532321505963</v>
      </c>
      <c r="E6" s="6">
        <f t="shared" si="0"/>
        <v>-13.234342</v>
      </c>
      <c r="F6" s="6">
        <f t="shared" si="1"/>
        <v>-0.85465800000000058</v>
      </c>
      <c r="G6" s="6">
        <f t="shared" si="2"/>
        <v>0.73044029696400103</v>
      </c>
      <c r="H6" s="6"/>
      <c r="I6" s="6">
        <f t="shared" si="4"/>
        <v>-5.8689999999999998</v>
      </c>
      <c r="J6" s="7">
        <v>-29.86</v>
      </c>
      <c r="K6" s="6">
        <f t="shared" si="5"/>
        <v>-28.525074</v>
      </c>
      <c r="L6" s="6">
        <f t="shared" si="6"/>
        <v>-1.3349259999999994</v>
      </c>
      <c r="M6" s="6">
        <f t="shared" si="7"/>
        <v>1.7820274254759985</v>
      </c>
      <c r="N6" s="6"/>
      <c r="O6" s="7">
        <v>-38.4</v>
      </c>
      <c r="P6" s="6">
        <f t="shared" si="8"/>
        <v>-35.703868</v>
      </c>
      <c r="Q6" s="6">
        <f t="shared" si="9"/>
        <v>-2.6961319999999986</v>
      </c>
      <c r="R6" s="6">
        <f t="shared" si="10"/>
        <v>7.2691277614239924</v>
      </c>
      <c r="S6" s="6"/>
      <c r="T6" s="10">
        <v>1.3120499999999999</v>
      </c>
      <c r="U6" s="10">
        <v>1.0369999999999999</v>
      </c>
    </row>
    <row r="7" spans="1:21">
      <c r="A7" s="15" t="s">
        <v>54</v>
      </c>
      <c r="B7" s="6">
        <v>-8.32</v>
      </c>
      <c r="C7" s="6">
        <v>-13.196999999999999</v>
      </c>
      <c r="D7" s="6">
        <v>2.3398163389462856</v>
      </c>
      <c r="E7" s="6">
        <f t="shared" si="0"/>
        <v>-13.334951999999999</v>
      </c>
      <c r="F7" s="6">
        <f t="shared" si="1"/>
        <v>0.1379520000000003</v>
      </c>
      <c r="G7" s="6">
        <f t="shared" si="2"/>
        <v>1.9030754304000082E-2</v>
      </c>
      <c r="H7" s="6"/>
      <c r="I7" s="6">
        <f t="shared" si="4"/>
        <v>-4.8769999999999989</v>
      </c>
      <c r="J7" s="7">
        <v>-28.36</v>
      </c>
      <c r="K7" s="6">
        <f t="shared" si="5"/>
        <v>-28.615743999999999</v>
      </c>
      <c r="L7" s="6">
        <f t="shared" si="6"/>
        <v>0.25574399999999997</v>
      </c>
      <c r="M7" s="6">
        <f t="shared" si="7"/>
        <v>6.5404993535999989E-2</v>
      </c>
      <c r="N7" s="6"/>
      <c r="O7" s="7">
        <v>-33.049999999999997</v>
      </c>
      <c r="P7" s="6">
        <f t="shared" si="8"/>
        <v>-35.832808</v>
      </c>
      <c r="Q7" s="6">
        <f t="shared" si="9"/>
        <v>2.7828080000000028</v>
      </c>
      <c r="R7" s="6">
        <f t="shared" si="10"/>
        <v>7.7440203648640153</v>
      </c>
      <c r="S7" s="6"/>
      <c r="T7" s="8">
        <v>1.36887</v>
      </c>
      <c r="U7" s="8">
        <v>2.1442199999999998</v>
      </c>
    </row>
    <row r="8" spans="1:21">
      <c r="A8" s="15">
        <v>5</v>
      </c>
      <c r="B8" s="6">
        <v>-7.58</v>
      </c>
      <c r="C8" s="6">
        <v>-12.436</v>
      </c>
      <c r="D8" s="6">
        <v>1.3371389232237614</v>
      </c>
      <c r="E8" s="6">
        <f t="shared" si="0"/>
        <v>-12.590437999999999</v>
      </c>
      <c r="F8" s="6">
        <f t="shared" si="1"/>
        <v>0.15443799999999896</v>
      </c>
      <c r="G8" s="6">
        <f t="shared" si="2"/>
        <v>2.3851095843999682E-2</v>
      </c>
      <c r="H8" s="6"/>
      <c r="I8" s="6">
        <f t="shared" si="4"/>
        <v>-4.8559999999999999</v>
      </c>
      <c r="J8" s="7">
        <v>-25.52</v>
      </c>
      <c r="K8" s="6">
        <f t="shared" si="5"/>
        <v>-27.944786000000001</v>
      </c>
      <c r="L8" s="6">
        <f t="shared" si="6"/>
        <v>2.424786000000001</v>
      </c>
      <c r="M8" s="6">
        <f t="shared" si="7"/>
        <v>5.8795871457960045</v>
      </c>
      <c r="N8" s="6"/>
      <c r="O8" s="7">
        <v>-33.42</v>
      </c>
      <c r="P8" s="6">
        <f t="shared" si="8"/>
        <v>-34.878652000000002</v>
      </c>
      <c r="Q8" s="6">
        <f t="shared" si="9"/>
        <v>1.4586520000000007</v>
      </c>
      <c r="R8" s="6">
        <f t="shared" si="10"/>
        <v>2.1276656571040022</v>
      </c>
      <c r="S8" s="6"/>
      <c r="T8" s="8">
        <v>0.33451500000000001</v>
      </c>
      <c r="U8" s="8">
        <v>0.25518400000000002</v>
      </c>
    </row>
    <row r="9" spans="1:21">
      <c r="A9" s="15" t="s">
        <v>57</v>
      </c>
      <c r="B9" s="6">
        <v>-8.89</v>
      </c>
      <c r="C9" s="6">
        <v>-13.696999999999999</v>
      </c>
      <c r="D9" s="6">
        <v>1.489166881178869</v>
      </c>
      <c r="E9" s="6">
        <f t="shared" si="0"/>
        <v>-13.908429</v>
      </c>
      <c r="F9" s="6">
        <f t="shared" si="1"/>
        <v>0.21142900000000076</v>
      </c>
      <c r="G9" s="6">
        <f t="shared" si="2"/>
        <v>4.4702222041000321E-2</v>
      </c>
      <c r="H9" s="6"/>
      <c r="I9" s="6">
        <f t="shared" si="4"/>
        <v>-4.8069999999999986</v>
      </c>
      <c r="J9" s="7">
        <v>-33.76</v>
      </c>
      <c r="K9" s="6">
        <f t="shared" si="5"/>
        <v>-29.132562999999998</v>
      </c>
      <c r="L9" s="6">
        <f t="shared" si="6"/>
        <v>-4.6274370000000005</v>
      </c>
      <c r="M9" s="6">
        <f t="shared" si="7"/>
        <v>21.413173188969004</v>
      </c>
      <c r="N9" s="6"/>
      <c r="O9" s="7">
        <v>-38.85</v>
      </c>
      <c r="P9" s="6">
        <f t="shared" si="8"/>
        <v>-36.567766000000006</v>
      </c>
      <c r="Q9" s="6">
        <f t="shared" si="9"/>
        <v>-2.2822339999999954</v>
      </c>
      <c r="R9" s="6">
        <f t="shared" si="10"/>
        <v>5.2085920307559794</v>
      </c>
      <c r="S9" s="6"/>
      <c r="T9" s="8">
        <v>1.0055799999999999</v>
      </c>
      <c r="U9" s="8">
        <v>2.2416299999999998</v>
      </c>
    </row>
    <row r="10" spans="1:21">
      <c r="A10" s="15" t="s">
        <v>58</v>
      </c>
      <c r="B10" s="6">
        <v>-8.91</v>
      </c>
      <c r="C10" s="6">
        <v>-13.111000000000001</v>
      </c>
      <c r="D10" s="6">
        <v>1.89858170748588</v>
      </c>
      <c r="E10" s="6">
        <f t="shared" si="0"/>
        <v>-13.928551000000001</v>
      </c>
      <c r="F10" s="6">
        <f t="shared" si="1"/>
        <v>0.81755099999999992</v>
      </c>
      <c r="G10" s="6">
        <f t="shared" si="2"/>
        <v>0.6683896376009999</v>
      </c>
      <c r="H10" s="6"/>
      <c r="I10" s="6">
        <f t="shared" si="4"/>
        <v>-4.2010000000000005</v>
      </c>
      <c r="J10" s="7">
        <v>-26.3</v>
      </c>
      <c r="K10" s="6">
        <f t="shared" si="5"/>
        <v>-29.150697000000001</v>
      </c>
      <c r="L10" s="6">
        <f t="shared" si="6"/>
        <v>2.8506970000000003</v>
      </c>
      <c r="M10" s="6">
        <f t="shared" si="7"/>
        <v>8.1264733858090015</v>
      </c>
      <c r="N10" s="6"/>
      <c r="O10" s="7">
        <v>-32.51</v>
      </c>
      <c r="P10" s="6">
        <f t="shared" si="8"/>
        <v>-36.593553999999997</v>
      </c>
      <c r="Q10" s="6">
        <f t="shared" si="9"/>
        <v>4.0835539999999995</v>
      </c>
      <c r="R10" s="6">
        <f t="shared" si="10"/>
        <v>16.675413270915996</v>
      </c>
      <c r="S10" s="6"/>
      <c r="T10" s="8">
        <v>1.00549</v>
      </c>
      <c r="U10" s="8">
        <v>2.3160699999999999</v>
      </c>
    </row>
    <row r="11" spans="1:21">
      <c r="A11" s="15" t="s">
        <v>56</v>
      </c>
      <c r="B11" s="6">
        <v>-8.56</v>
      </c>
      <c r="C11" s="6">
        <v>-13.513</v>
      </c>
      <c r="D11" s="6">
        <v>2.1665751775555817</v>
      </c>
      <c r="E11" s="6">
        <f t="shared" si="0"/>
        <v>-13.576416</v>
      </c>
      <c r="F11" s="6">
        <f t="shared" si="1"/>
        <v>6.3416000000000139E-2</v>
      </c>
      <c r="G11" s="6">
        <f t="shared" si="2"/>
        <v>4.0215890560000179E-3</v>
      </c>
      <c r="H11" s="6"/>
      <c r="I11" s="6">
        <f t="shared" si="4"/>
        <v>-4.9529999999999994</v>
      </c>
      <c r="J11" s="7">
        <v>-32.770000000000003</v>
      </c>
      <c r="K11" s="6">
        <f t="shared" si="5"/>
        <v>-28.833351999999998</v>
      </c>
      <c r="L11" s="6">
        <f t="shared" si="6"/>
        <v>-3.9366480000000053</v>
      </c>
      <c r="M11" s="6">
        <f t="shared" si="7"/>
        <v>15.497197475904041</v>
      </c>
      <c r="N11" s="6"/>
      <c r="O11" s="7">
        <v>-38.479999999999997</v>
      </c>
      <c r="P11" s="6">
        <f t="shared" si="8"/>
        <v>-36.142264000000004</v>
      </c>
      <c r="Q11" s="6">
        <f t="shared" si="9"/>
        <v>-2.3377359999999925</v>
      </c>
      <c r="R11" s="6">
        <f t="shared" si="10"/>
        <v>5.4650096056959647</v>
      </c>
      <c r="S11" s="6"/>
      <c r="T11" s="8">
        <v>0.65408999999999995</v>
      </c>
      <c r="U11" s="8">
        <v>2.3716300000000001</v>
      </c>
    </row>
    <row r="12" spans="1:21">
      <c r="A12" s="1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1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>
      <c r="A14" s="14" t="s">
        <v>68</v>
      </c>
      <c r="B14" s="6"/>
      <c r="C14" s="9"/>
      <c r="D14" s="9"/>
      <c r="E14" s="9" t="s">
        <v>70</v>
      </c>
      <c r="F14" s="9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>
      <c r="A15" s="14">
        <v>-6.0590000000000011</v>
      </c>
      <c r="B15" s="6"/>
      <c r="C15" s="9"/>
      <c r="D15" s="9"/>
      <c r="E15" s="5"/>
      <c r="F15" s="9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14">
        <v>-5.8689999999999998</v>
      </c>
      <c r="B16" s="6"/>
      <c r="C16" s="9" t="s">
        <v>71</v>
      </c>
      <c r="D16" s="9">
        <f>D20-2</f>
        <v>-6.8664999999999994</v>
      </c>
      <c r="E16" s="5"/>
      <c r="F16" s="9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>
      <c r="A17" s="14">
        <v>-5.5629999999999988</v>
      </c>
      <c r="B17" s="6"/>
      <c r="C17" s="9"/>
      <c r="D17" s="9"/>
      <c r="E17" s="5">
        <v>2</v>
      </c>
      <c r="F17" s="9" t="s">
        <v>77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>
      <c r="A18" s="14">
        <v>-4.9529999999999994</v>
      </c>
      <c r="B18" s="6"/>
      <c r="C18" s="9" t="s">
        <v>72</v>
      </c>
      <c r="D18" s="9">
        <f>D20-1</f>
        <v>-5.8664999999999994</v>
      </c>
      <c r="E18" s="5"/>
      <c r="F18" s="9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>
      <c r="A19" s="14">
        <v>-4.8769999999999989</v>
      </c>
      <c r="B19" s="6"/>
      <c r="C19" s="9"/>
      <c r="D19" s="9"/>
      <c r="E19" s="5">
        <v>3</v>
      </c>
      <c r="F19" s="9" t="s">
        <v>76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>
      <c r="A20" s="14">
        <v>-4.8559999999999999</v>
      </c>
      <c r="B20" s="6"/>
      <c r="C20" s="9" t="s">
        <v>69</v>
      </c>
      <c r="D20" s="9">
        <f>MEDIAN(A15:A24)</f>
        <v>-4.8664999999999994</v>
      </c>
      <c r="E20" s="5"/>
      <c r="F20" s="9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>
      <c r="A21" s="14">
        <v>-4.8069999999999986</v>
      </c>
      <c r="B21" s="6"/>
      <c r="C21" s="9"/>
      <c r="D21" s="9"/>
      <c r="E21" s="5">
        <v>5</v>
      </c>
      <c r="F21" s="9" t="s">
        <v>75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>
      <c r="A22" s="14">
        <v>-4.496999999999999</v>
      </c>
      <c r="B22" s="6"/>
      <c r="C22" s="9" t="s">
        <v>73</v>
      </c>
      <c r="D22" s="9">
        <f>D20+1</f>
        <v>-3.8664999999999994</v>
      </c>
      <c r="E22" s="5"/>
      <c r="F22" s="9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14">
        <v>-4.4709999999999983</v>
      </c>
      <c r="B23" s="6"/>
      <c r="C23" s="9"/>
      <c r="D23" s="9"/>
      <c r="E23" s="5">
        <v>0</v>
      </c>
      <c r="F23" s="9" t="s">
        <v>78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>
      <c r="A24" s="14">
        <v>-4.2010000000000005</v>
      </c>
      <c r="B24" s="6"/>
      <c r="C24" s="9" t="s">
        <v>74</v>
      </c>
      <c r="D24" s="9">
        <f>D20+2</f>
        <v>-2.8664999999999994</v>
      </c>
      <c r="E24" s="5"/>
      <c r="F24" s="9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>
      <c r="A25" s="14"/>
      <c r="B25" s="6"/>
      <c r="C25" s="6"/>
      <c r="D25" s="6"/>
      <c r="E25" s="1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14"/>
      <c r="B26" s="6"/>
      <c r="C26" s="6"/>
      <c r="D26" s="6"/>
      <c r="E26" s="1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>
      <c r="A27" s="14"/>
      <c r="B27" s="6"/>
      <c r="C27" s="6"/>
      <c r="D27" s="6"/>
      <c r="E27" s="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</sheetData>
  <sortState ref="A15:A24">
    <sortCondition ref="A18"/>
  </sortState>
  <phoneticPr fontId="3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zoomScale="70" zoomScaleNormal="70" workbookViewId="0">
      <selection activeCell="E16" sqref="E16"/>
    </sheetView>
  </sheetViews>
  <sheetFormatPr defaultRowHeight="13.5"/>
  <cols>
    <col min="1" max="1" width="9.625" style="6" bestFit="1" customWidth="1"/>
    <col min="2" max="2" width="13.625" style="6" bestFit="1" customWidth="1"/>
    <col min="3" max="3" width="16.625" style="6" bestFit="1" customWidth="1"/>
    <col min="4" max="4" width="16.625" style="6" customWidth="1"/>
    <col min="5" max="5" width="16" style="6" bestFit="1" customWidth="1"/>
    <col min="6" max="6" width="9.75" style="6" bestFit="1" customWidth="1"/>
    <col min="7" max="7" width="16.75" style="6" bestFit="1" customWidth="1"/>
    <col min="8" max="9" width="9" style="6"/>
    <col min="10" max="10" width="21.75" style="6" bestFit="1" customWidth="1"/>
    <col min="11" max="11" width="16" style="6" bestFit="1" customWidth="1"/>
    <col min="12" max="12" width="9" style="6" bestFit="1" customWidth="1"/>
    <col min="13" max="13" width="16.75" style="6" bestFit="1" customWidth="1"/>
    <col min="14" max="14" width="9" style="6"/>
    <col min="15" max="15" width="21.875" style="6" bestFit="1" customWidth="1"/>
    <col min="16" max="16" width="16" style="6" bestFit="1" customWidth="1"/>
    <col min="17" max="17" width="9" style="6"/>
    <col min="18" max="18" width="16.75" style="6" bestFit="1" customWidth="1"/>
    <col min="19" max="19" width="9" style="6"/>
    <col min="20" max="20" width="15.625" style="6" bestFit="1" customWidth="1"/>
    <col min="21" max="21" width="18.25" style="6" bestFit="1" customWidth="1"/>
  </cols>
  <sheetData>
    <row r="1" spans="1:21">
      <c r="A1" s="6" t="s">
        <v>6</v>
      </c>
      <c r="B1" s="6" t="s">
        <v>3</v>
      </c>
      <c r="C1" s="6" t="s">
        <v>5</v>
      </c>
      <c r="D1" s="6" t="s">
        <v>94</v>
      </c>
      <c r="E1" s="6" t="s">
        <v>4</v>
      </c>
      <c r="F1" s="6" t="s">
        <v>1</v>
      </c>
      <c r="G1" s="6" t="s">
        <v>2</v>
      </c>
      <c r="H1" s="6" t="s">
        <v>0</v>
      </c>
      <c r="I1" s="6" t="s">
        <v>68</v>
      </c>
      <c r="J1" s="6" t="s">
        <v>28</v>
      </c>
      <c r="K1" s="6" t="s">
        <v>4</v>
      </c>
      <c r="L1" s="6" t="s">
        <v>1</v>
      </c>
      <c r="M1" s="6" t="s">
        <v>2</v>
      </c>
      <c r="N1" s="6" t="s">
        <v>0</v>
      </c>
      <c r="O1" s="6" t="s">
        <v>29</v>
      </c>
      <c r="P1" s="6" t="s">
        <v>4</v>
      </c>
      <c r="Q1" s="6" t="s">
        <v>1</v>
      </c>
      <c r="R1" s="6" t="s">
        <v>2</v>
      </c>
      <c r="S1" s="6" t="s">
        <v>0</v>
      </c>
      <c r="T1" s="6" t="s">
        <v>96</v>
      </c>
      <c r="U1" s="6" t="s">
        <v>95</v>
      </c>
    </row>
    <row r="2" spans="1:21">
      <c r="A2" s="13" t="s">
        <v>13</v>
      </c>
      <c r="B2" s="6">
        <v>-9.5399999999999991</v>
      </c>
      <c r="C2" s="6">
        <v>-5.8929999999999998</v>
      </c>
      <c r="D2" s="6">
        <v>0.28991378028648446</v>
      </c>
      <c r="E2" s="6">
        <f t="shared" ref="E2:E17" si="0">1.0842*B2+4.093</f>
        <v>-6.2502680000000002</v>
      </c>
      <c r="F2" s="6">
        <f t="shared" ref="F2:F17" si="1">C2-E2</f>
        <v>0.35726800000000036</v>
      </c>
      <c r="G2" s="6">
        <f t="shared" ref="G2:G17" si="2">F2^2</f>
        <v>0.12764042382400026</v>
      </c>
      <c r="H2" s="6">
        <f>SQRT(SUM(G2:G17)/15)</f>
        <v>1.3611256518867023</v>
      </c>
      <c r="I2" s="6">
        <f>C2-B2</f>
        <v>3.6469999999999994</v>
      </c>
      <c r="J2" s="7">
        <v>-29.68</v>
      </c>
      <c r="K2" s="6">
        <f>0.617*B2-24.458</f>
        <v>-30.344179999999998</v>
      </c>
      <c r="L2" s="6">
        <f>J2-K2</f>
        <v>0.66417999999999822</v>
      </c>
      <c r="M2" s="6">
        <f>L2^2</f>
        <v>0.44113507239999761</v>
      </c>
      <c r="N2" s="6">
        <f>SQRT(SUM(M2:M17)/15)</f>
        <v>2.3707545622438442</v>
      </c>
      <c r="O2" s="7">
        <v>-32.49</v>
      </c>
      <c r="P2" s="6">
        <f>0.6208*B2-27.789</f>
        <v>-33.711432000000002</v>
      </c>
      <c r="Q2" s="6">
        <f>O2-P2</f>
        <v>1.2214320000000001</v>
      </c>
      <c r="R2" s="6">
        <f>Q2^2</f>
        <v>1.4918961306240002</v>
      </c>
      <c r="S2" s="6">
        <f>SQRT(SUM(R2:R17)/15)</f>
        <v>2.307855119418027</v>
      </c>
      <c r="T2" s="8">
        <v>0.81629799999999997</v>
      </c>
      <c r="U2" s="8">
        <v>0.37003200000000003</v>
      </c>
    </row>
    <row r="3" spans="1:21">
      <c r="A3" s="13" t="s">
        <v>18</v>
      </c>
      <c r="B3" s="6">
        <v>-10.94</v>
      </c>
      <c r="C3" s="6">
        <v>-7.7770000000000001</v>
      </c>
      <c r="D3" s="6">
        <v>0.10960155108391485</v>
      </c>
      <c r="E3" s="6">
        <f t="shared" si="0"/>
        <v>-7.7681480000000001</v>
      </c>
      <c r="F3" s="6">
        <f t="shared" si="1"/>
        <v>-8.852000000000082E-3</v>
      </c>
      <c r="G3" s="6">
        <f t="shared" si="2"/>
        <v>7.8357904000001452E-5</v>
      </c>
      <c r="I3" s="6">
        <f t="shared" ref="I3:I17" si="3">C3-B3</f>
        <v>3.1629999999999994</v>
      </c>
      <c r="J3" s="7">
        <v>-34.520000000000003</v>
      </c>
      <c r="K3" s="6">
        <f t="shared" ref="K3:K17" si="4">0.617*B3-24.458</f>
        <v>-31.207979999999999</v>
      </c>
      <c r="L3" s="6">
        <f t="shared" ref="L3:L17" si="5">J3-K3</f>
        <v>-3.312020000000004</v>
      </c>
      <c r="M3" s="6">
        <f t="shared" ref="M3:M17" si="6">L3^2</f>
        <v>10.969476480400026</v>
      </c>
      <c r="O3" s="7">
        <v>-37.11</v>
      </c>
      <c r="P3" s="6">
        <f t="shared" ref="P3:P17" si="7">0.6208*B3-27.789</f>
        <v>-34.580552000000004</v>
      </c>
      <c r="Q3" s="6">
        <f t="shared" ref="Q3:Q17" si="8">O3-P3</f>
        <v>-2.529447999999995</v>
      </c>
      <c r="R3" s="6">
        <f t="shared" ref="R3:R17" si="9">Q3^2</f>
        <v>6.3981071847039752</v>
      </c>
      <c r="T3" s="8">
        <v>0.266654</v>
      </c>
      <c r="U3" s="8">
        <v>1.06453</v>
      </c>
    </row>
    <row r="4" spans="1:21">
      <c r="A4" s="13" t="s">
        <v>10</v>
      </c>
      <c r="B4" s="6">
        <v>-8.98</v>
      </c>
      <c r="C4" s="6">
        <v>-7.5069999999999997</v>
      </c>
      <c r="D4" s="6">
        <v>0.9036824663564077</v>
      </c>
      <c r="E4" s="6">
        <f t="shared" si="0"/>
        <v>-5.6431160000000009</v>
      </c>
      <c r="F4" s="6">
        <f t="shared" si="1"/>
        <v>-1.8638839999999988</v>
      </c>
      <c r="G4" s="6">
        <f t="shared" si="2"/>
        <v>3.4740635654559955</v>
      </c>
      <c r="I4" s="6">
        <f t="shared" si="3"/>
        <v>1.4730000000000008</v>
      </c>
      <c r="J4" s="7">
        <v>-27.44</v>
      </c>
      <c r="K4" s="6">
        <f t="shared" si="4"/>
        <v>-29.998659999999997</v>
      </c>
      <c r="L4" s="6">
        <f t="shared" si="5"/>
        <v>2.5586599999999962</v>
      </c>
      <c r="M4" s="6">
        <f t="shared" si="6"/>
        <v>6.54674099559998</v>
      </c>
      <c r="O4" s="7">
        <v>-29.93</v>
      </c>
      <c r="P4" s="6">
        <f t="shared" si="7"/>
        <v>-33.363784000000003</v>
      </c>
      <c r="Q4" s="6">
        <f t="shared" si="8"/>
        <v>3.4337840000000028</v>
      </c>
      <c r="R4" s="6">
        <f t="shared" si="9"/>
        <v>11.790872558656019</v>
      </c>
      <c r="T4" s="8">
        <v>0.10602499999999999</v>
      </c>
      <c r="U4" s="8">
        <v>0.25166899999999998</v>
      </c>
    </row>
    <row r="5" spans="1:21">
      <c r="A5" s="13" t="s">
        <v>21</v>
      </c>
      <c r="B5" s="6">
        <v>-11.31</v>
      </c>
      <c r="C5" s="6">
        <v>-6.5140000000000002</v>
      </c>
      <c r="D5" s="6">
        <v>0.82307229330114118</v>
      </c>
      <c r="E5" s="6">
        <f t="shared" si="0"/>
        <v>-8.1693020000000018</v>
      </c>
      <c r="F5" s="6">
        <f t="shared" si="1"/>
        <v>1.6553020000000016</v>
      </c>
      <c r="G5" s="6">
        <f t="shared" si="2"/>
        <v>2.7400247112040055</v>
      </c>
      <c r="I5" s="6">
        <f t="shared" si="3"/>
        <v>4.7960000000000003</v>
      </c>
      <c r="J5" s="7">
        <v>-32.020000000000003</v>
      </c>
      <c r="K5" s="6">
        <f t="shared" si="4"/>
        <v>-31.43627</v>
      </c>
      <c r="L5" s="6">
        <f t="shared" si="5"/>
        <v>-0.58373000000000275</v>
      </c>
      <c r="M5" s="6">
        <f t="shared" si="6"/>
        <v>0.34074071290000318</v>
      </c>
      <c r="O5" s="7">
        <v>-34.82</v>
      </c>
      <c r="P5" s="6">
        <f t="shared" si="7"/>
        <v>-34.810248000000001</v>
      </c>
      <c r="Q5" s="6">
        <f t="shared" si="8"/>
        <v>-9.7519999999988727E-3</v>
      </c>
      <c r="R5" s="6">
        <f t="shared" si="9"/>
        <v>9.510150399997802E-5</v>
      </c>
      <c r="T5" s="8">
        <v>0.232651</v>
      </c>
      <c r="U5" s="8">
        <v>0.26050400000000001</v>
      </c>
    </row>
    <row r="6" spans="1:21">
      <c r="A6" s="13" t="s">
        <v>12</v>
      </c>
      <c r="B6" s="6">
        <v>-9.2100000000000009</v>
      </c>
      <c r="C6" s="6">
        <v>-6.1980000000000004</v>
      </c>
      <c r="D6" s="6">
        <v>0.74811897449536724</v>
      </c>
      <c r="E6" s="6">
        <f t="shared" si="0"/>
        <v>-5.8924820000000011</v>
      </c>
      <c r="F6" s="6">
        <f t="shared" si="1"/>
        <v>-0.30551799999999929</v>
      </c>
      <c r="G6" s="6">
        <f t="shared" si="2"/>
        <v>9.3341248323999565E-2</v>
      </c>
      <c r="I6" s="6">
        <f t="shared" si="3"/>
        <v>3.0120000000000005</v>
      </c>
      <c r="J6" s="7">
        <v>-30.83</v>
      </c>
      <c r="K6" s="6">
        <f t="shared" si="4"/>
        <v>-30.140569999999997</v>
      </c>
      <c r="L6" s="6">
        <f t="shared" si="5"/>
        <v>-0.68943000000000154</v>
      </c>
      <c r="M6" s="6">
        <f t="shared" si="6"/>
        <v>0.47531372490000212</v>
      </c>
      <c r="O6" s="7">
        <v>-33.49</v>
      </c>
      <c r="P6" s="6">
        <f t="shared" si="7"/>
        <v>-33.506568000000001</v>
      </c>
      <c r="Q6" s="6">
        <f t="shared" si="8"/>
        <v>1.6567999999999472E-2</v>
      </c>
      <c r="R6" s="6">
        <f t="shared" si="9"/>
        <v>2.7449862399998252E-4</v>
      </c>
      <c r="T6" s="8">
        <v>1.4049499999999999</v>
      </c>
      <c r="U6" s="8">
        <v>1.72065</v>
      </c>
    </row>
    <row r="7" spans="1:21">
      <c r="A7" s="13" t="s">
        <v>9</v>
      </c>
      <c r="B7" s="6">
        <v>-8.26</v>
      </c>
      <c r="C7" s="6">
        <v>-4.8460000000000001</v>
      </c>
      <c r="D7" s="6">
        <v>0.32102647865869255</v>
      </c>
      <c r="E7" s="6">
        <f t="shared" si="0"/>
        <v>-4.8624919999999996</v>
      </c>
      <c r="F7" s="6">
        <f t="shared" si="1"/>
        <v>1.6491999999999507E-2</v>
      </c>
      <c r="G7" s="6">
        <f t="shared" si="2"/>
        <v>2.7198606399998375E-4</v>
      </c>
      <c r="I7" s="6">
        <f t="shared" si="3"/>
        <v>3.4139999999999997</v>
      </c>
      <c r="J7" s="7">
        <v>-27.54</v>
      </c>
      <c r="K7" s="6">
        <f t="shared" si="4"/>
        <v>-29.55442</v>
      </c>
      <c r="L7" s="6">
        <f t="shared" si="5"/>
        <v>2.0144200000000012</v>
      </c>
      <c r="M7" s="6">
        <f t="shared" si="6"/>
        <v>4.0578879364000047</v>
      </c>
      <c r="O7" s="7">
        <v>-30.19</v>
      </c>
      <c r="P7" s="6">
        <f t="shared" si="7"/>
        <v>-32.916808000000003</v>
      </c>
      <c r="Q7" s="6">
        <f t="shared" si="8"/>
        <v>2.7268080000000019</v>
      </c>
      <c r="R7" s="6">
        <f t="shared" si="9"/>
        <v>7.4354818688640103</v>
      </c>
      <c r="T7" s="8">
        <v>0.99286300000000005</v>
      </c>
      <c r="U7" s="8">
        <v>1.0518000000000001</v>
      </c>
    </row>
    <row r="8" spans="1:21">
      <c r="A8" s="13" t="s">
        <v>19</v>
      </c>
      <c r="B8" s="6">
        <v>-10.98</v>
      </c>
      <c r="C8" s="6">
        <v>-6.0529999999999999</v>
      </c>
      <c r="D8" s="6">
        <v>0.11737972567696689</v>
      </c>
      <c r="E8" s="6">
        <f t="shared" si="0"/>
        <v>-7.811516000000001</v>
      </c>
      <c r="F8" s="6">
        <f t="shared" si="1"/>
        <v>1.7585160000000011</v>
      </c>
      <c r="G8" s="6">
        <f t="shared" si="2"/>
        <v>3.0923785222560038</v>
      </c>
      <c r="I8" s="6">
        <f t="shared" si="3"/>
        <v>4.9270000000000005</v>
      </c>
      <c r="J8" s="7">
        <v>-31.57</v>
      </c>
      <c r="K8" s="6">
        <f t="shared" si="4"/>
        <v>-31.232659999999999</v>
      </c>
      <c r="L8" s="6">
        <f t="shared" si="5"/>
        <v>-0.33734000000000108</v>
      </c>
      <c r="M8" s="6">
        <f t="shared" si="6"/>
        <v>0.11379827560000073</v>
      </c>
      <c r="O8" s="7">
        <v>-33.5</v>
      </c>
      <c r="P8" s="6">
        <f t="shared" si="7"/>
        <v>-34.605384000000001</v>
      </c>
      <c r="Q8" s="6">
        <f t="shared" si="8"/>
        <v>1.1053840000000008</v>
      </c>
      <c r="R8" s="6">
        <f t="shared" si="9"/>
        <v>1.2218737874560017</v>
      </c>
      <c r="T8" s="8">
        <v>0.67462</v>
      </c>
      <c r="U8" s="8">
        <v>0.66053499999999998</v>
      </c>
    </row>
    <row r="9" spans="1:21">
      <c r="A9" s="13" t="s">
        <v>8</v>
      </c>
      <c r="B9" s="6">
        <v>-7.75</v>
      </c>
      <c r="C9" s="6">
        <v>-2.7</v>
      </c>
      <c r="D9" s="6">
        <v>0.75660425586960589</v>
      </c>
      <c r="E9" s="6">
        <f t="shared" si="0"/>
        <v>-4.3095499999999998</v>
      </c>
      <c r="F9" s="6">
        <f t="shared" si="1"/>
        <v>1.6095499999999996</v>
      </c>
      <c r="G9" s="6">
        <f t="shared" si="2"/>
        <v>2.5906512024999988</v>
      </c>
      <c r="I9" s="6">
        <f t="shared" si="3"/>
        <v>5.05</v>
      </c>
      <c r="J9" s="7">
        <v>-33.97</v>
      </c>
      <c r="K9" s="6">
        <f t="shared" si="4"/>
        <v>-29.239749999999997</v>
      </c>
      <c r="L9" s="6">
        <f t="shared" si="5"/>
        <v>-4.7302500000000016</v>
      </c>
      <c r="M9" s="6">
        <f t="shared" si="6"/>
        <v>22.375265062500016</v>
      </c>
      <c r="O9" s="7">
        <v>-38.65</v>
      </c>
      <c r="P9" s="6">
        <f t="shared" si="7"/>
        <v>-32.600200000000001</v>
      </c>
      <c r="Q9" s="6">
        <f t="shared" si="8"/>
        <v>-6.0497999999999976</v>
      </c>
      <c r="R9" s="6">
        <f t="shared" si="9"/>
        <v>36.600080039999973</v>
      </c>
      <c r="T9" s="8">
        <v>0.94521100000000002</v>
      </c>
      <c r="U9" s="8">
        <v>0.44154199999999999</v>
      </c>
    </row>
    <row r="10" spans="1:21">
      <c r="A10" s="13" t="s">
        <v>14</v>
      </c>
      <c r="B10" s="6">
        <v>-9.56</v>
      </c>
      <c r="C10" s="6">
        <v>-8.32</v>
      </c>
      <c r="D10" s="6">
        <v>0.88246926292081129</v>
      </c>
      <c r="E10" s="6">
        <f t="shared" si="0"/>
        <v>-6.2719520000000006</v>
      </c>
      <c r="F10" s="6">
        <f t="shared" si="1"/>
        <v>-2.0480479999999996</v>
      </c>
      <c r="G10" s="6">
        <f t="shared" si="2"/>
        <v>4.1945006103039981</v>
      </c>
      <c r="I10" s="6">
        <f t="shared" si="3"/>
        <v>1.2400000000000002</v>
      </c>
      <c r="J10" s="7">
        <v>-32.229999999999997</v>
      </c>
      <c r="K10" s="6">
        <f t="shared" si="4"/>
        <v>-30.35652</v>
      </c>
      <c r="L10" s="6">
        <f t="shared" si="5"/>
        <v>-1.8734799999999971</v>
      </c>
      <c r="M10" s="6">
        <f t="shared" si="6"/>
        <v>3.5099273103999895</v>
      </c>
      <c r="O10" s="7">
        <v>-35.22</v>
      </c>
      <c r="P10" s="6">
        <f t="shared" si="7"/>
        <v>-33.723848000000004</v>
      </c>
      <c r="Q10" s="6">
        <f t="shared" si="8"/>
        <v>-1.496151999999995</v>
      </c>
      <c r="R10" s="6">
        <f t="shared" si="9"/>
        <v>2.2384708071039854</v>
      </c>
      <c r="T10" s="8">
        <v>0.85771799999999998</v>
      </c>
      <c r="U10" s="8">
        <v>0.84626699999999999</v>
      </c>
    </row>
    <row r="11" spans="1:21">
      <c r="A11" s="13" t="s">
        <v>7</v>
      </c>
      <c r="B11" s="6">
        <v>-7.42</v>
      </c>
      <c r="C11" s="6">
        <v>-2.2229999999999999</v>
      </c>
      <c r="D11" s="6">
        <v>0.80680883733385067</v>
      </c>
      <c r="E11" s="6">
        <f t="shared" si="0"/>
        <v>-3.9517640000000007</v>
      </c>
      <c r="F11" s="6">
        <f t="shared" si="1"/>
        <v>1.7287640000000009</v>
      </c>
      <c r="G11" s="6">
        <f t="shared" si="2"/>
        <v>2.9886249676960031</v>
      </c>
      <c r="I11" s="6">
        <f t="shared" si="3"/>
        <v>5.1970000000000001</v>
      </c>
      <c r="J11" s="7">
        <v>-29.37</v>
      </c>
      <c r="K11" s="6">
        <f t="shared" si="4"/>
        <v>-29.03614</v>
      </c>
      <c r="L11" s="6">
        <f t="shared" si="5"/>
        <v>-0.33386000000000138</v>
      </c>
      <c r="M11" s="6">
        <f t="shared" si="6"/>
        <v>0.11146249960000092</v>
      </c>
      <c r="O11" s="7">
        <v>-31.37</v>
      </c>
      <c r="P11" s="6">
        <f t="shared" si="7"/>
        <v>-32.395336</v>
      </c>
      <c r="Q11" s="6">
        <f t="shared" si="8"/>
        <v>1.0253359999999994</v>
      </c>
      <c r="R11" s="6">
        <f t="shared" si="9"/>
        <v>1.0513139128959987</v>
      </c>
      <c r="T11" s="8">
        <v>0.48704999999999998</v>
      </c>
      <c r="U11" s="8">
        <v>0.68738100000000002</v>
      </c>
    </row>
    <row r="12" spans="1:21">
      <c r="A12" s="13" t="s">
        <v>20</v>
      </c>
      <c r="B12" s="6">
        <v>-11.28</v>
      </c>
      <c r="C12" s="6">
        <v>-7.2619999999999996</v>
      </c>
      <c r="D12" s="6">
        <v>1.1518769465528857</v>
      </c>
      <c r="E12" s="6">
        <f t="shared" si="0"/>
        <v>-8.1367759999999993</v>
      </c>
      <c r="F12" s="6">
        <f t="shared" si="1"/>
        <v>0.87477599999999978</v>
      </c>
      <c r="G12" s="6">
        <f t="shared" si="2"/>
        <v>0.76523305017599963</v>
      </c>
      <c r="I12" s="6">
        <f t="shared" si="3"/>
        <v>4.0179999999999998</v>
      </c>
      <c r="J12" s="7">
        <v>-31.59</v>
      </c>
      <c r="K12" s="6">
        <f t="shared" si="4"/>
        <v>-31.417759999999998</v>
      </c>
      <c r="L12" s="6">
        <f t="shared" si="5"/>
        <v>-0.17224000000000217</v>
      </c>
      <c r="M12" s="6">
        <f t="shared" si="6"/>
        <v>2.9666617600000746E-2</v>
      </c>
      <c r="O12" s="7">
        <v>-34.22</v>
      </c>
      <c r="P12" s="6">
        <f t="shared" si="7"/>
        <v>-34.791623999999999</v>
      </c>
      <c r="Q12" s="6">
        <f t="shared" si="8"/>
        <v>0.57162399999999991</v>
      </c>
      <c r="R12" s="6">
        <f t="shared" si="9"/>
        <v>0.32675399737599992</v>
      </c>
      <c r="T12" s="8">
        <v>0.455702</v>
      </c>
      <c r="U12" s="8">
        <v>0.31395699999999999</v>
      </c>
    </row>
    <row r="13" spans="1:21">
      <c r="A13" s="13" t="s">
        <v>11</v>
      </c>
      <c r="B13" s="6">
        <v>-9</v>
      </c>
      <c r="C13" s="6">
        <v>-6.6440000000000001</v>
      </c>
      <c r="D13" s="6">
        <v>1.0090413767532034</v>
      </c>
      <c r="E13" s="6">
        <f t="shared" si="0"/>
        <v>-5.6647999999999996</v>
      </c>
      <c r="F13" s="6">
        <f t="shared" si="1"/>
        <v>-0.97920000000000051</v>
      </c>
      <c r="G13" s="6">
        <f t="shared" si="2"/>
        <v>0.95883264000000101</v>
      </c>
      <c r="I13" s="6">
        <f t="shared" si="3"/>
        <v>2.3559999999999999</v>
      </c>
      <c r="J13" s="7">
        <v>-27.54</v>
      </c>
      <c r="K13" s="6">
        <f t="shared" si="4"/>
        <v>-30.010999999999999</v>
      </c>
      <c r="L13" s="6">
        <f t="shared" si="5"/>
        <v>2.4710000000000001</v>
      </c>
      <c r="M13" s="6">
        <f t="shared" si="6"/>
        <v>6.1058410000000007</v>
      </c>
      <c r="O13" s="7">
        <v>-33.51</v>
      </c>
      <c r="P13" s="6">
        <f t="shared" si="7"/>
        <v>-33.376200000000004</v>
      </c>
      <c r="Q13" s="6">
        <f t="shared" si="8"/>
        <v>-0.1337999999999937</v>
      </c>
      <c r="R13" s="6">
        <f t="shared" si="9"/>
        <v>1.7902439999998316E-2</v>
      </c>
      <c r="T13" s="8">
        <v>0.37153999999999998</v>
      </c>
      <c r="U13" s="8">
        <v>1.42344</v>
      </c>
    </row>
    <row r="14" spans="1:21">
      <c r="A14" s="13" t="s">
        <v>15</v>
      </c>
      <c r="B14" s="6">
        <v>-9.6999999999999993</v>
      </c>
      <c r="C14" s="6">
        <v>-8.6440000000000001</v>
      </c>
      <c r="D14" s="6">
        <v>0.80751594411503713</v>
      </c>
      <c r="E14" s="6">
        <f t="shared" si="0"/>
        <v>-6.4237400000000004</v>
      </c>
      <c r="F14" s="6">
        <f t="shared" si="1"/>
        <v>-2.2202599999999997</v>
      </c>
      <c r="G14" s="6">
        <f t="shared" si="2"/>
        <v>4.9295544675999983</v>
      </c>
      <c r="I14" s="6">
        <f t="shared" si="3"/>
        <v>1.0559999999999992</v>
      </c>
      <c r="J14" s="7">
        <v>-25.75</v>
      </c>
      <c r="K14" s="6">
        <f t="shared" si="4"/>
        <v>-30.442899999999998</v>
      </c>
      <c r="L14" s="6">
        <f t="shared" si="5"/>
        <v>4.6928999999999981</v>
      </c>
      <c r="M14" s="6">
        <f t="shared" si="6"/>
        <v>22.023310409999983</v>
      </c>
      <c r="O14" s="7">
        <v>-32.979999999999997</v>
      </c>
      <c r="P14" s="6">
        <f t="shared" si="7"/>
        <v>-33.810760000000002</v>
      </c>
      <c r="Q14" s="6">
        <f t="shared" si="8"/>
        <v>0.83076000000000505</v>
      </c>
      <c r="R14" s="6">
        <f t="shared" si="9"/>
        <v>0.69016217760000842</v>
      </c>
      <c r="T14" s="8">
        <v>1.8518600000000001</v>
      </c>
      <c r="U14" s="8">
        <v>3.3690799999999999</v>
      </c>
    </row>
    <row r="15" spans="1:21">
      <c r="A15" s="13" t="s">
        <v>22</v>
      </c>
      <c r="B15" s="6">
        <v>-11.7</v>
      </c>
      <c r="C15" s="6">
        <v>-9.0109999999999992</v>
      </c>
      <c r="D15" s="6">
        <v>0.26799347006970148</v>
      </c>
      <c r="E15" s="6">
        <f t="shared" si="0"/>
        <v>-8.5921400000000006</v>
      </c>
      <c r="F15" s="6">
        <f t="shared" si="1"/>
        <v>-0.41885999999999868</v>
      </c>
      <c r="G15" s="6">
        <f t="shared" si="2"/>
        <v>0.17544369959999889</v>
      </c>
      <c r="I15" s="6">
        <f t="shared" si="3"/>
        <v>2.6890000000000001</v>
      </c>
      <c r="J15" s="7">
        <v>-29.95</v>
      </c>
      <c r="K15" s="6">
        <f t="shared" si="4"/>
        <v>-31.676899999999996</v>
      </c>
      <c r="L15" s="6">
        <f t="shared" si="5"/>
        <v>1.726899999999997</v>
      </c>
      <c r="M15" s="6">
        <f t="shared" si="6"/>
        <v>2.9821836099999897</v>
      </c>
      <c r="O15" s="7">
        <v>-35.24</v>
      </c>
      <c r="P15" s="6">
        <f t="shared" si="7"/>
        <v>-35.05236</v>
      </c>
      <c r="Q15" s="6">
        <f t="shared" si="8"/>
        <v>-0.18764000000000181</v>
      </c>
      <c r="R15" s="6">
        <f t="shared" si="9"/>
        <v>3.5208769600000675E-2</v>
      </c>
      <c r="T15" s="8">
        <v>0.69295499999999999</v>
      </c>
      <c r="U15" s="8">
        <v>1.26027</v>
      </c>
    </row>
    <row r="16" spans="1:21">
      <c r="A16" s="13" t="s">
        <v>16</v>
      </c>
      <c r="B16" s="6">
        <v>-9.7799999999999994</v>
      </c>
      <c r="C16" s="6">
        <v>-5.6820000000000004</v>
      </c>
      <c r="D16" s="6">
        <v>6.5053823869162364E-2</v>
      </c>
      <c r="E16" s="6">
        <f t="shared" si="0"/>
        <v>-6.5104760000000006</v>
      </c>
      <c r="F16" s="6">
        <f t="shared" si="1"/>
        <v>0.82847600000000021</v>
      </c>
      <c r="G16" s="6">
        <f t="shared" si="2"/>
        <v>0.68637248257600036</v>
      </c>
      <c r="I16" s="6">
        <f t="shared" si="3"/>
        <v>4.097999999999999</v>
      </c>
      <c r="J16" s="7">
        <v>-30.53</v>
      </c>
      <c r="K16" s="6">
        <f t="shared" si="4"/>
        <v>-30.492259999999998</v>
      </c>
      <c r="L16" s="6">
        <f t="shared" si="5"/>
        <v>-3.7740000000002993E-2</v>
      </c>
      <c r="M16" s="6">
        <f t="shared" si="6"/>
        <v>1.424307600000226E-3</v>
      </c>
      <c r="O16" s="7">
        <v>-31.83</v>
      </c>
      <c r="P16" s="6">
        <f t="shared" si="7"/>
        <v>-33.860424000000002</v>
      </c>
      <c r="Q16" s="6">
        <f t="shared" si="8"/>
        <v>2.0304240000000036</v>
      </c>
      <c r="R16" s="6">
        <f t="shared" si="9"/>
        <v>4.1226216197760142</v>
      </c>
      <c r="T16" s="8">
        <v>0.174626</v>
      </c>
      <c r="U16" s="8">
        <v>0.39502700000000002</v>
      </c>
    </row>
    <row r="17" spans="1:21">
      <c r="A17" s="13" t="s">
        <v>17</v>
      </c>
      <c r="B17" s="6">
        <v>-10.53</v>
      </c>
      <c r="C17" s="6">
        <v>-8.31</v>
      </c>
      <c r="D17" s="6">
        <v>1.0069200564096437</v>
      </c>
      <c r="E17" s="6">
        <f t="shared" si="0"/>
        <v>-7.3236259999999991</v>
      </c>
      <c r="F17" s="6">
        <f t="shared" si="1"/>
        <v>-0.98637400000000142</v>
      </c>
      <c r="G17" s="6">
        <f t="shared" si="2"/>
        <v>0.97293366787600277</v>
      </c>
      <c r="I17" s="6">
        <f t="shared" si="3"/>
        <v>2.2199999999999989</v>
      </c>
      <c r="J17" s="7">
        <v>-33.01</v>
      </c>
      <c r="K17" s="6">
        <f t="shared" si="4"/>
        <v>-30.955009999999998</v>
      </c>
      <c r="L17" s="6">
        <f t="shared" si="5"/>
        <v>-2.0549900000000001</v>
      </c>
      <c r="M17" s="6">
        <f t="shared" si="6"/>
        <v>4.2229839001</v>
      </c>
      <c r="O17" s="7">
        <v>-36.869999999999997</v>
      </c>
      <c r="P17" s="6">
        <f t="shared" si="7"/>
        <v>-34.326024000000004</v>
      </c>
      <c r="Q17" s="6">
        <f t="shared" si="8"/>
        <v>-2.5439759999999936</v>
      </c>
      <c r="R17" s="6">
        <f t="shared" si="9"/>
        <v>6.4718138885759675</v>
      </c>
      <c r="T17" s="8">
        <v>1.2542199999999999</v>
      </c>
      <c r="U17" s="8">
        <v>1.4940899999999999</v>
      </c>
    </row>
    <row r="20" spans="1:21">
      <c r="A20" s="6" t="s">
        <v>68</v>
      </c>
      <c r="C20" s="9"/>
      <c r="D20" s="9"/>
      <c r="E20" s="9" t="s">
        <v>70</v>
      </c>
      <c r="F20" s="9"/>
    </row>
    <row r="21" spans="1:21">
      <c r="A21" s="6">
        <v>1.0559999999999992</v>
      </c>
      <c r="C21" s="9"/>
      <c r="D21" s="9"/>
      <c r="E21" s="9"/>
      <c r="F21" s="9">
        <v>2</v>
      </c>
    </row>
    <row r="22" spans="1:21">
      <c r="A22" s="6">
        <v>1.2400000000000002</v>
      </c>
      <c r="C22" s="9" t="s">
        <v>71</v>
      </c>
      <c r="D22" s="9">
        <f>D26-2</f>
        <v>1.2884999999999995</v>
      </c>
      <c r="E22" s="5"/>
      <c r="F22" s="9"/>
    </row>
    <row r="23" spans="1:21">
      <c r="A23" s="6">
        <v>1.4730000000000008</v>
      </c>
      <c r="C23" s="9"/>
      <c r="D23" s="9"/>
      <c r="E23" s="5">
        <v>2</v>
      </c>
      <c r="F23" s="9" t="s">
        <v>77</v>
      </c>
    </row>
    <row r="24" spans="1:21">
      <c r="A24" s="6">
        <v>2.2199999999999989</v>
      </c>
      <c r="C24" s="9" t="s">
        <v>72</v>
      </c>
      <c r="D24" s="9">
        <f>D26-1</f>
        <v>2.2884999999999995</v>
      </c>
      <c r="E24" s="5"/>
      <c r="F24" s="9"/>
    </row>
    <row r="25" spans="1:21">
      <c r="A25" s="6">
        <v>2.3559999999999999</v>
      </c>
      <c r="C25" s="9"/>
      <c r="D25" s="9"/>
      <c r="E25" s="5">
        <v>4</v>
      </c>
      <c r="F25" s="9" t="s">
        <v>76</v>
      </c>
    </row>
    <row r="26" spans="1:21">
      <c r="A26" s="6">
        <v>2.6890000000000001</v>
      </c>
      <c r="C26" s="9" t="s">
        <v>69</v>
      </c>
      <c r="D26" s="9">
        <f>MEDIAN(A21:A36)</f>
        <v>3.2884999999999995</v>
      </c>
      <c r="E26" s="5"/>
      <c r="F26" s="9"/>
    </row>
    <row r="27" spans="1:21">
      <c r="A27" s="6">
        <v>3.0120000000000005</v>
      </c>
      <c r="C27" s="9"/>
      <c r="D27" s="9"/>
      <c r="E27" s="5">
        <v>4</v>
      </c>
      <c r="F27" s="9" t="s">
        <v>75</v>
      </c>
    </row>
    <row r="28" spans="1:21">
      <c r="A28" s="6">
        <v>3.1629999999999994</v>
      </c>
      <c r="C28" s="9" t="s">
        <v>73</v>
      </c>
      <c r="D28" s="9">
        <f>D26+1</f>
        <v>4.2884999999999991</v>
      </c>
      <c r="E28" s="5"/>
      <c r="F28" s="9"/>
    </row>
    <row r="29" spans="1:21">
      <c r="A29" s="6">
        <v>3.4139999999999997</v>
      </c>
      <c r="C29" s="9"/>
      <c r="D29" s="9"/>
      <c r="E29" s="5">
        <v>4</v>
      </c>
      <c r="F29" s="9" t="s">
        <v>78</v>
      </c>
    </row>
    <row r="30" spans="1:21">
      <c r="A30" s="6">
        <v>3.6469999999999994</v>
      </c>
      <c r="C30" s="9" t="s">
        <v>74</v>
      </c>
      <c r="D30" s="9">
        <f>D26+2</f>
        <v>5.2884999999999991</v>
      </c>
      <c r="E30" s="5"/>
      <c r="F30" s="9"/>
    </row>
    <row r="31" spans="1:21">
      <c r="A31" s="6">
        <v>4.0179999999999998</v>
      </c>
      <c r="E31" s="1"/>
    </row>
    <row r="32" spans="1:21">
      <c r="A32" s="6">
        <v>4.097999999999999</v>
      </c>
      <c r="E32" s="1"/>
    </row>
    <row r="33" spans="1:5">
      <c r="A33" s="6">
        <v>4.7960000000000003</v>
      </c>
      <c r="E33" s="1"/>
    </row>
    <row r="34" spans="1:5">
      <c r="A34" s="6">
        <v>4.9270000000000005</v>
      </c>
    </row>
    <row r="35" spans="1:5">
      <c r="A35" s="6">
        <v>5.05</v>
      </c>
    </row>
    <row r="36" spans="1:5">
      <c r="A36" s="6">
        <v>5.1970000000000001</v>
      </c>
    </row>
  </sheetData>
  <sortState ref="A21:A36">
    <sortCondition ref="A20"/>
  </sortState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13" zoomScale="70" zoomScaleNormal="70" workbookViewId="0">
      <selection activeCell="G37" sqref="G37"/>
    </sheetView>
  </sheetViews>
  <sheetFormatPr defaultRowHeight="13.5"/>
  <cols>
    <col min="1" max="1" width="9" style="6"/>
    <col min="2" max="2" width="13.625" style="6" bestFit="1" customWidth="1"/>
    <col min="3" max="3" width="16.625" style="6" bestFit="1" customWidth="1"/>
    <col min="4" max="4" width="16.625" style="6" customWidth="1"/>
    <col min="5" max="5" width="16" style="6" bestFit="1" customWidth="1"/>
    <col min="6" max="6" width="12.75" style="6" bestFit="1" customWidth="1"/>
    <col min="7" max="7" width="16.75" style="6" bestFit="1" customWidth="1"/>
    <col min="8" max="8" width="9" style="6"/>
    <col min="9" max="9" width="13.875" style="6" bestFit="1" customWidth="1"/>
    <col min="10" max="10" width="22.75" style="6" bestFit="1" customWidth="1"/>
    <col min="11" max="11" width="17.25" style="6" bestFit="1" customWidth="1"/>
    <col min="12" max="12" width="13.875" style="6" bestFit="1" customWidth="1"/>
    <col min="13" max="13" width="19.375" style="6" bestFit="1" customWidth="1"/>
    <col min="14" max="14" width="9" style="6"/>
    <col min="15" max="15" width="22.75" style="6" bestFit="1" customWidth="1"/>
    <col min="16" max="16" width="17.25" style="6" bestFit="1" customWidth="1"/>
    <col min="17" max="17" width="13.875" style="6" bestFit="1" customWidth="1"/>
    <col min="18" max="18" width="19.375" style="6" bestFit="1" customWidth="1"/>
    <col min="19" max="19" width="9" style="6"/>
    <col min="20" max="20" width="15.625" style="6" bestFit="1" customWidth="1"/>
    <col min="21" max="21" width="18.25" style="6" bestFit="1" customWidth="1"/>
  </cols>
  <sheetData>
    <row r="1" spans="1:21">
      <c r="A1" s="11" t="s">
        <v>6</v>
      </c>
      <c r="B1" s="6" t="s">
        <v>3</v>
      </c>
      <c r="C1" s="6" t="s">
        <v>5</v>
      </c>
      <c r="D1" s="6" t="s">
        <v>94</v>
      </c>
      <c r="E1" s="6" t="s">
        <v>4</v>
      </c>
      <c r="F1" s="6" t="s">
        <v>1</v>
      </c>
      <c r="G1" s="6" t="s">
        <v>2</v>
      </c>
      <c r="H1" s="6" t="s">
        <v>0</v>
      </c>
      <c r="I1" s="6" t="s">
        <v>68</v>
      </c>
      <c r="J1" s="6" t="s">
        <v>28</v>
      </c>
      <c r="K1" s="6" t="s">
        <v>4</v>
      </c>
      <c r="L1" s="6" t="s">
        <v>1</v>
      </c>
      <c r="M1" s="6" t="s">
        <v>2</v>
      </c>
      <c r="N1" s="6" t="s">
        <v>0</v>
      </c>
      <c r="O1" s="6" t="s">
        <v>29</v>
      </c>
      <c r="P1" s="6" t="s">
        <v>4</v>
      </c>
      <c r="Q1" s="6" t="s">
        <v>1</v>
      </c>
      <c r="R1" s="6" t="s">
        <v>2</v>
      </c>
      <c r="S1" s="6" t="s">
        <v>0</v>
      </c>
      <c r="T1" s="6" t="s">
        <v>96</v>
      </c>
      <c r="U1" s="6" t="s">
        <v>95</v>
      </c>
    </row>
    <row r="2" spans="1:21">
      <c r="A2" s="12" t="s">
        <v>67</v>
      </c>
      <c r="B2" s="6">
        <v>-8.8999550062236032</v>
      </c>
      <c r="C2" s="6">
        <v>-11.259</v>
      </c>
      <c r="D2" s="6">
        <v>1.1448058787410205</v>
      </c>
      <c r="E2" s="6">
        <f t="shared" ref="E2:E21" si="0">1.1476*B2+1.189</f>
        <v>-9.0245883651422059</v>
      </c>
      <c r="F2" s="6">
        <f t="shared" ref="F2:F21" si="1">C2-E2</f>
        <v>-2.2344116348577945</v>
      </c>
      <c r="G2" s="6">
        <f t="shared" ref="G2:G21" si="2">F2^2</f>
        <v>4.9925953539878822</v>
      </c>
      <c r="H2" s="6">
        <f>SQRT(SUM(G2:G21)/19)</f>
        <v>1.2338146606464329</v>
      </c>
      <c r="I2" s="6">
        <f t="shared" ref="I2:I21" si="3">C2-B2</f>
        <v>-2.3590449937763971</v>
      </c>
      <c r="J2" s="7">
        <v>-19.37</v>
      </c>
      <c r="K2" s="6">
        <f t="shared" ref="K2:K21" si="4">-1.947*B2-29.57</f>
        <v>-12.241787602882646</v>
      </c>
      <c r="L2" s="6">
        <f t="shared" ref="L2:L21" si="5">J2-K2</f>
        <v>-7.1282123971173554</v>
      </c>
      <c r="M2" s="6">
        <f t="shared" ref="M2:M21" si="6">L2^2</f>
        <v>50.811411978417553</v>
      </c>
      <c r="O2" s="7">
        <v>-29.6</v>
      </c>
      <c r="P2" s="6">
        <f t="shared" ref="P2:P21" si="7">1.4468*B2-19.528</f>
        <v>-32.404454903004307</v>
      </c>
      <c r="Q2" s="6">
        <f t="shared" ref="Q2:Q21" si="8">O2-P2</f>
        <v>2.8044549030043058</v>
      </c>
      <c r="R2" s="6">
        <f t="shared" ref="R2:R21" si="9">Q2^2</f>
        <v>7.8649673029848906</v>
      </c>
      <c r="T2" s="8">
        <v>1.57687</v>
      </c>
      <c r="U2" s="8">
        <v>1.2544599999999999</v>
      </c>
    </row>
    <row r="3" spans="1:21">
      <c r="A3" s="12">
        <v>2</v>
      </c>
      <c r="B3" s="6">
        <v>-9.3848936250741009</v>
      </c>
      <c r="C3" s="6">
        <v>-11.601000000000001</v>
      </c>
      <c r="D3" s="6">
        <v>1.1695546160825494</v>
      </c>
      <c r="E3" s="6">
        <f t="shared" si="0"/>
        <v>-9.5811039241350375</v>
      </c>
      <c r="F3" s="6">
        <f t="shared" si="1"/>
        <v>-2.0198960758649633</v>
      </c>
      <c r="G3" s="6">
        <f t="shared" si="2"/>
        <v>4.0799801572946777</v>
      </c>
      <c r="I3" s="6">
        <f t="shared" si="3"/>
        <v>-2.2161063749259</v>
      </c>
      <c r="J3" s="7">
        <v>7.87</v>
      </c>
      <c r="K3" s="6">
        <f t="shared" si="4"/>
        <v>-11.297612111980726</v>
      </c>
      <c r="L3" s="6">
        <f t="shared" si="5"/>
        <v>19.167612111980727</v>
      </c>
      <c r="M3" s="6">
        <f t="shared" si="6"/>
        <v>367.39735407535028</v>
      </c>
      <c r="O3" s="7">
        <v>-39.9</v>
      </c>
      <c r="P3" s="6">
        <f t="shared" si="7"/>
        <v>-33.106064096757208</v>
      </c>
      <c r="Q3" s="6">
        <f t="shared" si="8"/>
        <v>-6.7939359032427902</v>
      </c>
      <c r="R3" s="6">
        <f t="shared" si="9"/>
        <v>46.157565057371428</v>
      </c>
      <c r="T3" s="8">
        <v>0.63101700000000005</v>
      </c>
      <c r="U3" s="8">
        <v>0.59049799999999997</v>
      </c>
    </row>
    <row r="4" spans="1:21">
      <c r="A4" s="12" t="s">
        <v>60</v>
      </c>
      <c r="B4" s="6">
        <v>-5.6949981768671982</v>
      </c>
      <c r="C4" s="6">
        <v>-7.3390000000000004</v>
      </c>
      <c r="D4" s="6">
        <v>1.2558216433873084</v>
      </c>
      <c r="E4" s="6">
        <f t="shared" si="0"/>
        <v>-5.3465799077727967</v>
      </c>
      <c r="F4" s="6">
        <f t="shared" si="1"/>
        <v>-1.9924200922272037</v>
      </c>
      <c r="G4" s="6">
        <f t="shared" si="2"/>
        <v>3.9697378239106591</v>
      </c>
      <c r="I4" s="6">
        <f t="shared" si="3"/>
        <v>-1.6440018231328022</v>
      </c>
      <c r="J4" s="7">
        <v>-20.399999999999999</v>
      </c>
      <c r="K4" s="6">
        <f t="shared" si="4"/>
        <v>-18.481838549639566</v>
      </c>
      <c r="L4" s="6">
        <f t="shared" si="5"/>
        <v>-1.918161450360433</v>
      </c>
      <c r="M4" s="6">
        <f t="shared" si="6"/>
        <v>3.6793433496488395</v>
      </c>
      <c r="N4" s="6">
        <f>SQRT(SUM(M4:M21)/19)</f>
        <v>12.238790637108256</v>
      </c>
      <c r="O4" s="7">
        <v>-26.46</v>
      </c>
      <c r="P4" s="6">
        <f t="shared" si="7"/>
        <v>-27.767523362291463</v>
      </c>
      <c r="Q4" s="6">
        <f t="shared" si="8"/>
        <v>1.3075233622914624</v>
      </c>
      <c r="R4" s="6">
        <f t="shared" si="9"/>
        <v>1.7096173429379709</v>
      </c>
      <c r="S4" s="6">
        <f>SQRT(SUM(R4:R21)/19)</f>
        <v>3.8983467199528503</v>
      </c>
      <c r="T4" s="8">
        <v>4.5960099999999997E-2</v>
      </c>
      <c r="U4" s="8">
        <v>0.15001</v>
      </c>
    </row>
    <row r="5" spans="1:21">
      <c r="A5" s="12" t="s">
        <v>62</v>
      </c>
      <c r="B5" s="6">
        <v>-6.4912801180219599</v>
      </c>
      <c r="C5" s="6">
        <v>-7.2480000000000002</v>
      </c>
      <c r="D5" s="6">
        <v>1.2982480502585012</v>
      </c>
      <c r="E5" s="6">
        <f t="shared" si="0"/>
        <v>-6.2603930634420006</v>
      </c>
      <c r="F5" s="6">
        <f t="shared" si="1"/>
        <v>-0.98760693655799958</v>
      </c>
      <c r="G5" s="6">
        <f t="shared" si="2"/>
        <v>0.97536746113747663</v>
      </c>
      <c r="I5" s="6">
        <f t="shared" si="3"/>
        <v>-0.7567198819780403</v>
      </c>
      <c r="J5" s="7">
        <v>-5.49</v>
      </c>
      <c r="K5" s="6">
        <f t="shared" si="4"/>
        <v>-16.931477610211246</v>
      </c>
      <c r="L5" s="6">
        <f t="shared" si="5"/>
        <v>11.441477610211246</v>
      </c>
      <c r="M5" s="6">
        <f t="shared" si="6"/>
        <v>130.90740990496525</v>
      </c>
      <c r="O5" s="7">
        <v>-22.02</v>
      </c>
      <c r="P5" s="6">
        <f t="shared" si="7"/>
        <v>-28.919584074754169</v>
      </c>
      <c r="Q5" s="6">
        <f t="shared" si="8"/>
        <v>6.8995840747541699</v>
      </c>
      <c r="R5" s="6">
        <f t="shared" si="9"/>
        <v>47.604260404601355</v>
      </c>
      <c r="T5" s="8">
        <v>0.99563599999999997</v>
      </c>
      <c r="U5" s="8">
        <v>1.47027</v>
      </c>
    </row>
    <row r="6" spans="1:21">
      <c r="A6" s="12">
        <v>8</v>
      </c>
      <c r="B6" s="6">
        <v>-8.204439627065355</v>
      </c>
      <c r="C6" s="6">
        <v>-8.7880000000000003</v>
      </c>
      <c r="D6" s="6">
        <v>0.84994235098623006</v>
      </c>
      <c r="E6" s="6">
        <f t="shared" si="0"/>
        <v>-8.2264149160202003</v>
      </c>
      <c r="F6" s="6">
        <f t="shared" si="1"/>
        <v>-0.5615850839798</v>
      </c>
      <c r="G6" s="6">
        <f t="shared" si="2"/>
        <v>0.31537780654859904</v>
      </c>
      <c r="I6" s="6">
        <f t="shared" si="3"/>
        <v>-0.58356037293464524</v>
      </c>
      <c r="J6" s="7">
        <v>-24.95</v>
      </c>
      <c r="K6" s="6">
        <f t="shared" si="4"/>
        <v>-13.595956046103753</v>
      </c>
      <c r="L6" s="6">
        <f t="shared" si="5"/>
        <v>-11.354043953896246</v>
      </c>
      <c r="M6" s="6">
        <f t="shared" si="6"/>
        <v>128.9143141070079</v>
      </c>
      <c r="O6" s="7">
        <v>-33.979999999999997</v>
      </c>
      <c r="P6" s="6">
        <f t="shared" si="7"/>
        <v>-31.398183252438155</v>
      </c>
      <c r="Q6" s="6">
        <f t="shared" si="8"/>
        <v>-2.5818167475618417</v>
      </c>
      <c r="R6" s="6">
        <f t="shared" si="9"/>
        <v>6.6657777179908067</v>
      </c>
      <c r="T6" s="8">
        <v>0.359962</v>
      </c>
      <c r="U6" s="8">
        <v>0.52959400000000001</v>
      </c>
    </row>
    <row r="7" spans="1:21">
      <c r="A7" s="12">
        <v>3</v>
      </c>
      <c r="B7" s="6">
        <v>-8.8450984502543708</v>
      </c>
      <c r="C7" s="6">
        <v>-9.52</v>
      </c>
      <c r="D7" s="6">
        <v>0.15909902576697318</v>
      </c>
      <c r="E7" s="6">
        <f t="shared" si="0"/>
        <v>-8.9616349815119154</v>
      </c>
      <c r="F7" s="6">
        <f t="shared" si="1"/>
        <v>-0.55836501848808417</v>
      </c>
      <c r="G7" s="6">
        <f t="shared" si="2"/>
        <v>0.31177149387119857</v>
      </c>
      <c r="I7" s="6">
        <f t="shared" si="3"/>
        <v>-0.67490154974562877</v>
      </c>
      <c r="J7" s="7">
        <v>-19</v>
      </c>
      <c r="K7" s="6">
        <f t="shared" si="4"/>
        <v>-12.348593317354741</v>
      </c>
      <c r="L7" s="6">
        <f t="shared" si="5"/>
        <v>-6.6514066826452591</v>
      </c>
      <c r="M7" s="6">
        <f t="shared" si="6"/>
        <v>44.241210857938015</v>
      </c>
      <c r="O7" s="7">
        <v>-29.06</v>
      </c>
      <c r="P7" s="6">
        <f t="shared" si="7"/>
        <v>-32.325088437828022</v>
      </c>
      <c r="Q7" s="6">
        <f t="shared" si="8"/>
        <v>3.2650884378280232</v>
      </c>
      <c r="R7" s="6">
        <f t="shared" si="9"/>
        <v>10.660802506838241</v>
      </c>
      <c r="T7" s="8">
        <v>1.0794299999999999</v>
      </c>
      <c r="U7" s="8">
        <v>1.13243</v>
      </c>
    </row>
    <row r="8" spans="1:21">
      <c r="A8" s="12" t="s">
        <v>65</v>
      </c>
      <c r="B8" s="6">
        <v>-7.7928092228385406</v>
      </c>
      <c r="C8" s="6">
        <v>-8.2989999999999995</v>
      </c>
      <c r="D8" s="6">
        <v>0.26657925650732839</v>
      </c>
      <c r="E8" s="6">
        <f t="shared" si="0"/>
        <v>-7.7540278641295082</v>
      </c>
      <c r="F8" s="6">
        <f t="shared" si="1"/>
        <v>-0.54497213587049131</v>
      </c>
      <c r="G8" s="6">
        <f t="shared" si="2"/>
        <v>0.29699462887524525</v>
      </c>
      <c r="I8" s="6">
        <f t="shared" si="3"/>
        <v>-0.50619077716145888</v>
      </c>
      <c r="J8" s="7">
        <v>-29.18</v>
      </c>
      <c r="K8" s="6">
        <f t="shared" si="4"/>
        <v>-14.39740044313336</v>
      </c>
      <c r="L8" s="6">
        <f t="shared" si="5"/>
        <v>-14.782599556866639</v>
      </c>
      <c r="M8" s="6">
        <f t="shared" si="6"/>
        <v>218.52524965867377</v>
      </c>
      <c r="O8" s="7">
        <v>-32.520000000000003</v>
      </c>
      <c r="P8" s="6">
        <f t="shared" si="7"/>
        <v>-30.802636383602803</v>
      </c>
      <c r="Q8" s="6">
        <f t="shared" si="8"/>
        <v>-1.7173636163972006</v>
      </c>
      <c r="R8" s="6">
        <f t="shared" si="9"/>
        <v>2.9493377909248712</v>
      </c>
      <c r="T8" s="8">
        <v>0.32389600000000002</v>
      </c>
      <c r="U8" s="8">
        <v>0.47714200000000001</v>
      </c>
    </row>
    <row r="9" spans="1:21">
      <c r="A9" s="12" t="s">
        <v>61</v>
      </c>
      <c r="B9" s="6">
        <v>-6.1763579281572012</v>
      </c>
      <c r="C9" s="6">
        <v>-6.3840000000000003</v>
      </c>
      <c r="D9" s="6">
        <v>1.1950104602052651</v>
      </c>
      <c r="E9" s="6">
        <f t="shared" si="0"/>
        <v>-5.8989883583532041</v>
      </c>
      <c r="F9" s="6">
        <f t="shared" si="1"/>
        <v>-0.48501164164679622</v>
      </c>
      <c r="G9" s="6">
        <f t="shared" si="2"/>
        <v>0.23523629253292028</v>
      </c>
      <c r="I9" s="6">
        <f t="shared" si="3"/>
        <v>-0.20764207184279915</v>
      </c>
      <c r="J9" s="7">
        <v>-14.31</v>
      </c>
      <c r="K9" s="6">
        <f t="shared" si="4"/>
        <v>-17.544631113877927</v>
      </c>
      <c r="L9" s="6">
        <f t="shared" si="5"/>
        <v>3.234631113877926</v>
      </c>
      <c r="M9" s="6">
        <f t="shared" si="6"/>
        <v>10.462838442867152</v>
      </c>
      <c r="O9" s="7">
        <v>-25.96</v>
      </c>
      <c r="P9" s="6">
        <f t="shared" si="7"/>
        <v>-28.463954650457836</v>
      </c>
      <c r="Q9" s="6">
        <f t="shared" si="8"/>
        <v>2.5039546504578354</v>
      </c>
      <c r="R9" s="6">
        <f t="shared" si="9"/>
        <v>6.2697888915494202</v>
      </c>
      <c r="T9" s="8">
        <v>0.129083</v>
      </c>
      <c r="U9" s="8">
        <v>0.396005</v>
      </c>
    </row>
    <row r="10" spans="1:21">
      <c r="A10" s="12" t="s">
        <v>63</v>
      </c>
      <c r="B10" s="6">
        <v>-6.8699996418659035</v>
      </c>
      <c r="C10" s="6">
        <v>-7.1390000000000002</v>
      </c>
      <c r="D10" s="6">
        <v>0.2460731598529185</v>
      </c>
      <c r="E10" s="6">
        <f t="shared" si="0"/>
        <v>-6.6950115890053103</v>
      </c>
      <c r="F10" s="6">
        <f t="shared" si="1"/>
        <v>-0.44398841099468989</v>
      </c>
      <c r="G10" s="6">
        <f t="shared" si="2"/>
        <v>0.19712570909758967</v>
      </c>
      <c r="I10" s="6">
        <f t="shared" si="3"/>
        <v>-0.26900035813409673</v>
      </c>
      <c r="J10" s="7">
        <v>-16.649999999999999</v>
      </c>
      <c r="K10" s="6">
        <f t="shared" si="4"/>
        <v>-16.194110697287087</v>
      </c>
      <c r="L10" s="6">
        <f t="shared" si="5"/>
        <v>-0.45588930271291161</v>
      </c>
      <c r="M10" s="6">
        <f t="shared" si="6"/>
        <v>0.20783505632806476</v>
      </c>
      <c r="O10" s="7">
        <v>-35.56</v>
      </c>
      <c r="P10" s="6">
        <f t="shared" si="7"/>
        <v>-29.467515481851589</v>
      </c>
      <c r="Q10" s="6">
        <f t="shared" si="8"/>
        <v>-6.0924845181484137</v>
      </c>
      <c r="R10" s="6">
        <f t="shared" si="9"/>
        <v>37.118367603878106</v>
      </c>
      <c r="T10" s="8">
        <v>0.43352800000000002</v>
      </c>
      <c r="U10" s="8">
        <v>0.64987700000000004</v>
      </c>
    </row>
    <row r="11" spans="1:21">
      <c r="A11" s="12">
        <v>5</v>
      </c>
      <c r="B11" s="6">
        <v>-8.3913328508223035</v>
      </c>
      <c r="C11" s="6">
        <v>-8.8000000000000007</v>
      </c>
      <c r="D11" s="6">
        <v>1.4142135623730949</v>
      </c>
      <c r="E11" s="6">
        <f t="shared" si="0"/>
        <v>-8.4408935796036744</v>
      </c>
      <c r="F11" s="6">
        <f t="shared" si="1"/>
        <v>-0.35910642039632634</v>
      </c>
      <c r="G11" s="6">
        <f t="shared" si="2"/>
        <v>0.12895742116986306</v>
      </c>
      <c r="I11" s="6">
        <f t="shared" si="3"/>
        <v>-0.4086671491776972</v>
      </c>
      <c r="J11" s="7">
        <v>-34.590000000000003</v>
      </c>
      <c r="K11" s="6">
        <f t="shared" si="4"/>
        <v>-13.232074939448975</v>
      </c>
      <c r="L11" s="6">
        <f t="shared" si="5"/>
        <v>-21.357925060551029</v>
      </c>
      <c r="M11" s="6">
        <f t="shared" si="6"/>
        <v>456.16096289211367</v>
      </c>
      <c r="O11" s="7">
        <v>-36.82</v>
      </c>
      <c r="P11" s="6">
        <f t="shared" si="7"/>
        <v>-31.668580368569707</v>
      </c>
      <c r="Q11" s="6">
        <f t="shared" si="8"/>
        <v>-5.1514196314302936</v>
      </c>
      <c r="R11" s="6">
        <f t="shared" si="9"/>
        <v>26.53712421908542</v>
      </c>
      <c r="T11" s="10">
        <v>2.6407099999999999E-2</v>
      </c>
      <c r="U11" s="10">
        <v>4.7947900000000002E-2</v>
      </c>
    </row>
    <row r="12" spans="1:21">
      <c r="A12" s="12">
        <v>4</v>
      </c>
      <c r="B12" s="6">
        <v>-7.3382306771565124</v>
      </c>
      <c r="C12" s="6">
        <v>-7.5629999999999997</v>
      </c>
      <c r="D12" s="6">
        <v>0.96873629022557006</v>
      </c>
      <c r="E12" s="6">
        <f t="shared" si="0"/>
        <v>-7.2323535251048128</v>
      </c>
      <c r="F12" s="6">
        <f t="shared" si="1"/>
        <v>-0.33064647489518695</v>
      </c>
      <c r="G12" s="6">
        <f t="shared" si="2"/>
        <v>0.1093270913606135</v>
      </c>
      <c r="I12" s="6">
        <f t="shared" si="3"/>
        <v>-0.22476932284348727</v>
      </c>
      <c r="J12" s="7">
        <v>11.52</v>
      </c>
      <c r="K12" s="6">
        <f t="shared" si="4"/>
        <v>-15.28246487157627</v>
      </c>
      <c r="L12" s="6">
        <f t="shared" si="5"/>
        <v>26.802464871576269</v>
      </c>
      <c r="M12" s="6">
        <f t="shared" si="6"/>
        <v>718.37212319207993</v>
      </c>
      <c r="O12" s="7">
        <v>-36.11</v>
      </c>
      <c r="P12" s="6">
        <f t="shared" si="7"/>
        <v>-30.144952143710043</v>
      </c>
      <c r="Q12" s="6">
        <f t="shared" si="8"/>
        <v>-5.9650478562899565</v>
      </c>
      <c r="R12" s="6">
        <f t="shared" si="9"/>
        <v>35.581795927829404</v>
      </c>
      <c r="T12" s="8">
        <v>0.775559</v>
      </c>
      <c r="U12" s="8">
        <v>1.2708299999999999</v>
      </c>
    </row>
    <row r="13" spans="1:21">
      <c r="A13" s="12">
        <v>11</v>
      </c>
      <c r="B13" s="6">
        <v>-8.8556718537688681</v>
      </c>
      <c r="C13" s="6">
        <v>-9.2859999999999996</v>
      </c>
      <c r="D13" s="6">
        <v>0.5303300858899106</v>
      </c>
      <c r="E13" s="6">
        <f t="shared" si="0"/>
        <v>-8.973769019385152</v>
      </c>
      <c r="F13" s="6">
        <f t="shared" si="1"/>
        <v>-0.31223098061484755</v>
      </c>
      <c r="G13" s="6">
        <f t="shared" si="2"/>
        <v>9.7488185255709306E-2</v>
      </c>
      <c r="I13" s="6">
        <f t="shared" si="3"/>
        <v>-0.43032814623113147</v>
      </c>
      <c r="J13" s="7">
        <v>11.37</v>
      </c>
      <c r="K13" s="6">
        <f t="shared" si="4"/>
        <v>-12.328006900712012</v>
      </c>
      <c r="L13" s="6">
        <f t="shared" si="5"/>
        <v>23.698006900712009</v>
      </c>
      <c r="M13" s="6">
        <f t="shared" si="6"/>
        <v>561.59553106619398</v>
      </c>
      <c r="O13" s="7">
        <v>-30.85</v>
      </c>
      <c r="P13" s="6">
        <f t="shared" si="7"/>
        <v>-32.340386038032797</v>
      </c>
      <c r="Q13" s="6">
        <f t="shared" si="8"/>
        <v>1.4903860380327956</v>
      </c>
      <c r="R13" s="6">
        <f t="shared" si="9"/>
        <v>2.2212505423630935</v>
      </c>
      <c r="T13" s="8">
        <v>0.98488399999999998</v>
      </c>
      <c r="U13" s="8">
        <v>2.0649999999999999</v>
      </c>
    </row>
    <row r="14" spans="1:21">
      <c r="A14" s="12">
        <v>10</v>
      </c>
      <c r="B14" s="6">
        <v>-8.1112018293793859</v>
      </c>
      <c r="C14" s="6">
        <v>-7.9329999999999998</v>
      </c>
      <c r="D14" s="6">
        <v>0.39032294321497424</v>
      </c>
      <c r="E14" s="6">
        <f t="shared" si="0"/>
        <v>-8.1194152193957834</v>
      </c>
      <c r="F14" s="6">
        <f t="shared" si="1"/>
        <v>0.18641521939578354</v>
      </c>
      <c r="G14" s="6">
        <f t="shared" si="2"/>
        <v>3.4750634022378109E-2</v>
      </c>
      <c r="I14" s="6">
        <f t="shared" si="3"/>
        <v>0.17820182937938611</v>
      </c>
      <c r="J14" s="7">
        <v>-15.83</v>
      </c>
      <c r="K14" s="6">
        <f t="shared" si="4"/>
        <v>-13.777490038198335</v>
      </c>
      <c r="L14" s="6">
        <f t="shared" si="5"/>
        <v>-2.0525099618016647</v>
      </c>
      <c r="M14" s="6">
        <f t="shared" si="6"/>
        <v>4.212797143295071</v>
      </c>
      <c r="O14" s="7">
        <v>-34.53</v>
      </c>
      <c r="P14" s="6">
        <f t="shared" si="7"/>
        <v>-31.263286806746095</v>
      </c>
      <c r="Q14" s="6">
        <f t="shared" si="8"/>
        <v>-3.2667131932539064</v>
      </c>
      <c r="R14" s="6">
        <f t="shared" si="9"/>
        <v>10.671415086979135</v>
      </c>
      <c r="T14" s="8">
        <v>0.61236900000000005</v>
      </c>
      <c r="U14" s="8">
        <v>0.691272</v>
      </c>
    </row>
    <row r="15" spans="1:21">
      <c r="A15" s="12" t="s">
        <v>64</v>
      </c>
      <c r="B15" s="6">
        <v>-7.3796960284709385</v>
      </c>
      <c r="C15" s="6">
        <v>-6.7539999999999996</v>
      </c>
      <c r="D15" s="6">
        <v>0.46244783489600205</v>
      </c>
      <c r="E15" s="6">
        <f t="shared" si="0"/>
        <v>-7.2799391622732479</v>
      </c>
      <c r="F15" s="6">
        <f t="shared" si="1"/>
        <v>0.52593916227324833</v>
      </c>
      <c r="G15" s="6">
        <f t="shared" si="2"/>
        <v>0.27661200241268624</v>
      </c>
      <c r="I15" s="6">
        <f t="shared" si="3"/>
        <v>0.62569602847093897</v>
      </c>
      <c r="J15" s="7">
        <v>-31.55</v>
      </c>
      <c r="K15" s="6">
        <f t="shared" si="4"/>
        <v>-15.201731832567082</v>
      </c>
      <c r="L15" s="6">
        <f t="shared" si="5"/>
        <v>-16.34826816743292</v>
      </c>
      <c r="M15" s="6">
        <f t="shared" si="6"/>
        <v>267.26587207430055</v>
      </c>
      <c r="O15" s="7">
        <v>-32.99</v>
      </c>
      <c r="P15" s="6">
        <f t="shared" si="7"/>
        <v>-30.204944213991752</v>
      </c>
      <c r="Q15" s="6">
        <f t="shared" si="8"/>
        <v>-2.7850557860082503</v>
      </c>
      <c r="R15" s="6">
        <f t="shared" si="9"/>
        <v>7.7565357311780332</v>
      </c>
      <c r="T15" s="8">
        <v>0.30117899999999997</v>
      </c>
      <c r="U15" s="8">
        <v>0.248922</v>
      </c>
    </row>
    <row r="16" spans="1:21">
      <c r="A16" s="12" t="s">
        <v>66</v>
      </c>
      <c r="B16" s="6">
        <v>-8.1532623865976337</v>
      </c>
      <c r="C16" s="6">
        <v>-7.2839999999999998</v>
      </c>
      <c r="D16" s="6">
        <v>0.14000714267493641</v>
      </c>
      <c r="E16" s="6">
        <f t="shared" si="0"/>
        <v>-8.1676839148594436</v>
      </c>
      <c r="F16" s="6">
        <f t="shared" si="1"/>
        <v>0.88368391485944375</v>
      </c>
      <c r="G16" s="6">
        <f t="shared" si="2"/>
        <v>0.78089726138131266</v>
      </c>
      <c r="I16" s="6">
        <f t="shared" si="3"/>
        <v>0.86926238659763388</v>
      </c>
      <c r="J16" s="7">
        <v>-0.68</v>
      </c>
      <c r="K16" s="6">
        <f t="shared" si="4"/>
        <v>-13.695598133294407</v>
      </c>
      <c r="L16" s="6">
        <f t="shared" si="5"/>
        <v>13.015598133294407</v>
      </c>
      <c r="M16" s="6">
        <f t="shared" si="6"/>
        <v>169.40579476741686</v>
      </c>
      <c r="O16" s="7">
        <v>-27.2</v>
      </c>
      <c r="P16" s="6">
        <f t="shared" si="7"/>
        <v>-31.324140020929455</v>
      </c>
      <c r="Q16" s="6">
        <f t="shared" si="8"/>
        <v>4.1241400209294561</v>
      </c>
      <c r="R16" s="6">
        <f t="shared" si="9"/>
        <v>17.008530912232015</v>
      </c>
      <c r="T16" s="8">
        <v>0.12654000000000001</v>
      </c>
      <c r="U16" s="8">
        <v>0.21557100000000001</v>
      </c>
    </row>
    <row r="17" spans="1:21">
      <c r="A17" s="12">
        <v>7</v>
      </c>
      <c r="B17" s="6">
        <v>-11.483398632144405</v>
      </c>
      <c r="C17" s="6">
        <v>-11.044</v>
      </c>
      <c r="D17" s="6">
        <v>0.71488495577959943</v>
      </c>
      <c r="E17" s="6">
        <f t="shared" si="0"/>
        <v>-11.98934827024892</v>
      </c>
      <c r="F17" s="6">
        <f t="shared" si="1"/>
        <v>0.94534827024891932</v>
      </c>
      <c r="G17" s="6">
        <f t="shared" si="2"/>
        <v>0.89368335206262384</v>
      </c>
      <c r="I17" s="6">
        <f t="shared" si="3"/>
        <v>0.439398632144405</v>
      </c>
      <c r="J17" s="7">
        <v>-6.98</v>
      </c>
      <c r="K17" s="6">
        <f t="shared" si="4"/>
        <v>-7.2118228632148416</v>
      </c>
      <c r="L17" s="6">
        <f t="shared" si="5"/>
        <v>0.23182286321484114</v>
      </c>
      <c r="M17" s="6">
        <f t="shared" si="6"/>
        <v>5.374183990912694E-2</v>
      </c>
      <c r="O17" s="7">
        <v>-34.479999999999997</v>
      </c>
      <c r="P17" s="6">
        <f t="shared" si="7"/>
        <v>-36.142181140986523</v>
      </c>
      <c r="Q17" s="6">
        <f t="shared" si="8"/>
        <v>1.6621811409865259</v>
      </c>
      <c r="R17" s="6">
        <f t="shared" si="9"/>
        <v>2.7628461454512689</v>
      </c>
      <c r="T17" s="8">
        <v>0.372525</v>
      </c>
      <c r="U17" s="8">
        <v>0.82923199999999997</v>
      </c>
    </row>
    <row r="18" spans="1:21">
      <c r="A18" s="12">
        <v>1</v>
      </c>
      <c r="B18" s="6">
        <v>-8.5058208405767797</v>
      </c>
      <c r="C18" s="6">
        <v>-7.6210000000000004</v>
      </c>
      <c r="D18" s="6">
        <v>1.0641957056857538</v>
      </c>
      <c r="E18" s="6">
        <f t="shared" si="0"/>
        <v>-8.5722799966459124</v>
      </c>
      <c r="F18" s="6">
        <f t="shared" si="1"/>
        <v>0.95127999664591201</v>
      </c>
      <c r="G18" s="6">
        <f t="shared" si="2"/>
        <v>0.90493363201864641</v>
      </c>
      <c r="I18" s="6">
        <f t="shared" si="3"/>
        <v>0.88482084057677923</v>
      </c>
      <c r="J18" s="7">
        <v>-20.100000000000001</v>
      </c>
      <c r="K18" s="6">
        <f t="shared" si="4"/>
        <v>-13.00916682339701</v>
      </c>
      <c r="L18" s="6">
        <f t="shared" si="5"/>
        <v>-7.0908331766029917</v>
      </c>
      <c r="M18" s="6">
        <f t="shared" si="6"/>
        <v>50.279915138413678</v>
      </c>
      <c r="O18" s="7">
        <v>-25.01</v>
      </c>
      <c r="P18" s="6">
        <f t="shared" si="7"/>
        <v>-31.834221592146484</v>
      </c>
      <c r="Q18" s="6">
        <f t="shared" si="8"/>
        <v>6.8242215921464826</v>
      </c>
      <c r="R18" s="6">
        <f t="shared" si="9"/>
        <v>46.570000338718273</v>
      </c>
      <c r="T18" s="8">
        <v>0.29356500000000002</v>
      </c>
      <c r="U18" s="8">
        <v>0.38290299999999999</v>
      </c>
    </row>
    <row r="19" spans="1:21">
      <c r="A19" s="12">
        <v>9</v>
      </c>
      <c r="B19" s="6">
        <v>-8.5594694002283731</v>
      </c>
      <c r="C19" s="6">
        <v>-7.3029999999999999</v>
      </c>
      <c r="D19" s="6">
        <v>0.84711392386148388</v>
      </c>
      <c r="E19" s="6">
        <f t="shared" si="0"/>
        <v>-8.6338470837020811</v>
      </c>
      <c r="F19" s="6">
        <f t="shared" si="1"/>
        <v>1.3308470837020812</v>
      </c>
      <c r="G19" s="6">
        <f t="shared" si="2"/>
        <v>1.7711539601983342</v>
      </c>
      <c r="I19" s="6">
        <f t="shared" si="3"/>
        <v>1.2564694002283732</v>
      </c>
      <c r="J19" s="7">
        <v>-18.350000000000001</v>
      </c>
      <c r="K19" s="6">
        <f t="shared" si="4"/>
        <v>-12.904713077755357</v>
      </c>
      <c r="L19" s="6">
        <f t="shared" si="5"/>
        <v>-5.4452869222446445</v>
      </c>
      <c r="M19" s="6">
        <f t="shared" si="6"/>
        <v>29.651149665568553</v>
      </c>
      <c r="O19" s="7">
        <v>-30.25</v>
      </c>
      <c r="P19" s="6">
        <f t="shared" si="7"/>
        <v>-31.91184032825041</v>
      </c>
      <c r="Q19" s="6">
        <f t="shared" si="8"/>
        <v>1.6618403282504097</v>
      </c>
      <c r="R19" s="6">
        <f t="shared" si="9"/>
        <v>2.7617132765994294</v>
      </c>
      <c r="T19" s="8">
        <v>0.60700399999999999</v>
      </c>
      <c r="U19" s="8">
        <v>0.78305199999999997</v>
      </c>
    </row>
    <row r="20" spans="1:21">
      <c r="A20" s="12">
        <v>6</v>
      </c>
      <c r="B20" s="6">
        <v>-7.3962139797246849</v>
      </c>
      <c r="C20" s="6">
        <v>-5.8049999999999997</v>
      </c>
      <c r="D20" s="6">
        <v>0.96590786310082388</v>
      </c>
      <c r="E20" s="6">
        <f t="shared" si="0"/>
        <v>-7.2988951631320482</v>
      </c>
      <c r="F20" s="6">
        <f t="shared" si="1"/>
        <v>1.4938951631320485</v>
      </c>
      <c r="G20" s="6">
        <f t="shared" si="2"/>
        <v>2.23172275842933</v>
      </c>
      <c r="I20" s="6">
        <f t="shared" si="3"/>
        <v>1.5912139797246851</v>
      </c>
      <c r="J20" s="7">
        <v>-21.55</v>
      </c>
      <c r="K20" s="6">
        <f t="shared" si="4"/>
        <v>-15.169571381476038</v>
      </c>
      <c r="L20" s="6">
        <f t="shared" si="5"/>
        <v>-6.3804286185239629</v>
      </c>
      <c r="M20" s="6">
        <f t="shared" si="6"/>
        <v>40.709869356079608</v>
      </c>
      <c r="O20" s="7">
        <v>-32.659999999999997</v>
      </c>
      <c r="P20" s="6">
        <f t="shared" si="7"/>
        <v>-30.228842385865676</v>
      </c>
      <c r="Q20" s="6">
        <f t="shared" si="8"/>
        <v>-2.431157614134321</v>
      </c>
      <c r="R20" s="6">
        <f t="shared" si="9"/>
        <v>5.9105273447632838</v>
      </c>
      <c r="T20" s="8">
        <v>0.58407299999999995</v>
      </c>
      <c r="U20" s="8">
        <v>1.3597900000000001</v>
      </c>
    </row>
    <row r="21" spans="1:21">
      <c r="A21" s="12">
        <v>12</v>
      </c>
      <c r="B21" s="6">
        <v>-7.6602938310080892</v>
      </c>
      <c r="C21" s="6">
        <v>-5.0880000000000001</v>
      </c>
      <c r="D21" s="6">
        <v>0.38113055505954913</v>
      </c>
      <c r="E21" s="6">
        <f t="shared" si="0"/>
        <v>-7.601953200464882</v>
      </c>
      <c r="F21" s="6">
        <f t="shared" si="1"/>
        <v>2.5139532004648819</v>
      </c>
      <c r="G21" s="6">
        <f t="shared" si="2"/>
        <v>6.319960694127623</v>
      </c>
      <c r="I21" s="6">
        <f t="shared" si="3"/>
        <v>2.5722938310080892</v>
      </c>
      <c r="J21" s="7">
        <v>-11.29</v>
      </c>
      <c r="K21" s="6">
        <f t="shared" si="4"/>
        <v>-14.65540791102725</v>
      </c>
      <c r="L21" s="6">
        <f t="shared" si="5"/>
        <v>3.3654079110272512</v>
      </c>
      <c r="M21" s="6">
        <f t="shared" si="6"/>
        <v>11.325970407604807</v>
      </c>
      <c r="O21" s="7">
        <v>-26.37</v>
      </c>
      <c r="P21" s="6">
        <f t="shared" si="7"/>
        <v>-30.610913114702505</v>
      </c>
      <c r="Q21" s="6">
        <f t="shared" si="8"/>
        <v>4.2409131147025043</v>
      </c>
      <c r="R21" s="6">
        <f t="shared" si="9"/>
        <v>17.985344046455698</v>
      </c>
      <c r="T21" s="8">
        <v>0.151918</v>
      </c>
      <c r="U21" s="8">
        <v>1.2747999999999999</v>
      </c>
    </row>
    <row r="24" spans="1:21">
      <c r="A24" s="6" t="s">
        <v>68</v>
      </c>
      <c r="C24" s="9"/>
      <c r="D24" s="9"/>
      <c r="E24" s="9" t="s">
        <v>70</v>
      </c>
      <c r="F24" s="9"/>
    </row>
    <row r="25" spans="1:21">
      <c r="A25" s="6">
        <v>-2.3590449937763971</v>
      </c>
      <c r="C25" s="9"/>
      <c r="D25" s="9"/>
      <c r="E25" s="5">
        <v>1</v>
      </c>
      <c r="F25" s="9"/>
    </row>
    <row r="26" spans="1:21">
      <c r="A26" s="6">
        <v>-2.2161063749259</v>
      </c>
      <c r="C26" s="9" t="s">
        <v>71</v>
      </c>
      <c r="D26" s="9">
        <f>D30-2</f>
        <v>-2.246884840488792</v>
      </c>
      <c r="E26" s="5"/>
      <c r="F26" s="9"/>
    </row>
    <row r="27" spans="1:21">
      <c r="A27" s="6">
        <v>-1.6440018231328022</v>
      </c>
      <c r="C27" s="9"/>
      <c r="D27" s="9"/>
      <c r="E27" s="5">
        <v>2</v>
      </c>
      <c r="F27" s="9" t="s">
        <v>77</v>
      </c>
    </row>
    <row r="28" spans="1:21">
      <c r="A28" s="6">
        <v>-0.7567198819780403</v>
      </c>
      <c r="C28" s="9" t="s">
        <v>72</v>
      </c>
      <c r="D28" s="9">
        <f>D30-1</f>
        <v>-1.246884840488792</v>
      </c>
      <c r="E28" s="5"/>
      <c r="F28" s="9"/>
    </row>
    <row r="29" spans="1:21">
      <c r="A29" s="6">
        <v>-0.67490154974562877</v>
      </c>
      <c r="C29" s="9"/>
      <c r="D29" s="9"/>
      <c r="E29" s="5">
        <v>6</v>
      </c>
      <c r="F29" s="9" t="s">
        <v>76</v>
      </c>
    </row>
    <row r="30" spans="1:21">
      <c r="A30" s="6">
        <v>-0.58356037293464524</v>
      </c>
      <c r="C30" s="9" t="s">
        <v>69</v>
      </c>
      <c r="D30" s="9">
        <f>MEDIAN(A25:A44)</f>
        <v>-0.246884840488792</v>
      </c>
      <c r="E30" s="5"/>
      <c r="F30" s="9"/>
    </row>
    <row r="31" spans="1:21">
      <c r="A31" s="6">
        <v>-0.50619077716145888</v>
      </c>
      <c r="C31" s="9"/>
      <c r="D31" s="9"/>
      <c r="E31" s="5">
        <v>6</v>
      </c>
      <c r="F31" s="9" t="s">
        <v>75</v>
      </c>
    </row>
    <row r="32" spans="1:21">
      <c r="A32" s="6">
        <v>-0.43032814623113147</v>
      </c>
      <c r="C32" s="9" t="s">
        <v>73</v>
      </c>
      <c r="D32" s="9">
        <f>D30+1</f>
        <v>0.753115159511208</v>
      </c>
      <c r="E32" s="5"/>
      <c r="F32" s="9"/>
    </row>
    <row r="33" spans="1:6">
      <c r="A33" s="6">
        <v>-0.4086671491776972</v>
      </c>
      <c r="C33" s="9"/>
      <c r="D33" s="9"/>
      <c r="E33" s="5">
        <v>4</v>
      </c>
      <c r="F33" s="9" t="s">
        <v>78</v>
      </c>
    </row>
    <row r="34" spans="1:6">
      <c r="A34" s="6">
        <v>-0.26900035813409673</v>
      </c>
      <c r="C34" s="9" t="s">
        <v>74</v>
      </c>
      <c r="D34" s="9">
        <f>D30+2</f>
        <v>1.753115159511208</v>
      </c>
      <c r="E34" s="5"/>
      <c r="F34" s="9"/>
    </row>
    <row r="35" spans="1:6">
      <c r="A35" s="6">
        <v>-0.22476932284348727</v>
      </c>
      <c r="C35" s="9"/>
      <c r="D35" s="9"/>
      <c r="E35" s="5">
        <v>1</v>
      </c>
      <c r="F35" s="9"/>
    </row>
    <row r="36" spans="1:6">
      <c r="A36" s="6">
        <v>-0.20764207184279915</v>
      </c>
    </row>
    <row r="37" spans="1:6">
      <c r="A37" s="6">
        <v>0.17820182937938611</v>
      </c>
    </row>
    <row r="38" spans="1:6">
      <c r="A38" s="6">
        <v>0.439398632144405</v>
      </c>
    </row>
    <row r="39" spans="1:6">
      <c r="A39" s="6">
        <v>0.62569602847093897</v>
      </c>
    </row>
    <row r="40" spans="1:6">
      <c r="A40" s="6">
        <v>0.86926238659763388</v>
      </c>
    </row>
    <row r="41" spans="1:6">
      <c r="A41" s="6">
        <v>0.88482084057677923</v>
      </c>
    </row>
    <row r="42" spans="1:6">
      <c r="A42" s="6">
        <v>1.2564694002283732</v>
      </c>
    </row>
    <row r="43" spans="1:6">
      <c r="A43" s="6">
        <v>1.5912139797246851</v>
      </c>
    </row>
    <row r="44" spans="1:6">
      <c r="A44" s="6">
        <v>2.5722938310080892</v>
      </c>
    </row>
  </sheetData>
  <sortState ref="A2:S23">
    <sortCondition ref="F7"/>
  </sortState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zoomScale="70" zoomScaleNormal="70" workbookViewId="0">
      <selection activeCell="T32" sqref="T32"/>
    </sheetView>
  </sheetViews>
  <sheetFormatPr defaultRowHeight="13.5"/>
  <cols>
    <col min="1" max="1" width="12.75" style="6" bestFit="1" customWidth="1"/>
    <col min="2" max="2" width="16.125" style="6" bestFit="1" customWidth="1"/>
    <col min="3" max="3" width="16.625" style="6" bestFit="1" customWidth="1"/>
    <col min="4" max="4" width="16.625" style="6" customWidth="1"/>
    <col min="5" max="5" width="16" style="6" bestFit="1" customWidth="1"/>
    <col min="6" max="6" width="12.75" style="6" bestFit="1" customWidth="1"/>
    <col min="7" max="7" width="16.75" style="6" bestFit="1" customWidth="1"/>
    <col min="8" max="9" width="9" style="6"/>
    <col min="10" max="10" width="21" style="6" customWidth="1"/>
    <col min="11" max="20" width="9" style="6"/>
    <col min="21" max="21" width="15.625" style="6" bestFit="1" customWidth="1"/>
    <col min="22" max="22" width="18.25" style="6" bestFit="1" customWidth="1"/>
  </cols>
  <sheetData>
    <row r="1" spans="1:22">
      <c r="A1" s="1" t="s">
        <v>6</v>
      </c>
      <c r="B1" s="6" t="s">
        <v>3</v>
      </c>
      <c r="C1" s="6" t="s">
        <v>5</v>
      </c>
      <c r="D1" s="6" t="s">
        <v>94</v>
      </c>
      <c r="E1" s="6" t="s">
        <v>4</v>
      </c>
      <c r="F1" s="6" t="s">
        <v>1</v>
      </c>
      <c r="G1" s="6" t="s">
        <v>2</v>
      </c>
      <c r="H1" s="6" t="s">
        <v>0</v>
      </c>
      <c r="I1" s="6" t="s">
        <v>68</v>
      </c>
      <c r="J1" s="6" t="s">
        <v>244</v>
      </c>
      <c r="K1" s="6" t="s">
        <v>28</v>
      </c>
      <c r="L1" s="6" t="s">
        <v>4</v>
      </c>
      <c r="M1" s="6" t="s">
        <v>1</v>
      </c>
      <c r="N1" s="6" t="s">
        <v>2</v>
      </c>
      <c r="O1" s="6" t="s">
        <v>0</v>
      </c>
      <c r="P1" s="6" t="s">
        <v>29</v>
      </c>
      <c r="Q1" s="6" t="s">
        <v>4</v>
      </c>
      <c r="R1" s="6" t="s">
        <v>1</v>
      </c>
      <c r="S1" s="6" t="s">
        <v>2</v>
      </c>
      <c r="T1" s="6" t="s">
        <v>0</v>
      </c>
      <c r="U1" s="6" t="s">
        <v>96</v>
      </c>
      <c r="V1" s="6" t="s">
        <v>95</v>
      </c>
    </row>
    <row r="2" spans="1:22">
      <c r="A2" s="1">
        <v>1</v>
      </c>
      <c r="B2" s="6">
        <v>-7.7072342042815549</v>
      </c>
      <c r="C2" s="6">
        <v>-12.433999999999999</v>
      </c>
      <c r="D2" s="6">
        <v>0.8322646814565664</v>
      </c>
      <c r="E2" s="6">
        <f>0.9124*B2-3.1649</f>
        <v>-10.19698048798649</v>
      </c>
      <c r="F2" s="6">
        <f>C2-E2</f>
        <v>-2.237019512013509</v>
      </c>
      <c r="G2" s="6">
        <f>F2^2</f>
        <v>5.0042562971291584</v>
      </c>
      <c r="H2" s="6">
        <f>SQRT(SUM(G2:G12)/9)</f>
        <v>1.5376263343145806</v>
      </c>
      <c r="I2" s="6">
        <f>C2-B2</f>
        <v>-4.7267657957184444</v>
      </c>
      <c r="J2" s="6">
        <f>(C2+3.4841)/0.9128</f>
        <v>-9.8048860648553902</v>
      </c>
      <c r="K2" s="7">
        <v>-43.23</v>
      </c>
      <c r="L2" s="6">
        <f t="shared" ref="L2:L12" si="0">0.3848*B2-28.471</f>
        <v>-31.436743721807542</v>
      </c>
      <c r="M2" s="6">
        <f>K2-L2</f>
        <v>-11.793256278192455</v>
      </c>
      <c r="N2" s="6">
        <f>M2^2</f>
        <v>139.08089364312576</v>
      </c>
      <c r="O2" s="6">
        <f>SQRT(SUM(N2:N12)/9)</f>
        <v>8.2387640541028979</v>
      </c>
      <c r="P2" s="7">
        <v>-44.89</v>
      </c>
      <c r="Q2" s="6">
        <f t="shared" ref="Q2:Q12" si="1">1.4349*B2-25.555</f>
        <v>-36.614110359723604</v>
      </c>
      <c r="R2" s="6">
        <f>P2-Q2</f>
        <v>-8.2758896402763966</v>
      </c>
      <c r="S2" s="6">
        <f>R2^2</f>
        <v>68.490349338034179</v>
      </c>
      <c r="T2" s="6">
        <f>SQRT(SUM(S2:S12)/9)</f>
        <v>6.408084117082482</v>
      </c>
      <c r="U2" s="8">
        <v>0.92087799999999997</v>
      </c>
      <c r="V2" s="8">
        <v>2.6132300000000002</v>
      </c>
    </row>
    <row r="3" spans="1:22">
      <c r="A3" s="1">
        <v>2</v>
      </c>
      <c r="B3" s="6">
        <v>-9.9834766358030596</v>
      </c>
      <c r="C3" s="6">
        <v>-14.532</v>
      </c>
      <c r="D3" s="6">
        <v>0.32385490578343878</v>
      </c>
      <c r="E3" s="6">
        <f t="shared" ref="E3:E12" si="2">0.9124*B3-3.1649</f>
        <v>-12.27382408250671</v>
      </c>
      <c r="F3" s="6">
        <f t="shared" ref="F3:F12" si="3">C3-E3</f>
        <v>-2.2581759174932898</v>
      </c>
      <c r="G3" s="6">
        <f t="shared" ref="G3:G12" si="4">F3^2</f>
        <v>5.0993584743466611</v>
      </c>
      <c r="I3" s="6">
        <f t="shared" ref="I3:I12" si="5">C3-B3</f>
        <v>-4.5485233641969405</v>
      </c>
      <c r="J3" s="6">
        <f t="shared" ref="J3:J12" si="6">(C3+3.4841)/0.9128</f>
        <v>-12.103308501314638</v>
      </c>
      <c r="K3" s="7">
        <v>-29.1</v>
      </c>
      <c r="L3" s="6">
        <f t="shared" si="0"/>
        <v>-32.31264180945702</v>
      </c>
      <c r="M3" s="6">
        <f t="shared" ref="M3:M11" si="7">K3-L3</f>
        <v>3.2126418094570184</v>
      </c>
      <c r="N3" s="6">
        <f t="shared" ref="N3:N11" si="8">M3^2</f>
        <v>10.321067395871266</v>
      </c>
      <c r="P3" s="7">
        <v>-38.979999999999997</v>
      </c>
      <c r="Q3" s="6">
        <f t="shared" si="1"/>
        <v>-39.880290624713808</v>
      </c>
      <c r="R3" s="6">
        <f t="shared" ref="R3:R11" si="9">P3-Q3</f>
        <v>0.90029062471381138</v>
      </c>
      <c r="S3" s="6">
        <f t="shared" ref="S3:S11" si="10">R3^2</f>
        <v>0.81052320894758478</v>
      </c>
      <c r="U3" s="8">
        <v>0.43467699999999998</v>
      </c>
      <c r="V3" s="8">
        <v>0.79943600000000004</v>
      </c>
    </row>
    <row r="4" spans="1:22">
      <c r="A4" s="1">
        <v>3</v>
      </c>
      <c r="B4" s="6">
        <v>-8.6160700312921676</v>
      </c>
      <c r="C4" s="6">
        <v>-12.106999999999999</v>
      </c>
      <c r="D4" s="6">
        <v>0.22556706319850864</v>
      </c>
      <c r="E4" s="6">
        <f t="shared" si="2"/>
        <v>-11.026202296550974</v>
      </c>
      <c r="F4" s="6">
        <f t="shared" si="3"/>
        <v>-1.0807977034490257</v>
      </c>
      <c r="G4" s="6">
        <f t="shared" si="4"/>
        <v>1.1681236757806881</v>
      </c>
      <c r="I4" s="6">
        <f t="shared" si="5"/>
        <v>-3.4909299687078317</v>
      </c>
      <c r="J4" s="6">
        <f t="shared" si="6"/>
        <v>-9.4466476774758981</v>
      </c>
      <c r="K4" s="7">
        <v>-36.770000000000003</v>
      </c>
      <c r="L4" s="6">
        <f t="shared" si="0"/>
        <v>-31.786463748041225</v>
      </c>
      <c r="M4" s="6">
        <f t="shared" si="7"/>
        <v>-4.9835362519587783</v>
      </c>
      <c r="N4" s="6">
        <f t="shared" si="8"/>
        <v>24.835633574587348</v>
      </c>
      <c r="P4" s="7">
        <v>-42.44</v>
      </c>
      <c r="Q4" s="6">
        <f t="shared" si="1"/>
        <v>-37.918198887901134</v>
      </c>
      <c r="R4" s="6">
        <f t="shared" si="9"/>
        <v>-4.5218011120988635</v>
      </c>
      <c r="S4" s="6">
        <f t="shared" si="10"/>
        <v>20.446685297378519</v>
      </c>
      <c r="U4" s="8">
        <v>0.81170399999999998</v>
      </c>
      <c r="V4" s="8">
        <v>1.9661999999999999</v>
      </c>
    </row>
    <row r="5" spans="1:22">
      <c r="A5" s="1">
        <v>4</v>
      </c>
      <c r="B5" s="6">
        <v>-9.1602158273494343</v>
      </c>
      <c r="C5" s="6">
        <v>-12.62</v>
      </c>
      <c r="D5" s="6">
        <v>0.41224325343175716</v>
      </c>
      <c r="E5" s="6">
        <f t="shared" si="2"/>
        <v>-11.522680920873624</v>
      </c>
      <c r="F5" s="6">
        <f t="shared" si="3"/>
        <v>-1.0973190791263754</v>
      </c>
      <c r="G5" s="6">
        <f t="shared" si="4"/>
        <v>1.2041091614147565</v>
      </c>
      <c r="I5" s="6">
        <f t="shared" si="5"/>
        <v>-3.4597841726505649</v>
      </c>
      <c r="J5" s="6">
        <f t="shared" si="6"/>
        <v>-10.008654688869413</v>
      </c>
      <c r="K5" s="7">
        <v>-32.79</v>
      </c>
      <c r="L5" s="6">
        <f t="shared" si="0"/>
        <v>-31.995851050364063</v>
      </c>
      <c r="M5" s="6">
        <f t="shared" si="7"/>
        <v>-0.79414894963593596</v>
      </c>
      <c r="N5" s="6">
        <f t="shared" si="8"/>
        <v>0.63067255420786039</v>
      </c>
      <c r="P5" s="7">
        <v>-34.590000000000003</v>
      </c>
      <c r="Q5" s="6">
        <f t="shared" si="1"/>
        <v>-38.698993690663706</v>
      </c>
      <c r="R5" s="6">
        <f t="shared" si="9"/>
        <v>4.1089936906637021</v>
      </c>
      <c r="S5" s="6">
        <f t="shared" si="10"/>
        <v>16.883829149914114</v>
      </c>
      <c r="U5" s="8">
        <v>0.87710699999999997</v>
      </c>
      <c r="V5" s="8">
        <v>0.90737699999999999</v>
      </c>
    </row>
    <row r="6" spans="1:22">
      <c r="A6" s="1">
        <v>5</v>
      </c>
      <c r="B6" s="6">
        <v>-9.8008746505384501</v>
      </c>
      <c r="C6" s="6">
        <v>-13.074</v>
      </c>
      <c r="D6" s="6">
        <v>1.5648273067658296</v>
      </c>
      <c r="E6" s="6">
        <f t="shared" si="2"/>
        <v>-12.10721803115128</v>
      </c>
      <c r="F6" s="6">
        <f t="shared" si="3"/>
        <v>-0.96678196884871959</v>
      </c>
      <c r="G6" s="6">
        <f t="shared" si="4"/>
        <v>0.93466737529100663</v>
      </c>
      <c r="I6" s="6">
        <f t="shared" si="5"/>
        <v>-3.2731253494615498</v>
      </c>
      <c r="J6" s="6">
        <f t="shared" si="6"/>
        <v>-10.50602541630149</v>
      </c>
      <c r="K6" s="7">
        <v>-16.989999999999998</v>
      </c>
      <c r="L6" s="6">
        <f t="shared" si="0"/>
        <v>-32.242376565527195</v>
      </c>
      <c r="M6" s="6">
        <f t="shared" si="7"/>
        <v>15.252376565527197</v>
      </c>
      <c r="N6" s="6">
        <f t="shared" si="8"/>
        <v>232.63499089664319</v>
      </c>
      <c r="P6" s="7">
        <v>-28.42</v>
      </c>
      <c r="Q6" s="6">
        <f t="shared" si="1"/>
        <v>-39.618275036057625</v>
      </c>
      <c r="R6" s="6">
        <f t="shared" si="9"/>
        <v>11.198275036057623</v>
      </c>
      <c r="S6" s="6">
        <f t="shared" si="10"/>
        <v>125.40136378319137</v>
      </c>
      <c r="U6" s="8">
        <v>0.35270600000000002</v>
      </c>
      <c r="V6" s="8">
        <v>0.19991</v>
      </c>
    </row>
    <row r="7" spans="1:22">
      <c r="A7" s="1">
        <v>6</v>
      </c>
      <c r="B7" s="6">
        <v>-10.115992027633514</v>
      </c>
      <c r="C7" s="6">
        <v>-13.018000000000001</v>
      </c>
      <c r="D7" s="6">
        <v>0.27435743110038041</v>
      </c>
      <c r="E7" s="6">
        <f t="shared" si="2"/>
        <v>-12.394731126012816</v>
      </c>
      <c r="F7" s="6">
        <f t="shared" si="3"/>
        <v>-0.62326887398718434</v>
      </c>
      <c r="G7" s="6">
        <f t="shared" si="4"/>
        <v>0.38846408928125264</v>
      </c>
      <c r="I7" s="6">
        <f t="shared" si="5"/>
        <v>-2.9020079723664871</v>
      </c>
      <c r="J7" s="6">
        <f t="shared" si="6"/>
        <v>-10.444675723049958</v>
      </c>
      <c r="K7" s="7">
        <v>-31.89</v>
      </c>
      <c r="L7" s="6">
        <f t="shared" si="0"/>
        <v>-32.363633732233374</v>
      </c>
      <c r="M7" s="6">
        <f t="shared" si="7"/>
        <v>0.47363373223337391</v>
      </c>
      <c r="N7" s="6">
        <f t="shared" si="8"/>
        <v>0.22432891230931534</v>
      </c>
      <c r="P7" s="7">
        <v>-41.69</v>
      </c>
      <c r="Q7" s="6">
        <f t="shared" si="1"/>
        <v>-40.070436960451332</v>
      </c>
      <c r="R7" s="6">
        <f t="shared" si="9"/>
        <v>-1.619563039548666</v>
      </c>
      <c r="S7" s="6">
        <f t="shared" si="10"/>
        <v>2.622984439072114</v>
      </c>
      <c r="U7" s="8">
        <v>0.56031799999999998</v>
      </c>
      <c r="V7" s="8">
        <v>0.61903600000000003</v>
      </c>
    </row>
    <row r="8" spans="1:22">
      <c r="A8" s="1">
        <v>7</v>
      </c>
      <c r="B8" s="6">
        <v>-9.1602158273494343</v>
      </c>
      <c r="C8" s="6">
        <v>-11.420999999999999</v>
      </c>
      <c r="D8" s="6">
        <v>0.21778888860545662</v>
      </c>
      <c r="E8" s="6">
        <f t="shared" si="2"/>
        <v>-11.522680920873624</v>
      </c>
      <c r="F8" s="6">
        <f t="shared" si="3"/>
        <v>0.10168092087362446</v>
      </c>
      <c r="G8" s="6">
        <f t="shared" si="4"/>
        <v>1.0339009669708278E-2</v>
      </c>
      <c r="I8" s="6">
        <f t="shared" si="5"/>
        <v>-2.2607841726505651</v>
      </c>
      <c r="J8" s="6">
        <f t="shared" si="6"/>
        <v>-8.6951139351446098</v>
      </c>
      <c r="K8" s="7">
        <v>-31.6</v>
      </c>
      <c r="L8" s="6">
        <f t="shared" si="0"/>
        <v>-31.995851050364063</v>
      </c>
      <c r="M8" s="6">
        <f t="shared" si="7"/>
        <v>0.39585105036406176</v>
      </c>
      <c r="N8" s="6">
        <f t="shared" si="8"/>
        <v>0.15669805407433096</v>
      </c>
      <c r="P8" s="7">
        <v>-40.520000000000003</v>
      </c>
      <c r="Q8" s="6">
        <f t="shared" si="1"/>
        <v>-38.698993690663706</v>
      </c>
      <c r="R8" s="6">
        <f t="shared" si="9"/>
        <v>-1.8210063093362976</v>
      </c>
      <c r="S8" s="6">
        <f t="shared" si="10"/>
        <v>3.3160639786426036</v>
      </c>
      <c r="U8" s="8">
        <v>0.732402</v>
      </c>
      <c r="V8" s="8">
        <v>1.13856</v>
      </c>
    </row>
    <row r="9" spans="1:22">
      <c r="A9" s="1">
        <v>8</v>
      </c>
      <c r="B9" s="6">
        <v>-12.610016886025921</v>
      </c>
      <c r="C9" s="6">
        <v>-14.723000000000001</v>
      </c>
      <c r="D9" s="6">
        <v>0.71134942187366679</v>
      </c>
      <c r="E9" s="6">
        <f t="shared" si="2"/>
        <v>-14.670279406810049</v>
      </c>
      <c r="F9" s="6">
        <f t="shared" si="3"/>
        <v>-5.2720593189951259E-2</v>
      </c>
      <c r="G9" s="6">
        <f t="shared" si="4"/>
        <v>2.7794609463003351E-3</v>
      </c>
      <c r="I9" s="6">
        <f t="shared" si="5"/>
        <v>-2.1129831139740798</v>
      </c>
      <c r="J9" s="6">
        <f t="shared" si="6"/>
        <v>-12.312554776511833</v>
      </c>
      <c r="K9" s="7">
        <v>-41.29</v>
      </c>
      <c r="L9" s="6">
        <f t="shared" si="0"/>
        <v>-33.323334497742778</v>
      </c>
      <c r="M9" s="6">
        <f t="shared" si="7"/>
        <v>-7.9666655022572215</v>
      </c>
      <c r="N9" s="6">
        <f t="shared" si="8"/>
        <v>63.467759224855307</v>
      </c>
      <c r="P9" s="7">
        <v>-48.7</v>
      </c>
      <c r="Q9" s="6">
        <f t="shared" si="1"/>
        <v>-43.649113229758598</v>
      </c>
      <c r="R9" s="6">
        <f t="shared" si="9"/>
        <v>-5.0508867702414051</v>
      </c>
      <c r="S9" s="6">
        <f t="shared" si="10"/>
        <v>25.511457165799651</v>
      </c>
      <c r="U9" s="8">
        <v>0.67652100000000004</v>
      </c>
      <c r="V9" s="8">
        <v>2.0858500000000002</v>
      </c>
    </row>
    <row r="10" spans="1:22">
      <c r="A10" s="1">
        <v>9</v>
      </c>
      <c r="B10" s="6">
        <v>-7.3962139797246849</v>
      </c>
      <c r="C10" s="6">
        <v>-8.6010000000000009</v>
      </c>
      <c r="D10" s="6">
        <v>6.7882250993908558E-2</v>
      </c>
      <c r="E10" s="6">
        <f t="shared" si="2"/>
        <v>-9.9132056351008018</v>
      </c>
      <c r="F10" s="6">
        <f t="shared" si="3"/>
        <v>1.3122056351008009</v>
      </c>
      <c r="G10" s="6">
        <f t="shared" si="4"/>
        <v>1.7218836287902963</v>
      </c>
      <c r="I10" s="6">
        <f t="shared" si="5"/>
        <v>-1.204786020275316</v>
      </c>
      <c r="J10" s="6">
        <f t="shared" si="6"/>
        <v>-5.6057186678352338</v>
      </c>
      <c r="K10" s="7">
        <v>-34.76</v>
      </c>
      <c r="L10" s="6">
        <f t="shared" si="0"/>
        <v>-31.317063139398059</v>
      </c>
      <c r="M10" s="6">
        <f t="shared" si="7"/>
        <v>-3.4429368606019395</v>
      </c>
      <c r="N10" s="6">
        <f t="shared" si="8"/>
        <v>11.853814226091538</v>
      </c>
      <c r="P10" s="7">
        <v>-40.450000000000003</v>
      </c>
      <c r="Q10" s="6">
        <f t="shared" si="1"/>
        <v>-36.167827439506951</v>
      </c>
      <c r="R10" s="6">
        <f t="shared" si="9"/>
        <v>-4.2821725604930521</v>
      </c>
      <c r="S10" s="6">
        <f t="shared" si="10"/>
        <v>18.337001837839622</v>
      </c>
      <c r="U10" s="8">
        <v>0.36230600000000002</v>
      </c>
      <c r="V10" s="8">
        <v>0.49331599999999998</v>
      </c>
    </row>
    <row r="11" spans="1:22">
      <c r="A11" s="1">
        <v>10</v>
      </c>
      <c r="B11" s="6">
        <v>-7.9878937094675058</v>
      </c>
      <c r="C11" s="6">
        <v>-9.0350000000000001</v>
      </c>
      <c r="D11" s="6">
        <v>1.8165573208682404</v>
      </c>
      <c r="E11" s="6">
        <f t="shared" si="2"/>
        <v>-10.453054220518151</v>
      </c>
      <c r="F11" s="6">
        <f t="shared" si="3"/>
        <v>1.418054220518151</v>
      </c>
      <c r="G11" s="6">
        <f t="shared" si="4"/>
        <v>2.0108777723293407</v>
      </c>
      <c r="I11" s="6">
        <f t="shared" si="5"/>
        <v>-1.0471062905324944</v>
      </c>
      <c r="J11" s="6">
        <f t="shared" si="6"/>
        <v>-6.0811787905346195</v>
      </c>
      <c r="K11" s="7">
        <v>-21.9</v>
      </c>
      <c r="L11" s="6">
        <f t="shared" si="0"/>
        <v>-31.544741499403095</v>
      </c>
      <c r="M11" s="6">
        <f t="shared" si="7"/>
        <v>9.6447414994030964</v>
      </c>
      <c r="N11" s="6">
        <f t="shared" si="8"/>
        <v>93.021038590308294</v>
      </c>
      <c r="P11" s="7">
        <v>-27.65</v>
      </c>
      <c r="Q11" s="6">
        <f t="shared" si="1"/>
        <v>-37.016828683714927</v>
      </c>
      <c r="R11" s="6">
        <f t="shared" si="9"/>
        <v>9.3668286837149282</v>
      </c>
      <c r="S11" s="6">
        <f t="shared" si="10"/>
        <v>87.737479590064737</v>
      </c>
      <c r="U11" s="8">
        <v>0.50792199999999998</v>
      </c>
      <c r="V11" s="8">
        <v>1.9272400000000001</v>
      </c>
    </row>
    <row r="12" spans="1:22">
      <c r="A12" s="1">
        <v>11</v>
      </c>
      <c r="B12" s="6">
        <v>-10.527622431860328</v>
      </c>
      <c r="C12" s="6">
        <v>-10.837999999999999</v>
      </c>
      <c r="D12" s="6">
        <v>1.2544074298249352</v>
      </c>
      <c r="E12" s="6">
        <f t="shared" si="2"/>
        <v>-12.770302706829362</v>
      </c>
      <c r="F12" s="6">
        <f t="shared" si="3"/>
        <v>1.932302706829363</v>
      </c>
      <c r="G12" s="6">
        <f t="shared" si="4"/>
        <v>3.7337937508200834</v>
      </c>
      <c r="I12" s="6">
        <f t="shared" si="5"/>
        <v>-0.31037756813967121</v>
      </c>
      <c r="J12" s="6">
        <f t="shared" si="6"/>
        <v>-8.0564198071866784</v>
      </c>
      <c r="K12" s="6">
        <v>-38.409999999999997</v>
      </c>
      <c r="L12" s="6">
        <f t="shared" si="0"/>
        <v>-32.522029111779851</v>
      </c>
      <c r="M12" s="6">
        <f t="shared" ref="M12" si="11">K12-L12</f>
        <v>-5.8879708882201456</v>
      </c>
      <c r="N12" s="6">
        <f t="shared" ref="N12" si="12">M12^2</f>
        <v>34.66820118052793</v>
      </c>
      <c r="P12" s="6">
        <v>-40.78</v>
      </c>
      <c r="Q12" s="6">
        <f t="shared" si="1"/>
        <v>-40.661085427476387</v>
      </c>
      <c r="R12" s="6">
        <f t="shared" ref="R12" si="13">P12-Q12</f>
        <v>-0.11891457252361448</v>
      </c>
      <c r="S12" s="6">
        <f t="shared" ref="S12" si="14">R12^2</f>
        <v>1.4140675558473969E-2</v>
      </c>
      <c r="U12" s="8">
        <v>1.6452</v>
      </c>
      <c r="V12" s="8">
        <v>2.9966300000000001</v>
      </c>
    </row>
    <row r="13" spans="1:22">
      <c r="A13" s="1"/>
    </row>
    <row r="15" spans="1:22">
      <c r="A15" s="6" t="s">
        <v>68</v>
      </c>
      <c r="C15" s="9"/>
      <c r="D15" s="9"/>
      <c r="E15" s="9" t="s">
        <v>70</v>
      </c>
      <c r="F15" s="9"/>
    </row>
    <row r="16" spans="1:22">
      <c r="A16" s="6">
        <v>-4.7267657957184444</v>
      </c>
      <c r="C16" s="9"/>
      <c r="D16" s="9"/>
      <c r="E16" s="9"/>
      <c r="F16" s="9"/>
    </row>
    <row r="17" spans="1:6">
      <c r="A17" s="6">
        <v>-4.5485233641969405</v>
      </c>
      <c r="C17" s="9" t="s">
        <v>71</v>
      </c>
      <c r="D17" s="9">
        <f>D21-2</f>
        <v>-4.9020079723664871</v>
      </c>
      <c r="E17" s="5"/>
      <c r="F17" s="9"/>
    </row>
    <row r="18" spans="1:6">
      <c r="A18" s="6">
        <v>-3.4909299687078317</v>
      </c>
      <c r="C18" s="9"/>
      <c r="D18" s="9"/>
      <c r="E18" s="5">
        <v>2</v>
      </c>
      <c r="F18" s="9" t="s">
        <v>77</v>
      </c>
    </row>
    <row r="19" spans="1:6">
      <c r="A19" s="6">
        <v>-3.4597841726505649</v>
      </c>
      <c r="C19" s="9" t="s">
        <v>72</v>
      </c>
      <c r="D19" s="9">
        <f>D21-1</f>
        <v>-3.9020079723664871</v>
      </c>
      <c r="E19" s="5"/>
      <c r="F19" s="9"/>
    </row>
    <row r="20" spans="1:6">
      <c r="A20" s="6">
        <v>-3.2731253494615498</v>
      </c>
      <c r="C20" s="9"/>
      <c r="D20" s="9"/>
      <c r="E20" s="5">
        <v>3</v>
      </c>
      <c r="F20" s="9" t="s">
        <v>76</v>
      </c>
    </row>
    <row r="21" spans="1:6">
      <c r="A21" s="6">
        <v>-2.9020079723664871</v>
      </c>
      <c r="C21" s="9" t="s">
        <v>69</v>
      </c>
      <c r="D21" s="9">
        <f>MEDIAN(A16:A26)</f>
        <v>-2.9020079723664871</v>
      </c>
      <c r="E21" s="5"/>
      <c r="F21" s="9"/>
    </row>
    <row r="22" spans="1:6">
      <c r="A22" s="6">
        <v>-2.2607841726505651</v>
      </c>
      <c r="C22" s="9"/>
      <c r="D22" s="9"/>
      <c r="E22" s="5">
        <v>3</v>
      </c>
      <c r="F22" s="9" t="s">
        <v>75</v>
      </c>
    </row>
    <row r="23" spans="1:6">
      <c r="A23" s="6">
        <v>-2.1129831139740798</v>
      </c>
      <c r="C23" s="9" t="s">
        <v>73</v>
      </c>
      <c r="D23" s="9">
        <f>D21+1</f>
        <v>-1.9020079723664871</v>
      </c>
      <c r="E23" s="5"/>
      <c r="F23" s="9"/>
    </row>
    <row r="24" spans="1:6">
      <c r="A24" s="6">
        <v>-1.204786020275316</v>
      </c>
      <c r="C24" s="9"/>
      <c r="D24" s="9"/>
      <c r="E24" s="5">
        <v>2</v>
      </c>
      <c r="F24" s="9" t="s">
        <v>78</v>
      </c>
    </row>
    <row r="25" spans="1:6">
      <c r="A25" s="6">
        <v>-1.0471062905324944</v>
      </c>
      <c r="C25" s="9" t="s">
        <v>74</v>
      </c>
      <c r="D25" s="9">
        <f>D21+2</f>
        <v>-0.90200797236648711</v>
      </c>
      <c r="E25" s="5"/>
      <c r="F25" s="9"/>
    </row>
    <row r="26" spans="1:6">
      <c r="A26" s="6">
        <v>-0.31037756813967121</v>
      </c>
      <c r="C26" s="9"/>
      <c r="D26" s="9"/>
      <c r="E26" s="5">
        <v>1</v>
      </c>
      <c r="F26" s="9"/>
    </row>
    <row r="27" spans="1:6">
      <c r="E27" s="1"/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Normal="100" workbookViewId="0">
      <selection activeCell="U24" sqref="U24"/>
    </sheetView>
  </sheetViews>
  <sheetFormatPr defaultRowHeight="13.5"/>
  <cols>
    <col min="1" max="1" width="11.375" bestFit="1" customWidth="1"/>
    <col min="2" max="2" width="15" bestFit="1" customWidth="1"/>
    <col min="3" max="3" width="16.625" bestFit="1" customWidth="1"/>
    <col min="4" max="4" width="15.875" bestFit="1" customWidth="1"/>
    <col min="7" max="7" width="16.75" bestFit="1" customWidth="1"/>
    <col min="9" max="9" width="12.75" customWidth="1"/>
    <col min="10" max="10" width="22.25" customWidth="1"/>
    <col min="21" max="21" width="15.625" bestFit="1" customWidth="1"/>
    <col min="22" max="22" width="18.25" bestFit="1" customWidth="1"/>
  </cols>
  <sheetData>
    <row r="1" spans="1:22">
      <c r="A1" s="1" t="s">
        <v>6</v>
      </c>
      <c r="B1" s="6" t="s">
        <v>3</v>
      </c>
      <c r="C1" s="6" t="s">
        <v>5</v>
      </c>
      <c r="D1" s="6" t="s">
        <v>94</v>
      </c>
      <c r="E1" s="6" t="s">
        <v>4</v>
      </c>
      <c r="F1" s="6" t="s">
        <v>1</v>
      </c>
      <c r="G1" s="6" t="s">
        <v>2</v>
      </c>
      <c r="H1" s="6" t="s">
        <v>0</v>
      </c>
      <c r="I1" s="6" t="s">
        <v>68</v>
      </c>
      <c r="J1" s="6" t="s">
        <v>244</v>
      </c>
      <c r="K1" s="6" t="s">
        <v>28</v>
      </c>
      <c r="L1" s="6" t="s">
        <v>4</v>
      </c>
      <c r="M1" s="6" t="s">
        <v>1</v>
      </c>
      <c r="N1" s="6" t="s">
        <v>2</v>
      </c>
      <c r="O1" s="6" t="s">
        <v>0</v>
      </c>
      <c r="P1" s="6" t="s">
        <v>29</v>
      </c>
      <c r="Q1" s="6" t="s">
        <v>4</v>
      </c>
      <c r="R1" s="6" t="s">
        <v>1</v>
      </c>
      <c r="S1" s="6" t="s">
        <v>2</v>
      </c>
      <c r="T1" s="6" t="s">
        <v>0</v>
      </c>
      <c r="U1" s="6" t="s">
        <v>96</v>
      </c>
      <c r="V1" s="6" t="s">
        <v>95</v>
      </c>
    </row>
    <row r="2" spans="1:22">
      <c r="A2" s="1">
        <v>1</v>
      </c>
      <c r="B2" s="6">
        <v>-6.5962446719250858</v>
      </c>
      <c r="C2" s="6">
        <v>-6.5449999999999999</v>
      </c>
      <c r="D2" s="6">
        <v>0.20506096654409875</v>
      </c>
      <c r="E2" s="6">
        <f>0.712*B2-2.92</f>
        <v>-7.6165262064106605</v>
      </c>
      <c r="F2" s="6">
        <f>C2-E2</f>
        <v>1.0715262064106605</v>
      </c>
      <c r="G2" s="6">
        <f>F2^2</f>
        <v>1.1481684110248216</v>
      </c>
      <c r="H2" s="6">
        <f>SQRT(SUM(G2:G8)/6)</f>
        <v>0.65136710340748161</v>
      </c>
      <c r="I2" s="6">
        <f>C2-B2</f>
        <v>5.1244671925085861E-2</v>
      </c>
      <c r="J2" s="6">
        <f>(C2+2.92)/0.712</f>
        <v>-5.0912921348314608</v>
      </c>
      <c r="K2" s="7">
        <v>-32.270000000000003</v>
      </c>
      <c r="L2" s="6">
        <f t="shared" ref="L2:L8" si="0">0.5289*B2-28.368</f>
        <v>-31.856753806981178</v>
      </c>
      <c r="M2" s="6">
        <f>K2-L2</f>
        <v>-0.41324619301882493</v>
      </c>
      <c r="N2" s="6">
        <f>M2^2</f>
        <v>0.1707724160445519</v>
      </c>
      <c r="O2" s="6">
        <f>SQRT(SUM(N2:N8)/6)</f>
        <v>6.2777993354075781</v>
      </c>
      <c r="P2" s="7">
        <v>-31.61</v>
      </c>
      <c r="Q2" s="6">
        <f t="shared" ref="Q2:Q8" si="1">1.9053*B2-22.266</f>
        <v>-34.833824973418864</v>
      </c>
      <c r="R2" s="6">
        <f>P2-Q2</f>
        <v>3.2238249734188642</v>
      </c>
      <c r="S2" s="6">
        <f>R2^2</f>
        <v>10.39304745923914</v>
      </c>
      <c r="T2" s="6">
        <f>SQRT(SUM(S2:S8)/6)</f>
        <v>4.939710681263267</v>
      </c>
      <c r="U2" s="8">
        <v>0.81408599999999998</v>
      </c>
      <c r="V2" s="8">
        <v>1.2420800000000001</v>
      </c>
    </row>
    <row r="3" spans="1:22">
      <c r="A3" s="1">
        <v>2</v>
      </c>
      <c r="B3" s="6">
        <v>-7.1403904679823516</v>
      </c>
      <c r="C3" s="6">
        <v>-9</v>
      </c>
      <c r="D3" s="6">
        <v>0.17748380207782341</v>
      </c>
      <c r="E3" s="6">
        <f t="shared" ref="E3:E8" si="2">0.712*B3-2.92</f>
        <v>-8.0039580132034338</v>
      </c>
      <c r="F3" s="6">
        <f t="shared" ref="F3:F8" si="3">C3-E3</f>
        <v>-0.99604198679656619</v>
      </c>
      <c r="G3" s="6">
        <f t="shared" ref="G3:G8" si="4">F3^2</f>
        <v>0.99209963946165092</v>
      </c>
      <c r="H3" s="6"/>
      <c r="I3" s="6">
        <f t="shared" ref="I3:I8" si="5">C3-B3</f>
        <v>-1.8596095320176484</v>
      </c>
      <c r="J3" s="6">
        <f t="shared" ref="J3:J8" si="6">(C3+2.92)/0.712</f>
        <v>-8.5393258426966305</v>
      </c>
      <c r="K3" s="7">
        <v>-29.36</v>
      </c>
      <c r="L3" s="6">
        <f t="shared" si="0"/>
        <v>-32.144552518515866</v>
      </c>
      <c r="M3" s="6">
        <f t="shared" ref="M3:M8" si="7">K3-L3</f>
        <v>2.7845525185158664</v>
      </c>
      <c r="N3" s="6">
        <f t="shared" ref="N3:N8" si="8">M3^2</f>
        <v>7.7537327283730546</v>
      </c>
      <c r="O3" s="6"/>
      <c r="P3" s="7">
        <v>-36.19</v>
      </c>
      <c r="Q3" s="6">
        <f t="shared" si="1"/>
        <v>-35.870585958646771</v>
      </c>
      <c r="R3" s="6">
        <f t="shared" ref="R3:R8" si="9">P3-Q3</f>
        <v>-0.31941404135322671</v>
      </c>
      <c r="S3" s="6">
        <f t="shared" ref="S3:S8" si="10">R3^2</f>
        <v>0.10202532981360082</v>
      </c>
      <c r="T3" s="6"/>
      <c r="U3" s="8">
        <v>0.87196600000000002</v>
      </c>
      <c r="V3" s="8">
        <v>1.2010799999999999</v>
      </c>
    </row>
    <row r="4" spans="1:22">
      <c r="A4" s="1">
        <v>3</v>
      </c>
      <c r="B4" s="6">
        <v>-9.1602158273494343</v>
      </c>
      <c r="C4" s="6">
        <v>-9.4489999999999998</v>
      </c>
      <c r="D4" s="6">
        <v>1.5004805896778537</v>
      </c>
      <c r="E4" s="6">
        <f t="shared" si="2"/>
        <v>-9.4420736690727978</v>
      </c>
      <c r="F4" s="6">
        <f t="shared" si="3"/>
        <v>-6.9263309272020734E-3</v>
      </c>
      <c r="G4" s="6">
        <f t="shared" si="4"/>
        <v>4.7974060113115933E-5</v>
      </c>
      <c r="H4" s="6"/>
      <c r="I4" s="6">
        <f t="shared" si="5"/>
        <v>-0.28878417265056555</v>
      </c>
      <c r="J4" s="6">
        <f t="shared" si="6"/>
        <v>-9.1699438202247201</v>
      </c>
      <c r="K4" s="7">
        <v>-37.29</v>
      </c>
      <c r="L4" s="6">
        <f t="shared" si="0"/>
        <v>-33.212838151085116</v>
      </c>
      <c r="M4" s="6">
        <f t="shared" si="7"/>
        <v>-4.0771618489148835</v>
      </c>
      <c r="N4" s="6">
        <f t="shared" si="8"/>
        <v>16.623248742247032</v>
      </c>
      <c r="O4" s="6"/>
      <c r="P4" s="7">
        <v>-48.85</v>
      </c>
      <c r="Q4" s="6">
        <f t="shared" si="1"/>
        <v>-39.718959215848876</v>
      </c>
      <c r="R4" s="6">
        <f t="shared" si="9"/>
        <v>-9.131040784151125</v>
      </c>
      <c r="S4" s="6">
        <f t="shared" si="10"/>
        <v>83.375905801831195</v>
      </c>
      <c r="T4" s="6"/>
      <c r="U4" s="8">
        <v>1.05389</v>
      </c>
      <c r="V4" s="8">
        <v>1.59643</v>
      </c>
    </row>
    <row r="5" spans="1:22">
      <c r="A5" s="1">
        <v>4</v>
      </c>
      <c r="B5" s="6">
        <v>-11.071768227917593</v>
      </c>
      <c r="C5" s="6">
        <v>-11.269</v>
      </c>
      <c r="D5" s="6">
        <v>0.89802561210691534</v>
      </c>
      <c r="E5" s="6">
        <f t="shared" si="2"/>
        <v>-10.803098978277326</v>
      </c>
      <c r="F5" s="6">
        <f t="shared" si="3"/>
        <v>-0.465901021722674</v>
      </c>
      <c r="G5" s="6">
        <f t="shared" si="4"/>
        <v>0.21706376204223155</v>
      </c>
      <c r="H5" s="6"/>
      <c r="I5" s="6">
        <f t="shared" si="5"/>
        <v>-0.19723177208240728</v>
      </c>
      <c r="J5" s="6">
        <f t="shared" si="6"/>
        <v>-11.726123595505619</v>
      </c>
      <c r="K5" s="7">
        <v>-23.59</v>
      </c>
      <c r="L5" s="6">
        <f t="shared" si="0"/>
        <v>-34.223858215745615</v>
      </c>
      <c r="M5" s="6">
        <f t="shared" si="7"/>
        <v>10.633858215745615</v>
      </c>
      <c r="N5" s="6">
        <f t="shared" si="8"/>
        <v>113.07894055258052</v>
      </c>
      <c r="O5" s="6"/>
      <c r="P5" s="7">
        <v>-36.700000000000003</v>
      </c>
      <c r="Q5" s="6">
        <f t="shared" si="1"/>
        <v>-43.361040004651386</v>
      </c>
      <c r="R5" s="6">
        <f t="shared" si="9"/>
        <v>6.6610400046513831</v>
      </c>
      <c r="S5" s="6">
        <f t="shared" si="10"/>
        <v>44.3694539435661</v>
      </c>
      <c r="T5" s="6"/>
      <c r="U5" s="8">
        <v>0.91050600000000004</v>
      </c>
      <c r="V5" s="8">
        <v>0.78201699999999996</v>
      </c>
    </row>
    <row r="6" spans="1:22">
      <c r="A6" s="1">
        <v>5</v>
      </c>
      <c r="B6" s="6">
        <v>-11.112475081820229</v>
      </c>
      <c r="C6" s="6">
        <v>-10.938000000000001</v>
      </c>
      <c r="D6" s="6">
        <v>1.3901719318127523</v>
      </c>
      <c r="E6" s="6">
        <f t="shared" si="2"/>
        <v>-10.832082258256001</v>
      </c>
      <c r="F6" s="6">
        <f t="shared" si="3"/>
        <v>-0.10591774174399937</v>
      </c>
      <c r="G6" s="6">
        <f t="shared" si="4"/>
        <v>1.1218568016148548E-2</v>
      </c>
      <c r="H6" s="6"/>
      <c r="I6" s="6">
        <f t="shared" si="5"/>
        <v>0.17447508182022808</v>
      </c>
      <c r="J6" s="6">
        <f t="shared" si="6"/>
        <v>-11.261235955056181</v>
      </c>
      <c r="K6" s="7">
        <v>-44.05</v>
      </c>
      <c r="L6" s="6">
        <f t="shared" si="0"/>
        <v>-34.245388070774716</v>
      </c>
      <c r="M6" s="6">
        <f t="shared" si="7"/>
        <v>-9.8046119292252811</v>
      </c>
      <c r="N6" s="6">
        <f t="shared" si="8"/>
        <v>96.130415082706691</v>
      </c>
      <c r="O6" s="6"/>
      <c r="P6" s="7">
        <v>-41.27</v>
      </c>
      <c r="Q6" s="6">
        <f t="shared" si="1"/>
        <v>-43.43859877339208</v>
      </c>
      <c r="R6" s="6">
        <f t="shared" si="9"/>
        <v>2.1685987733920769</v>
      </c>
      <c r="S6" s="6">
        <f t="shared" si="10"/>
        <v>4.7028206399576202</v>
      </c>
      <c r="T6" s="6"/>
      <c r="U6" s="8">
        <v>0.65181699999999998</v>
      </c>
      <c r="V6" s="8">
        <v>0.47248600000000002</v>
      </c>
    </row>
    <row r="7" spans="1:22">
      <c r="A7" s="1">
        <v>6</v>
      </c>
      <c r="B7" s="6">
        <v>-12.610016886025921</v>
      </c>
      <c r="C7" s="6">
        <v>-11.807</v>
      </c>
      <c r="D7" s="6">
        <v>8.6267027304758784E-2</v>
      </c>
      <c r="E7" s="6">
        <f t="shared" si="2"/>
        <v>-11.898332022850456</v>
      </c>
      <c r="F7" s="6">
        <f t="shared" si="3"/>
        <v>9.1332022850455274E-2</v>
      </c>
      <c r="G7" s="6">
        <f t="shared" si="4"/>
        <v>8.3415383979560838E-3</v>
      </c>
      <c r="H7" s="6"/>
      <c r="I7" s="6">
        <f t="shared" si="5"/>
        <v>0.80301688602592058</v>
      </c>
      <c r="J7" s="6">
        <f t="shared" si="6"/>
        <v>-12.481741573033709</v>
      </c>
      <c r="K7" s="7">
        <v>-35.68</v>
      </c>
      <c r="L7" s="6">
        <f t="shared" si="0"/>
        <v>-35.037437931019106</v>
      </c>
      <c r="M7" s="6">
        <f t="shared" si="7"/>
        <v>-0.64256206898089374</v>
      </c>
      <c r="N7" s="6">
        <f t="shared" si="8"/>
        <v>0.41288601249300683</v>
      </c>
      <c r="O7" s="6"/>
      <c r="P7" s="7">
        <v>-47.42</v>
      </c>
      <c r="Q7" s="6">
        <f t="shared" si="1"/>
        <v>-46.291865172945187</v>
      </c>
      <c r="R7" s="6">
        <f t="shared" si="9"/>
        <v>-1.128134827054815</v>
      </c>
      <c r="S7" s="6">
        <f t="shared" si="10"/>
        <v>1.2726881880139975</v>
      </c>
      <c r="T7" s="6"/>
      <c r="U7" s="8">
        <v>1.0034000000000001</v>
      </c>
      <c r="V7" s="8">
        <v>1.40509</v>
      </c>
    </row>
    <row r="8" spans="1:22">
      <c r="A8" s="1">
        <v>7</v>
      </c>
      <c r="B8" s="6">
        <v>-12.850805236655297</v>
      </c>
      <c r="C8" s="6">
        <v>-11.659000000000001</v>
      </c>
      <c r="D8" s="6">
        <v>0.40022243815158581</v>
      </c>
      <c r="E8" s="6">
        <f t="shared" si="2"/>
        <v>-12.069773328498572</v>
      </c>
      <c r="F8" s="6">
        <f t="shared" si="3"/>
        <v>0.41077332849857129</v>
      </c>
      <c r="G8" s="6">
        <f t="shared" si="4"/>
        <v>0.16873472740579515</v>
      </c>
      <c r="H8" s="6"/>
      <c r="I8" s="6">
        <f t="shared" si="5"/>
        <v>1.1918052366552967</v>
      </c>
      <c r="J8" s="6">
        <f t="shared" si="6"/>
        <v>-12.273876404494384</v>
      </c>
      <c r="K8" s="7">
        <v>-33.65</v>
      </c>
      <c r="L8" s="6">
        <f t="shared" si="0"/>
        <v>-35.164790889666989</v>
      </c>
      <c r="M8" s="6">
        <f t="shared" si="7"/>
        <v>1.5147908896669904</v>
      </c>
      <c r="N8" s="6">
        <f t="shared" si="8"/>
        <v>2.2945914394181122</v>
      </c>
      <c r="O8" s="6"/>
      <c r="P8" s="7">
        <v>-48.23</v>
      </c>
      <c r="Q8" s="6">
        <f t="shared" si="1"/>
        <v>-46.750639217399339</v>
      </c>
      <c r="R8" s="6">
        <f t="shared" si="9"/>
        <v>-1.4793607826006578</v>
      </c>
      <c r="S8" s="6">
        <f t="shared" si="10"/>
        <v>2.1885083250968309</v>
      </c>
      <c r="T8" s="6"/>
      <c r="U8" s="8">
        <v>1.49068</v>
      </c>
      <c r="V8" s="8">
        <v>3.0434199999999998</v>
      </c>
    </row>
    <row r="11" spans="1:22">
      <c r="A11" s="6" t="s">
        <v>68</v>
      </c>
      <c r="B11" s="6"/>
      <c r="C11" s="9"/>
      <c r="D11" s="9"/>
      <c r="E11" s="4" t="s">
        <v>70</v>
      </c>
      <c r="F11" s="4"/>
    </row>
    <row r="12" spans="1:22">
      <c r="A12" s="6">
        <v>-1.8596095320176484</v>
      </c>
      <c r="B12" s="6"/>
      <c r="C12" s="9"/>
      <c r="D12" s="9"/>
      <c r="E12" s="4"/>
      <c r="F12" s="4"/>
    </row>
    <row r="13" spans="1:22">
      <c r="A13" s="6">
        <v>-0.28878417265056555</v>
      </c>
      <c r="B13" s="6"/>
      <c r="C13" s="9" t="s">
        <v>71</v>
      </c>
      <c r="D13" s="9">
        <f>D17-2</f>
        <v>-1.9487553280749141</v>
      </c>
      <c r="E13" s="4"/>
      <c r="F13" s="4"/>
    </row>
    <row r="14" spans="1:22">
      <c r="A14" s="6">
        <v>-0.19723177208240728</v>
      </c>
      <c r="B14" s="6"/>
      <c r="C14" s="9"/>
      <c r="D14" s="9"/>
      <c r="E14" s="4">
        <v>1</v>
      </c>
      <c r="F14" s="4" t="s">
        <v>79</v>
      </c>
    </row>
    <row r="15" spans="1:22">
      <c r="A15" s="6">
        <v>5.1244671925085861E-2</v>
      </c>
      <c r="B15" s="6"/>
      <c r="C15" s="9" t="s">
        <v>72</v>
      </c>
      <c r="D15" s="9">
        <f>D17-1</f>
        <v>-0.94875532807491414</v>
      </c>
      <c r="E15" s="4"/>
      <c r="F15" s="4"/>
    </row>
    <row r="16" spans="1:22">
      <c r="A16" s="6">
        <v>0.17447508182022808</v>
      </c>
      <c r="B16" s="6"/>
      <c r="C16" s="9"/>
      <c r="D16" s="9"/>
      <c r="E16" s="4">
        <v>2</v>
      </c>
      <c r="F16" s="4" t="s">
        <v>76</v>
      </c>
    </row>
    <row r="17" spans="1:6">
      <c r="A17" s="6">
        <v>0.80301688602592058</v>
      </c>
      <c r="B17" s="6"/>
      <c r="C17" s="9" t="s">
        <v>69</v>
      </c>
      <c r="D17" s="9">
        <f>MEDIAN(A12:A18)</f>
        <v>5.1244671925085861E-2</v>
      </c>
      <c r="E17" s="4"/>
      <c r="F17" s="4"/>
    </row>
    <row r="18" spans="1:6">
      <c r="A18" s="6">
        <v>1.1918052366552967</v>
      </c>
      <c r="B18" s="6"/>
      <c r="C18" s="9"/>
      <c r="D18" s="9"/>
      <c r="E18" s="4">
        <v>3</v>
      </c>
      <c r="F18" s="4" t="s">
        <v>75</v>
      </c>
    </row>
    <row r="19" spans="1:6">
      <c r="A19" s="6"/>
      <c r="B19" s="6"/>
      <c r="C19" s="9" t="s">
        <v>73</v>
      </c>
      <c r="D19" s="9">
        <f>D17+1</f>
        <v>1.0512446719250859</v>
      </c>
      <c r="E19" s="4"/>
      <c r="F19" s="4"/>
    </row>
    <row r="20" spans="1:6">
      <c r="A20" s="6"/>
      <c r="B20" s="6"/>
      <c r="C20" s="9"/>
      <c r="D20" s="9"/>
      <c r="E20" s="4">
        <v>1</v>
      </c>
      <c r="F20" s="4" t="s">
        <v>78</v>
      </c>
    </row>
    <row r="21" spans="1:6">
      <c r="A21" s="6"/>
      <c r="B21" s="6"/>
      <c r="C21" s="9" t="s">
        <v>74</v>
      </c>
      <c r="D21" s="9">
        <f>D17+2</f>
        <v>2.0512446719250859</v>
      </c>
      <c r="E21" s="4"/>
      <c r="F21" s="4"/>
    </row>
    <row r="22" spans="1:6">
      <c r="A22" s="6"/>
      <c r="B22" s="6"/>
      <c r="C22" s="6"/>
      <c r="D22" s="6"/>
    </row>
    <row r="23" spans="1:6">
      <c r="A23" s="6"/>
      <c r="B23" s="6"/>
      <c r="C23" s="6"/>
      <c r="D23" s="6"/>
    </row>
    <row r="24" spans="1:6">
      <c r="A24" s="6"/>
      <c r="B24" s="6"/>
      <c r="C24" s="6"/>
      <c r="D24" s="6"/>
    </row>
  </sheetData>
  <sortState ref="A12:A18">
    <sortCondition ref="A12"/>
  </sortState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20" sqref="I20"/>
    </sheetView>
  </sheetViews>
  <sheetFormatPr defaultRowHeight="13.5"/>
  <cols>
    <col min="1" max="1" width="12.75" style="6" bestFit="1" customWidth="1"/>
    <col min="2" max="2" width="16.125" style="1" bestFit="1" customWidth="1"/>
    <col min="3" max="3" width="13.625" style="6" bestFit="1" customWidth="1"/>
    <col min="4" max="4" width="16.625" style="6" bestFit="1" customWidth="1"/>
    <col min="5" max="5" width="16" style="6" bestFit="1" customWidth="1"/>
    <col min="6" max="6" width="9" style="6"/>
    <col min="7" max="7" width="16.25" style="6" bestFit="1" customWidth="1"/>
    <col min="8" max="8" width="9" style="6"/>
    <col min="9" max="9" width="20.5" style="6" customWidth="1"/>
  </cols>
  <sheetData>
    <row r="1" spans="1:9">
      <c r="A1" s="6" t="s">
        <v>81</v>
      </c>
      <c r="B1" s="1" t="s">
        <v>86</v>
      </c>
      <c r="C1" s="6" t="s">
        <v>3</v>
      </c>
      <c r="D1" s="6" t="s">
        <v>5</v>
      </c>
      <c r="E1" s="6" t="s">
        <v>4</v>
      </c>
      <c r="F1" s="6" t="s">
        <v>82</v>
      </c>
      <c r="G1" s="6" t="s">
        <v>83</v>
      </c>
      <c r="H1" s="6" t="s">
        <v>0</v>
      </c>
      <c r="I1" s="6" t="s">
        <v>244</v>
      </c>
    </row>
    <row r="2" spans="1:9">
      <c r="A2" s="6" t="s">
        <v>257</v>
      </c>
      <c r="B2" s="1">
        <v>1.8</v>
      </c>
      <c r="C2" s="6">
        <f t="shared" ref="C2:C11" si="0">8.314*300*LN(B2*10^-6)/4200</f>
        <v>-7.8553783176370535</v>
      </c>
      <c r="D2" s="6">
        <v>-9.2080000000000002</v>
      </c>
      <c r="E2" s="6">
        <f t="shared" ref="E2:E11" si="1">1.1914*C2-2.8534</f>
        <v>-12.212297727632786</v>
      </c>
      <c r="F2" s="6">
        <f t="shared" ref="F2:F11" si="2">D2-E2</f>
        <v>3.0042977276327854</v>
      </c>
      <c r="G2" s="6">
        <f t="shared" ref="G2:G11" si="3">F2^2</f>
        <v>9.0258048362595176</v>
      </c>
      <c r="H2" s="6">
        <f>SQRT(SUM(G2:G11)/9)</f>
        <v>1.5259444112994489</v>
      </c>
      <c r="I2" s="6">
        <f>(D2+0.0545)/1.4379</f>
        <v>-6.3658807983865353</v>
      </c>
    </row>
    <row r="3" spans="1:9">
      <c r="A3" s="6" t="s">
        <v>87</v>
      </c>
      <c r="B3" s="1">
        <v>0.89</v>
      </c>
      <c r="C3" s="6">
        <f t="shared" si="0"/>
        <v>-8.2736440662333539</v>
      </c>
      <c r="D3" s="6">
        <v>-12.121</v>
      </c>
      <c r="E3" s="6">
        <f t="shared" si="1"/>
        <v>-12.710619540510418</v>
      </c>
      <c r="F3" s="6">
        <f t="shared" si="2"/>
        <v>0.58961954051041765</v>
      </c>
      <c r="G3" s="6">
        <f t="shared" si="3"/>
        <v>0.34765120255171605</v>
      </c>
      <c r="I3" s="6">
        <f t="shared" ref="I3:I11" si="4">(D3+0.0545)/1.4379</f>
        <v>-8.3917518603519028</v>
      </c>
    </row>
    <row r="4" spans="1:9">
      <c r="A4" s="6" t="s">
        <v>88</v>
      </c>
      <c r="B4" s="1">
        <v>0.40300000000000002</v>
      </c>
      <c r="C4" s="6">
        <f t="shared" si="0"/>
        <v>-8.7441481137391239</v>
      </c>
      <c r="D4" s="6">
        <v>-12.603</v>
      </c>
      <c r="E4" s="6">
        <f t="shared" si="1"/>
        <v>-13.271178062708794</v>
      </c>
      <c r="F4" s="6">
        <f t="shared" si="2"/>
        <v>0.66817806270879387</v>
      </c>
      <c r="G4" s="6">
        <f t="shared" si="3"/>
        <v>0.44646192348527686</v>
      </c>
      <c r="I4" s="6">
        <f t="shared" si="4"/>
        <v>-8.7269629320536897</v>
      </c>
    </row>
    <row r="5" spans="1:9">
      <c r="A5" s="6" t="s">
        <v>89</v>
      </c>
      <c r="B5" s="1">
        <v>5.8999999999999999E-3</v>
      </c>
      <c r="C5" s="6">
        <f t="shared" si="0"/>
        <v>-11.252591308778058</v>
      </c>
      <c r="D5" s="6">
        <v>-17.07</v>
      </c>
      <c r="E5" s="6">
        <f t="shared" si="1"/>
        <v>-16.259737285278177</v>
      </c>
      <c r="F5" s="6">
        <f t="shared" si="2"/>
        <v>-0.81026271472182287</v>
      </c>
      <c r="G5" s="6">
        <f t="shared" si="3"/>
        <v>0.6565256668683781</v>
      </c>
      <c r="I5" s="6">
        <f t="shared" si="4"/>
        <v>-11.833576743862578</v>
      </c>
    </row>
    <row r="6" spans="1:9">
      <c r="A6" s="6" t="s">
        <v>90</v>
      </c>
      <c r="B6" s="1">
        <v>7.2999999999999995E-2</v>
      </c>
      <c r="C6" s="6">
        <f t="shared" si="0"/>
        <v>-9.7587394553331954</v>
      </c>
      <c r="D6" s="6">
        <v>-16.209</v>
      </c>
      <c r="E6" s="6">
        <f t="shared" si="1"/>
        <v>-14.47996218708397</v>
      </c>
      <c r="F6" s="6">
        <f t="shared" si="2"/>
        <v>-1.7290378129160295</v>
      </c>
      <c r="G6" s="6">
        <f t="shared" si="3"/>
        <v>2.9895717584934469</v>
      </c>
      <c r="I6" s="6">
        <f t="shared" si="4"/>
        <v>-11.234786841922247</v>
      </c>
    </row>
    <row r="7" spans="1:9">
      <c r="A7" s="6" t="s">
        <v>84</v>
      </c>
      <c r="B7" s="1">
        <v>1.6999999999999999E-3</v>
      </c>
      <c r="C7" s="6">
        <f t="shared" si="0"/>
        <v>-11.991542063502969</v>
      </c>
      <c r="D7" s="6">
        <v>-16.779</v>
      </c>
      <c r="E7" s="6">
        <f t="shared" si="1"/>
        <v>-17.140123214457436</v>
      </c>
      <c r="F7" s="6">
        <f t="shared" si="2"/>
        <v>0.36112321445743589</v>
      </c>
      <c r="G7" s="6">
        <f t="shared" si="3"/>
        <v>0.13040997602007123</v>
      </c>
      <c r="I7" s="6">
        <f t="shared" si="4"/>
        <v>-11.631198275262536</v>
      </c>
    </row>
    <row r="8" spans="1:9">
      <c r="A8" s="6" t="s">
        <v>85</v>
      </c>
      <c r="B8" s="1">
        <v>1.1000000000000001E-3</v>
      </c>
      <c r="C8" s="6">
        <f t="shared" si="0"/>
        <v>-12.250058809534234</v>
      </c>
      <c r="D8" s="6">
        <v>-17.648</v>
      </c>
      <c r="E8" s="6">
        <f t="shared" si="1"/>
        <v>-17.448120065679088</v>
      </c>
      <c r="F8" s="6">
        <f t="shared" si="2"/>
        <v>-0.19987993432091145</v>
      </c>
      <c r="G8" s="6">
        <f t="shared" si="3"/>
        <v>3.9951988144131874E-2</v>
      </c>
      <c r="I8" s="6">
        <f t="shared" si="4"/>
        <v>-12.235551846442728</v>
      </c>
    </row>
    <row r="9" spans="1:9">
      <c r="A9" s="6" t="s">
        <v>91</v>
      </c>
      <c r="B9" s="1">
        <v>2E-3</v>
      </c>
      <c r="C9" s="6">
        <f t="shared" si="0"/>
        <v>-11.89502903637122</v>
      </c>
      <c r="D9" s="6">
        <v>-18.039000000000001</v>
      </c>
      <c r="E9" s="6">
        <f t="shared" si="1"/>
        <v>-17.025137593932673</v>
      </c>
      <c r="F9" s="6">
        <f t="shared" si="2"/>
        <v>-1.0138624060673287</v>
      </c>
      <c r="G9" s="6">
        <f t="shared" si="3"/>
        <v>1.0279169784366329</v>
      </c>
      <c r="I9" s="6">
        <f t="shared" si="4"/>
        <v>-12.507476180541067</v>
      </c>
    </row>
    <row r="10" spans="1:9">
      <c r="A10" s="6" t="s">
        <v>92</v>
      </c>
      <c r="B10" s="1">
        <v>2.1000000000000001E-2</v>
      </c>
      <c r="C10" s="6">
        <f t="shared" si="0"/>
        <v>-10.498648044367135</v>
      </c>
      <c r="D10" s="6">
        <v>-16.393999999999998</v>
      </c>
      <c r="E10" s="6">
        <f t="shared" si="1"/>
        <v>-15.361489280059006</v>
      </c>
      <c r="F10" s="6">
        <f t="shared" si="2"/>
        <v>-1.0325107199409924</v>
      </c>
      <c r="G10" s="6">
        <f t="shared" si="3"/>
        <v>1.0660783867930665</v>
      </c>
      <c r="I10" s="6">
        <f t="shared" si="4"/>
        <v>-11.363446693094094</v>
      </c>
    </row>
    <row r="11" spans="1:9">
      <c r="A11" s="6" t="s">
        <v>93</v>
      </c>
      <c r="B11" s="1">
        <v>8.7000000000000001E-4</v>
      </c>
      <c r="C11" s="6">
        <f t="shared" si="0"/>
        <v>-12.389361214013087</v>
      </c>
      <c r="D11" s="6">
        <v>-15.327999999999999</v>
      </c>
      <c r="E11" s="6">
        <f t="shared" si="1"/>
        <v>-17.614084950375194</v>
      </c>
      <c r="F11" s="6">
        <f t="shared" si="2"/>
        <v>2.2860849503751943</v>
      </c>
      <c r="G11" s="6">
        <f t="shared" si="3"/>
        <v>5.2261844003319551</v>
      </c>
      <c r="I11" s="6">
        <f t="shared" si="4"/>
        <v>-10.622087766882258</v>
      </c>
    </row>
  </sheetData>
  <sortState ref="A15:A24">
    <sortCondition ref="A15"/>
  </sortState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Table captions</vt:lpstr>
      <vt:lpstr>JNK1</vt:lpstr>
      <vt:lpstr>CDK2</vt:lpstr>
      <vt:lpstr>Thrombin</vt:lpstr>
      <vt:lpstr>TYK2</vt:lpstr>
      <vt:lpstr>PDE4</vt:lpstr>
      <vt:lpstr>PDE5</vt:lpstr>
      <vt:lpstr>PDE9</vt:lpstr>
      <vt:lpstr>PDE10</vt:lpstr>
      <vt:lpstr>CDK2-30</vt:lpstr>
      <vt:lpstr>CDK2-28</vt:lpstr>
      <vt:lpstr>CDK2-1oiy</vt:lpstr>
    </vt:vector>
  </TitlesOfParts>
  <Company>University of Kentucky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Zhe</dc:creator>
  <cp:lastModifiedBy>luohb77</cp:lastModifiedBy>
  <dcterms:created xsi:type="dcterms:W3CDTF">2016-06-06T14:41:47Z</dcterms:created>
  <dcterms:modified xsi:type="dcterms:W3CDTF">2018-12-30T03:12:20Z</dcterms:modified>
</cp:coreProperties>
</file>